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19200" windowHeight="11085" tabRatio="877" firstSheet="13" activeTab="35"/>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规划图" sheetId="82" r:id="rId11"/>
    <sheet name="抵押物清单（分楼）" sheetId="42" state="hidden" r:id="rId12"/>
    <sheet name="数据-基础表" sheetId="3" r:id="rId13"/>
    <sheet name="数据-汇总表" sheetId="6" r:id="rId14"/>
    <sheet name="数据-取费表" sheetId="1" r:id="rId15"/>
    <sheet name="估价对象房地状况" sheetId="20" r:id="rId16"/>
    <sheet name="系统读取表" sheetId="66" r:id="rId17"/>
    <sheet name="结果表" sheetId="9" state="hidden" r:id="rId18"/>
    <sheet name="比较法-住宅、综合" sheetId="39" state="hidden" r:id="rId19"/>
    <sheet name="汇总表" sheetId="75" r:id="rId20"/>
    <sheet name="启动区西南居住片一期" sheetId="77" state="hidden"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案例" sheetId="72" state="hidden" r:id="rId32"/>
    <sheet name="剩余法-待开发-住宅自持" sheetId="76" state="hidden" r:id="rId33"/>
    <sheet name="不动产收益法-酒店模型" sheetId="68" state="hidden" r:id="rId34"/>
    <sheet name="酒店收入计算" sheetId="57" state="hidden" r:id="rId35"/>
    <sheet name="地块信息表" sheetId="69" r:id="rId36"/>
    <sheet name="剩余法-待开发-住宅" sheetId="88" r:id="rId37"/>
    <sheet name="剩余法-待开发-住宅可售" sheetId="96" state="hidden" r:id="rId38"/>
    <sheet name="剩余法-待开发-共有产" sheetId="97" state="hidden" r:id="rId39"/>
    <sheet name="剩余法-待开发-住宅租赁" sheetId="98" state="hidden" r:id="rId40"/>
    <sheet name="不动产比较法-住宅" sheetId="21" r:id="rId41"/>
    <sheet name="不动产收益法--住宅自持" sheetId="15" r:id="rId42"/>
    <sheet name="住宅案例" sheetId="89" r:id="rId43"/>
    <sheet name="剩余法-待开发-商业" sheetId="73" r:id="rId44"/>
    <sheet name="不动产收益法--基础经营" sheetId="80" state="hidden" r:id="rId45"/>
    <sheet name="不动产收益法--公共服务设施" sheetId="81" state="hidden" r:id="rId46"/>
    <sheet name="土地案例" sheetId="70" state="hidden" r:id="rId47"/>
    <sheet name="不动产收益法-持加转" sheetId="84" state="hidden" r:id="rId48"/>
    <sheet name="不动产比较法-商业租金" sheetId="33" state="hidden" r:id="rId49"/>
    <sheet name="不动产比较法-商业售价" sheetId="83" state="hidden" r:id="rId50"/>
    <sheet name="不动产收益法-持加转--商业" sheetId="85" state="hidden" r:id="rId51"/>
    <sheet name="不动产收益法-持加转--办公" sheetId="86" state="hidden" r:id="rId52"/>
    <sheet name="不动产收益法--商业" sheetId="87" r:id="rId53"/>
    <sheet name="商业案例" sheetId="90" r:id="rId54"/>
    <sheet name="剩余法-待开发-工业" sheetId="12" state="hidden" r:id="rId55"/>
    <sheet name="不动产收益法--工业" sheetId="93" state="hidden" r:id="rId56"/>
    <sheet name="成本逼近法" sheetId="11" state="hidden" r:id="rId57"/>
    <sheet name="工业土地案例" sheetId="95" state="hidden" r:id="rId58"/>
    <sheet name="成本逼近法--总" sheetId="91" state="hidden" r:id="rId59"/>
    <sheet name="成本逼近法--住宅" sheetId="100" r:id="rId60"/>
    <sheet name="成本逼近法--商业" sheetId="92" r:id="rId61"/>
    <sheet name="成本逼近法--工业" sheetId="94" state="hidden" r:id="rId62"/>
    <sheet name="分项成本测算" sheetId="74" r:id="rId63"/>
    <sheet name="通州" sheetId="78" state="hidden" r:id="rId64"/>
    <sheet name="雄安" sheetId="79" state="hidden" r:id="rId65"/>
    <sheet name="土地案例汇总表" sheetId="71" state="hidden" r:id="rId66"/>
    <sheet name="不动产比较法-办公" sheetId="34" state="hidden" r:id="rId67"/>
    <sheet name="不动产比较法-工业" sheetId="37" state="hidden" r:id="rId68"/>
    <sheet name="不动产比较法-车位" sheetId="35" state="hidden" r:id="rId69"/>
    <sheet name="不动产比较法-仓储" sheetId="36" state="hidden" r:id="rId70"/>
    <sheet name="典型户型修正" sheetId="31" state="hidden" r:id="rId71"/>
    <sheet name="存贷款利率" sheetId="65" state="hidden" r:id="rId72"/>
    <sheet name="Sheet1" sheetId="101" r:id="rId73"/>
  </sheets>
  <externalReferences>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 r:id="rId120"/>
  </externalReferences>
  <definedNames>
    <definedName name="_xlnm._FilterDatabase" localSheetId="35" hidden="1">地块信息表!$C$6:$O$17</definedName>
    <definedName name="\a" localSheetId="47">#REF!</definedName>
    <definedName name="\a" localSheetId="51">#REF!</definedName>
    <definedName name="\a" localSheetId="50">#REF!</definedName>
    <definedName name="\a" localSheetId="52">#REF!</definedName>
    <definedName name="\a">#REF!</definedName>
    <definedName name="\adey" localSheetId="47">#REF!</definedName>
    <definedName name="\adey" localSheetId="51">#REF!</definedName>
    <definedName name="\adey" localSheetId="50">#REF!</definedName>
    <definedName name="\adey" localSheetId="52">#REF!</definedName>
    <definedName name="\adey">#REF!</definedName>
    <definedName name="\d" localSheetId="47">#REF!</definedName>
    <definedName name="\d" localSheetId="51">#REF!</definedName>
    <definedName name="\d" localSheetId="50">#REF!</definedName>
    <definedName name="\d" localSheetId="52">#REF!</definedName>
    <definedName name="\d">#REF!</definedName>
    <definedName name="\p" localSheetId="47">#REF!</definedName>
    <definedName name="\p" localSheetId="51">#REF!</definedName>
    <definedName name="\p" localSheetId="50">#REF!</definedName>
    <definedName name="\p" localSheetId="52">#REF!</definedName>
    <definedName name="\p">#REF!</definedName>
    <definedName name="\s" localSheetId="47">#REF!</definedName>
    <definedName name="\s" localSheetId="51">#REF!</definedName>
    <definedName name="\s" localSheetId="50">#REF!</definedName>
    <definedName name="\s" localSheetId="52">#REF!</definedName>
    <definedName name="\s">#REF!</definedName>
    <definedName name="\z" localSheetId="47">#REF!</definedName>
    <definedName name="\z" localSheetId="51">#REF!</definedName>
    <definedName name="\z" localSheetId="50">#REF!</definedName>
    <definedName name="\z" localSheetId="52">#REF!</definedName>
    <definedName name="\z">#REF!</definedName>
    <definedName name="______________xz1" localSheetId="47">#REF!</definedName>
    <definedName name="______________xz1" localSheetId="51">#REF!</definedName>
    <definedName name="______________xz1" localSheetId="50">#REF!</definedName>
    <definedName name="______________xz1" localSheetId="52">#REF!</definedName>
    <definedName name="______________xz1">#REF!</definedName>
    <definedName name="______________xz2" localSheetId="47">#REF!</definedName>
    <definedName name="______________xz2" localSheetId="51">#REF!</definedName>
    <definedName name="______________xz2" localSheetId="50">#REF!</definedName>
    <definedName name="______________xz2" localSheetId="52">#REF!</definedName>
    <definedName name="______________xz2">#REF!</definedName>
    <definedName name="______________xz3" localSheetId="47">#REF!</definedName>
    <definedName name="______________xz3" localSheetId="51">#REF!</definedName>
    <definedName name="______________xz3" localSheetId="50">#REF!</definedName>
    <definedName name="______________xz3" localSheetId="52">#REF!</definedName>
    <definedName name="______________xz3">#REF!</definedName>
    <definedName name="_____________xz4" localSheetId="47">#REF!</definedName>
    <definedName name="_____________xz4" localSheetId="51">#REF!</definedName>
    <definedName name="_____________xz4" localSheetId="50">#REF!</definedName>
    <definedName name="_____________xz4" localSheetId="52">#REF!</definedName>
    <definedName name="_____________xz4">#REF!</definedName>
    <definedName name="____________xz1" localSheetId="47">#REF!</definedName>
    <definedName name="____________xz1" localSheetId="51">#REF!</definedName>
    <definedName name="____________xz1" localSheetId="50">#REF!</definedName>
    <definedName name="____________xz1" localSheetId="52">#REF!</definedName>
    <definedName name="____________xz1">#REF!</definedName>
    <definedName name="____________xz2" localSheetId="47">#REF!</definedName>
    <definedName name="____________xz2" localSheetId="51">#REF!</definedName>
    <definedName name="____________xz2" localSheetId="50">#REF!</definedName>
    <definedName name="____________xz2" localSheetId="52">#REF!</definedName>
    <definedName name="____________xz2">#REF!</definedName>
    <definedName name="____________xz3" localSheetId="47">#REF!</definedName>
    <definedName name="____________xz3" localSheetId="51">#REF!</definedName>
    <definedName name="____________xz3" localSheetId="50">#REF!</definedName>
    <definedName name="____________xz3" localSheetId="52">#REF!</definedName>
    <definedName name="____________xz3">#REF!</definedName>
    <definedName name="___________xz1" localSheetId="47">#REF!</definedName>
    <definedName name="___________xz1" localSheetId="51">#REF!</definedName>
    <definedName name="___________xz1" localSheetId="50">#REF!</definedName>
    <definedName name="___________xz1" localSheetId="52">#REF!</definedName>
    <definedName name="___________xz1">#REF!</definedName>
    <definedName name="___________xz2" localSheetId="47">#REF!</definedName>
    <definedName name="___________xz2" localSheetId="51">#REF!</definedName>
    <definedName name="___________xz2" localSheetId="50">#REF!</definedName>
    <definedName name="___________xz2" localSheetId="52">#REF!</definedName>
    <definedName name="___________xz2">#REF!</definedName>
    <definedName name="___________xz3" localSheetId="47">#REF!</definedName>
    <definedName name="___________xz3" localSheetId="51">#REF!</definedName>
    <definedName name="___________xz3" localSheetId="50">#REF!</definedName>
    <definedName name="___________xz3" localSheetId="52">#REF!</definedName>
    <definedName name="___________xz3">#REF!</definedName>
    <definedName name="___________xz4" localSheetId="47">#REF!</definedName>
    <definedName name="___________xz4" localSheetId="51">#REF!</definedName>
    <definedName name="___________xz4" localSheetId="50">#REF!</definedName>
    <definedName name="___________xz4" localSheetId="52">#REF!</definedName>
    <definedName name="___________xz4">#REF!</definedName>
    <definedName name="__________xz1" localSheetId="47">#REF!</definedName>
    <definedName name="__________xz1" localSheetId="51">#REF!</definedName>
    <definedName name="__________xz1" localSheetId="50">#REF!</definedName>
    <definedName name="__________xz1" localSheetId="52">#REF!</definedName>
    <definedName name="__________xz1">#REF!</definedName>
    <definedName name="__________xz2" localSheetId="47">#REF!</definedName>
    <definedName name="__________xz2" localSheetId="51">#REF!</definedName>
    <definedName name="__________xz2" localSheetId="50">#REF!</definedName>
    <definedName name="__________xz2" localSheetId="52">#REF!</definedName>
    <definedName name="__________xz2">#REF!</definedName>
    <definedName name="__________xz3" localSheetId="47">#REF!</definedName>
    <definedName name="__________xz3" localSheetId="51">#REF!</definedName>
    <definedName name="__________xz3" localSheetId="50">#REF!</definedName>
    <definedName name="__________xz3" localSheetId="52">#REF!</definedName>
    <definedName name="__________xz3">#REF!</definedName>
    <definedName name="__________xz4" localSheetId="47">#REF!</definedName>
    <definedName name="__________xz4" localSheetId="51">#REF!</definedName>
    <definedName name="__________xz4" localSheetId="50">#REF!</definedName>
    <definedName name="__________xz4" localSheetId="52">#REF!</definedName>
    <definedName name="__________xz4">#REF!</definedName>
    <definedName name="_________xz1" localSheetId="47">#REF!</definedName>
    <definedName name="_________xz1" localSheetId="51">#REF!</definedName>
    <definedName name="_________xz1" localSheetId="50">#REF!</definedName>
    <definedName name="_________xz1" localSheetId="52">#REF!</definedName>
    <definedName name="_________xz1">#REF!</definedName>
    <definedName name="_________xz2" localSheetId="47">#REF!</definedName>
    <definedName name="_________xz2" localSheetId="51">#REF!</definedName>
    <definedName name="_________xz2" localSheetId="50">#REF!</definedName>
    <definedName name="_________xz2" localSheetId="52">#REF!</definedName>
    <definedName name="_________xz2">#REF!</definedName>
    <definedName name="_________xz3" localSheetId="47">#REF!</definedName>
    <definedName name="_________xz3" localSheetId="51">#REF!</definedName>
    <definedName name="_________xz3" localSheetId="50">#REF!</definedName>
    <definedName name="_________xz3" localSheetId="52">#REF!</definedName>
    <definedName name="_________xz3">#REF!</definedName>
    <definedName name="_________xz4" localSheetId="47">#REF!</definedName>
    <definedName name="_________xz4" localSheetId="51">#REF!</definedName>
    <definedName name="_________xz4" localSheetId="50">#REF!</definedName>
    <definedName name="_________xz4" localSheetId="52">#REF!</definedName>
    <definedName name="_________xz4">#REF!</definedName>
    <definedName name="________xz1" localSheetId="47">#REF!</definedName>
    <definedName name="________xz1" localSheetId="51">#REF!</definedName>
    <definedName name="________xz1" localSheetId="50">#REF!</definedName>
    <definedName name="________xz1" localSheetId="52">#REF!</definedName>
    <definedName name="________xz1">#REF!</definedName>
    <definedName name="________xz2" localSheetId="47">#REF!</definedName>
    <definedName name="________xz2" localSheetId="51">#REF!</definedName>
    <definedName name="________xz2" localSheetId="50">#REF!</definedName>
    <definedName name="________xz2" localSheetId="52">#REF!</definedName>
    <definedName name="________xz2">#REF!</definedName>
    <definedName name="________xz3" localSheetId="47">#REF!</definedName>
    <definedName name="________xz3" localSheetId="51">#REF!</definedName>
    <definedName name="________xz3" localSheetId="50">#REF!</definedName>
    <definedName name="________xz3" localSheetId="52">#REF!</definedName>
    <definedName name="________xz3">#REF!</definedName>
    <definedName name="________xz4" localSheetId="47">#REF!</definedName>
    <definedName name="________xz4" localSheetId="51">#REF!</definedName>
    <definedName name="________xz4" localSheetId="50">#REF!</definedName>
    <definedName name="________xz4" localSheetId="52">#REF!</definedName>
    <definedName name="________xz4">#REF!</definedName>
    <definedName name="_______xz1" localSheetId="47">#REF!</definedName>
    <definedName name="_______xz1" localSheetId="51">#REF!</definedName>
    <definedName name="_______xz1" localSheetId="50">#REF!</definedName>
    <definedName name="_______xz1" localSheetId="52">#REF!</definedName>
    <definedName name="_______xz1">#REF!</definedName>
    <definedName name="_______xz2" localSheetId="47">#REF!</definedName>
    <definedName name="_______xz2" localSheetId="51">#REF!</definedName>
    <definedName name="_______xz2" localSheetId="50">#REF!</definedName>
    <definedName name="_______xz2" localSheetId="52">#REF!</definedName>
    <definedName name="_______xz2">#REF!</definedName>
    <definedName name="_______xz3" localSheetId="47">#REF!</definedName>
    <definedName name="_______xz3" localSheetId="51">#REF!</definedName>
    <definedName name="_______xz3" localSheetId="50">#REF!</definedName>
    <definedName name="_______xz3" localSheetId="52">#REF!</definedName>
    <definedName name="_______xz3">#REF!</definedName>
    <definedName name="_______xz4" localSheetId="47">#REF!</definedName>
    <definedName name="_______xz4" localSheetId="51">#REF!</definedName>
    <definedName name="_______xz4" localSheetId="50">#REF!</definedName>
    <definedName name="_______xz4" localSheetId="52">#REF!</definedName>
    <definedName name="_______xz4">#REF!</definedName>
    <definedName name="______xz1" localSheetId="47">#REF!</definedName>
    <definedName name="______xz1" localSheetId="51">#REF!</definedName>
    <definedName name="______xz1" localSheetId="50">#REF!</definedName>
    <definedName name="______xz1" localSheetId="52">#REF!</definedName>
    <definedName name="______xz1">#REF!</definedName>
    <definedName name="______xz2" localSheetId="47">#REF!</definedName>
    <definedName name="______xz2" localSheetId="51">#REF!</definedName>
    <definedName name="______xz2" localSheetId="50">#REF!</definedName>
    <definedName name="______xz2" localSheetId="52">#REF!</definedName>
    <definedName name="______xz2">#REF!</definedName>
    <definedName name="______xz3" localSheetId="47">#REF!</definedName>
    <definedName name="______xz3" localSheetId="51">#REF!</definedName>
    <definedName name="______xz3" localSheetId="50">#REF!</definedName>
    <definedName name="______xz3" localSheetId="52">#REF!</definedName>
    <definedName name="______xz3">#REF!</definedName>
    <definedName name="______xz4" localSheetId="47">#REF!</definedName>
    <definedName name="______xz4" localSheetId="51">#REF!</definedName>
    <definedName name="______xz4" localSheetId="50">#REF!</definedName>
    <definedName name="______xz4" localSheetId="52">#REF!</definedName>
    <definedName name="______xz4">#REF!</definedName>
    <definedName name="_____xz1" localSheetId="47">#REF!</definedName>
    <definedName name="_____xz1" localSheetId="51">#REF!</definedName>
    <definedName name="_____xz1" localSheetId="50">#REF!</definedName>
    <definedName name="_____xz1" localSheetId="52">#REF!</definedName>
    <definedName name="_____xz1">#REF!</definedName>
    <definedName name="_____xz2" localSheetId="47">#REF!</definedName>
    <definedName name="_____xz2" localSheetId="51">#REF!</definedName>
    <definedName name="_____xz2" localSheetId="50">#REF!</definedName>
    <definedName name="_____xz2" localSheetId="52">#REF!</definedName>
    <definedName name="_____xz2">#REF!</definedName>
    <definedName name="_____xz3" localSheetId="47">#REF!</definedName>
    <definedName name="_____xz3" localSheetId="51">#REF!</definedName>
    <definedName name="_____xz3" localSheetId="50">#REF!</definedName>
    <definedName name="_____xz3" localSheetId="52">#REF!</definedName>
    <definedName name="_____xz3">#REF!</definedName>
    <definedName name="_____xz4" localSheetId="47">#REF!</definedName>
    <definedName name="_____xz4" localSheetId="51">#REF!</definedName>
    <definedName name="_____xz4" localSheetId="50">#REF!</definedName>
    <definedName name="_____xz4" localSheetId="52">#REF!</definedName>
    <definedName name="_____xz4">#REF!</definedName>
    <definedName name="____222sss" localSheetId="47" hidden="1">#REF!</definedName>
    <definedName name="____222sss" localSheetId="51" hidden="1">#REF!</definedName>
    <definedName name="____222sss" localSheetId="50" hidden="1">#REF!</definedName>
    <definedName name="____222sss" localSheetId="52" hidden="1">#REF!</definedName>
    <definedName name="____222sss" hidden="1">#REF!</definedName>
    <definedName name="____xz1" localSheetId="47">#REF!</definedName>
    <definedName name="____xz1" localSheetId="51">#REF!</definedName>
    <definedName name="____xz1" localSheetId="50">#REF!</definedName>
    <definedName name="____xz1" localSheetId="52">#REF!</definedName>
    <definedName name="____xz1">#REF!</definedName>
    <definedName name="____xz2" localSheetId="47">#REF!</definedName>
    <definedName name="____xz2" localSheetId="51">#REF!</definedName>
    <definedName name="____xz2" localSheetId="50">#REF!</definedName>
    <definedName name="____xz2" localSheetId="52">#REF!</definedName>
    <definedName name="____xz2">#REF!</definedName>
    <definedName name="____xz3" localSheetId="47">#REF!</definedName>
    <definedName name="____xz3" localSheetId="51">#REF!</definedName>
    <definedName name="____xz3" localSheetId="50">#REF!</definedName>
    <definedName name="____xz3" localSheetId="52">#REF!</definedName>
    <definedName name="____xz3">#REF!</definedName>
    <definedName name="____xz4" localSheetId="47">#REF!</definedName>
    <definedName name="____xz4" localSheetId="51">#REF!</definedName>
    <definedName name="____xz4" localSheetId="50">#REF!</definedName>
    <definedName name="____xz4" localSheetId="52">#REF!</definedName>
    <definedName name="____xz4">#REF!</definedName>
    <definedName name="___1211仨" localSheetId="47">#REF!</definedName>
    <definedName name="___1211仨" localSheetId="51">#REF!</definedName>
    <definedName name="___1211仨" localSheetId="50">#REF!</definedName>
    <definedName name="___1211仨" localSheetId="52">#REF!</definedName>
    <definedName name="___1211仨">#REF!</definedName>
    <definedName name="___xz1" localSheetId="47">#REF!</definedName>
    <definedName name="___xz1" localSheetId="51">#REF!</definedName>
    <definedName name="___xz1" localSheetId="50">#REF!</definedName>
    <definedName name="___xz1" localSheetId="52">#REF!</definedName>
    <definedName name="___xz1">#REF!</definedName>
    <definedName name="___xz2" localSheetId="47">#REF!</definedName>
    <definedName name="___xz2" localSheetId="51">#REF!</definedName>
    <definedName name="___xz2" localSheetId="50">#REF!</definedName>
    <definedName name="___xz2" localSheetId="52">#REF!</definedName>
    <definedName name="___xz2">#REF!</definedName>
    <definedName name="___xz3" localSheetId="47">#REF!</definedName>
    <definedName name="___xz3" localSheetId="51">#REF!</definedName>
    <definedName name="___xz3" localSheetId="50">#REF!</definedName>
    <definedName name="___xz3" localSheetId="52">#REF!</definedName>
    <definedName name="___xz3">#REF!</definedName>
    <definedName name="___xz4" localSheetId="47">#REF!</definedName>
    <definedName name="___xz4" localSheetId="51">#REF!</definedName>
    <definedName name="___xz4" localSheetId="50">#REF!</definedName>
    <definedName name="___xz4" localSheetId="52">#REF!</definedName>
    <definedName name="___xz4">#REF!</definedName>
    <definedName name="__xlfn.CUBEVALUE" hidden="1">#NAME?</definedName>
    <definedName name="__xlfn.SUMIFS" hidden="1">#NAME?</definedName>
    <definedName name="__xz1" localSheetId="47">#REF!</definedName>
    <definedName name="__xz1" localSheetId="51">#REF!</definedName>
    <definedName name="__xz1" localSheetId="50">#REF!</definedName>
    <definedName name="__xz1" localSheetId="52">#REF!</definedName>
    <definedName name="__xz1">#REF!</definedName>
    <definedName name="__xz2" localSheetId="47">#REF!</definedName>
    <definedName name="__xz2" localSheetId="51">#REF!</definedName>
    <definedName name="__xz2" localSheetId="50">#REF!</definedName>
    <definedName name="__xz2" localSheetId="52">#REF!</definedName>
    <definedName name="__xz2">#REF!</definedName>
    <definedName name="__xz3" localSheetId="47">#REF!</definedName>
    <definedName name="__xz3" localSheetId="51">#REF!</definedName>
    <definedName name="__xz3" localSheetId="50">#REF!</definedName>
    <definedName name="__xz3" localSheetId="52">#REF!</definedName>
    <definedName name="__xz3">#REF!</definedName>
    <definedName name="__xz4" localSheetId="47">#REF!</definedName>
    <definedName name="__xz4" localSheetId="51">#REF!</definedName>
    <definedName name="__xz4" localSheetId="50">#REF!</definedName>
    <definedName name="__xz4" localSheetId="52">#REF!</definedName>
    <definedName name="__xz4">#REF!</definedName>
    <definedName name="_111" localSheetId="47" hidden="1">#REF!</definedName>
    <definedName name="_111" localSheetId="51" hidden="1">#REF!</definedName>
    <definedName name="_111" localSheetId="50" hidden="1">#REF!</definedName>
    <definedName name="_111" localSheetId="52" hidden="1">#REF!</definedName>
    <definedName name="_111" hidden="1">#REF!</definedName>
    <definedName name="_111AA" localSheetId="47" hidden="1">#REF!</definedName>
    <definedName name="_111AA" localSheetId="51" hidden="1">#REF!</definedName>
    <definedName name="_111AA" localSheetId="50" hidden="1">#REF!</definedName>
    <definedName name="_111AA" localSheetId="52" hidden="1">#REF!</definedName>
    <definedName name="_111AA" hidden="1">#REF!</definedName>
    <definedName name="_123" localSheetId="47" hidden="1">#REF!</definedName>
    <definedName name="_123" localSheetId="51" hidden="1">#REF!</definedName>
    <definedName name="_123" localSheetId="50" hidden="1">#REF!</definedName>
    <definedName name="_123" localSheetId="52" hidden="1">#REF!</definedName>
    <definedName name="_123" hidden="1">#REF!</definedName>
    <definedName name="_Fill" localSheetId="47" hidden="1">#REF!</definedName>
    <definedName name="_Fill" localSheetId="51" hidden="1">#REF!</definedName>
    <definedName name="_Fill" localSheetId="50" hidden="1">#REF!</definedName>
    <definedName name="_Fill" localSheetId="52" hidden="1">#REF!</definedName>
    <definedName name="_Fill" hidden="1">#REF!</definedName>
    <definedName name="_xlnm._FilterDatabase" localSheetId="22" hidden="1">'比较法-工业'!$A$1:$L$45</definedName>
    <definedName name="_xlnm._FilterDatabase" localSheetId="18" hidden="1">'比较法-住宅、综合'!$A$1:$L$50</definedName>
    <definedName name="_xlnm._FilterDatabase" localSheetId="66" hidden="1">'不动产比较法-办公'!$A$1:$L$50</definedName>
    <definedName name="_xlnm._FilterDatabase" localSheetId="69" hidden="1">'不动产比较法-仓储'!$A$1:$L$37</definedName>
    <definedName name="_xlnm._FilterDatabase" localSheetId="68" hidden="1">'不动产比较法-车位'!$A$1:$L$39</definedName>
    <definedName name="_xlnm._FilterDatabase" localSheetId="67" hidden="1">'不动产比较法-工业'!$A$1:$L$43</definedName>
    <definedName name="_xlnm._FilterDatabase" localSheetId="49" hidden="1">'不动产比较法-商业售价'!$A$1:$L$49</definedName>
    <definedName name="_xlnm._FilterDatabase" localSheetId="48" hidden="1">'不动产比较法-商业租金'!$A$1:$L$49</definedName>
    <definedName name="_xlnm._FilterDatabase" localSheetId="40" hidden="1">'不动产比较法-住宅'!$A$1:$L$49</definedName>
    <definedName name="_xlnm._FilterDatabase" localSheetId="12" hidden="1">'数据-基础表'!$A$12:$AT$572</definedName>
    <definedName name="_xlnm._FilterDatabase" localSheetId="9" hidden="1">项目基本情况!$A$48:$N$48</definedName>
    <definedName name="_Key1" localSheetId="47" hidden="1">#REF!</definedName>
    <definedName name="_Key1" localSheetId="51" hidden="1">#REF!</definedName>
    <definedName name="_Key1" localSheetId="50" hidden="1">#REF!</definedName>
    <definedName name="_Key1" localSheetId="52" hidden="1">#REF!</definedName>
    <definedName name="_Key1" hidden="1">#REF!</definedName>
    <definedName name="_Order1" hidden="1">255</definedName>
    <definedName name="_QD46">[1]Sheet2!$A$1:$D$164</definedName>
    <definedName name="_QD47">[1]Sheet2!$F$1:$I$164</definedName>
    <definedName name="_Sort" localSheetId="47" hidden="1">#REF!</definedName>
    <definedName name="_Sort" localSheetId="51" hidden="1">#REF!</definedName>
    <definedName name="_Sort" localSheetId="50" hidden="1">#REF!</definedName>
    <definedName name="_Sort" localSheetId="52" hidden="1">#REF!</definedName>
    <definedName name="_Sort" hidden="1">#REF!</definedName>
    <definedName name="_xz1" localSheetId="47">#REF!</definedName>
    <definedName name="_xz1" localSheetId="51">#REF!</definedName>
    <definedName name="_xz1" localSheetId="50">#REF!</definedName>
    <definedName name="_xz1" localSheetId="52">#REF!</definedName>
    <definedName name="_xz1">#REF!</definedName>
    <definedName name="_xz2" localSheetId="47">#REF!</definedName>
    <definedName name="_xz2" localSheetId="51">#REF!</definedName>
    <definedName name="_xz2" localSheetId="50">#REF!</definedName>
    <definedName name="_xz2" localSheetId="52">#REF!</definedName>
    <definedName name="_xz2">#REF!</definedName>
    <definedName name="_xz3" localSheetId="47">#REF!</definedName>
    <definedName name="_xz3" localSheetId="51">#REF!</definedName>
    <definedName name="_xz3" localSheetId="50">#REF!</definedName>
    <definedName name="_xz3" localSheetId="52">#REF!</definedName>
    <definedName name="_xz3">#REF!</definedName>
    <definedName name="_xz4" localSheetId="47">#REF!</definedName>
    <definedName name="_xz4" localSheetId="51">#REF!</definedName>
    <definedName name="_xz4" localSheetId="50">#REF!</definedName>
    <definedName name="_xz4" localSheetId="52">#REF!</definedName>
    <definedName name="_xz4">#REF!</definedName>
    <definedName name="·发广告" localSheetId="47">#REF!</definedName>
    <definedName name="·发广告" localSheetId="51">#REF!</definedName>
    <definedName name="·发广告" localSheetId="50">#REF!</definedName>
    <definedName name="·发广告" localSheetId="52">#REF!</definedName>
    <definedName name="·发广告">#REF!</definedName>
    <definedName name="a" localSheetId="47">#REF!</definedName>
    <definedName name="a" localSheetId="51">#REF!</definedName>
    <definedName name="a" localSheetId="50">#REF!</definedName>
    <definedName name="a" localSheetId="52">#REF!</definedName>
    <definedName name="a">#REF!</definedName>
    <definedName name="aa" localSheetId="47">#REF!</definedName>
    <definedName name="aa" localSheetId="51">#REF!</definedName>
    <definedName name="aa" localSheetId="50">#REF!</definedName>
    <definedName name="aa" localSheetId="52">#REF!</definedName>
    <definedName name="aa">#REF!</definedName>
    <definedName name="asd1246dc" localSheetId="47" hidden="1">#REF!</definedName>
    <definedName name="asd1246dc" localSheetId="51" hidden="1">#REF!</definedName>
    <definedName name="asd1246dc" localSheetId="50" hidden="1">#REF!</definedName>
    <definedName name="asd1246dc" localSheetId="52" hidden="1">#REF!</definedName>
    <definedName name="asd1246dc" hidden="1">#REF!</definedName>
    <definedName name="A修正价格" localSheetId="47">#REF!</definedName>
    <definedName name="A修正价格" localSheetId="51">#REF!</definedName>
    <definedName name="A修正价格" localSheetId="50">#REF!</definedName>
    <definedName name="A修正价格" localSheetId="52">#REF!</definedName>
    <definedName name="A修正价格">#REF!</definedName>
    <definedName name="ba" localSheetId="47">[2]引用区域!#REF!</definedName>
    <definedName name="ba" localSheetId="51">[2]引用区域!#REF!</definedName>
    <definedName name="ba" localSheetId="50">[2]引用区域!#REF!</definedName>
    <definedName name="ba" localSheetId="52">[2]引用区域!#REF!</definedName>
    <definedName name="ba">[2]引用区域!#REF!</definedName>
    <definedName name="bbbb" localSheetId="47">[2]引用区域!#REF!</definedName>
    <definedName name="bbbb" localSheetId="51">[2]引用区域!#REF!</definedName>
    <definedName name="bbbb" localSheetId="50">[2]引用区域!#REF!</definedName>
    <definedName name="bbbb" localSheetId="52">[2]引用区域!#REF!</definedName>
    <definedName name="bbbb">[2]引用区域!#REF!</definedName>
    <definedName name="bianhao" localSheetId="47">[2]引用区域!#REF!</definedName>
    <definedName name="bianhao" localSheetId="51">[2]引用区域!#REF!</definedName>
    <definedName name="bianhao" localSheetId="50">[2]引用区域!#REF!</definedName>
    <definedName name="bianhao" localSheetId="52">[2]引用区域!#REF!</definedName>
    <definedName name="bianhao">[2]引用区域!#REF!</definedName>
    <definedName name="BorrowerName">[3]Collateral!$D$7</definedName>
    <definedName name="B修正价格" localSheetId="47">#REF!</definedName>
    <definedName name="B修正价格" localSheetId="51">#REF!</definedName>
    <definedName name="B修正价格" localSheetId="50">#REF!</definedName>
    <definedName name="B修正价格" localSheetId="52">#REF!</definedName>
    <definedName name="B修正价格">#REF!</definedName>
    <definedName name="CapRate" localSheetId="47">#REF!</definedName>
    <definedName name="CapRate" localSheetId="51">#REF!</definedName>
    <definedName name="CapRate" localSheetId="50">#REF!</definedName>
    <definedName name="CapRate" localSheetId="52">#REF!</definedName>
    <definedName name="CapRate">#REF!</definedName>
    <definedName name="cccc1123" localSheetId="47" hidden="1">#REF!</definedName>
    <definedName name="cccc1123" localSheetId="51" hidden="1">#REF!</definedName>
    <definedName name="cccc1123" localSheetId="50" hidden="1">#REF!</definedName>
    <definedName name="cccc1123" localSheetId="52" hidden="1">#REF!</definedName>
    <definedName name="cccc1123" hidden="1">#REF!</definedName>
    <definedName name="chaoxiang">[4]序列表!$M$2:$M$11</definedName>
    <definedName name="chengshudu" localSheetId="47">#REF!</definedName>
    <definedName name="chengshudu" localSheetId="51">#REF!</definedName>
    <definedName name="chengshudu" localSheetId="50">#REF!</definedName>
    <definedName name="chengshudu" localSheetId="52">#REF!</definedName>
    <definedName name="chengshudu">#REF!</definedName>
    <definedName name="City">[3]Collateral!$D$12</definedName>
    <definedName name="cnyDC" localSheetId="47" hidden="1">#REF!</definedName>
    <definedName name="cnyDC" localSheetId="51" hidden="1">#REF!</definedName>
    <definedName name="cnyDC" localSheetId="50" hidden="1">#REF!</definedName>
    <definedName name="cnyDC" localSheetId="52" hidden="1">#REF!</definedName>
    <definedName name="cnyDC" hidden="1">#REF!</definedName>
    <definedName name="Code" localSheetId="47" hidden="1">#REF!</definedName>
    <definedName name="Code" localSheetId="51" hidden="1">#REF!</definedName>
    <definedName name="Code" localSheetId="50" hidden="1">#REF!</definedName>
    <definedName name="Code" localSheetId="52" hidden="1">#REF!</definedName>
    <definedName name="Code" hidden="1">#REF!</definedName>
    <definedName name="cphao">[5]基础资料!$F$2</definedName>
    <definedName name="CRYDS" localSheetId="47" hidden="1">#REF!</definedName>
    <definedName name="CRYDS" localSheetId="51" hidden="1">#REF!</definedName>
    <definedName name="CRYDS" localSheetId="50" hidden="1">#REF!</definedName>
    <definedName name="CRYDS" localSheetId="52" hidden="1">#REF!</definedName>
    <definedName name="CRYDS" hidden="1">#REF!</definedName>
    <definedName name="CTUOP" localSheetId="47" hidden="1">#REF!</definedName>
    <definedName name="CTUOP" localSheetId="51" hidden="1">#REF!</definedName>
    <definedName name="CTUOP" localSheetId="50" hidden="1">#REF!</definedName>
    <definedName name="CTUOP" localSheetId="52" hidden="1">#REF!</definedName>
    <definedName name="CTUOP" hidden="1">#REF!</definedName>
    <definedName name="cyrn12" localSheetId="47" hidden="1">#REF!</definedName>
    <definedName name="cyrn12" localSheetId="51" hidden="1">#REF!</definedName>
    <definedName name="cyrn12" localSheetId="50" hidden="1">#REF!</definedName>
    <definedName name="cyrn12" localSheetId="52" hidden="1">#REF!</definedName>
    <definedName name="cyrn12" hidden="1">#REF!</definedName>
    <definedName name="C修正价格" localSheetId="47">#REF!</definedName>
    <definedName name="C修正价格" localSheetId="51">#REF!</definedName>
    <definedName name="C修正价格" localSheetId="50">#REF!</definedName>
    <definedName name="C修正价格" localSheetId="52">#REF!</definedName>
    <definedName name="C修正价格">#REF!</definedName>
    <definedName name="Data___Borrower" localSheetId="47">#REF!</definedName>
    <definedName name="Data___Borrower" localSheetId="51">#REF!</definedName>
    <definedName name="Data___Borrower" localSheetId="50">#REF!</definedName>
    <definedName name="Data___Borrower" localSheetId="52">#REF!</definedName>
    <definedName name="Data___Borrower">#REF!</definedName>
    <definedName name="Data___Coll_Info" localSheetId="47">#REF!</definedName>
    <definedName name="Data___Coll_Info" localSheetId="51">#REF!</definedName>
    <definedName name="Data___Coll_Info" localSheetId="50">#REF!</definedName>
    <definedName name="Data___Coll_Info" localSheetId="52">#REF!</definedName>
    <definedName name="Data___Coll_Info">#REF!</definedName>
    <definedName name="Data___Coll_Scenario" localSheetId="47">#REF!</definedName>
    <definedName name="Data___Coll_Scenario" localSheetId="51">#REF!</definedName>
    <definedName name="Data___Coll_Scenario" localSheetId="50">#REF!</definedName>
    <definedName name="Data___Coll_Scenario" localSheetId="52">#REF!</definedName>
    <definedName name="Data___Coll_Scenario">#REF!</definedName>
    <definedName name="Data___Loan" localSheetId="47">#REF!</definedName>
    <definedName name="Data___Loan" localSheetId="51">#REF!</definedName>
    <definedName name="Data___Loan" localSheetId="50">#REF!</definedName>
    <definedName name="Data___Loan" localSheetId="52">#REF!</definedName>
    <definedName name="Data___Loan">#REF!</definedName>
    <definedName name="data1" localSheetId="47" hidden="1">#REF!</definedName>
    <definedName name="data1" localSheetId="51" hidden="1">#REF!</definedName>
    <definedName name="data1" localSheetId="50" hidden="1">#REF!</definedName>
    <definedName name="data1" localSheetId="52" hidden="1">#REF!</definedName>
    <definedName name="data1" hidden="1">#REF!</definedName>
    <definedName name="data2" localSheetId="47" hidden="1">#REF!</definedName>
    <definedName name="data2" localSheetId="51" hidden="1">#REF!</definedName>
    <definedName name="data2" localSheetId="50" hidden="1">#REF!</definedName>
    <definedName name="data2" localSheetId="52" hidden="1">#REF!</definedName>
    <definedName name="data2" hidden="1">#REF!</definedName>
    <definedName name="data3" localSheetId="47" hidden="1">#REF!</definedName>
    <definedName name="data3" localSheetId="51" hidden="1">#REF!</definedName>
    <definedName name="data3" localSheetId="50" hidden="1">#REF!</definedName>
    <definedName name="data3" localSheetId="52" hidden="1">#REF!</definedName>
    <definedName name="data3" hidden="1">#REF!</definedName>
    <definedName name="date" localSheetId="47">#REF!</definedName>
    <definedName name="date" localSheetId="51">#REF!</definedName>
    <definedName name="date" localSheetId="50">#REF!</definedName>
    <definedName name="date" localSheetId="52">#REF!</definedName>
    <definedName name="date">#REF!</definedName>
    <definedName name="DCBTY" localSheetId="47" hidden="1">#REF!</definedName>
    <definedName name="DCBTY" localSheetId="51" hidden="1">#REF!</definedName>
    <definedName name="DCBTY" localSheetId="50" hidden="1">#REF!</definedName>
    <definedName name="DCBTY" localSheetId="52" hidden="1">#REF!</definedName>
    <definedName name="DCBTY" hidden="1">#REF!</definedName>
    <definedName name="dd">[6]序列表!$AS$2:$AS$5</definedName>
    <definedName name="dddd123" localSheetId="47" hidden="1">#REF!</definedName>
    <definedName name="dddd123" localSheetId="51" hidden="1">#REF!</definedName>
    <definedName name="dddd123" localSheetId="50" hidden="1">#REF!</definedName>
    <definedName name="dddd123" localSheetId="52" hidden="1">#REF!</definedName>
    <definedName name="dddd123" hidden="1">#REF!</definedName>
    <definedName name="dfsd" localSheetId="47">#REF!</definedName>
    <definedName name="dfsd" localSheetId="51">#REF!</definedName>
    <definedName name="dfsd" localSheetId="50">#REF!</definedName>
    <definedName name="dfsd" localSheetId="52">#REF!</definedName>
    <definedName name="dfsd">#REF!</definedName>
    <definedName name="dianti">[5]基础资料!$J$22</definedName>
    <definedName name="Discount" localSheetId="47" hidden="1">#REF!</definedName>
    <definedName name="Discount" localSheetId="51" hidden="1">#REF!</definedName>
    <definedName name="Discount" localSheetId="50" hidden="1">#REF!</definedName>
    <definedName name="Discount" localSheetId="52" hidden="1">#REF!</definedName>
    <definedName name="Discount" hidden="1">#REF!</definedName>
    <definedName name="DiscountRate" localSheetId="47">#REF!</definedName>
    <definedName name="DiscountRate" localSheetId="51">#REF!</definedName>
    <definedName name="DiscountRate" localSheetId="50">#REF!</definedName>
    <definedName name="DiscountRate" localSheetId="52">#REF!</definedName>
    <definedName name="DiscountRate">#REF!</definedName>
    <definedName name="display_area_2" localSheetId="47" hidden="1">#REF!</definedName>
    <definedName name="display_area_2" localSheetId="51" hidden="1">#REF!</definedName>
    <definedName name="display_area_2" localSheetId="50" hidden="1">#REF!</definedName>
    <definedName name="display_area_2" localSheetId="52" hidden="1">#REF!</definedName>
    <definedName name="display_area_2" hidden="1">#REF!</definedName>
    <definedName name="ee">[2]引用区域!$F$2:$F$24</definedName>
    <definedName name="eri">[7]序列表!$K$2:$K$8</definedName>
    <definedName name="EstCollateralValue" localSheetId="47">[8]评估结论!#REF!</definedName>
    <definedName name="EstCollateralValue" localSheetId="51">[8]评估结论!#REF!</definedName>
    <definedName name="EstCollateralValue" localSheetId="50">[8]评估结论!#REF!</definedName>
    <definedName name="EstCollateralValue" localSheetId="52">[8]评估结论!#REF!</definedName>
    <definedName name="EstCollateralValue">[8]评估结论!#REF!</definedName>
    <definedName name="eve">[9]XL4Poppy!$C$39</definedName>
    <definedName name="fangfa">[2]引用区域!$J$2:$J$25</definedName>
    <definedName name="fangfa2">[10]基本情况!$D$12</definedName>
    <definedName name="FAR">[3]Collateral!$D$39</definedName>
    <definedName name="FCode" localSheetId="47" hidden="1">#REF!</definedName>
    <definedName name="FCode" localSheetId="51" hidden="1">#REF!</definedName>
    <definedName name="FCode" localSheetId="50" hidden="1">#REF!</definedName>
    <definedName name="FCode" localSheetId="52" hidden="1">#REF!</definedName>
    <definedName name="FCode" hidden="1">#REF!</definedName>
    <definedName name="ff" localSheetId="47">#REF!</definedName>
    <definedName name="ff" localSheetId="51">#REF!</definedName>
    <definedName name="ff" localSheetId="50">#REF!</definedName>
    <definedName name="ff" localSheetId="52">#REF!</definedName>
    <definedName name="ff">#REF!</definedName>
    <definedName name="fffff123" localSheetId="47" hidden="1">#REF!</definedName>
    <definedName name="fffff123" localSheetId="51" hidden="1">#REF!</definedName>
    <definedName name="fffff123" localSheetId="50" hidden="1">#REF!</definedName>
    <definedName name="fffff123" localSheetId="52" hidden="1">#REF!</definedName>
    <definedName name="fffff123" hidden="1">#REF!</definedName>
    <definedName name="fvru879" localSheetId="47" hidden="1">#REF!</definedName>
    <definedName name="fvru879" localSheetId="51" hidden="1">#REF!</definedName>
    <definedName name="fvru879" localSheetId="50" hidden="1">#REF!</definedName>
    <definedName name="fvru879" localSheetId="52" hidden="1">#REF!</definedName>
    <definedName name="fvru879" hidden="1">#REF!</definedName>
    <definedName name="GrossAreasqm" localSheetId="47">#REF!</definedName>
    <definedName name="GrossAreasqm" localSheetId="51">#REF!</definedName>
    <definedName name="GrossAreasqm" localSheetId="50">#REF!</definedName>
    <definedName name="GrossAreasqm" localSheetId="52">#REF!</definedName>
    <definedName name="GrossAreasqm">#REF!</definedName>
    <definedName name="GSEstAnnlNOI" localSheetId="47">#REF!</definedName>
    <definedName name="GSEstAnnlNOI" localSheetId="51">#REF!</definedName>
    <definedName name="GSEstAnnlNOI" localSheetId="50">#REF!</definedName>
    <definedName name="GSEstAnnlNOI" localSheetId="52">#REF!</definedName>
    <definedName name="GSEstAnnlNOI">#REF!</definedName>
    <definedName name="haoma" localSheetId="47">[11]引用区域!#REF!</definedName>
    <definedName name="haoma" localSheetId="51">[11]引用区域!#REF!</definedName>
    <definedName name="haoma" localSheetId="50">[11]引用区域!#REF!</definedName>
    <definedName name="haoma" localSheetId="52">[11]引用区域!#REF!</definedName>
    <definedName name="haoma">[11]引用区域!#REF!</definedName>
    <definedName name="hbui129" localSheetId="47" hidden="1">#REF!</definedName>
    <definedName name="hbui129" localSheetId="51" hidden="1">#REF!</definedName>
    <definedName name="hbui129" localSheetId="50" hidden="1">#REF!</definedName>
    <definedName name="hbui129" localSheetId="52" hidden="1">#REF!</definedName>
    <definedName name="hbui129" hidden="1">#REF!</definedName>
    <definedName name="hhhh" localSheetId="47">[12]引用区域!#REF!</definedName>
    <definedName name="hhhh" localSheetId="51">[12]引用区域!#REF!</definedName>
    <definedName name="hhhh" localSheetId="50">[12]引用区域!#REF!</definedName>
    <definedName name="hhhh" localSheetId="52">[12]引用区域!#REF!</definedName>
    <definedName name="hhhh">[12]引用区域!#REF!</definedName>
    <definedName name="HiddenRows" localSheetId="47" hidden="1">#REF!</definedName>
    <definedName name="HiddenRows" localSheetId="51" hidden="1">#REF!</definedName>
    <definedName name="HiddenRows" localSheetId="50" hidden="1">#REF!</definedName>
    <definedName name="HiddenRows" localSheetId="52" hidden="1">#REF!</definedName>
    <definedName name="HiddenRows" hidden="1">#REF!</definedName>
    <definedName name="huayuan" localSheetId="47" hidden="1">#REF!</definedName>
    <definedName name="huayuan" localSheetId="51" hidden="1">#REF!</definedName>
    <definedName name="huayuan" localSheetId="50" hidden="1">#REF!</definedName>
    <definedName name="huayuan" localSheetId="52" hidden="1">#REF!</definedName>
    <definedName name="huayuan" hidden="1">#REF!</definedName>
    <definedName name="HUIH" localSheetId="47" hidden="1">#REF!</definedName>
    <definedName name="HUIH" localSheetId="51" hidden="1">#REF!</definedName>
    <definedName name="HUIH" localSheetId="50" hidden="1">#REF!</definedName>
    <definedName name="HUIH" localSheetId="52" hidden="1">#REF!</definedName>
    <definedName name="HUIH" hidden="1">#REF!</definedName>
    <definedName name="idlds" localSheetId="47">#REF!</definedName>
    <definedName name="idlds" localSheetId="51">#REF!</definedName>
    <definedName name="idlds" localSheetId="50">#REF!</definedName>
    <definedName name="idlds" localSheetId="52">#REF!</definedName>
    <definedName name="idlds">#REF!</definedName>
    <definedName name="jghj" localSheetId="47">#REF!</definedName>
    <definedName name="jghj" localSheetId="51">#REF!</definedName>
    <definedName name="jghj" localSheetId="50">#REF!</definedName>
    <definedName name="jghj" localSheetId="52">#REF!</definedName>
    <definedName name="jghj">#REF!</definedName>
    <definedName name="jiak">[2]引用区域!$F$2:$F$24</definedName>
    <definedName name="jiangou">[5]基础资料!$F$22</definedName>
    <definedName name="jianmian">[5]基础资料!$F$27</definedName>
    <definedName name="jiaotong">[5]基础资料!$J$34</definedName>
    <definedName name="jichusheshi" localSheetId="47">#REF!</definedName>
    <definedName name="jichusheshi" localSheetId="51">#REF!</definedName>
    <definedName name="jichusheshi" localSheetId="50">#REF!</definedName>
    <definedName name="jichusheshi" localSheetId="52">#REF!</definedName>
    <definedName name="jichusheshi">#REF!</definedName>
    <definedName name="jingguan">[5]基础资料!$H$31</definedName>
    <definedName name="jj">[12]引用区域!$I$2:$I$24</definedName>
    <definedName name="jjgs">[13]引用区域!$T$2:$T$64</definedName>
    <definedName name="kkk" localSheetId="47">#REF!</definedName>
    <definedName name="kkk" localSheetId="51">#REF!</definedName>
    <definedName name="kkk" localSheetId="50">#REF!</definedName>
    <definedName name="kkk" localSheetId="52">#REF!</definedName>
    <definedName name="kkk">#REF!</definedName>
    <definedName name="kkkk">[14]引用区域!$T$2:$T$64</definedName>
    <definedName name="KPMG_2" localSheetId="47">#REF!</definedName>
    <definedName name="KPMG_2" localSheetId="51">#REF!</definedName>
    <definedName name="KPMG_2" localSheetId="50">#REF!</definedName>
    <definedName name="KPMG_2" localSheetId="52">#REF!</definedName>
    <definedName name="KPMG_2">#REF!</definedName>
    <definedName name="landareasqm" localSheetId="47">#REF!</definedName>
    <definedName name="landareasqm" localSheetId="51">#REF!</definedName>
    <definedName name="landareasqm" localSheetId="50">#REF!</definedName>
    <definedName name="landareasqm" localSheetId="52">#REF!</definedName>
    <definedName name="landareasqm">#REF!</definedName>
    <definedName name="LandOwner">[3]Collateral!$D$47</definedName>
    <definedName name="louceng">[5]基础资料!$F$20</definedName>
    <definedName name="louling">[5]基础资料!$J$20</definedName>
    <definedName name="Months" localSheetId="47">#REF!</definedName>
    <definedName name="Months" localSheetId="51">#REF!</definedName>
    <definedName name="Months" localSheetId="50">#REF!</definedName>
    <definedName name="Months" localSheetId="52">#REF!</definedName>
    <definedName name="Months">#REF!</definedName>
    <definedName name="Months1">'[15]Repayment Summary'!$AD$214:$AE$225</definedName>
    <definedName name="oo" localSheetId="47">[2]引用区域!#REF!</definedName>
    <definedName name="oo" localSheetId="51">[2]引用区域!#REF!</definedName>
    <definedName name="oo" localSheetId="50">[2]引用区域!#REF!</definedName>
    <definedName name="oo" localSheetId="52">[2]引用区域!#REF!</definedName>
    <definedName name="oo">[2]引用区域!#REF!</definedName>
    <definedName name="OrderTable" localSheetId="47" hidden="1">#REF!</definedName>
    <definedName name="OrderTable" localSheetId="51" hidden="1">#REF!</definedName>
    <definedName name="OrderTable" localSheetId="50" hidden="1">#REF!</definedName>
    <definedName name="OrderTable" localSheetId="52" hidden="1">#REF!</definedName>
    <definedName name="OrderTable" hidden="1">#REF!</definedName>
    <definedName name="panduan" localSheetId="47">#REF!</definedName>
    <definedName name="panduan" localSheetId="51">#REF!</definedName>
    <definedName name="panduan" localSheetId="50">#REF!</definedName>
    <definedName name="panduan" localSheetId="52">#REF!</definedName>
    <definedName name="panduan">#REF!</definedName>
    <definedName name="peitao">[5]基础资料!$H$34</definedName>
    <definedName name="pgy">[5]基础资料!$J$2</definedName>
    <definedName name="pingmian">[5]基础资料!$F$24</definedName>
    <definedName name="PlotRatio">[3]Collateral!$D$40</definedName>
    <definedName name="Pool">[3]Collateral!$M$6</definedName>
    <definedName name="Portfolio">[3]Collateral!$M$5</definedName>
    <definedName name="PPPP">[16]基础资料!$F$24</definedName>
    <definedName name="Prefecture">[3]Collateral!$D$11</definedName>
    <definedName name="_xlnm.Print_Area" localSheetId="22">'比较法-工业'!$A$1:$K$63,'比较法-工业'!$A$66:$N$123</definedName>
    <definedName name="_xlnm.Print_Area" localSheetId="18">'比较法-住宅、综合'!$A$1:$K$67,'比较法-住宅、综合'!$A$71:$N$134</definedName>
    <definedName name="_xlnm.Print_Area" localSheetId="66">'不动产比较法-办公'!$A$1:$K$55,'不动产比较法-办公'!$A$58:$M$132</definedName>
    <definedName name="_xlnm.Print_Area" localSheetId="69">'不动产比较法-仓储'!$A$1:$K$42,'不动产比较法-仓储'!$A$45:$M$96</definedName>
    <definedName name="_xlnm.Print_Area" localSheetId="68">'不动产比较法-车位'!$A$1:$K$44,'不动产比较法-车位'!$A$47:$M$102</definedName>
    <definedName name="_xlnm.Print_Area" localSheetId="67">'不动产比较法-工业'!$A$1:$K$48,'不动产比较法-工业'!$A$51:$M$113</definedName>
    <definedName name="_xlnm.Print_Area" localSheetId="49">'不动产比较法-商业售价'!$A$1:$K$54,'不动产比较法-商业售价'!$A$57:$M$131</definedName>
    <definedName name="_xlnm.Print_Area" localSheetId="48">'不动产比较法-商业租金'!$A$1:$K$54,'不动产比较法-商业租金'!$A$57:$M$131</definedName>
    <definedName name="_xlnm.Print_Area" localSheetId="40">'不动产比较法-住宅'!$A$1:$K$54,'不动产比较法-住宅'!$A$57:$M$131</definedName>
    <definedName name="_xlnm.Print_Area" localSheetId="47">'不动产收益法-持加转'!$A$1:$F$47</definedName>
    <definedName name="_xlnm.Print_Area" localSheetId="51">'不动产收益法-持加转--办公'!$A$1:$F$47</definedName>
    <definedName name="_xlnm.Print_Area" localSheetId="50">'不动产收益法-持加转--商业'!$A$1:$F$47</definedName>
    <definedName name="_xlnm.Print_Area" localSheetId="55">'不动产收益法--工业'!$A$1:$F$43,'不动产收益法--工业'!$H$3:$M$29,'不动产收益法--工业'!$A$46:$F$70,'不动产收益法--工业'!$I$46:$M$60</definedName>
    <definedName name="_xlnm.Print_Area" localSheetId="45">'不动产收益法--公共服务设施'!$A$1:$F$43,'不动产收益法--公共服务设施'!$H$3:$M$29,'不动产收益法--公共服务设施'!$A$46:$F$70,'不动产收益法--公共服务设施'!$I$46:$M$60</definedName>
    <definedName name="_xlnm.Print_Area" localSheetId="44">'不动产收益法--基础经营'!$A$1:$F$43,'不动产收益法--基础经营'!$H$3:$M$29,'不动产收益法--基础经营'!$A$46:$F$70,'不动产收益法--基础经营'!$I$46:$M$60</definedName>
    <definedName name="_xlnm.Print_Area" localSheetId="52">'不动产收益法--商业'!$A$1:$F$47</definedName>
    <definedName name="_xlnm.Print_Area" localSheetId="41">'不动产收益法--住宅自持'!$A$1:$F$43,'不动产收益法--住宅自持'!$H$3:$M$29,'不动产收益法--住宅自持'!$A$46:$F$70,'不动产收益法--住宅自持'!$I$46:$M$60</definedName>
    <definedName name="_xlnm.Print_Area" localSheetId="56">成本逼近法!$A$1:$G$23</definedName>
    <definedName name="_xlnm.Print_Area" localSheetId="61">'成本逼近法--工业'!$A$1:$G$23</definedName>
    <definedName name="_xlnm.Print_Area" localSheetId="60">'成本逼近法--商业'!$A$1:$G$23</definedName>
    <definedName name="_xlnm.Print_Area" localSheetId="59">'成本逼近法--住宅'!$A$1:$G$23</definedName>
    <definedName name="_xlnm.Print_Area" localSheetId="58">'成本逼近法--总'!$A$1:$G$23</definedName>
    <definedName name="_xlnm.Print_Area" localSheetId="15">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7">结果表!$A$1:$I$46,结果表!$K$25:$O$44,结果表!$A$62:$I$115,结果表!$K$64:$P$81</definedName>
    <definedName name="_xlnm.Print_Area" localSheetId="54">'剩余法-待开发-工业'!$A$1:$K$36</definedName>
    <definedName name="_xlnm.Print_Area" localSheetId="38">'剩余法-待开发-共有产'!$A$1:$K$36</definedName>
    <definedName name="_xlnm.Print_Area" localSheetId="43">'剩余法-待开发-商业'!$A$1:$K$36</definedName>
    <definedName name="_xlnm.Print_Area" localSheetId="36">'剩余法-待开发-住宅'!$A$1:$K$36</definedName>
    <definedName name="_xlnm.Print_Area" localSheetId="37">'剩余法-待开发-住宅可售'!$A$1:$K$36</definedName>
    <definedName name="_xlnm.Print_Area" localSheetId="32">'剩余法-待开发-住宅自持'!$A$1:$K$36</definedName>
    <definedName name="_xlnm.Print_Area" localSheetId="39">'剩余法-待开发-住宅租赁'!$A$1:$K$36</definedName>
    <definedName name="_xlnm.Print_Area" localSheetId="21">'剩余法-现房'!$A$1:$K$27</definedName>
    <definedName name="_xlnm.Print_Area" localSheetId="30">收益还原法!$A$1:$F$46,收益还原法!$H$3:$M$31,收益还原法!$I$47:$M$61</definedName>
    <definedName name="_xlnm.Print_Area" localSheetId="13">'数据-汇总表'!$A$1:$P$32</definedName>
    <definedName name="_xlnm.Print_Area" localSheetId="16">系统读取表!$A$1:$J$26</definedName>
    <definedName name="_xlnm.Print_Area" localSheetId="9">项目基本情况!$A$1:$J$44</definedName>
    <definedName name="_xlnm.Print_Area">#REF!</definedName>
    <definedName name="Print_Area_MI" localSheetId="47">#REF!</definedName>
    <definedName name="Print_Area_MI" localSheetId="51">#REF!</definedName>
    <definedName name="Print_Area_MI" localSheetId="50">#REF!</definedName>
    <definedName name="Print_Area_MI" localSheetId="52">#REF!</definedName>
    <definedName name="Print_Area_MI">#REF!</definedName>
    <definedName name="ProdForm" localSheetId="47" hidden="1">#REF!</definedName>
    <definedName name="ProdForm" localSheetId="51" hidden="1">#REF!</definedName>
    <definedName name="ProdForm" localSheetId="50" hidden="1">#REF!</definedName>
    <definedName name="ProdForm" localSheetId="52" hidden="1">#REF!</definedName>
    <definedName name="ProdForm" hidden="1">#REF!</definedName>
    <definedName name="Product" localSheetId="47" hidden="1">#REF!</definedName>
    <definedName name="Product" localSheetId="51" hidden="1">#REF!</definedName>
    <definedName name="Product" localSheetId="50" hidden="1">#REF!</definedName>
    <definedName name="Product" localSheetId="52" hidden="1">#REF!</definedName>
    <definedName name="Product" hidden="1">#REF!</definedName>
    <definedName name="PropertyType">[3]Collateral!$D$10</definedName>
    <definedName name="ProposedBid" localSheetId="47">#REF!</definedName>
    <definedName name="ProposedBid" localSheetId="51">#REF!</definedName>
    <definedName name="ProposedBid" localSheetId="50">#REF!</definedName>
    <definedName name="ProposedBid" localSheetId="52">#REF!</definedName>
    <definedName name="ProposedBid">#REF!</definedName>
    <definedName name="quanli">[5]基础资料!$J$17</definedName>
    <definedName name="quyu">[2]引用区域!$H$2:$H$24</definedName>
    <definedName name="qwiu12" localSheetId="47" hidden="1">#REF!</definedName>
    <definedName name="qwiu12" localSheetId="51" hidden="1">#REF!</definedName>
    <definedName name="qwiu12" localSheetId="50" hidden="1">#REF!</definedName>
    <definedName name="qwiu12" localSheetId="52" hidden="1">#REF!</definedName>
    <definedName name="qwiu12" hidden="1">#REF!</definedName>
    <definedName name="RCArea" localSheetId="47" hidden="1">#REF!</definedName>
    <definedName name="RCArea" localSheetId="51" hidden="1">#REF!</definedName>
    <definedName name="RCArea" localSheetId="50" hidden="1">#REF!</definedName>
    <definedName name="RCArea" localSheetId="52" hidden="1">#REF!</definedName>
    <definedName name="RCArea" hidden="1">#REF!</definedName>
    <definedName name="result" localSheetId="47">#REF!</definedName>
    <definedName name="result" localSheetId="51">#REF!</definedName>
    <definedName name="result" localSheetId="50">#REF!</definedName>
    <definedName name="result" localSheetId="52">#REF!</definedName>
    <definedName name="result">#REF!</definedName>
    <definedName name="rownum" localSheetId="47">#REF!</definedName>
    <definedName name="rownum" localSheetId="51">#REF!</definedName>
    <definedName name="rownum" localSheetId="50">#REF!</definedName>
    <definedName name="rownum" localSheetId="52">#REF!</definedName>
    <definedName name="rownum">#REF!</definedName>
    <definedName name="sam" localSheetId="47">#REF!</definedName>
    <definedName name="sam" localSheetId="51">#REF!</definedName>
    <definedName name="sam" localSheetId="50">#REF!</definedName>
    <definedName name="sam" localSheetId="52">#REF!</definedName>
    <definedName name="sam">#REF!</definedName>
    <definedName name="sdad">[3]Collateral!$D$47</definedName>
    <definedName name="shi">[2]引用区域!$I$2:$I$24</definedName>
    <definedName name="sjhfs" localSheetId="47">#REF!</definedName>
    <definedName name="sjhfs" localSheetId="51">#REF!</definedName>
    <definedName name="sjhfs" localSheetId="50">#REF!</definedName>
    <definedName name="sjhfs" localSheetId="52">#REF!</definedName>
    <definedName name="sjhfs">#REF!</definedName>
    <definedName name="source" localSheetId="47">#REF!</definedName>
    <definedName name="source" localSheetId="51">#REF!</definedName>
    <definedName name="source" localSheetId="50">#REF!</definedName>
    <definedName name="source" localSheetId="52">#REF!</definedName>
    <definedName name="source">#REF!</definedName>
    <definedName name="SpecialPrice" localSheetId="47" hidden="1">#REF!</definedName>
    <definedName name="SpecialPrice" localSheetId="51" hidden="1">#REF!</definedName>
    <definedName name="SpecialPrice" localSheetId="50" hidden="1">#REF!</definedName>
    <definedName name="SpecialPrice" localSheetId="52" hidden="1">#REF!</definedName>
    <definedName name="SpecialPrice" hidden="1">#REF!</definedName>
    <definedName name="ssss">[17]配置!$DU$1:$DU$12</definedName>
    <definedName name="ssss123" localSheetId="47" hidden="1">#REF!</definedName>
    <definedName name="ssss123" localSheetId="51" hidden="1">#REF!</definedName>
    <definedName name="ssss123" localSheetId="50" hidden="1">#REF!</definedName>
    <definedName name="ssss123" localSheetId="52" hidden="1">#REF!</definedName>
    <definedName name="ssss123" hidden="1">#REF!</definedName>
    <definedName name="T_Borr" localSheetId="47">#REF!</definedName>
    <definedName name="T_Borr" localSheetId="51">#REF!</definedName>
    <definedName name="T_Borr" localSheetId="50">#REF!</definedName>
    <definedName name="T_Borr" localSheetId="52">#REF!</definedName>
    <definedName name="T_Borr">#REF!</definedName>
    <definedName name="T_Pay" localSheetId="47">#REF!</definedName>
    <definedName name="T_Pay" localSheetId="51">#REF!</definedName>
    <definedName name="T_Pay" localSheetId="50">#REF!</definedName>
    <definedName name="T_Pay" localSheetId="52">#REF!</definedName>
    <definedName name="T_Pay">#REF!</definedName>
    <definedName name="tbl_ProdInfo" localSheetId="47" hidden="1">#REF!</definedName>
    <definedName name="tbl_ProdInfo" localSheetId="51" hidden="1">#REF!</definedName>
    <definedName name="tbl_ProdInfo" localSheetId="50" hidden="1">#REF!</definedName>
    <definedName name="tbl_ProdInfo" localSheetId="52" hidden="1">#REF!</definedName>
    <definedName name="tbl_ProdInfo" hidden="1">#REF!</definedName>
    <definedName name="thd" localSheetId="47">#REF!</definedName>
    <definedName name="thd" localSheetId="51">#REF!</definedName>
    <definedName name="thd" localSheetId="50">#REF!</definedName>
    <definedName name="thd" localSheetId="52">#REF!</definedName>
    <definedName name="thd">#REF!</definedName>
    <definedName name="tingche">[5]基础资料!$J$24</definedName>
    <definedName name="Total_Debt" localSheetId="47">#REF!+#REF!</definedName>
    <definedName name="Total_Debt" localSheetId="51">#REF!+#REF!</definedName>
    <definedName name="Total_Debt" localSheetId="50">#REF!+#REF!</definedName>
    <definedName name="Total_Debt" localSheetId="52">#REF!+#REF!</definedName>
    <definedName name="Total_Debt">#REF!+#REF!</definedName>
    <definedName name="tudigujiashi">[18]序列!$B$1:$B$11</definedName>
    <definedName name="tudijibie">[19]引用区域!$M$2:$M$11</definedName>
    <definedName name="UFPrn20011207095544" localSheetId="47">#REF!</definedName>
    <definedName name="UFPrn20011207095544" localSheetId="51">#REF!</definedName>
    <definedName name="UFPrn20011207095544" localSheetId="50">#REF!</definedName>
    <definedName name="UFPrn20011207095544" localSheetId="52">#REF!</definedName>
    <definedName name="UFPrn20011207095544">#REF!</definedName>
    <definedName name="UFPrn20011207095731" localSheetId="47">#REF!</definedName>
    <definedName name="UFPrn20011207095731" localSheetId="51">#REF!</definedName>
    <definedName name="UFPrn20011207095731" localSheetId="50">#REF!</definedName>
    <definedName name="UFPrn20011207095731" localSheetId="52">#REF!</definedName>
    <definedName name="UFPrn20011207095731">#REF!</definedName>
    <definedName name="UFPrn20070616164028" localSheetId="47">#REF!</definedName>
    <definedName name="UFPrn20070616164028" localSheetId="51">#REF!</definedName>
    <definedName name="UFPrn20070616164028" localSheetId="50">#REF!</definedName>
    <definedName name="UFPrn20070616164028" localSheetId="52">#REF!</definedName>
    <definedName name="UFPrn20070616164028">#REF!</definedName>
    <definedName name="UFPrn20070629101906" localSheetId="47">#REF!</definedName>
    <definedName name="UFPrn20070629101906" localSheetId="51">#REF!</definedName>
    <definedName name="UFPrn20070629101906" localSheetId="50">#REF!</definedName>
    <definedName name="UFPrn20070629101906" localSheetId="52">#REF!</definedName>
    <definedName name="UFPrn20070629101906">#REF!</definedName>
    <definedName name="Underwriter">[3]Collateral!$M$9</definedName>
    <definedName name="VWYJ" localSheetId="47" hidden="1">#REF!</definedName>
    <definedName name="VWYJ" localSheetId="51" hidden="1">#REF!</definedName>
    <definedName name="VWYJ" localSheetId="50" hidden="1">#REF!</definedName>
    <definedName name="VWYJ" localSheetId="52" hidden="1">#REF!</definedName>
    <definedName name="VWYJ" hidden="1">#REF!</definedName>
    <definedName name="w">[17]配置!$U$2:$U$11</definedName>
    <definedName name="Ward">[3]Collateral!$D$13</definedName>
    <definedName name="werr">[2]引用区域!$F$2:$F$24</definedName>
    <definedName name="Work_Program_By_Area_List" localSheetId="47">#REF!</definedName>
    <definedName name="Work_Program_By_Area_List" localSheetId="51">#REF!</definedName>
    <definedName name="Work_Program_By_Area_List" localSheetId="50">#REF!</definedName>
    <definedName name="Work_Program_By_Area_List" localSheetId="52">#REF!</definedName>
    <definedName name="Work_Program_By_Area_List">#REF!</definedName>
    <definedName name="wu">[20]Collateral!$M$6</definedName>
    <definedName name="xiangmulaiyuan" localSheetId="47">#REF!</definedName>
    <definedName name="xiangmulaiyuan" localSheetId="51">#REF!</definedName>
    <definedName name="xiangmulaiyuan" localSheetId="50">#REF!</definedName>
    <definedName name="xiangmulaiyuan" localSheetId="52">#REF!</definedName>
    <definedName name="xiangmulaiyuan">#REF!</definedName>
    <definedName name="xingming">[2]引用区域!$A$2:$A$24</definedName>
    <definedName name="yinhang">[2]引用区域!$I$2:$I$24</definedName>
    <definedName name="yongtu">[2]引用区域!$F$2:$F$24</definedName>
    <definedName name="yt">[21]引用区域!$F$2:$F$24</definedName>
    <definedName name="zaoyin">[5]基础资料!$J$29</definedName>
    <definedName name="zhuangxiu">[4]序列表!$K$2:$K$8</definedName>
    <definedName name="zhxiu">[5]基础资料!$F$31</definedName>
    <definedName name="zongceng">[5]基础资料!$H$20</definedName>
    <definedName name="啊发生的" localSheetId="47" hidden="1">#REF!</definedName>
    <definedName name="啊发生的" localSheetId="51" hidden="1">#REF!</definedName>
    <definedName name="啊发生的" localSheetId="50" hidden="1">#REF!</definedName>
    <definedName name="啊发生的" localSheetId="52" hidden="1">#REF!</definedName>
    <definedName name="啊发生的" hidden="1">#REF!</definedName>
    <definedName name="啊刷副本" localSheetId="47">[8]评估结论!#REF!</definedName>
    <definedName name="啊刷副本" localSheetId="51">[8]评估结论!#REF!</definedName>
    <definedName name="啊刷副本" localSheetId="50">[8]评估结论!#REF!</definedName>
    <definedName name="啊刷副本" localSheetId="52">[8]评估结论!#REF!</definedName>
    <definedName name="啊刷副本">[8]评估结论!#REF!</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保险费" localSheetId="47">#REF!</definedName>
    <definedName name="保险费" localSheetId="51">#REF!</definedName>
    <definedName name="保险费" localSheetId="50">#REF!</definedName>
    <definedName name="保险费" localSheetId="52">#REF!</definedName>
    <definedName name="保险费">#REF!</definedName>
    <definedName name="保险费率" localSheetId="47">#REF!</definedName>
    <definedName name="保险费率" localSheetId="51">#REF!</definedName>
    <definedName name="保险费率" localSheetId="50">#REF!</definedName>
    <definedName name="保险费率" localSheetId="52">#REF!</definedName>
    <definedName name="保险费率">#REF!</definedName>
    <definedName name="被除数" localSheetId="47">#REF!</definedName>
    <definedName name="被除数" localSheetId="51">#REF!</definedName>
    <definedName name="被除数" localSheetId="50">#REF!</definedName>
    <definedName name="被除数" localSheetId="52">#REF!</definedName>
    <definedName name="被除数">#REF!</definedName>
    <definedName name="比较法公式A" localSheetId="47">#REF!</definedName>
    <definedName name="比较法公式A" localSheetId="51">#REF!</definedName>
    <definedName name="比较法公式A" localSheetId="50">#REF!</definedName>
    <definedName name="比较法公式A" localSheetId="52">#REF!</definedName>
    <definedName name="比较法公式A">#REF!</definedName>
    <definedName name="比较法公式B" localSheetId="47">#REF!</definedName>
    <definedName name="比较法公式B" localSheetId="51">#REF!</definedName>
    <definedName name="比较法公式B" localSheetId="50">#REF!</definedName>
    <definedName name="比较法公式B" localSheetId="52">#REF!</definedName>
    <definedName name="比较法公式B">#REF!</definedName>
    <definedName name="比较法公式C" localSheetId="47">#REF!</definedName>
    <definedName name="比较法公式C" localSheetId="51">#REF!</definedName>
    <definedName name="比较法公式C" localSheetId="50">#REF!</definedName>
    <definedName name="比较法公式C" localSheetId="52">#REF!</definedName>
    <definedName name="比较法公式C">#REF!</definedName>
    <definedName name="比较法楼面单价" localSheetId="47">#REF!</definedName>
    <definedName name="比较法楼面单价" localSheetId="51">#REF!</definedName>
    <definedName name="比较法楼面单价" localSheetId="50">#REF!</definedName>
    <definedName name="比较法楼面单价" localSheetId="52">#REF!</definedName>
    <definedName name="比较法楼面单价">#REF!</definedName>
    <definedName name="比较法楼面地价" localSheetId="47">#REF!</definedName>
    <definedName name="比较法楼面地价" localSheetId="51">#REF!</definedName>
    <definedName name="比较法楼面地价" localSheetId="50">#REF!</definedName>
    <definedName name="比较法楼面地价" localSheetId="52">#REF!</definedName>
    <definedName name="比较法楼面地价">#REF!</definedName>
    <definedName name="比较法土地单价" localSheetId="47">#REF!</definedName>
    <definedName name="比较法土地单价" localSheetId="51">#REF!</definedName>
    <definedName name="比较法土地单价" localSheetId="50">#REF!</definedName>
    <definedName name="比较法土地单价" localSheetId="52">#REF!</definedName>
    <definedName name="比较法土地单价">#REF!</definedName>
    <definedName name="比较法总地价" localSheetId="47">#REF!</definedName>
    <definedName name="比较法总地价" localSheetId="51">#REF!</definedName>
    <definedName name="比较法总地价" localSheetId="50">#REF!</definedName>
    <definedName name="比较法总地价" localSheetId="52">#REF!</definedName>
    <definedName name="比较法总地价">#REF!</definedName>
    <definedName name="比较因素条件指数表" localSheetId="47">#REF!</definedName>
    <definedName name="比较因素条件指数表" localSheetId="51">#REF!</definedName>
    <definedName name="比较因素条件指数表" localSheetId="50">#REF!</definedName>
    <definedName name="比较因素条件指数表" localSheetId="52">#REF!</definedName>
    <definedName name="比较因素条件指数表">#REF!</definedName>
    <definedName name="不存在或者无法调查">[22]序列表!$I$2</definedName>
    <definedName name="不可" localSheetId="47">#REF!</definedName>
    <definedName name="不可" localSheetId="51">#REF!</definedName>
    <definedName name="不可" localSheetId="50">#REF!</definedName>
    <definedName name="不可" localSheetId="52">#REF!</definedName>
    <definedName name="不可">#REF!</definedName>
    <definedName name="不可预见费" localSheetId="47">#REF!</definedName>
    <definedName name="不可预见费" localSheetId="51">#REF!</definedName>
    <definedName name="不可预见费" localSheetId="50">#REF!</definedName>
    <definedName name="不可预见费" localSheetId="52">#REF!</definedName>
    <definedName name="不可预见费">#REF!</definedName>
    <definedName name="不可预见费率" localSheetId="47">#REF!</definedName>
    <definedName name="不可预见费率" localSheetId="51">#REF!</definedName>
    <definedName name="不可预见费率" localSheetId="50">#REF!</definedName>
    <definedName name="不可预见费率" localSheetId="52">#REF!</definedName>
    <definedName name="不可预见费率">#REF!</definedName>
    <definedName name="财务费率" localSheetId="47">#REF!</definedName>
    <definedName name="财务费率" localSheetId="51">#REF!</definedName>
    <definedName name="财务费率" localSheetId="50">#REF!</definedName>
    <definedName name="财务费率" localSheetId="52">#REF!</definedName>
    <definedName name="财务费率">#REF!</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别">[23]参数维护!$I$2:$I$6</definedName>
    <definedName name="产权性质">[23]参数维护!$H$2:$H$6</definedName>
    <definedName name="产业集聚程度">定义!$N$1:$N$6</definedName>
    <definedName name="厂房面积">[24]基本情况!$D$17</definedName>
    <definedName name="厂房平均售价" localSheetId="47">#REF!</definedName>
    <definedName name="厂房平均售价" localSheetId="51">#REF!</definedName>
    <definedName name="厂房平均售价" localSheetId="50">#REF!</definedName>
    <definedName name="厂房平均售价" localSheetId="52">#REF!</definedName>
    <definedName name="厂房平均售价">#REF!</definedName>
    <definedName name="厂房租金" localSheetId="47">#REF!</definedName>
    <definedName name="厂房租金" localSheetId="51">#REF!</definedName>
    <definedName name="厂房租金" localSheetId="50">#REF!</definedName>
    <definedName name="厂房租金" localSheetId="52">#REF!</definedName>
    <definedName name="厂房租金">#REF!</definedName>
    <definedName name="朝向">'[25]参数维护 '!$V$1:$V$14</definedName>
    <definedName name="车库收益法" localSheetId="47">[2]引用区域!#REF!</definedName>
    <definedName name="车库收益法" localSheetId="51">[2]引用区域!#REF!</definedName>
    <definedName name="车库收益法" localSheetId="50">[2]引用区域!#REF!</definedName>
    <definedName name="车库收益法" localSheetId="52">[2]引用区域!#REF!</definedName>
    <definedName name="车库收益法">[2]引用区域!#REF!</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平均售价" localSheetId="47">#REF!</definedName>
    <definedName name="车位平均售价" localSheetId="51">#REF!</definedName>
    <definedName name="车位平均售价" localSheetId="50">#REF!</definedName>
    <definedName name="车位平均售价" localSheetId="52">#REF!</definedName>
    <definedName name="车位平均售价">#REF!</definedName>
    <definedName name="车位物业等级">'不动产比较法-车位'!$B$88:$M$88</definedName>
    <definedName name="车位用途">'不动产比较法-车位'!$B$53:$M$53</definedName>
    <definedName name="车位租金" localSheetId="47">#REF!</definedName>
    <definedName name="车位租金" localSheetId="51">#REF!</definedName>
    <definedName name="车位租金" localSheetId="50">#REF!</definedName>
    <definedName name="车位租金" localSheetId="52">#REF!</definedName>
    <definedName name="车位租金">#REF!</definedName>
    <definedName name="成.建筑物重置成本">[26]收益法!$E$284</definedName>
    <definedName name="成本法" localSheetId="47">#REF!</definedName>
    <definedName name="成本法" localSheetId="51">#REF!</definedName>
    <definedName name="成本法" localSheetId="50">#REF!</definedName>
    <definedName name="成本法" localSheetId="52">#REF!</definedName>
    <definedName name="成本法">#REF!</definedName>
    <definedName name="成本法2" localSheetId="47">#REF!</definedName>
    <definedName name="成本法2" localSheetId="51">#REF!</definedName>
    <definedName name="成本法2" localSheetId="50">#REF!</definedName>
    <definedName name="成本法2" localSheetId="52">#REF!</definedName>
    <definedName name="成本法2">#REF!</definedName>
    <definedName name="成本法利润" localSheetId="47">#REF!</definedName>
    <definedName name="成本法利润" localSheetId="51">#REF!</definedName>
    <definedName name="成本法利润" localSheetId="50">#REF!</definedName>
    <definedName name="成本法利润" localSheetId="52">#REF!</definedName>
    <definedName name="成本法利润">#REF!</definedName>
    <definedName name="成本法利润率" localSheetId="47">#REF!</definedName>
    <definedName name="成本法利润率" localSheetId="51">#REF!</definedName>
    <definedName name="成本法利润率" localSheetId="50">#REF!</definedName>
    <definedName name="成本法利润率" localSheetId="52">#REF!</definedName>
    <definedName name="成本法利润率">#REF!</definedName>
    <definedName name="成本法利息" localSheetId="47">#REF!</definedName>
    <definedName name="成本法利息" localSheetId="51">#REF!</definedName>
    <definedName name="成本法利息" localSheetId="50">#REF!</definedName>
    <definedName name="成本法利息" localSheetId="52">#REF!</definedName>
    <definedName name="成本法利息">#REF!</definedName>
    <definedName name="成本法楼面地价" localSheetId="47">#REF!</definedName>
    <definedName name="成本法楼面地价" localSheetId="51">#REF!</definedName>
    <definedName name="成本法楼面地价" localSheetId="50">#REF!</definedName>
    <definedName name="成本法楼面地价" localSheetId="52">#REF!</definedName>
    <definedName name="成本法楼面地价">#REF!</definedName>
    <definedName name="成本法税费" localSheetId="47">#REF!</definedName>
    <definedName name="成本法税费" localSheetId="51">#REF!</definedName>
    <definedName name="成本法税费" localSheetId="50">#REF!</definedName>
    <definedName name="成本法税费" localSheetId="52">#REF!</definedName>
    <definedName name="成本法税费">#REF!</definedName>
    <definedName name="成本法土地单价" localSheetId="47">#REF!</definedName>
    <definedName name="成本法土地单价" localSheetId="51">#REF!</definedName>
    <definedName name="成本法土地单价" localSheetId="50">#REF!</definedName>
    <definedName name="成本法土地单价" localSheetId="52">#REF!</definedName>
    <definedName name="成本法土地单价">#REF!</definedName>
    <definedName name="成本法总地价" localSheetId="47">#REF!</definedName>
    <definedName name="成本法总地价" localSheetId="51">#REF!</definedName>
    <definedName name="成本法总地价" localSheetId="50">#REF!</definedName>
    <definedName name="成本法总地价" localSheetId="52">#REF!</definedName>
    <definedName name="成本法总地价">#REF!</definedName>
    <definedName name="成本率" localSheetId="47">#REF!</definedName>
    <definedName name="成本率" localSheetId="51">#REF!</definedName>
    <definedName name="成本率" localSheetId="50">#REF!</definedName>
    <definedName name="成本率" localSheetId="52">#REF!</definedName>
    <definedName name="成本率">#REF!</definedName>
    <definedName name="成建法2" localSheetId="47">[27]评估结论!#REF!</definedName>
    <definedName name="成建法2" localSheetId="51">[27]评估结论!#REF!</definedName>
    <definedName name="成建法2" localSheetId="50">[27]评估结论!#REF!</definedName>
    <definedName name="成建法2" localSheetId="52">[27]评估结论!#REF!</definedName>
    <definedName name="成建法2">[27]评估结论!#REF!</definedName>
    <definedName name="城区">[23]参数维护!$E$3:$E$22</definedName>
    <definedName name="城市维护建设税率" localSheetId="47">#REF!</definedName>
    <definedName name="城市维护建设税率" localSheetId="51">#REF!</definedName>
    <definedName name="城市维护建设税率" localSheetId="50">#REF!</definedName>
    <definedName name="城市维护建设税率" localSheetId="52">#REF!</definedName>
    <definedName name="城市维护建设税率">#REF!</definedName>
    <definedName name="城镇土地纳税等级分级范围">'数据-取费表'!$A$53:$A$63</definedName>
    <definedName name="出租率" localSheetId="47">#REF!</definedName>
    <definedName name="出租率" localSheetId="51">#REF!</definedName>
    <definedName name="出租率" localSheetId="50">#REF!</definedName>
    <definedName name="出租率" localSheetId="52">#REF!</definedName>
    <definedName name="出租率">#REF!</definedName>
    <definedName name="出租种类">'[28]参数维护 '!$AM$1:$AM$8</definedName>
    <definedName name="初评" localSheetId="47" hidden="1">#REF!</definedName>
    <definedName name="初评" localSheetId="51" hidden="1">#REF!</definedName>
    <definedName name="初评" localSheetId="50" hidden="1">#REF!</definedName>
    <definedName name="初评" localSheetId="52" hidden="1">#REF!</definedName>
    <definedName name="初评" hidden="1">#REF!</definedName>
    <definedName name="除数" localSheetId="47">#REF!</definedName>
    <definedName name="除数" localSheetId="51">#REF!</definedName>
    <definedName name="除数" localSheetId="50">#REF!</definedName>
    <definedName name="除数" localSheetId="52">#REF!</definedName>
    <definedName name="除数">#REF!</definedName>
    <definedName name="大多数">#N/A</definedName>
    <definedName name="单价内涵">定义!$V$1:$V$3</definedName>
    <definedName name="地方" localSheetId="47" hidden="1">#REF!</definedName>
    <definedName name="地方" localSheetId="51" hidden="1">#REF!</definedName>
    <definedName name="地方" localSheetId="50" hidden="1">#REF!</definedName>
    <definedName name="地方" localSheetId="52" hidden="1">#REF!</definedName>
    <definedName name="地方" hidden="1">#REF!</definedName>
    <definedName name="地价" localSheetId="47">#REF!</definedName>
    <definedName name="地价" localSheetId="51">#REF!</definedName>
    <definedName name="地价" localSheetId="50">#REF!</definedName>
    <definedName name="地价" localSheetId="52">#REF!</definedName>
    <definedName name="地价">#REF!</definedName>
    <definedName name="地块二比较法" localSheetId="47" hidden="1">#REF!</definedName>
    <definedName name="地块二比较法" localSheetId="51" hidden="1">#REF!</definedName>
    <definedName name="地块二比较法" localSheetId="50" hidden="1">#REF!</definedName>
    <definedName name="地块二比较法" localSheetId="52" hidden="1">#REF!</definedName>
    <definedName name="地块二比较法" hidden="1">#REF!</definedName>
    <definedName name="地块一" localSheetId="47" hidden="1">#REF!</definedName>
    <definedName name="地块一" localSheetId="51" hidden="1">#REF!</definedName>
    <definedName name="地块一" localSheetId="50" hidden="1">#REF!</definedName>
    <definedName name="地块一" localSheetId="52" hidden="1">#REF!</definedName>
    <definedName name="地块一" hidden="1">#REF!</definedName>
    <definedName name="地类判定">定义!$H$1:$H$9</definedName>
    <definedName name="地上建筑面积" localSheetId="47">#REF!</definedName>
    <definedName name="地上建筑面积" localSheetId="51">#REF!</definedName>
    <definedName name="地上建筑面积" localSheetId="50">#REF!</definedName>
    <definedName name="地上建筑面积" localSheetId="52">#REF!</definedName>
    <definedName name="地上建筑面积">#REF!</definedName>
    <definedName name="地下建筑面积" localSheetId="47">#REF!</definedName>
    <definedName name="地下建筑面积" localSheetId="51">#REF!</definedName>
    <definedName name="地下建筑面积" localSheetId="50">#REF!</definedName>
    <definedName name="地下建筑面积" localSheetId="52">#REF!</definedName>
    <definedName name="地下建筑面积">#REF!</definedName>
    <definedName name="跌价货损">#N/A</definedName>
    <definedName name="额3" localSheetId="47">#REF!</definedName>
    <definedName name="额3" localSheetId="51">#REF!</definedName>
    <definedName name="额3" localSheetId="50">#REF!</definedName>
    <definedName name="额3" localSheetId="52">#REF!</definedName>
    <definedName name="额3">#REF!</definedName>
    <definedName name="二层商铺比较法" localSheetId="47" hidden="1">#REF!</definedName>
    <definedName name="二层商铺比较法" localSheetId="51" hidden="1">#REF!</definedName>
    <definedName name="二层商铺比较法" localSheetId="50" hidden="1">#REF!</definedName>
    <definedName name="二层商铺比较法" localSheetId="52" hidden="1">#REF!</definedName>
    <definedName name="二层商铺比较法" hidden="1">#REF!</definedName>
    <definedName name="二号楼市场法" localSheetId="47">#REF!</definedName>
    <definedName name="二号楼市场法" localSheetId="51">#REF!</definedName>
    <definedName name="二号楼市场法" localSheetId="50">#REF!</definedName>
    <definedName name="二号楼市场法" localSheetId="52">#REF!</definedName>
    <definedName name="二号楼市场法">#REF!</definedName>
    <definedName name="二级">区片价!$J$1:$J$20</definedName>
    <definedName name="二级分类">修正!$C$17:$C$39</definedName>
    <definedName name="法定">[29]测算表!$F$12</definedName>
    <definedName name="法定最高年限" localSheetId="20">[30]测算表!$F$12</definedName>
    <definedName name="法定最高年限">定义!$G$2:$G$4</definedName>
    <definedName name="方法">[22]序列表!$AL$2:$AL$4</definedName>
    <definedName name="方法选择" localSheetId="47">#REF!</definedName>
    <definedName name="方法选择" localSheetId="51">#REF!</definedName>
    <definedName name="方法选择" localSheetId="50">#REF!</definedName>
    <definedName name="方法选择" localSheetId="52">#REF!</definedName>
    <definedName name="方法选择">#REF!</definedName>
    <definedName name="房产税率" localSheetId="47">#REF!</definedName>
    <definedName name="房产税率" localSheetId="51">#REF!</definedName>
    <definedName name="房产税率" localSheetId="50">#REF!</definedName>
    <definedName name="房产税率" localSheetId="52">#REF!</definedName>
    <definedName name="房产税率">#REF!</definedName>
    <definedName name="房产证用途">[23]参数维护!$M$2:$M$9</definedName>
    <definedName name="房地纯收益" localSheetId="47">#REF!</definedName>
    <definedName name="房地纯收益" localSheetId="51">#REF!</definedName>
    <definedName name="房地纯收益" localSheetId="50">#REF!</definedName>
    <definedName name="房地纯收益" localSheetId="52">#REF!</definedName>
    <definedName name="房地纯收益">#REF!</definedName>
    <definedName name="房地综合还原率" localSheetId="47">#REF!</definedName>
    <definedName name="房地综合还原率" localSheetId="51">#REF!</definedName>
    <definedName name="房地综合还原率" localSheetId="50">#REF!</definedName>
    <definedName name="房地综合还原率" localSheetId="52">#REF!</definedName>
    <definedName name="房地综合还原率">#REF!</definedName>
    <definedName name="房地总费用" localSheetId="47">#REF!</definedName>
    <definedName name="房地总费用" localSheetId="51">#REF!</definedName>
    <definedName name="房地总费用" localSheetId="50">#REF!</definedName>
    <definedName name="房地总费用" localSheetId="52">#REF!</definedName>
    <definedName name="房地总费用">#REF!</definedName>
    <definedName name="房地总收益" localSheetId="47">#REF!</definedName>
    <definedName name="房地总收益" localSheetId="51">#REF!</definedName>
    <definedName name="房地总收益" localSheetId="50">#REF!</definedName>
    <definedName name="房地总收益" localSheetId="52">#REF!</definedName>
    <definedName name="房地总收益">#REF!</definedName>
    <definedName name="飞过海">#N/A</definedName>
    <definedName name="分、朝向">'[25]参数维护 '!$V$1:$W$14</definedName>
    <definedName name="分、基础设施">'[25]参数维护 '!$AK$1:$AL$6</definedName>
    <definedName name="分、评价">'[25]参数维护 '!$AI$1:$AJ$6</definedName>
    <definedName name="附" localSheetId="47">#REF!</definedName>
    <definedName name="附" localSheetId="51">#REF!</definedName>
    <definedName name="附" localSheetId="50">#REF!</definedName>
    <definedName name="附" localSheetId="52">#REF!</definedName>
    <definedName name="附">#REF!</definedName>
    <definedName name="附件" localSheetId="47">[26]估价对象概况!#REF!</definedName>
    <definedName name="附件" localSheetId="51">[26]估价对象概况!#REF!</definedName>
    <definedName name="附件" localSheetId="50">[26]估价对象概况!#REF!</definedName>
    <definedName name="附件" localSheetId="52">[26]估价对象概况!#REF!</definedName>
    <definedName name="附件">[26]估价对象概况!#REF!</definedName>
    <definedName name="附件1" localSheetId="47">[26]估价对象概况!#REF!</definedName>
    <definedName name="附件1" localSheetId="51">[26]估价对象概况!#REF!</definedName>
    <definedName name="附件1" localSheetId="50">[26]估价对象概况!#REF!</definedName>
    <definedName name="附件1" localSheetId="52">[26]估价对象概况!#REF!</definedName>
    <definedName name="附件1">[26]估价对象概况!#REF!</definedName>
    <definedName name="附件2" localSheetId="47">[26]估价对象概况!#REF!</definedName>
    <definedName name="附件2" localSheetId="51">[26]估价对象概况!#REF!</definedName>
    <definedName name="附件2" localSheetId="50">[26]估价对象概况!#REF!</definedName>
    <definedName name="附件2" localSheetId="52">[26]估价对象概况!#REF!</definedName>
    <definedName name="附件2">[26]估价对象概况!#REF!</definedName>
    <definedName name="耕地占用税" localSheetId="47">#REF!</definedName>
    <definedName name="耕地占用税" localSheetId="51">#REF!</definedName>
    <definedName name="耕地占用税" localSheetId="50">#REF!</definedName>
    <definedName name="耕地占用税" localSheetId="52">#REF!</definedName>
    <definedName name="耕地占用税">#REF!</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公建配套">[31]序列表!$AS$2:$AS$5</definedName>
    <definedName name="供水供电费率" localSheetId="47">#REF!</definedName>
    <definedName name="供水供电费率" localSheetId="51">#REF!</definedName>
    <definedName name="供水供电费率" localSheetId="50">#REF!</definedName>
    <definedName name="供水供电费率" localSheetId="52">#REF!</definedName>
    <definedName name="供水供电费率">#REF!</definedName>
    <definedName name="估价方法" localSheetId="20">[18]序列!$AI$1:$AI$16</definedName>
    <definedName name="估价方法">定义!$B$1:$B$50</definedName>
    <definedName name="估价方法表" localSheetId="47">#REF!</definedName>
    <definedName name="估价方法表" localSheetId="51">#REF!</definedName>
    <definedName name="估价方法表" localSheetId="50">#REF!</definedName>
    <definedName name="估价方法表" localSheetId="52">#REF!</definedName>
    <definedName name="估价方法表">#REF!</definedName>
    <definedName name="固定资产清单" localSheetId="47">#REF!</definedName>
    <definedName name="固定资产清单" localSheetId="51">#REF!</definedName>
    <definedName name="固定资产清单" localSheetId="50">#REF!</definedName>
    <definedName name="固定资产清单" localSheetId="52">#REF!</definedName>
    <definedName name="固定资产清单">#REF!</definedName>
    <definedName name="管理费" localSheetId="47">#REF!</definedName>
    <definedName name="管理费" localSheetId="51">#REF!</definedName>
    <definedName name="管理费" localSheetId="50">#REF!</definedName>
    <definedName name="管理费" localSheetId="52">#REF!</definedName>
    <definedName name="管理费">#REF!</definedName>
    <definedName name="管理费率" localSheetId="47">#REF!</definedName>
    <definedName name="管理费率" localSheetId="51">#REF!</definedName>
    <definedName name="管理费率" localSheetId="50">#REF!</definedName>
    <definedName name="管理费率" localSheetId="52">#REF!</definedName>
    <definedName name="管理费率">#REF!</definedName>
    <definedName name="圭" localSheetId="47">#REF!</definedName>
    <definedName name="圭" localSheetId="51">#REF!</definedName>
    <definedName name="圭" localSheetId="50">#REF!</definedName>
    <definedName name="圭" localSheetId="52">#REF!</definedName>
    <definedName name="圭">#REF!</definedName>
    <definedName name="还原法楼面单价" localSheetId="47">#REF!</definedName>
    <definedName name="还原法楼面单价" localSheetId="51">#REF!</definedName>
    <definedName name="还原法楼面单价" localSheetId="50">#REF!</definedName>
    <definedName name="还原法楼面单价" localSheetId="52">#REF!</definedName>
    <definedName name="还原法楼面单价">#REF!</definedName>
    <definedName name="还原法税金额" localSheetId="47">#REF!</definedName>
    <definedName name="还原法税金额" localSheetId="51">#REF!</definedName>
    <definedName name="还原法税金额" localSheetId="50">#REF!</definedName>
    <definedName name="还原法税金额" localSheetId="52">#REF!</definedName>
    <definedName name="还原法税金额">#REF!</definedName>
    <definedName name="还原法税金率" localSheetId="47">#REF!</definedName>
    <definedName name="还原法税金率" localSheetId="51">#REF!</definedName>
    <definedName name="还原法税金率" localSheetId="50">#REF!</definedName>
    <definedName name="还原法税金率" localSheetId="52">#REF!</definedName>
    <definedName name="还原法税金率">#REF!</definedName>
    <definedName name="还原法土地单价" localSheetId="47">#REF!</definedName>
    <definedName name="还原法土地单价" localSheetId="51">#REF!</definedName>
    <definedName name="还原法土地单价" localSheetId="50">#REF!</definedName>
    <definedName name="还原法土地单价" localSheetId="52">#REF!</definedName>
    <definedName name="还原法土地单价">#REF!</definedName>
    <definedName name="还原法总地价" localSheetId="47">#REF!</definedName>
    <definedName name="还原法总地价" localSheetId="51">#REF!</definedName>
    <definedName name="还原法总地价" localSheetId="50">#REF!</definedName>
    <definedName name="还原法总地价" localSheetId="52">#REF!</definedName>
    <definedName name="还原法总地价">#REF!</definedName>
    <definedName name="还原利率">[30]测算表!$G$12</definedName>
    <definedName name="行业收益率" localSheetId="47">#REF!</definedName>
    <definedName name="行业收益率" localSheetId="51">#REF!</definedName>
    <definedName name="行业收益率" localSheetId="50">#REF!</definedName>
    <definedName name="行业收益率" localSheetId="52">#REF!</definedName>
    <definedName name="行业收益率">#REF!</definedName>
    <definedName name="好">[32]引用区域!$A$2:$A$24</definedName>
    <definedName name="后" localSheetId="47">#REF!</definedName>
    <definedName name="后" localSheetId="51">#REF!</definedName>
    <definedName name="后" localSheetId="50">#REF!</definedName>
    <definedName name="后" localSheetId="52">#REF!</definedName>
    <definedName name="后">#REF!</definedName>
    <definedName name="户型">[31]序列表!$Y$2:$Y$8</definedName>
    <definedName name="户型合理性">[31]序列表!$Z$2:$Z$4</definedName>
    <definedName name="华软售价比较" localSheetId="47">[8]评估结论!#REF!</definedName>
    <definedName name="华软售价比较" localSheetId="51">[8]评估结论!#REF!</definedName>
    <definedName name="华软售价比较" localSheetId="50">[8]评估结论!#REF!</definedName>
    <definedName name="华软售价比较" localSheetId="52">[8]评估结论!#REF!</definedName>
    <definedName name="华软售价比较">[8]评估结论!#REF!</definedName>
    <definedName name="环境">定义!$S$1:$S$6</definedName>
    <definedName name="黄博大道明细" localSheetId="47">#REF!</definedName>
    <definedName name="黄博大道明细" localSheetId="51">#REF!</definedName>
    <definedName name="黄博大道明细" localSheetId="50">#REF!</definedName>
    <definedName name="黄博大道明细" localSheetId="52">#REF!</definedName>
    <definedName name="黄博大道明细">#REF!</definedName>
    <definedName name="黄埔大道" localSheetId="47">#REF!</definedName>
    <definedName name="黄埔大道" localSheetId="51">#REF!</definedName>
    <definedName name="黄埔大道" localSheetId="50">#REF!</definedName>
    <definedName name="黄埔大道" localSheetId="52">#REF!</definedName>
    <definedName name="黄埔大道">#REF!</definedName>
    <definedName name="回国" localSheetId="47">#REF!</definedName>
    <definedName name="回国" localSheetId="51">#REF!</definedName>
    <definedName name="回国" localSheetId="50">#REF!</definedName>
    <definedName name="回国" localSheetId="52">#REF!</definedName>
    <definedName name="回国">#REF!</definedName>
    <definedName name="汇率" localSheetId="47">#REF!</definedName>
    <definedName name="汇率" localSheetId="51">#REF!</definedName>
    <definedName name="汇率" localSheetId="50">#REF!</definedName>
    <definedName name="汇率" localSheetId="52">#REF!</definedName>
    <definedName name="汇率">#REF!</definedName>
    <definedName name="汇率2" localSheetId="47">#REF!</definedName>
    <definedName name="汇率2" localSheetId="51">#REF!</definedName>
    <definedName name="汇率2" localSheetId="50">#REF!</definedName>
    <definedName name="汇率2" localSheetId="52">#REF!</definedName>
    <definedName name="汇率2">#REF!</definedName>
    <definedName name="基础设施配套情况">'[25]参数维护 '!$AK$1:$AK$6</definedName>
    <definedName name="基础设施水平">定义!$R$1:$R$6</definedName>
    <definedName name="基准地价2" localSheetId="47">#REF!</definedName>
    <definedName name="基准地价2" localSheetId="51">#REF!</definedName>
    <definedName name="基准地价2" localSheetId="50">#REF!</definedName>
    <definedName name="基准地价2" localSheetId="52">#REF!</definedName>
    <definedName name="基准地价2">#REF!</definedName>
    <definedName name="基准地价价格" localSheetId="47">#REF!</definedName>
    <definedName name="基准地价价格" localSheetId="51">#REF!</definedName>
    <definedName name="基准地价价格" localSheetId="50">#REF!</definedName>
    <definedName name="基准地价价格" localSheetId="52">#REF!</definedName>
    <definedName name="基准地价价格">#REF!</definedName>
    <definedName name="基准地价价格2" localSheetId="47">#REF!</definedName>
    <definedName name="基准地价价格2" localSheetId="51">#REF!</definedName>
    <definedName name="基准地价价格2" localSheetId="50">#REF!</definedName>
    <definedName name="基准地价价格2" localSheetId="52">#REF!</definedName>
    <definedName name="基准地价价格2">#REF!</definedName>
    <definedName name="基准地价土地级别" localSheetId="47">#REF!</definedName>
    <definedName name="基准地价土地级别" localSheetId="51">#REF!</definedName>
    <definedName name="基准地价土地级别" localSheetId="50">#REF!</definedName>
    <definedName name="基准地价土地级别" localSheetId="52">#REF!</definedName>
    <definedName name="基准地价土地级别">#REF!</definedName>
    <definedName name="吉" localSheetId="47">[8]评估结论!#REF!</definedName>
    <definedName name="吉" localSheetId="51">[8]评估结论!#REF!</definedName>
    <definedName name="吉" localSheetId="50">[8]评估结论!#REF!</definedName>
    <definedName name="吉" localSheetId="52">[8]评估结论!#REF!</definedName>
    <definedName name="吉">[8]评估结论!#REF!</definedName>
    <definedName name="集聚ui">#N/A</definedName>
    <definedName name="计算过程" localSheetId="47">#REF!</definedName>
    <definedName name="计算过程" localSheetId="51">#REF!</definedName>
    <definedName name="计算过程" localSheetId="50">#REF!</definedName>
    <definedName name="计算过程" localSheetId="52">#REF!</definedName>
    <definedName name="计算过程">#REF!</definedName>
    <definedName name="季度">基准地价!$N$19:$AB$19</definedName>
    <definedName name="季度2014">地价!$A$2:$A$37</definedName>
    <definedName name="假开" localSheetId="47">[2]引用区域!#REF!</definedName>
    <definedName name="假开" localSheetId="51">[2]引用区域!#REF!</definedName>
    <definedName name="假开" localSheetId="50">[2]引用区域!#REF!</definedName>
    <definedName name="假开" localSheetId="52">[2]引用区域!#REF!</definedName>
    <definedName name="假开">[2]引用区域!#REF!</definedName>
    <definedName name="假设开发法地面单价" localSheetId="47">#REF!</definedName>
    <definedName name="假设开发法地面单价" localSheetId="51">#REF!</definedName>
    <definedName name="假设开发法地面单价" localSheetId="50">#REF!</definedName>
    <definedName name="假设开发法地面单价" localSheetId="52">#REF!</definedName>
    <definedName name="假设开发法地面单价">#REF!</definedName>
    <definedName name="假设开发法利润率" localSheetId="47">#REF!</definedName>
    <definedName name="假设开发法利润率" localSheetId="51">#REF!</definedName>
    <definedName name="假设开发法利润率" localSheetId="50">#REF!</definedName>
    <definedName name="假设开发法利润率" localSheetId="52">#REF!</definedName>
    <definedName name="假设开发法利润率">#REF!</definedName>
    <definedName name="假设开发法楼面单价" localSheetId="47">#REF!</definedName>
    <definedName name="假设开发法楼面单价" localSheetId="51">#REF!</definedName>
    <definedName name="假设开发法楼面单价" localSheetId="50">#REF!</definedName>
    <definedName name="假设开发法楼面单价" localSheetId="52">#REF!</definedName>
    <definedName name="假设开发法楼面单价">#REF!</definedName>
    <definedName name="假设开发法营业税" localSheetId="47">#REF!</definedName>
    <definedName name="假设开发法营业税" localSheetId="51">#REF!</definedName>
    <definedName name="假设开发法营业税" localSheetId="50">#REF!</definedName>
    <definedName name="假设开发法营业税" localSheetId="52">#REF!</definedName>
    <definedName name="假设开发法营业税">#REF!</definedName>
    <definedName name="假设开发法营业税率" localSheetId="47">#REF!</definedName>
    <definedName name="假设开发法营业税率" localSheetId="51">#REF!</definedName>
    <definedName name="假设开发法营业税率" localSheetId="50">#REF!</definedName>
    <definedName name="假设开发法营业税率" localSheetId="52">#REF!</definedName>
    <definedName name="假设开发法营业税率">#REF!</definedName>
    <definedName name="假设开发法总地价" localSheetId="47">#REF!</definedName>
    <definedName name="假设开发法总地价" localSheetId="51">#REF!</definedName>
    <definedName name="假设开发法总地价" localSheetId="50">#REF!</definedName>
    <definedName name="假设开发法总地价" localSheetId="52">#REF!</definedName>
    <definedName name="假设开发法总地价">#REF!</definedName>
    <definedName name="价值类型2">定义!$B$54:$B$56</definedName>
    <definedName name="建安工程费" localSheetId="47">#REF!</definedName>
    <definedName name="建安工程费" localSheetId="51">#REF!</definedName>
    <definedName name="建安工程费" localSheetId="50">#REF!</definedName>
    <definedName name="建安工程费" localSheetId="52">#REF!</definedName>
    <definedName name="建安工程费">#REF!</definedName>
    <definedName name="建设期" localSheetId="47">#REF!</definedName>
    <definedName name="建设期" localSheetId="51">#REF!</definedName>
    <definedName name="建设期" localSheetId="50">#REF!</definedName>
    <definedName name="建设期" localSheetId="52">#REF!</definedName>
    <definedName name="建设期">#REF!</definedName>
    <definedName name="建设期税费" localSheetId="47">#REF!</definedName>
    <definedName name="建设期税费" localSheetId="51">#REF!</definedName>
    <definedName name="建设期税费" localSheetId="50">#REF!</definedName>
    <definedName name="建设期税费" localSheetId="52">#REF!</definedName>
    <definedName name="建设期税费">#REF!</definedName>
    <definedName name="建设期税费率" localSheetId="47">#REF!</definedName>
    <definedName name="建设期税费率" localSheetId="51">#REF!</definedName>
    <definedName name="建设期税费率" localSheetId="50">#REF!</definedName>
    <definedName name="建设期税费率" localSheetId="52">#REF!</definedName>
    <definedName name="建设期税费率">#REF!</definedName>
    <definedName name="建造投资利润" localSheetId="47">#REF!</definedName>
    <definedName name="建造投资利润" localSheetId="51">#REF!</definedName>
    <definedName name="建造投资利润" localSheetId="50">#REF!</definedName>
    <definedName name="建造投资利润" localSheetId="52">#REF!</definedName>
    <definedName name="建造投资利润">#REF!</definedName>
    <definedName name="建造投资利息" localSheetId="47">#REF!</definedName>
    <definedName name="建造投资利息" localSheetId="51">#REF!</definedName>
    <definedName name="建造投资利息" localSheetId="50">#REF!</definedName>
    <definedName name="建造投资利息" localSheetId="52">#REF!</definedName>
    <definedName name="建造投资利息">#REF!</definedName>
    <definedName name="建造总成本" localSheetId="47">#REF!</definedName>
    <definedName name="建造总成本" localSheetId="51">#REF!</definedName>
    <definedName name="建造总成本" localSheetId="50">#REF!</definedName>
    <definedName name="建造总成本" localSheetId="52">#REF!</definedName>
    <definedName name="建造总成本">#REF!</definedName>
    <definedName name="建筑">[33]配置!$DU$1:$DU$12</definedName>
    <definedName name="建筑还原利率" localSheetId="47">#REF!</definedName>
    <definedName name="建筑还原利率" localSheetId="51">#REF!</definedName>
    <definedName name="建筑还原利率" localSheetId="50">#REF!</definedName>
    <definedName name="建筑还原利率" localSheetId="52">#REF!</definedName>
    <definedName name="建筑还原利率">#REF!</definedName>
    <definedName name="建筑类型">'[25]参数维护 '!$L$1:$L$13</definedName>
    <definedName name="建筑面积" localSheetId="47">[26]市场比较法!#REF!</definedName>
    <definedName name="建筑面积" localSheetId="51">[26]市场比较法!#REF!</definedName>
    <definedName name="建筑面积" localSheetId="50">[26]市场比较法!#REF!</definedName>
    <definedName name="建筑面积" localSheetId="52">[26]市场比较法!#REF!</definedName>
    <definedName name="建筑面积">[26]市场比较法!#REF!</definedName>
    <definedName name="建筑物">[34]配置!$DU$1:$DU$12</definedName>
    <definedName name="建筑物残值年限">'[25]参数维护 '!$N$2:$R$14</definedName>
    <definedName name="建筑物纯收益" localSheetId="47">#REF!</definedName>
    <definedName name="建筑物纯收益" localSheetId="51">#REF!</definedName>
    <definedName name="建筑物纯收益" localSheetId="50">#REF!</definedName>
    <definedName name="建筑物纯收益" localSheetId="52">#REF!</definedName>
    <definedName name="建筑物纯收益">#REF!</definedName>
    <definedName name="建筑物用途">'[25]参数维护 '!$I$2:$I$9</definedName>
    <definedName name="建筑物重置成本" localSheetId="47">#REF!</definedName>
    <definedName name="建筑物重置成本" localSheetId="51">#REF!</definedName>
    <definedName name="建筑物重置成本" localSheetId="50">#REF!</definedName>
    <definedName name="建筑物重置成本" localSheetId="52">#REF!</definedName>
    <definedName name="建筑物重置成本">#REF!</definedName>
    <definedName name="交通便捷度" localSheetId="20">[31]序列表!$AT$2:$AT$5</definedName>
    <definedName name="交通便捷度">定义!$O$1:$O$6</definedName>
    <definedName name="交易状况">[31]序列表!$AK$2:$AK$6</definedName>
    <definedName name="教育附加费、教育专项基金、城市维护建设税" localSheetId="47">#REF!</definedName>
    <definedName name="教育附加费、教育专项基金、城市维护建设税" localSheetId="51">#REF!</definedName>
    <definedName name="教育附加费、教育专项基金、城市维护建设税" localSheetId="50">#REF!</definedName>
    <definedName name="教育附加费、教育专项基金、城市维护建设税" localSheetId="52">#REF!</definedName>
    <definedName name="教育附加费、教育专项基金、城市维护建设税">#REF!</definedName>
    <definedName name="教育附加费率" localSheetId="47">#REF!</definedName>
    <definedName name="教育附加费率" localSheetId="51">#REF!</definedName>
    <definedName name="教育附加费率" localSheetId="50">#REF!</definedName>
    <definedName name="教育附加费率" localSheetId="52">#REF!</definedName>
    <definedName name="教育附加费率">#REF!</definedName>
    <definedName name="晶.3">[3]Collateral!$D$39</definedName>
    <definedName name="景观及绿化">[31]序列表!$U$2:$U$5</definedName>
    <definedName name="净值表" localSheetId="47" hidden="1">#REF!</definedName>
    <definedName name="净值表" localSheetId="51" hidden="1">#REF!</definedName>
    <definedName name="净值表" localSheetId="50" hidden="1">#REF!</definedName>
    <definedName name="净值表" localSheetId="52" hidden="1">#REF!</definedName>
    <definedName name="净值表" hidden="1">#REF!</definedName>
    <definedName name="九级">区片价!$Q$1:$Q$46</definedName>
    <definedName name="居住社区成熟度">定义!$K$1:$K$6</definedName>
    <definedName name="距离">[31]序列表!$AE$2:$AE$5</definedName>
    <definedName name="竣工后销售率" localSheetId="47">#REF!</definedName>
    <definedName name="竣工后销售率" localSheetId="51">#REF!</definedName>
    <definedName name="竣工后销售率" localSheetId="50">#REF!</definedName>
    <definedName name="竣工后销售率" localSheetId="52">#REF!</definedName>
    <definedName name="竣工后销售率">#REF!</definedName>
    <definedName name="竣工前预售率" localSheetId="47">#REF!</definedName>
    <definedName name="竣工前预售率" localSheetId="51">#REF!</definedName>
    <definedName name="竣工前预售率" localSheetId="50">#REF!</definedName>
    <definedName name="竣工前预售率" localSheetId="52">#REF!</definedName>
    <definedName name="竣工前预售率">#REF!</definedName>
    <definedName name="竣工时销售率" localSheetId="47">#REF!</definedName>
    <definedName name="竣工时销售率" localSheetId="51">#REF!</definedName>
    <definedName name="竣工时销售率" localSheetId="50">#REF!</definedName>
    <definedName name="竣工时销售率" localSheetId="52">#REF!</definedName>
    <definedName name="竣工时销售率">#REF!</definedName>
    <definedName name="可售面积">[35]基本情况!$D$11</definedName>
    <definedName name="垦复基金" localSheetId="47">#REF!</definedName>
    <definedName name="垦复基金" localSheetId="51">#REF!</definedName>
    <definedName name="垦复基金" localSheetId="50">#REF!</definedName>
    <definedName name="垦复基金" localSheetId="52">#REF!</definedName>
    <definedName name="垦复基金">#REF!</definedName>
    <definedName name="磊" localSheetId="47">#REF!</definedName>
    <definedName name="磊" localSheetId="51">#REF!</definedName>
    <definedName name="磊" localSheetId="50">#REF!</definedName>
    <definedName name="磊" localSheetId="52">#REF!</definedName>
    <definedName name="磊">#REF!</definedName>
    <definedName name="类别">定义!$J$1:$J$3</definedName>
    <definedName name="临街状况">定义!$T$1:$T$5</definedName>
    <definedName name="流转税负" localSheetId="47">#REF!</definedName>
    <definedName name="流转税负" localSheetId="51">#REF!</definedName>
    <definedName name="流转税负" localSheetId="50">#REF!</definedName>
    <definedName name="流转税负" localSheetId="52">#REF!</definedName>
    <definedName name="流转税负">#REF!</definedName>
    <definedName name="六级">区片价!$N$1:$N$49</definedName>
    <definedName name="楼层情况">'[25]参数维护 '!$AU$2:$AU$8</definedName>
    <definedName name="内部装修维护情况">定义!$U$1:$U$6</definedName>
    <definedName name="你1" localSheetId="47">#REF!</definedName>
    <definedName name="你1" localSheetId="51">#REF!</definedName>
    <definedName name="你1" localSheetId="50">#REF!</definedName>
    <definedName name="你1" localSheetId="52">#REF!</definedName>
    <definedName name="你1">#REF!</definedName>
    <definedName name="年初短期投资" localSheetId="47">#REF!</definedName>
    <definedName name="年初短期投资" localSheetId="51">#REF!</definedName>
    <definedName name="年初短期投资" localSheetId="50">#REF!</definedName>
    <definedName name="年初短期投资" localSheetId="52">#REF!</definedName>
    <definedName name="年初短期投资">#REF!</definedName>
    <definedName name="年初货币资金" localSheetId="47">#REF!</definedName>
    <definedName name="年初货币资金" localSheetId="51">#REF!</definedName>
    <definedName name="年初货币资金" localSheetId="50">#REF!</definedName>
    <definedName name="年初货币资金" localSheetId="52">#REF!</definedName>
    <definedName name="年初货币资金">#REF!</definedName>
    <definedName name="年初应收票据" localSheetId="47">#REF!</definedName>
    <definedName name="年初应收票据" localSheetId="51">#REF!</definedName>
    <definedName name="年初应收票据" localSheetId="50">#REF!</definedName>
    <definedName name="年初应收票据" localSheetId="52">#REF!</definedName>
    <definedName name="年初应收票据">#REF!</definedName>
    <definedName name="哦哦" localSheetId="47">#REF!</definedName>
    <definedName name="哦哦" localSheetId="51">#REF!</definedName>
    <definedName name="哦哦" localSheetId="50">#REF!</definedName>
    <definedName name="哦哦" localSheetId="52">#REF!</definedName>
    <definedName name="哦哦">#REF!</definedName>
    <definedName name="盘福路" localSheetId="47">#REF!</definedName>
    <definedName name="盘福路" localSheetId="51">#REF!</definedName>
    <definedName name="盘福路" localSheetId="50">#REF!</definedName>
    <definedName name="盘福路" localSheetId="52">#REF!</definedName>
    <definedName name="盘福路">#REF!</definedName>
    <definedName name="判定" localSheetId="33">[36]定义!$D$1:$D$4</definedName>
    <definedName name="判定">定义!$D$1:$D$4</definedName>
    <definedName name="配套设施建设费率" localSheetId="47">#REF!</definedName>
    <definedName name="配套设施建设费率" localSheetId="51">#REF!</definedName>
    <definedName name="配套设施建设费率" localSheetId="50">#REF!</definedName>
    <definedName name="配套设施建设费率" localSheetId="52">#REF!</definedName>
    <definedName name="配套设施建设费率">#REF!</definedName>
    <definedName name="评价">'[25]参数维护 '!$AI$2:$AI$6</definedName>
    <definedName name="七级">区片价!$O$1:$O$49</definedName>
    <definedName name="七通一平">修正!$A$6:$A$14</definedName>
    <definedName name="其他利润比">#N/A</definedName>
    <definedName name="其他税费率" localSheetId="47">#REF!</definedName>
    <definedName name="其他税费率" localSheetId="51">#REF!</definedName>
    <definedName name="其他税费率" localSheetId="50">#REF!</definedName>
    <definedName name="其他税费率" localSheetId="52">#REF!</definedName>
    <definedName name="其他税费率">#REF!</definedName>
    <definedName name="其他无形资产收益" localSheetId="47">#REF!</definedName>
    <definedName name="其他无形资产收益" localSheetId="51">#REF!</definedName>
    <definedName name="其他无形资产收益" localSheetId="50">#REF!</definedName>
    <definedName name="其他无形资产收益" localSheetId="52">#REF!</definedName>
    <definedName name="其他无形资产收益">#REF!</definedName>
    <definedName name="前" localSheetId="47">#REF!</definedName>
    <definedName name="前" localSheetId="51">#REF!</definedName>
    <definedName name="前" localSheetId="50">#REF!</definedName>
    <definedName name="前" localSheetId="52">#REF!</definedName>
    <definedName name="前">#REF!</definedName>
    <definedName name="区域土地利用方向">定义!$P$1:$P$6</definedName>
    <definedName name="权重成本法" localSheetId="47">[37]估价方法!#REF!</definedName>
    <definedName name="权重成本法" localSheetId="51">[37]估价方法!#REF!</definedName>
    <definedName name="权重成本法" localSheetId="50">[37]估价方法!#REF!</definedName>
    <definedName name="权重成本法" localSheetId="52">[37]估价方法!#REF!</definedName>
    <definedName name="权重成本法">[37]估价方法!#REF!</definedName>
    <definedName name="权重假设开发法" localSheetId="47">#REF!</definedName>
    <definedName name="权重假设开发法" localSheetId="51">#REF!</definedName>
    <definedName name="权重假设开发法" localSheetId="50">#REF!</definedName>
    <definedName name="权重假设开发法" localSheetId="52">#REF!</definedName>
    <definedName name="权重假设开发法">#REF!</definedName>
    <definedName name="权重市场比较法" localSheetId="47">[37]估价方法!#REF!</definedName>
    <definedName name="权重市场比较法" localSheetId="51">[37]估价方法!#REF!</definedName>
    <definedName name="权重市场比较法" localSheetId="50">[37]估价方法!#REF!</definedName>
    <definedName name="权重市场比较法" localSheetId="52">[37]估价方法!#REF!</definedName>
    <definedName name="权重市场比较法">[37]估价方法!#REF!</definedName>
    <definedName name="权重收益还原法" localSheetId="47">#REF!</definedName>
    <definedName name="权重收益还原法" localSheetId="51">#REF!</definedName>
    <definedName name="权重收益还原法" localSheetId="50">#REF!</definedName>
    <definedName name="权重收益还原法" localSheetId="52">#REF!</definedName>
    <definedName name="权重收益还原法">#REF!</definedName>
    <definedName name="人3" localSheetId="47">#REF!</definedName>
    <definedName name="人3" localSheetId="51">#REF!</definedName>
    <definedName name="人3" localSheetId="50">#REF!</definedName>
    <definedName name="人3" localSheetId="52">#REF!</definedName>
    <definedName name="人3">#REF!</definedName>
    <definedName name="日期" localSheetId="47">#REF!</definedName>
    <definedName name="日期" localSheetId="51">#REF!</definedName>
    <definedName name="日期" localSheetId="50">#REF!</definedName>
    <definedName name="日期" localSheetId="52">#REF!</definedName>
    <definedName name="日期">#REF!</definedName>
    <definedName name="三级">区片价!$K$1:$K$21</definedName>
    <definedName name="商场面积" localSheetId="47">#REF!</definedName>
    <definedName name="商场面积" localSheetId="51">#REF!</definedName>
    <definedName name="商场面积" localSheetId="50">#REF!</definedName>
    <definedName name="商场面积" localSheetId="52">#REF!</definedName>
    <definedName name="商场面积">#REF!</definedName>
    <definedName name="商场平均售价" localSheetId="47">#REF!</definedName>
    <definedName name="商场平均售价" localSheetId="51">#REF!</definedName>
    <definedName name="商场平均售价" localSheetId="50">#REF!</definedName>
    <definedName name="商场平均售价" localSheetId="52">#REF!</definedName>
    <definedName name="商场平均售价">#REF!</definedName>
    <definedName name="商场租金" localSheetId="47">#REF!</definedName>
    <definedName name="商场租金" localSheetId="51">#REF!</definedName>
    <definedName name="商场租金" localSheetId="50">#REF!</definedName>
    <definedName name="商场租金" localSheetId="52">#REF!</definedName>
    <definedName name="商场租金">#REF!</definedName>
    <definedName name="商铺测算过程" localSheetId="47">#REF!</definedName>
    <definedName name="商铺测算过程" localSheetId="51">#REF!</definedName>
    <definedName name="商铺测算过程" localSheetId="50">#REF!</definedName>
    <definedName name="商铺测算过程" localSheetId="52">#REF!</definedName>
    <definedName name="商铺测算过程">#REF!</definedName>
    <definedName name="商业层高" localSheetId="49">'不动产比较法-商业售价'!$B$116:$M$116</definedName>
    <definedName name="商业层高">'不动产比较法-商业租金'!$B$116:$M$116</definedName>
    <definedName name="商业成新度" localSheetId="49">'不动产比较法-商业售价'!$B$109:$M$109</definedName>
    <definedName name="商业成新度">'不动产比较法-商业租金'!$B$109:$M$109</definedName>
    <definedName name="商业繁华度">定义!$L$1:$L$6</definedName>
    <definedName name="商业公共部分装修" localSheetId="49">'不动产比较法-商业售价'!$B$107:$M$107</definedName>
    <definedName name="商业公共部分装修">'不动产比较法-商业租金'!$B$107:$M$107</definedName>
    <definedName name="商业基础设施水平" localSheetId="49">'不动产比较法-商业售价'!$B$112:$M$112</definedName>
    <definedName name="商业基础设施水平">'不动产比较法-商业租金'!$B$112:$M$112</definedName>
    <definedName name="商业建筑结构" localSheetId="49">'不动产比较法-商业售价'!$B$105:$M$105</definedName>
    <definedName name="商业建筑结构">'不动产比较法-商业租金'!$B$105:$M$105</definedName>
    <definedName name="商业交易情况" localSheetId="49">'不动产比较法-商业售价'!$A$61:$M$61</definedName>
    <definedName name="商业交易情况">'不动产比较法-商业租金'!$A$61:$M$61</definedName>
    <definedName name="商业街名称">修正!$C$59:$C$119</definedName>
    <definedName name="商业进深比" localSheetId="49">'不动产比较法-商业售价'!$B$120:$M$120</definedName>
    <definedName name="商业进深比">'不动产比较法-商业租金'!$B$120:$M$120</definedName>
    <definedName name="商业类型" localSheetId="49">'不动产比较法-商业售价'!$B$100:$M$100</definedName>
    <definedName name="商业类型">'不动产比较法-商业租金'!$B$100:$M$100</definedName>
    <definedName name="商业临街状况" localSheetId="49">'不动产比较法-商业售价'!$B$86:$M$86</definedName>
    <definedName name="商业临街状况">'不动产比较法-商业租金'!$B$86:$M$86</definedName>
    <definedName name="商业楼层" localSheetId="49">'不动产比较法-商业售价'!$B$92:$M$92</definedName>
    <definedName name="商业楼层">'不动产比较法-商业租金'!$B$92:$M$92</definedName>
    <definedName name="商业内部装修" localSheetId="49">'不动产比较法-商业售价'!$B$122:$M$122</definedName>
    <definedName name="商业内部装修">'不动产比较法-商业租金'!$B$122:$M$122</definedName>
    <definedName name="商业人流量" localSheetId="49">'不动产比较法-商业售价'!$B$90:$M$90</definedName>
    <definedName name="商业人流量">'不动产比较法-商业租金'!$B$90:$M$90</definedName>
    <definedName name="商业业态" localSheetId="49">'不动产比较法-商业售价'!$B$114:$M$114</definedName>
    <definedName name="商业业态">'不动产比较法-商业租金'!$B$114:$M$114</definedName>
    <definedName name="商业用途" localSheetId="49">'不动产比较法-商业售价'!$B$63:$M$63</definedName>
    <definedName name="商业用途">'不动产比较法-商业租金'!$B$63:$M$63</definedName>
    <definedName name="设定用途" localSheetId="47">[26]市场比较法!#REF!</definedName>
    <definedName name="设定用途" localSheetId="51">[26]市场比较法!#REF!</definedName>
    <definedName name="设定用途" localSheetId="50">[26]市场比较法!#REF!</definedName>
    <definedName name="设定用途" localSheetId="52">[26]市场比较法!#REF!</definedName>
    <definedName name="设定用途">[26]市场比较法!#REF!</definedName>
    <definedName name="生产列1" localSheetId="47">#REF!</definedName>
    <definedName name="生产列1" localSheetId="51">#REF!</definedName>
    <definedName name="生产列1" localSheetId="50">#REF!</definedName>
    <definedName name="生产列1" localSheetId="52">#REF!</definedName>
    <definedName name="生产列1">#REF!</definedName>
    <definedName name="生产列11" localSheetId="47">#REF!</definedName>
    <definedName name="生产列11" localSheetId="51">#REF!</definedName>
    <definedName name="生产列11" localSheetId="50">#REF!</definedName>
    <definedName name="生产列11" localSheetId="52">#REF!</definedName>
    <definedName name="生产列11">#REF!</definedName>
    <definedName name="生产列15" localSheetId="47">#REF!</definedName>
    <definedName name="生产列15" localSheetId="51">#REF!</definedName>
    <definedName name="生产列15" localSheetId="50">#REF!</definedName>
    <definedName name="生产列15" localSheetId="52">#REF!</definedName>
    <definedName name="生产列15">#REF!</definedName>
    <definedName name="生产列16" localSheetId="47">#REF!</definedName>
    <definedName name="生产列16" localSheetId="51">#REF!</definedName>
    <definedName name="生产列16" localSheetId="50">#REF!</definedName>
    <definedName name="生产列16" localSheetId="52">#REF!</definedName>
    <definedName name="生产列16">#REF!</definedName>
    <definedName name="生产列17" localSheetId="47">#REF!</definedName>
    <definedName name="生产列17" localSheetId="51">#REF!</definedName>
    <definedName name="生产列17" localSheetId="50">#REF!</definedName>
    <definedName name="生产列17" localSheetId="52">#REF!</definedName>
    <definedName name="生产列17">#REF!</definedName>
    <definedName name="生产列19" localSheetId="47">#REF!</definedName>
    <definedName name="生产列19" localSheetId="51">#REF!</definedName>
    <definedName name="生产列19" localSheetId="50">#REF!</definedName>
    <definedName name="生产列19" localSheetId="52">#REF!</definedName>
    <definedName name="生产列19">#REF!</definedName>
    <definedName name="生产列2" localSheetId="47">#REF!</definedName>
    <definedName name="生产列2" localSheetId="51">#REF!</definedName>
    <definedName name="生产列2" localSheetId="50">#REF!</definedName>
    <definedName name="生产列2" localSheetId="52">#REF!</definedName>
    <definedName name="生产列2">#REF!</definedName>
    <definedName name="生产列20" localSheetId="47">#REF!</definedName>
    <definedName name="生产列20" localSheetId="51">#REF!</definedName>
    <definedName name="生产列20" localSheetId="50">#REF!</definedName>
    <definedName name="生产列20" localSheetId="52">#REF!</definedName>
    <definedName name="生产列20">#REF!</definedName>
    <definedName name="生产列3" localSheetId="47">#REF!</definedName>
    <definedName name="生产列3" localSheetId="51">#REF!</definedName>
    <definedName name="生产列3" localSheetId="50">#REF!</definedName>
    <definedName name="生产列3" localSheetId="52">#REF!</definedName>
    <definedName name="生产列3">#REF!</definedName>
    <definedName name="生产列4" localSheetId="47">#REF!</definedName>
    <definedName name="生产列4" localSheetId="51">#REF!</definedName>
    <definedName name="生产列4" localSheetId="50">#REF!</definedName>
    <definedName name="生产列4" localSheetId="52">#REF!</definedName>
    <definedName name="生产列4">#REF!</definedName>
    <definedName name="生产列5" localSheetId="47">#REF!</definedName>
    <definedName name="生产列5" localSheetId="51">#REF!</definedName>
    <definedName name="生产列5" localSheetId="50">#REF!</definedName>
    <definedName name="生产列5" localSheetId="52">#REF!</definedName>
    <definedName name="生产列5">#REF!</definedName>
    <definedName name="生产列6" localSheetId="47">#REF!</definedName>
    <definedName name="生产列6" localSheetId="51">#REF!</definedName>
    <definedName name="生产列6" localSheetId="50">#REF!</definedName>
    <definedName name="生产列6" localSheetId="52">#REF!</definedName>
    <definedName name="生产列6">#REF!</definedName>
    <definedName name="生产列7" localSheetId="47">#REF!</definedName>
    <definedName name="生产列7" localSheetId="51">#REF!</definedName>
    <definedName name="生产列7" localSheetId="50">#REF!</definedName>
    <definedName name="生产列7" localSheetId="52">#REF!</definedName>
    <definedName name="生产列7">#REF!</definedName>
    <definedName name="生产列8" localSheetId="47">#REF!</definedName>
    <definedName name="生产列8" localSheetId="51">#REF!</definedName>
    <definedName name="生产列8" localSheetId="50">#REF!</definedName>
    <definedName name="生产列8" localSheetId="52">#REF!</definedName>
    <definedName name="生产列8">#REF!</definedName>
    <definedName name="生产列9" localSheetId="47">#REF!</definedName>
    <definedName name="生产列9" localSheetId="51">#REF!</definedName>
    <definedName name="生产列9" localSheetId="50">#REF!</definedName>
    <definedName name="生产列9" localSheetId="52">#REF!</definedName>
    <definedName name="生产列9">#REF!</definedName>
    <definedName name="生产期" localSheetId="47">#REF!</definedName>
    <definedName name="生产期" localSheetId="51">#REF!</definedName>
    <definedName name="生产期" localSheetId="50">#REF!</definedName>
    <definedName name="生产期" localSheetId="52">#REF!</definedName>
    <definedName name="生产期">#REF!</definedName>
    <definedName name="生产期1" localSheetId="47">#REF!</definedName>
    <definedName name="生产期1" localSheetId="51">#REF!</definedName>
    <definedName name="生产期1" localSheetId="50">#REF!</definedName>
    <definedName name="生产期1" localSheetId="52">#REF!</definedName>
    <definedName name="生产期1">#REF!</definedName>
    <definedName name="生产期11" localSheetId="47">#REF!</definedName>
    <definedName name="生产期11" localSheetId="51">#REF!</definedName>
    <definedName name="生产期11" localSheetId="50">#REF!</definedName>
    <definedName name="生产期11" localSheetId="52">#REF!</definedName>
    <definedName name="生产期11">#REF!</definedName>
    <definedName name="生产期15" localSheetId="47">#REF!</definedName>
    <definedName name="生产期15" localSheetId="51">#REF!</definedName>
    <definedName name="生产期15" localSheetId="50">#REF!</definedName>
    <definedName name="生产期15" localSheetId="52">#REF!</definedName>
    <definedName name="生产期15">#REF!</definedName>
    <definedName name="生产期16" localSheetId="47">#REF!</definedName>
    <definedName name="生产期16" localSheetId="51">#REF!</definedName>
    <definedName name="生产期16" localSheetId="50">#REF!</definedName>
    <definedName name="生产期16" localSheetId="52">#REF!</definedName>
    <definedName name="生产期16">#REF!</definedName>
    <definedName name="生产期17" localSheetId="47">#REF!</definedName>
    <definedName name="生产期17" localSheetId="51">#REF!</definedName>
    <definedName name="生产期17" localSheetId="50">#REF!</definedName>
    <definedName name="生产期17" localSheetId="52">#REF!</definedName>
    <definedName name="生产期17">#REF!</definedName>
    <definedName name="生产期19" localSheetId="47">#REF!</definedName>
    <definedName name="生产期19" localSheetId="51">#REF!</definedName>
    <definedName name="生产期19" localSheetId="50">#REF!</definedName>
    <definedName name="生产期19" localSheetId="52">#REF!</definedName>
    <definedName name="生产期19">#REF!</definedName>
    <definedName name="生产期2" localSheetId="47">#REF!</definedName>
    <definedName name="生产期2" localSheetId="51">#REF!</definedName>
    <definedName name="生产期2" localSheetId="50">#REF!</definedName>
    <definedName name="生产期2" localSheetId="52">#REF!</definedName>
    <definedName name="生产期2">#REF!</definedName>
    <definedName name="生产期20" localSheetId="47">#REF!</definedName>
    <definedName name="生产期20" localSheetId="51">#REF!</definedName>
    <definedName name="生产期20" localSheetId="50">#REF!</definedName>
    <definedName name="生产期20" localSheetId="52">#REF!</definedName>
    <definedName name="生产期20">#REF!</definedName>
    <definedName name="生产期3" localSheetId="47">#REF!</definedName>
    <definedName name="生产期3" localSheetId="51">#REF!</definedName>
    <definedName name="生产期3" localSheetId="50">#REF!</definedName>
    <definedName name="生产期3" localSheetId="52">#REF!</definedName>
    <definedName name="生产期3">#REF!</definedName>
    <definedName name="生产期4" localSheetId="47">#REF!</definedName>
    <definedName name="生产期4" localSheetId="51">#REF!</definedName>
    <definedName name="生产期4" localSheetId="50">#REF!</definedName>
    <definedName name="生产期4" localSheetId="52">#REF!</definedName>
    <definedName name="生产期4">#REF!</definedName>
    <definedName name="生产期5" localSheetId="47">#REF!</definedName>
    <definedName name="生产期5" localSheetId="51">#REF!</definedName>
    <definedName name="生产期5" localSheetId="50">#REF!</definedName>
    <definedName name="生产期5" localSheetId="52">#REF!</definedName>
    <definedName name="生产期5">#REF!</definedName>
    <definedName name="生产期6" localSheetId="47">#REF!</definedName>
    <definedName name="生产期6" localSheetId="51">#REF!</definedName>
    <definedName name="生产期6" localSheetId="50">#REF!</definedName>
    <definedName name="生产期6" localSheetId="52">#REF!</definedName>
    <definedName name="生产期6">#REF!</definedName>
    <definedName name="生产期7" localSheetId="47">#REF!</definedName>
    <definedName name="生产期7" localSheetId="51">#REF!</definedName>
    <definedName name="生产期7" localSheetId="50">#REF!</definedName>
    <definedName name="生产期7" localSheetId="52">#REF!</definedName>
    <definedName name="生产期7">#REF!</definedName>
    <definedName name="生产期8" localSheetId="47">#REF!</definedName>
    <definedName name="生产期8" localSheetId="51">#REF!</definedName>
    <definedName name="生产期8" localSheetId="50">#REF!</definedName>
    <definedName name="生产期8" localSheetId="52">#REF!</definedName>
    <definedName name="生产期8">#REF!</definedName>
    <definedName name="生产期9" localSheetId="47">#REF!</definedName>
    <definedName name="生产期9" localSheetId="51">#REF!</definedName>
    <definedName name="生产期9" localSheetId="50">#REF!</definedName>
    <definedName name="生产期9" localSheetId="52">#REF!</definedName>
    <definedName name="生产期9">#REF!</definedName>
    <definedName name="剩余使用年期">[30]测算表!$E$12</definedName>
    <definedName name="十二级">区片价!$T$1:$T$8</definedName>
    <definedName name="十级">区片价!$R$1:$R$27</definedName>
    <definedName name="十一级">区片价!$S$1:$S$22</definedName>
    <definedName name="使用状况">[38]下拉选择字段!$F$12:$F$16</definedName>
    <definedName name="市场比" localSheetId="47">#REF!</definedName>
    <definedName name="市场比" localSheetId="51">#REF!</definedName>
    <definedName name="市场比" localSheetId="50">#REF!</definedName>
    <definedName name="市场比" localSheetId="52">#REF!</definedName>
    <definedName name="市场比">#REF!</definedName>
    <definedName name="市场比较动漫" hidden="1">'[39]#REF!'!$A$2:$D$39</definedName>
    <definedName name="市场推广费" localSheetId="47">#REF!</definedName>
    <definedName name="市场推广费" localSheetId="51">#REF!</definedName>
    <definedName name="市场推广费" localSheetId="50">#REF!</definedName>
    <definedName name="市场推广费" localSheetId="52">#REF!</definedName>
    <definedName name="市场推广费">#REF!</definedName>
    <definedName name="市场推广费率" localSheetId="47">#REF!</definedName>
    <definedName name="市场推广费率" localSheetId="51">#REF!</definedName>
    <definedName name="市场推广费率" localSheetId="50">#REF!</definedName>
    <definedName name="市场推广费率" localSheetId="52">#REF!</definedName>
    <definedName name="市场推广费率">#REF!</definedName>
    <definedName name="是vfsafa" localSheetId="47" hidden="1">#REF!</definedName>
    <definedName name="是vfsafa" localSheetId="51" hidden="1">#REF!</definedName>
    <definedName name="是vfsafa" localSheetId="50" hidden="1">#REF!</definedName>
    <definedName name="是vfsafa" localSheetId="52" hidden="1">#REF!</definedName>
    <definedName name="是vfsafa" hidden="1">#REF!</definedName>
    <definedName name="是否封闭">'不动产比较法-仓储'!$B$89:$M$89</definedName>
    <definedName name="是否直接入户">'不动产比较法-车位'!$B$95:$M$95</definedName>
    <definedName name="收益法" localSheetId="47">[14]引用区域!#REF!</definedName>
    <definedName name="收益法" localSheetId="51">[14]引用区域!#REF!</definedName>
    <definedName name="收益法" localSheetId="50">[14]引用区域!#REF!</definedName>
    <definedName name="收益法" localSheetId="52">[14]引用区域!#REF!</definedName>
    <definedName name="收益法">[14]引用区域!#REF!</definedName>
    <definedName name="收益还原法营业税率" localSheetId="47">#REF!</definedName>
    <definedName name="收益还原法营业税率" localSheetId="51">#REF!</definedName>
    <definedName name="收益还原法营业税率" localSheetId="50">#REF!</definedName>
    <definedName name="收益还原法营业税率" localSheetId="52">#REF!</definedName>
    <definedName name="收益还原法营业税率">#REF!</definedName>
    <definedName name="收益还原法总地价" localSheetId="47">#REF!</definedName>
    <definedName name="收益还原法总地价" localSheetId="51">#REF!</definedName>
    <definedName name="收益还原法总地价" localSheetId="50">#REF!</definedName>
    <definedName name="收益还原法总地价" localSheetId="52">#REF!</definedName>
    <definedName name="收益还原法总地价">#REF!</definedName>
    <definedName name="说点别的" localSheetId="47" hidden="1">#REF!</definedName>
    <definedName name="说点别的" localSheetId="51" hidden="1">#REF!</definedName>
    <definedName name="说点别的" localSheetId="50" hidden="1">#REF!</definedName>
    <definedName name="说点别的" localSheetId="52" hidden="1">#REF!</definedName>
    <definedName name="说点别的" hidden="1">#REF!</definedName>
    <definedName name="四级">区片价!$L$1:$L$28</definedName>
    <definedName name="所得税率" localSheetId="47">#REF!</definedName>
    <definedName name="所得税率" localSheetId="51">#REF!</definedName>
    <definedName name="所得税率" localSheetId="50">#REF!</definedName>
    <definedName name="所得税率" localSheetId="52">#REF!</definedName>
    <definedName name="所得税率">#REF!</definedName>
    <definedName name="套工道路等级">'[40]土地比较法-工业'!$B$97:$M$97</definedName>
    <definedName name="套工地质条件">'[40]土地比较法-工业'!$B$114:$M$114</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开发程度">'[40]土地比较法-工业'!$B$112:$M$112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投资方向调节税率" localSheetId="47">#REF!</definedName>
    <definedName name="投资方向调节税率" localSheetId="51">#REF!</definedName>
    <definedName name="投资方向调节税率" localSheetId="50">#REF!</definedName>
    <definedName name="投资方向调节税率" localSheetId="52">#REF!</definedName>
    <definedName name="投资方向调节税率">#REF!</definedName>
    <definedName name="投资利润" localSheetId="47">#REF!</definedName>
    <definedName name="投资利润" localSheetId="51">#REF!</definedName>
    <definedName name="投资利润" localSheetId="50">#REF!</definedName>
    <definedName name="投资利润" localSheetId="52">#REF!</definedName>
    <definedName name="投资利润">#REF!</definedName>
    <definedName name="投资利息系数" localSheetId="47">#REF!</definedName>
    <definedName name="投资利息系数" localSheetId="51">#REF!</definedName>
    <definedName name="投资利息系数" localSheetId="50">#REF!</definedName>
    <definedName name="投资利息系数" localSheetId="52">#REF!</definedName>
    <definedName name="投资利息系数">#REF!</definedName>
    <definedName name="土地出让金" localSheetId="47">#REF!</definedName>
    <definedName name="土地出让金" localSheetId="51">#REF!</definedName>
    <definedName name="土地出让金" localSheetId="50">#REF!</definedName>
    <definedName name="土地出让金" localSheetId="52">#REF!</definedName>
    <definedName name="土地出让金">#REF!</definedName>
    <definedName name="土地纯收益" localSheetId="47">#REF!</definedName>
    <definedName name="土地纯收益" localSheetId="51">#REF!</definedName>
    <definedName name="土地纯收益" localSheetId="50">#REF!</definedName>
    <definedName name="土地纯收益" localSheetId="52">#REF!</definedName>
    <definedName name="土地纯收益">#REF!</definedName>
    <definedName name="土地估价师">估价师及机构信息!$D$3:$D$16</definedName>
    <definedName name="土地还原利率" localSheetId="47">#REF!</definedName>
    <definedName name="土地还原利率" localSheetId="51">#REF!</definedName>
    <definedName name="土地还原利率" localSheetId="50">#REF!</definedName>
    <definedName name="土地还原利率" localSheetId="52">#REF!</definedName>
    <definedName name="土地还原利率">#REF!</definedName>
    <definedName name="土地级别" localSheetId="20">[41]序列表!$AU$2:$AU$11</definedName>
    <definedName name="土地级别">定义!$C$1:$C$14</definedName>
    <definedName name="土地开发费用" localSheetId="47">#REF!</definedName>
    <definedName name="土地开发费用" localSheetId="51">#REF!</definedName>
    <definedName name="土地开发费用" localSheetId="50">#REF!</definedName>
    <definedName name="土地开发费用" localSheetId="52">#REF!</definedName>
    <definedName name="土地开发费用">#REF!</definedName>
    <definedName name="土地开发周期" localSheetId="47">#REF!</definedName>
    <definedName name="土地开发周期" localSheetId="51">#REF!</definedName>
    <definedName name="土地开发周期" localSheetId="50">#REF!</definedName>
    <definedName name="土地开发周期" localSheetId="52">#REF!</definedName>
    <definedName name="土地开发周期">#REF!</definedName>
    <definedName name="土地利用方向">定义!$P$1:$P$6</definedName>
    <definedName name="土地面积">[35]基本情况!$D$8</definedName>
    <definedName name="土地年限区间">定义!$I$1:$I$8</definedName>
    <definedName name="土地取得费" localSheetId="47">#REF!</definedName>
    <definedName name="土地取得费" localSheetId="51">#REF!</definedName>
    <definedName name="土地取得费" localSheetId="50">#REF!</definedName>
    <definedName name="土地取得费" localSheetId="52">#REF!</definedName>
    <definedName name="土地取得费">#REF!</definedName>
    <definedName name="土建费" localSheetId="47">#REF!</definedName>
    <definedName name="土建费" localSheetId="51">#REF!</definedName>
    <definedName name="土建费" localSheetId="50">#REF!</definedName>
    <definedName name="土建费" localSheetId="52">#REF!</definedName>
    <definedName name="土建费">#REF!</definedName>
    <definedName name="维修费" localSheetId="47">#REF!</definedName>
    <definedName name="维修费" localSheetId="51">#REF!</definedName>
    <definedName name="维修费" localSheetId="50">#REF!</definedName>
    <definedName name="维修费" localSheetId="52">#REF!</definedName>
    <definedName name="维修费">#REF!</definedName>
    <definedName name="维修费率" localSheetId="47">#REF!</definedName>
    <definedName name="维修费率" localSheetId="51">#REF!</definedName>
    <definedName name="维修费率" localSheetId="50">#REF!</definedName>
    <definedName name="维修费率" localSheetId="52">#REF!</definedName>
    <definedName name="维修费率">#REF!</definedName>
    <definedName name="位置">定义!$E$2:$E$4</definedName>
    <definedName name="我">[42]引用区域!$I$2:$I$24</definedName>
    <definedName name="我4" localSheetId="47">#REF!</definedName>
    <definedName name="我4" localSheetId="51">#REF!</definedName>
    <definedName name="我4" localSheetId="50">#REF!</definedName>
    <definedName name="我4" localSheetId="52">#REF!</definedName>
    <definedName name="我4">#REF!</definedName>
    <definedName name="我5" localSheetId="47">#REF!</definedName>
    <definedName name="我5" localSheetId="51">#REF!</definedName>
    <definedName name="我5" localSheetId="50">#REF!</definedName>
    <definedName name="我5" localSheetId="52">#REF!</definedName>
    <definedName name="我5">#REF!</definedName>
    <definedName name="我6" localSheetId="47">#REF!</definedName>
    <definedName name="我6" localSheetId="51">#REF!</definedName>
    <definedName name="我6" localSheetId="50">#REF!</definedName>
    <definedName name="我6" localSheetId="52">#REF!</definedName>
    <definedName name="我6">#REF!</definedName>
    <definedName name="我7" localSheetId="47">#REF!</definedName>
    <definedName name="我7" localSheetId="51">#REF!</definedName>
    <definedName name="我7" localSheetId="50">#REF!</definedName>
    <definedName name="我7" localSheetId="52">#REF!</definedName>
    <definedName name="我7">#REF!</definedName>
    <definedName name="我8" localSheetId="47">#REF!</definedName>
    <definedName name="我8" localSheetId="51">#REF!</definedName>
    <definedName name="我8" localSheetId="50">#REF!</definedName>
    <definedName name="我8" localSheetId="52">#REF!</definedName>
    <definedName name="我8">#REF!</definedName>
    <definedName name="我的价">[42]引用区域!$F$2:$F$24</definedName>
    <definedName name="沃6" localSheetId="47">#REF!</definedName>
    <definedName name="沃6" localSheetId="51">#REF!</definedName>
    <definedName name="沃6" localSheetId="50">#REF!</definedName>
    <definedName name="沃6" localSheetId="52">#REF!</definedName>
    <definedName name="沃6">#REF!</definedName>
    <definedName name="握1" localSheetId="47">#REF!</definedName>
    <definedName name="握1" localSheetId="51">#REF!</definedName>
    <definedName name="握1" localSheetId="50">#REF!</definedName>
    <definedName name="握1" localSheetId="52">#REF!</definedName>
    <definedName name="握1">#REF!</definedName>
    <definedName name="五等判定">定义!$W$1:$W$6</definedName>
    <definedName name="五级">区片价!$M$1:$M$35</definedName>
    <definedName name="仙村" localSheetId="47">#REF!</definedName>
    <definedName name="仙村" localSheetId="51">#REF!</definedName>
    <definedName name="仙村" localSheetId="50">#REF!</definedName>
    <definedName name="仙村" localSheetId="52">#REF!</definedName>
    <definedName name="仙村">#REF!</definedName>
    <definedName name="项目类型" localSheetId="33">'[36]数据-汇总表'!$C$17:$C$26</definedName>
    <definedName name="项目类型">'数据-汇总表'!$C$17:$C$26</definedName>
    <definedName name="项目总开发价值" localSheetId="47">#REF!</definedName>
    <definedName name="项目总开发价值" localSheetId="51">#REF!</definedName>
    <definedName name="项目总开发价值" localSheetId="50">#REF!</definedName>
    <definedName name="项目总开发价值" localSheetId="52">#REF!</definedName>
    <definedName name="项目总开发价值">#REF!</definedName>
    <definedName name="销售阶段税费、推广费" localSheetId="47">#REF!</definedName>
    <definedName name="销售阶段税费、推广费" localSheetId="51">#REF!</definedName>
    <definedName name="销售阶段税费、推广费" localSheetId="50">#REF!</definedName>
    <definedName name="销售阶段税费、推广费" localSheetId="52">#REF!</definedName>
    <definedName name="销售阶段税费、推广费">#REF!</definedName>
    <definedName name="销售阶段税费、推广费率" localSheetId="47">#REF!</definedName>
    <definedName name="销售阶段税费、推广费率" localSheetId="51">#REF!</definedName>
    <definedName name="销售阶段税费、推广费率" localSheetId="50">#REF!</definedName>
    <definedName name="销售阶段税费、推广费率" localSheetId="52">#REF!</definedName>
    <definedName name="销售阶段税费、推广费率">#REF!</definedName>
    <definedName name="写字楼等级">'不动产比较法-办公'!$B$113:$M$113</definedName>
    <definedName name="写字楼面积">[24]基本情况!$D$14</definedName>
    <definedName name="写字楼平均售价" localSheetId="47">#REF!</definedName>
    <definedName name="写字楼平均售价" localSheetId="51">#REF!</definedName>
    <definedName name="写字楼平均售价" localSheetId="50">#REF!</definedName>
    <definedName name="写字楼平均售价" localSheetId="52">#REF!</definedName>
    <definedName name="写字楼平均售价">#REF!</definedName>
    <definedName name="写字楼租金" localSheetId="47">#REF!</definedName>
    <definedName name="写字楼租金" localSheetId="51">#REF!</definedName>
    <definedName name="写字楼租金" localSheetId="50">#REF!</definedName>
    <definedName name="写字楼租金" localSheetId="52">#REF!</definedName>
    <definedName name="写字楼租金">#REF!</definedName>
    <definedName name="新菜地开发建设基金" localSheetId="47">#REF!</definedName>
    <definedName name="新菜地开发建设基金" localSheetId="51">#REF!</definedName>
    <definedName name="新菜地开发建设基金" localSheetId="50">#REF!</definedName>
    <definedName name="新菜地开发建设基金" localSheetId="52">#REF!</definedName>
    <definedName name="新菜地开发建设基金">#REF!</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以" localSheetId="47">#REF!</definedName>
    <definedName name="以" localSheetId="51">#REF!</definedName>
    <definedName name="以" localSheetId="50">#REF!</definedName>
    <definedName name="以" localSheetId="52">#REF!</definedName>
    <definedName name="以">#REF!</definedName>
    <definedName name="因素条件说明表" localSheetId="47">#REF!</definedName>
    <definedName name="因素条件说明表" localSheetId="51">#REF!</definedName>
    <definedName name="因素条件说明表" localSheetId="50">#REF!</definedName>
    <definedName name="因素条件说明表" localSheetId="52">#REF!</definedName>
    <definedName name="因素条件说明表">#REF!</definedName>
    <definedName name="因素修正系数表" localSheetId="47">#REF!</definedName>
    <definedName name="因素修正系数表" localSheetId="51">#REF!</definedName>
    <definedName name="因素修正系数表" localSheetId="50">#REF!</definedName>
    <definedName name="因素修正系数表" localSheetId="52">#REF!</definedName>
    <definedName name="因素修正系数表">#REF!</definedName>
    <definedName name="英航">[2]引用区域!$I$2:$I$24</definedName>
    <definedName name="营外支出比">#N/A</definedName>
    <definedName name="营业费率" localSheetId="47">#REF!</definedName>
    <definedName name="营业费率" localSheetId="51">#REF!</definedName>
    <definedName name="营业费率" localSheetId="50">#REF!</definedName>
    <definedName name="营业费率" localSheetId="52">#REF!</definedName>
    <definedName name="营业费率">#REF!</definedName>
    <definedName name="营业税率" localSheetId="47">#REF!</definedName>
    <definedName name="营业税率" localSheetId="51">#REF!</definedName>
    <definedName name="营业税率" localSheetId="50">#REF!</definedName>
    <definedName name="营业税率" localSheetId="52">#REF!</definedName>
    <definedName name="营业税率">#REF!</definedName>
    <definedName name="用途类型">定义!$A$1:$A$50</definedName>
    <definedName name="用途明细">[40]定义!$A$1:$A$50</definedName>
    <definedName name="有无电梯">'不动产比较法-仓储'!$B$84:$M$84</definedName>
    <definedName name="有限年期修正系数" localSheetId="47">#REF!</definedName>
    <definedName name="有限年期修正系数" localSheetId="51">#REF!</definedName>
    <definedName name="有限年期修正系数" localSheetId="50">#REF!</definedName>
    <definedName name="有限年期修正系数" localSheetId="52">#REF!</definedName>
    <definedName name="有限年期修正系数">#REF!</definedName>
    <definedName name="澡在" localSheetId="47">#REF!</definedName>
    <definedName name="澡在" localSheetId="51">#REF!</definedName>
    <definedName name="澡在" localSheetId="50">#REF!</definedName>
    <definedName name="澡在" localSheetId="52">#REF!</definedName>
    <definedName name="澡在">#REF!</definedName>
    <definedName name="宅基地宗数" localSheetId="47">[43]基础数据!#REF!</definedName>
    <definedName name="宅基地宗数" localSheetId="51">[43]基础数据!#REF!</definedName>
    <definedName name="宅基地宗数" localSheetId="50">[43]基础数据!#REF!</definedName>
    <definedName name="宅基地宗数" localSheetId="52">[43]基础数据!#REF!</definedName>
    <definedName name="宅基地宗数">[43]基础数据!#REF!</definedName>
    <definedName name="折旧费" localSheetId="47">#REF!</definedName>
    <definedName name="折旧费" localSheetId="51">#REF!</definedName>
    <definedName name="折旧费" localSheetId="50">#REF!</definedName>
    <definedName name="折旧费" localSheetId="52">#REF!</definedName>
    <definedName name="折旧费">#REF!</definedName>
    <definedName name="折旧年限" localSheetId="47">#REF!</definedName>
    <definedName name="折旧年限" localSheetId="51">#REF!</definedName>
    <definedName name="折旧年限" localSheetId="50">#REF!</definedName>
    <definedName name="折旧年限" localSheetId="52">#REF!</definedName>
    <definedName name="折旧年限">#REF!</definedName>
    <definedName name="折让率">#N/A</definedName>
    <definedName name="折现" localSheetId="47">#REF!</definedName>
    <definedName name="折现" localSheetId="51">#REF!</definedName>
    <definedName name="折现" localSheetId="50">#REF!</definedName>
    <definedName name="折现" localSheetId="52">#REF!</definedName>
    <definedName name="折现">#REF!</definedName>
    <definedName name="折现率" localSheetId="47">#REF!</definedName>
    <definedName name="折现率" localSheetId="51">#REF!</definedName>
    <definedName name="折现率" localSheetId="50">#REF!</definedName>
    <definedName name="折现率" localSheetId="52">#REF!</definedName>
    <definedName name="折现率">#REF!</definedName>
    <definedName name="征地管理费" localSheetId="47">#REF!</definedName>
    <definedName name="征地管理费" localSheetId="51">#REF!</definedName>
    <definedName name="征地管理费" localSheetId="50">#REF!</definedName>
    <definedName name="征地管理费" localSheetId="52">#REF!</definedName>
    <definedName name="征地管理费">#REF!</definedName>
    <definedName name="重置">[2]引用区域!$A$2:$A$24</definedName>
    <definedName name="重置成本单价" localSheetId="47">#REF!</definedName>
    <definedName name="重置成本单价" localSheetId="51">#REF!</definedName>
    <definedName name="重置成本单价" localSheetId="50">#REF!</definedName>
    <definedName name="重置成本单价" localSheetId="52">#REF!</definedName>
    <definedName name="重置成本单价">#REF!</definedName>
    <definedName name="重置成本法2">[2]引用区域!$F$2:$F$24</definedName>
    <definedName name="主用途">定义!$F$1:$F$10</definedName>
    <definedName name="住宅" localSheetId="47">#REF!</definedName>
    <definedName name="住宅" localSheetId="51">#REF!</definedName>
    <definedName name="住宅" localSheetId="50">#REF!</definedName>
    <definedName name="住宅" localSheetId="52">#REF!</definedName>
    <definedName name="住宅">#REF!</definedName>
    <definedName name="住宅11">[44]Collateral!$M$5</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面积" localSheetId="47">#REF!</definedName>
    <definedName name="住宅面积" localSheetId="51">#REF!</definedName>
    <definedName name="住宅面积" localSheetId="50">#REF!</definedName>
    <definedName name="住宅面积" localSheetId="52">#REF!</definedName>
    <definedName name="住宅面积">#REF!</definedName>
    <definedName name="住宅内部装修">'不动产比较法-住宅'!$B$122:$M$122</definedName>
    <definedName name="住宅平均售价" localSheetId="47">#REF!</definedName>
    <definedName name="住宅平均售价" localSheetId="51">#REF!</definedName>
    <definedName name="住宅平均售价" localSheetId="50">#REF!</definedName>
    <definedName name="住宅平均售价" localSheetId="52">#REF!</definedName>
    <definedName name="住宅平均售价">#REF!</definedName>
    <definedName name="住宅售价" localSheetId="47">#REF!</definedName>
    <definedName name="住宅售价" localSheetId="51">#REF!</definedName>
    <definedName name="住宅售价" localSheetId="50">#REF!</definedName>
    <definedName name="住宅售价" localSheetId="52">#REF!</definedName>
    <definedName name="住宅售价">#REF!</definedName>
    <definedName name="住宅物业管理">'不动产比较法-住宅'!$B$114:$M$114</definedName>
    <definedName name="住宅用途">'不动产比较法-住宅'!$B$63:$M$63</definedName>
    <definedName name="住宅主力户型面积">'不动产比较法-住宅'!$B$120:$M$120</definedName>
    <definedName name="住宅租金" localSheetId="47">#REF!</definedName>
    <definedName name="住宅租金" localSheetId="51">#REF!</definedName>
    <definedName name="住宅租金" localSheetId="50">#REF!</definedName>
    <definedName name="住宅租金" localSheetId="52">#REF!</definedName>
    <definedName name="住宅租金">#REF!</definedName>
    <definedName name="注册房地产估价师">估价师及机构信息!$A$3:$A$16</definedName>
    <definedName name="专业费" localSheetId="47">#REF!</definedName>
    <definedName name="专业费" localSheetId="51">#REF!</definedName>
    <definedName name="专业费" localSheetId="50">#REF!</definedName>
    <definedName name="专业费" localSheetId="52">#REF!</definedName>
    <definedName name="专业费">#REF!</definedName>
    <definedName name="专业费率" localSheetId="47">#REF!</definedName>
    <definedName name="专业费率" localSheetId="51">#REF!</definedName>
    <definedName name="专业费率" localSheetId="50">#REF!</definedName>
    <definedName name="专业费率" localSheetId="52">#REF!</definedName>
    <definedName name="专业费率">#REF!</definedName>
    <definedName name="装修费" localSheetId="47">#REF!</definedName>
    <definedName name="装修费" localSheetId="51">#REF!</definedName>
    <definedName name="装修费" localSheetId="50">#REF!</definedName>
    <definedName name="装修费" localSheetId="52">#REF!</definedName>
    <definedName name="装修费">#REF!</definedName>
    <definedName name="装修情况">'[25]参数维护 '!$AF$2:$AF$9</definedName>
    <definedName name="资产负债表" localSheetId="47">#REF!</definedName>
    <definedName name="资产负债表" localSheetId="51">#REF!</definedName>
    <definedName name="资产负债表" localSheetId="50">#REF!</definedName>
    <definedName name="资产负债表" localSheetId="52">#REF!</definedName>
    <definedName name="资产负债表">#REF!</definedName>
    <definedName name="总户数" localSheetId="47">[43]基础数据!#REF!</definedName>
    <definedName name="总户数" localSheetId="51">[43]基础数据!#REF!</definedName>
    <definedName name="总户数" localSheetId="50">[43]基础数据!#REF!</definedName>
    <definedName name="总户数" localSheetId="52">[43]基础数据!#REF!</definedName>
    <definedName name="总户数">[43]基础数据!#REF!</definedName>
    <definedName name="总人数" localSheetId="47">[43]基础数据!#REF!</definedName>
    <definedName name="总人数" localSheetId="51">[43]基础数据!#REF!</definedName>
    <definedName name="总人数" localSheetId="50">[43]基础数据!#REF!</definedName>
    <definedName name="总人数" localSheetId="52">[43]基础数据!#REF!</definedName>
    <definedName name="总人数">[43]基础数据!#REF!</definedName>
    <definedName name="租金内涵">'[28]参数维护 '!$AT$1:$AT$8</definedName>
    <definedName name="租金住宅——1" localSheetId="47" hidden="1">#REF!</definedName>
    <definedName name="租金住宅——1" localSheetId="51" hidden="1">#REF!</definedName>
    <definedName name="租金住宅——1" localSheetId="50" hidden="1">#REF!</definedName>
    <definedName name="租金住宅——1" localSheetId="52" hidden="1">#REF!</definedName>
    <definedName name="租金住宅——1" hidden="1">#REF!</definedName>
    <definedName name="전" localSheetId="47">#REF!</definedName>
    <definedName name="전" localSheetId="51">#REF!</definedName>
    <definedName name="전" localSheetId="50">#REF!</definedName>
    <definedName name="전" localSheetId="52">#REF!</definedName>
    <definedName name="전">#REF!</definedName>
    <definedName name="주택사업본부" localSheetId="47">#REF!</definedName>
    <definedName name="주택사업본부" localSheetId="51">#REF!</definedName>
    <definedName name="주택사업본부" localSheetId="50">#REF!</definedName>
    <definedName name="주택사업본부" localSheetId="52">#REF!</definedName>
    <definedName name="주택사업본부">#REF!</definedName>
    <definedName name="철구사업본부" localSheetId="47">#REF!</definedName>
    <definedName name="철구사업본부" localSheetId="51">#REF!</definedName>
    <definedName name="철구사업본부" localSheetId="50">#REF!</definedName>
    <definedName name="철구사업본부" localSheetId="52">#REF!</definedName>
    <definedName name="철구사업본부">#REF!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charset val="134"/>
          </rPr>
          <t xml:space="preserve">没有时，请选择“——”
</t>
        </r>
      </text>
    </comment>
    <comment ref="H4" authorId="0">
      <text>
        <r>
          <rPr>
            <sz val="12"/>
            <rFont val="楷体_GB2312"/>
            <charset val="134"/>
          </rPr>
          <t xml:space="preserve">没有时，请选择“——”
</t>
        </r>
      </text>
    </comment>
    <comment ref="B10" authorId="1">
      <text>
        <r>
          <rPr>
            <sz val="11"/>
            <rFont val="楷体_GB2312"/>
            <charset val="134"/>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D20" authorId="0">
      <text>
        <r>
          <rPr>
            <sz val="11"/>
            <rFont val="宋体"/>
            <charset val="134"/>
          </rPr>
          <t>如：住宅67.6年、商业37.6年</t>
        </r>
        <r>
          <rPr>
            <sz val="9"/>
            <rFont val="宋体"/>
            <charset val="134"/>
          </rPr>
          <t xml:space="preserve">
</t>
        </r>
      </text>
    </comment>
    <comment ref="E22" authorId="0">
      <text>
        <r>
          <rPr>
            <sz val="11"/>
            <rFont val="宋体"/>
            <charset val="134"/>
          </rPr>
          <t>有相同面积依据时，仅在土地面积依据处录入</t>
        </r>
        <r>
          <rPr>
            <sz val="12"/>
            <rFont val="宋体"/>
            <charset val="134"/>
          </rPr>
          <t>。</t>
        </r>
        <r>
          <rPr>
            <sz val="9"/>
            <rFont val="宋体"/>
            <charset val="134"/>
          </rPr>
          <t xml:space="preserve">
</t>
        </r>
      </text>
    </comment>
    <comment ref="C32" authorId="1">
      <text>
        <r>
          <rPr>
            <sz val="11"/>
            <rFont val="楷体_GB2312"/>
            <charset val="134"/>
          </rPr>
          <t>其他特殊项请在右侧录入</t>
        </r>
      </text>
    </comment>
    <comment ref="C34" authorId="1">
      <text>
        <r>
          <rPr>
            <sz val="11"/>
            <rFont val="宋体"/>
            <charset val="134"/>
          </rPr>
          <t>廉租房、公租房、限价房、自住房</t>
        </r>
        <r>
          <rPr>
            <sz val="9"/>
            <rFont val="宋体"/>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charset val="134"/>
          </rPr>
          <t xml:space="preserve">
</t>
        </r>
        <r>
          <rPr>
            <sz val="10"/>
            <rFont val="仿宋_GB2312"/>
            <charset val="134"/>
          </rPr>
          <t>估价结果未扣除树木移除的费用。</t>
        </r>
      </text>
    </comment>
    <comment ref="K48" authorId="1">
      <text>
        <r>
          <rPr>
            <sz val="11"/>
            <rFont val="楷体_GB2312"/>
            <charset val="134"/>
          </rPr>
          <t>现房/在建（简单填写进度）/未建</t>
        </r>
        <r>
          <rPr>
            <sz val="9"/>
            <rFont val="宋体"/>
            <charset val="134"/>
          </rPr>
          <t xml:space="preserve">
</t>
        </r>
      </text>
    </comment>
    <comment ref="K49" authorId="1">
      <text>
        <r>
          <rPr>
            <sz val="11"/>
            <rFont val="楷体_GB2312"/>
            <charset val="134"/>
          </rPr>
          <t>现房/在建（简单填写进度）/未建</t>
        </r>
        <r>
          <rPr>
            <sz val="9"/>
            <rFont val="宋体"/>
            <charset val="134"/>
          </rPr>
          <t xml:space="preserve">
</t>
        </r>
      </text>
    </comment>
    <comment ref="K50" authorId="1">
      <text>
        <r>
          <rPr>
            <sz val="11"/>
            <rFont val="楷体_GB2312"/>
            <charset val="134"/>
          </rPr>
          <t>现房/在建（简单填写进度）/未建</t>
        </r>
        <r>
          <rPr>
            <sz val="9"/>
            <rFont val="宋体"/>
            <charset val="134"/>
          </rPr>
          <t xml:space="preserve">
</t>
        </r>
      </text>
    </comment>
    <comment ref="K51"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 ref="K57" authorId="1">
      <text>
        <r>
          <rPr>
            <sz val="11"/>
            <rFont val="楷体_GB2312"/>
            <charset val="134"/>
          </rPr>
          <t>现房/在建（简单填写进度）/未建</t>
        </r>
        <r>
          <rPr>
            <sz val="9"/>
            <rFont val="宋体"/>
            <charset val="134"/>
          </rPr>
          <t xml:space="preserve">
</t>
        </r>
      </text>
    </comment>
    <comment ref="K58"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0"/>
            <rFont val="宋体"/>
            <charset val="134"/>
          </rPr>
          <t>项不固定，随情况自定，但需包含有有主用途，如：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charset val="134"/>
          </rPr>
          <t xml:space="preserve">应结合项目开发期确定。同时可参考1年期贷款利率、余额宝等理财产品1年期收益率确定年利润，并折算至整个项目开发期。
</t>
        </r>
      </text>
    </comment>
    <comment ref="T5" authorId="1">
      <text>
        <r>
          <rPr>
            <sz val="12"/>
            <rFont val="宋体"/>
            <charset val="134"/>
          </rPr>
          <t>无值时不得空项，需录入“0”</t>
        </r>
        <r>
          <rPr>
            <sz val="9"/>
            <rFont val="宋体"/>
            <charset val="134"/>
          </rPr>
          <t xml:space="preserve">
</t>
        </r>
      </text>
    </commen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K5" authorId="0">
      <text>
        <r>
          <rPr>
            <sz val="10"/>
            <rFont val="宋体"/>
            <charset val="134"/>
          </rPr>
          <t>取值范围：
1.5%-2.5%</t>
        </r>
      </text>
    </comment>
    <comment ref="AL5" authorId="0">
      <text>
        <r>
          <rPr>
            <sz val="10"/>
            <rFont val="宋体"/>
            <charset val="134"/>
          </rPr>
          <t>取值范围：
0.15%-0.3%</t>
        </r>
      </text>
    </comment>
    <comment ref="AM5" authorId="0">
      <text>
        <r>
          <rPr>
            <sz val="10"/>
            <rFont val="宋体"/>
            <charset val="134"/>
          </rPr>
          <t>取值范围：1%-3%</t>
        </r>
      </text>
    </comment>
    <comment ref="B44" authorId="2">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rFont val="宋体"/>
            <charset val="134"/>
          </rPr>
          <t>需在下方列示计算过程</t>
        </r>
        <r>
          <rPr>
            <sz val="9"/>
            <rFont val="宋体"/>
            <charset val="134"/>
          </rPr>
          <t xml:space="preserve">
</t>
        </r>
      </text>
    </comment>
    <comment ref="H93" authorId="1">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72" authorId="1">
      <text>
        <r>
          <rPr>
            <b/>
            <sz val="12"/>
            <rFont val="宋体"/>
            <charset val="134"/>
          </rPr>
          <t>价值时点所在季度</t>
        </r>
        <r>
          <rPr>
            <sz val="12"/>
            <rFont val="宋体"/>
            <charset val="134"/>
          </rPr>
          <t xml:space="preserve">
</t>
        </r>
      </text>
    </comment>
    <comment ref="B73" authorId="0">
      <text>
        <r>
          <rPr>
            <sz val="12"/>
            <rFont val="宋体"/>
            <charset val="134"/>
          </rPr>
          <t>北京市公示数据计算的平均季度涨幅</t>
        </r>
        <r>
          <rPr>
            <sz val="9"/>
            <rFont val="宋体"/>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rFont val="宋体"/>
            <charset val="134"/>
          </rPr>
          <t>权重验证</t>
        </r>
        <r>
          <rPr>
            <sz val="9"/>
            <rFont val="宋体"/>
            <charset val="134"/>
          </rPr>
          <t xml:space="preserve">
</t>
        </r>
      </text>
    </comment>
    <comment ref="C67" authorId="1">
      <text>
        <r>
          <rPr>
            <b/>
            <sz val="12"/>
            <rFont val="宋体"/>
            <charset val="134"/>
          </rPr>
          <t>价值时点所在季度</t>
        </r>
        <r>
          <rPr>
            <sz val="12"/>
            <rFont val="宋体"/>
            <charset val="134"/>
          </rPr>
          <t xml:space="preserve">
</t>
        </r>
      </text>
    </comment>
    <comment ref="B68" authorId="0">
      <text>
        <r>
          <rPr>
            <sz val="12"/>
            <rFont val="宋体"/>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Y12" authorId="0">
      <text>
        <r>
          <rPr>
            <b/>
            <sz val="9"/>
            <rFont val="宋体"/>
            <charset val="134"/>
          </rPr>
          <t xml:space="preserve">所在楼层
</t>
        </r>
        <r>
          <rPr>
            <sz val="9"/>
            <rFont val="宋体"/>
            <charset val="134"/>
          </rPr>
          <t xml:space="preserve">
</t>
        </r>
      </text>
    </comment>
    <comment ref="Z12" authorId="0">
      <text>
        <r>
          <rPr>
            <b/>
            <sz val="9"/>
            <rFont val="宋体"/>
            <charset val="134"/>
          </rPr>
          <t xml:space="preserve">所在楼层
</t>
        </r>
        <r>
          <rPr>
            <sz val="9"/>
            <rFont val="宋体"/>
            <charset val="134"/>
          </rPr>
          <t xml:space="preserve">
</t>
        </r>
      </text>
    </comment>
    <comment ref="AA12" authorId="0">
      <text>
        <r>
          <rPr>
            <b/>
            <sz val="9"/>
            <rFont val="宋体"/>
            <charset val="134"/>
          </rPr>
          <t xml:space="preserve">所在楼层
</t>
        </r>
        <r>
          <rPr>
            <sz val="9"/>
            <rFont val="宋体"/>
            <charset val="134"/>
          </rPr>
          <t xml:space="preserve">
</t>
        </r>
      </text>
    </comment>
    <comment ref="AB12" authorId="0">
      <text>
        <r>
          <rPr>
            <b/>
            <sz val="9"/>
            <rFont val="宋体"/>
            <charset val="134"/>
          </rPr>
          <t xml:space="preserve">所在楼层
</t>
        </r>
        <r>
          <rPr>
            <sz val="9"/>
            <rFont val="宋体"/>
            <charset val="134"/>
          </rPr>
          <t xml:space="preserve">
</t>
        </r>
      </text>
    </comment>
    <comment ref="AC12" authorId="0">
      <text>
        <r>
          <rPr>
            <b/>
            <sz val="9"/>
            <rFont val="宋体"/>
            <charset val="134"/>
          </rPr>
          <t xml:space="preserve">所在楼层
</t>
        </r>
        <r>
          <rPr>
            <sz val="9"/>
            <rFont val="宋体"/>
            <charset val="134"/>
          </rPr>
          <t xml:space="preserve">
</t>
        </r>
      </text>
    </comment>
    <comment ref="AD12" authorId="0">
      <text>
        <r>
          <rPr>
            <b/>
            <sz val="9"/>
            <rFont val="宋体"/>
            <charset val="134"/>
          </rPr>
          <t xml:space="preserve">所在楼层
</t>
        </r>
        <r>
          <rPr>
            <sz val="9"/>
            <rFont val="宋体"/>
            <charset val="134"/>
          </rPr>
          <t xml:space="preserve">
</t>
        </r>
      </text>
    </comment>
    <comment ref="AE12" authorId="0">
      <text>
        <r>
          <rPr>
            <b/>
            <sz val="9"/>
            <rFont val="宋体"/>
            <charset val="134"/>
          </rPr>
          <t xml:space="preserve">所在楼层
</t>
        </r>
        <r>
          <rPr>
            <sz val="9"/>
            <rFont val="宋体"/>
            <charset val="134"/>
          </rPr>
          <t xml:space="preserve">
</t>
        </r>
      </text>
    </comment>
    <comment ref="AF12" authorId="0">
      <text>
        <r>
          <rPr>
            <b/>
            <sz val="9"/>
            <rFont val="宋体"/>
            <charset val="134"/>
          </rPr>
          <t xml:space="preserve">所在楼层
</t>
        </r>
        <r>
          <rPr>
            <sz val="9"/>
            <rFont val="宋体"/>
            <charset val="134"/>
          </rPr>
          <t xml:space="preserve">
</t>
        </r>
      </text>
    </comment>
    <comment ref="AG12" authorId="0">
      <text>
        <r>
          <rPr>
            <b/>
            <sz val="9"/>
            <rFont val="宋体"/>
            <charset val="134"/>
          </rPr>
          <t xml:space="preserve">所在楼层
</t>
        </r>
        <r>
          <rPr>
            <sz val="9"/>
            <rFont val="宋体"/>
            <charset val="134"/>
          </rPr>
          <t xml:space="preserve">
</t>
        </r>
      </text>
    </comment>
    <comment ref="AH12" authorId="0">
      <text>
        <r>
          <rPr>
            <b/>
            <sz val="9"/>
            <rFont val="宋体"/>
            <charset val="134"/>
          </rPr>
          <t xml:space="preserve">所在楼层
</t>
        </r>
        <r>
          <rPr>
            <sz val="9"/>
            <rFont val="宋体"/>
            <charset val="134"/>
          </rPr>
          <t xml:space="preserve">
</t>
        </r>
      </text>
    </comment>
    <comment ref="AI12" authorId="0">
      <text>
        <r>
          <rPr>
            <b/>
            <sz val="9"/>
            <rFont val="宋体"/>
            <charset val="134"/>
          </rPr>
          <t xml:space="preserve">所在楼层
</t>
        </r>
        <r>
          <rPr>
            <sz val="9"/>
            <rFont val="宋体"/>
            <charset val="134"/>
          </rPr>
          <t xml:space="preserve">
</t>
        </r>
      </text>
    </comment>
    <comment ref="AJ12" authorId="0">
      <text>
        <r>
          <rPr>
            <b/>
            <sz val="9"/>
            <rFont val="宋体"/>
            <charset val="134"/>
          </rPr>
          <t xml:space="preserve">所在楼层
</t>
        </r>
        <r>
          <rPr>
            <sz val="9"/>
            <rFont val="宋体"/>
            <charset val="134"/>
          </rPr>
          <t xml:space="preserve">
</t>
        </r>
      </text>
    </comment>
    <comment ref="D17" authorId="2">
      <text>
        <r>
          <rPr>
            <b/>
            <sz val="11"/>
            <rFont val="宋体"/>
            <charset val="134"/>
          </rPr>
          <t>七通：通路、通电、通讯、通上水、通下水、通燃气、通热。
五通：通路、通电、通讯、通上水、通下水</t>
        </r>
        <r>
          <rPr>
            <sz val="11"/>
            <rFont val="宋体"/>
            <charset val="134"/>
          </rPr>
          <t xml:space="preserve">
</t>
        </r>
      </text>
    </comment>
    <comment ref="B31" authorId="3">
      <text>
        <r>
          <rPr>
            <sz val="9"/>
            <rFont val="宋体"/>
            <charset val="134"/>
          </rPr>
          <t xml:space="preserve">地下商业：地上主用途需选商业
地下办公：地上主用途需选办公
地下仓储及车库：按地上主用途计算
</t>
        </r>
      </text>
    </comment>
    <comment ref="G41" authorId="3">
      <text>
        <r>
          <rPr>
            <sz val="10"/>
            <rFont val="宋体"/>
            <charset val="134"/>
          </rPr>
          <t xml:space="preserve">需在此处填写剩余土地年限
</t>
        </r>
      </text>
    </comment>
    <comment ref="C99" authorId="0">
      <text>
        <r>
          <rPr>
            <b/>
            <sz val="9"/>
            <rFont val="宋体"/>
            <charset val="134"/>
          </rPr>
          <t xml:space="preserve">所在楼层
</t>
        </r>
        <r>
          <rPr>
            <sz val="9"/>
            <rFont val="宋体"/>
            <charset val="134"/>
          </rPr>
          <t xml:space="preserve">
</t>
        </r>
      </text>
    </comment>
    <comment ref="D99" authorId="0">
      <text>
        <r>
          <rPr>
            <b/>
            <sz val="9"/>
            <rFont val="宋体"/>
            <charset val="134"/>
          </rPr>
          <t xml:space="preserve">所在楼层
</t>
        </r>
        <r>
          <rPr>
            <sz val="9"/>
            <rFont val="宋体"/>
            <charset val="134"/>
          </rPr>
          <t xml:space="preserve">
</t>
        </r>
      </text>
    </comment>
    <comment ref="E99" authorId="0">
      <text>
        <r>
          <rPr>
            <b/>
            <sz val="9"/>
            <rFont val="宋体"/>
            <charset val="134"/>
          </rPr>
          <t xml:space="preserve">所在楼层
</t>
        </r>
        <r>
          <rPr>
            <sz val="9"/>
            <rFont val="宋体"/>
            <charset val="134"/>
          </rPr>
          <t xml:space="preserve">
</t>
        </r>
      </text>
    </comment>
    <comment ref="F99" authorId="0">
      <text>
        <r>
          <rPr>
            <b/>
            <sz val="9"/>
            <rFont val="宋体"/>
            <charset val="134"/>
          </rPr>
          <t xml:space="preserve">所在楼层
</t>
        </r>
        <r>
          <rPr>
            <sz val="9"/>
            <rFont val="宋体"/>
            <charset val="134"/>
          </rPr>
          <t xml:space="preserve">
</t>
        </r>
      </text>
    </comment>
    <comment ref="G99" authorId="0">
      <text>
        <r>
          <rPr>
            <b/>
            <sz val="9"/>
            <rFont val="宋体"/>
            <charset val="134"/>
          </rPr>
          <t xml:space="preserve">所在楼层
</t>
        </r>
        <r>
          <rPr>
            <sz val="9"/>
            <rFont val="宋体"/>
            <charset val="134"/>
          </rPr>
          <t xml:space="preserve">
</t>
        </r>
      </text>
    </comment>
    <comment ref="H99" authorId="0">
      <text>
        <r>
          <rPr>
            <b/>
            <sz val="9"/>
            <rFont val="宋体"/>
            <charset val="134"/>
          </rPr>
          <t xml:space="preserve">所在楼层
</t>
        </r>
        <r>
          <rPr>
            <sz val="9"/>
            <rFont val="宋体"/>
            <charset val="134"/>
          </rPr>
          <t xml:space="preserve">
</t>
        </r>
      </text>
    </comment>
    <comment ref="I99" authorId="0">
      <text>
        <r>
          <rPr>
            <b/>
            <sz val="9"/>
            <rFont val="宋体"/>
            <charset val="134"/>
          </rPr>
          <t xml:space="preserve">所在楼层
</t>
        </r>
        <r>
          <rPr>
            <sz val="9"/>
            <rFont val="宋体"/>
            <charset val="134"/>
          </rPr>
          <t xml:space="preserve">
</t>
        </r>
      </text>
    </comment>
    <comment ref="J99" authorId="0">
      <text>
        <r>
          <rPr>
            <b/>
            <sz val="9"/>
            <rFont val="宋体"/>
            <charset val="134"/>
          </rPr>
          <t xml:space="preserve">所在楼层
</t>
        </r>
        <r>
          <rPr>
            <sz val="9"/>
            <rFont val="宋体"/>
            <charset val="134"/>
          </rPr>
          <t xml:space="preserve">
</t>
        </r>
      </text>
    </comment>
    <comment ref="K99" authorId="0">
      <text>
        <r>
          <rPr>
            <b/>
            <sz val="9"/>
            <rFont val="宋体"/>
            <charset val="134"/>
          </rPr>
          <t xml:space="preserve">所在楼层
</t>
        </r>
        <r>
          <rPr>
            <sz val="9"/>
            <rFont val="宋体"/>
            <charset val="134"/>
          </rPr>
          <t xml:space="preserve">
</t>
        </r>
      </text>
    </comment>
    <comment ref="L99" authorId="0">
      <text>
        <r>
          <rPr>
            <b/>
            <sz val="9"/>
            <rFont val="宋体"/>
            <charset val="134"/>
          </rPr>
          <t xml:space="preserve">所在楼层
</t>
        </r>
        <r>
          <rPr>
            <sz val="9"/>
            <rFont val="宋体"/>
            <charset val="134"/>
          </rPr>
          <t xml:space="preserve">
</t>
        </r>
      </text>
    </comment>
    <comment ref="M99" authorId="0">
      <text>
        <r>
          <rPr>
            <b/>
            <sz val="9"/>
            <rFont val="宋体"/>
            <charset val="134"/>
          </rPr>
          <t xml:space="preserve">所在楼层
</t>
        </r>
        <r>
          <rPr>
            <sz val="9"/>
            <rFont val="宋体"/>
            <charset val="134"/>
          </rPr>
          <t xml:space="preserve">
</t>
        </r>
      </text>
    </comment>
    <comment ref="N99" authorId="0">
      <text>
        <r>
          <rPr>
            <b/>
            <sz val="9"/>
            <rFont val="宋体"/>
            <charset val="134"/>
          </rPr>
          <t xml:space="preserve">所在楼层
</t>
        </r>
        <r>
          <rPr>
            <sz val="9"/>
            <rFont val="宋体"/>
            <charset val="134"/>
          </rPr>
          <t xml:space="preserve">
</t>
        </r>
      </text>
    </comment>
    <comment ref="C101" authorId="0">
      <text>
        <r>
          <rPr>
            <b/>
            <sz val="9"/>
            <rFont val="宋体"/>
            <charset val="134"/>
          </rPr>
          <t xml:space="preserve">容积率
</t>
        </r>
      </text>
    </comment>
    <comment ref="D101" authorId="0">
      <text>
        <r>
          <rPr>
            <b/>
            <sz val="9"/>
            <rFont val="宋体"/>
            <charset val="134"/>
          </rPr>
          <t xml:space="preserve">容积率
</t>
        </r>
      </text>
    </comment>
    <comment ref="E101" authorId="0">
      <text>
        <r>
          <rPr>
            <b/>
            <sz val="9"/>
            <rFont val="宋体"/>
            <charset val="134"/>
          </rPr>
          <t xml:space="preserve">容积率
</t>
        </r>
      </text>
    </comment>
    <comment ref="F101" authorId="0">
      <text>
        <r>
          <rPr>
            <b/>
            <sz val="9"/>
            <rFont val="宋体"/>
            <charset val="134"/>
          </rPr>
          <t xml:space="preserve">容积率
</t>
        </r>
      </text>
    </comment>
    <comment ref="G101" authorId="0">
      <text>
        <r>
          <rPr>
            <b/>
            <sz val="9"/>
            <rFont val="宋体"/>
            <charset val="134"/>
          </rPr>
          <t xml:space="preserve">容积率
</t>
        </r>
      </text>
    </comment>
    <comment ref="H101" authorId="0">
      <text>
        <r>
          <rPr>
            <b/>
            <sz val="9"/>
            <rFont val="宋体"/>
            <charset val="134"/>
          </rPr>
          <t xml:space="preserve">容积率
</t>
        </r>
      </text>
    </comment>
    <comment ref="I101" authorId="0">
      <text>
        <r>
          <rPr>
            <b/>
            <sz val="9"/>
            <rFont val="宋体"/>
            <charset val="134"/>
          </rPr>
          <t xml:space="preserve">容积率
</t>
        </r>
      </text>
    </comment>
    <comment ref="J101" authorId="0">
      <text>
        <r>
          <rPr>
            <b/>
            <sz val="9"/>
            <rFont val="宋体"/>
            <charset val="134"/>
          </rPr>
          <t xml:space="preserve">容积率
</t>
        </r>
      </text>
    </comment>
    <comment ref="K101" authorId="0">
      <text>
        <r>
          <rPr>
            <b/>
            <sz val="9"/>
            <rFont val="宋体"/>
            <charset val="134"/>
          </rPr>
          <t xml:space="preserve">容积率
</t>
        </r>
      </text>
    </comment>
    <comment ref="L101" authorId="0">
      <text>
        <r>
          <rPr>
            <b/>
            <sz val="9"/>
            <rFont val="宋体"/>
            <charset val="134"/>
          </rPr>
          <t xml:space="preserve">容积率
</t>
        </r>
      </text>
    </comment>
    <comment ref="M101" authorId="0">
      <text>
        <r>
          <rPr>
            <b/>
            <sz val="9"/>
            <rFont val="宋体"/>
            <charset val="134"/>
          </rPr>
          <t xml:space="preserve">容积率
</t>
        </r>
      </text>
    </comment>
    <comment ref="N101" authorId="0">
      <text>
        <r>
          <rPr>
            <b/>
            <sz val="9"/>
            <rFont val="宋体"/>
            <charset val="134"/>
          </rPr>
          <t xml:space="preserve">容积率
</t>
        </r>
      </text>
    </comment>
    <comment ref="C108" authorId="0">
      <text>
        <r>
          <rPr>
            <b/>
            <sz val="9"/>
            <rFont val="宋体"/>
            <charset val="134"/>
          </rPr>
          <t xml:space="preserve">所在楼层
</t>
        </r>
        <r>
          <rPr>
            <sz val="9"/>
            <rFont val="宋体"/>
            <charset val="134"/>
          </rPr>
          <t xml:space="preserve">
</t>
        </r>
      </text>
    </comment>
    <comment ref="D108" authorId="0">
      <text>
        <r>
          <rPr>
            <b/>
            <sz val="9"/>
            <rFont val="宋体"/>
            <charset val="134"/>
          </rPr>
          <t xml:space="preserve">所在楼层
</t>
        </r>
        <r>
          <rPr>
            <sz val="9"/>
            <rFont val="宋体"/>
            <charset val="134"/>
          </rPr>
          <t xml:space="preserve">
</t>
        </r>
      </text>
    </comment>
    <comment ref="E108" authorId="0">
      <text>
        <r>
          <rPr>
            <b/>
            <sz val="9"/>
            <rFont val="宋体"/>
            <charset val="134"/>
          </rPr>
          <t xml:space="preserve">所在楼层
</t>
        </r>
        <r>
          <rPr>
            <sz val="9"/>
            <rFont val="宋体"/>
            <charset val="134"/>
          </rPr>
          <t xml:space="preserve">
</t>
        </r>
      </text>
    </comment>
    <comment ref="F108" authorId="0">
      <text>
        <r>
          <rPr>
            <b/>
            <sz val="9"/>
            <rFont val="宋体"/>
            <charset val="134"/>
          </rPr>
          <t xml:space="preserve">所在楼层
</t>
        </r>
        <r>
          <rPr>
            <sz val="9"/>
            <rFont val="宋体"/>
            <charset val="134"/>
          </rPr>
          <t xml:space="preserve">
</t>
        </r>
      </text>
    </comment>
    <comment ref="G108" authorId="0">
      <text>
        <r>
          <rPr>
            <b/>
            <sz val="9"/>
            <rFont val="宋体"/>
            <charset val="134"/>
          </rPr>
          <t xml:space="preserve">所在楼层
</t>
        </r>
        <r>
          <rPr>
            <sz val="9"/>
            <rFont val="宋体"/>
            <charset val="134"/>
          </rPr>
          <t xml:space="preserve">
</t>
        </r>
      </text>
    </comment>
    <comment ref="H108" authorId="0">
      <text>
        <r>
          <rPr>
            <b/>
            <sz val="9"/>
            <rFont val="宋体"/>
            <charset val="134"/>
          </rPr>
          <t xml:space="preserve">所在楼层
</t>
        </r>
        <r>
          <rPr>
            <sz val="9"/>
            <rFont val="宋体"/>
            <charset val="134"/>
          </rPr>
          <t xml:space="preserve">
</t>
        </r>
      </text>
    </comment>
    <comment ref="I108" authorId="0">
      <text>
        <r>
          <rPr>
            <b/>
            <sz val="9"/>
            <rFont val="宋体"/>
            <charset val="134"/>
          </rPr>
          <t xml:space="preserve">所在楼层
</t>
        </r>
        <r>
          <rPr>
            <sz val="9"/>
            <rFont val="宋体"/>
            <charset val="134"/>
          </rPr>
          <t xml:space="preserve">
</t>
        </r>
      </text>
    </comment>
    <comment ref="J108" authorId="0">
      <text>
        <r>
          <rPr>
            <b/>
            <sz val="9"/>
            <rFont val="宋体"/>
            <charset val="134"/>
          </rPr>
          <t xml:space="preserve">所在楼层
</t>
        </r>
        <r>
          <rPr>
            <sz val="9"/>
            <rFont val="宋体"/>
            <charset val="134"/>
          </rPr>
          <t xml:space="preserve">
</t>
        </r>
      </text>
    </comment>
    <comment ref="K108" authorId="0">
      <text>
        <r>
          <rPr>
            <b/>
            <sz val="9"/>
            <rFont val="宋体"/>
            <charset val="134"/>
          </rPr>
          <t xml:space="preserve">所在楼层
</t>
        </r>
        <r>
          <rPr>
            <sz val="9"/>
            <rFont val="宋体"/>
            <charset val="134"/>
          </rPr>
          <t xml:space="preserve">
</t>
        </r>
      </text>
    </comment>
    <comment ref="L108" authorId="0">
      <text>
        <r>
          <rPr>
            <b/>
            <sz val="9"/>
            <rFont val="宋体"/>
            <charset val="134"/>
          </rPr>
          <t xml:space="preserve">所在楼层
</t>
        </r>
        <r>
          <rPr>
            <sz val="9"/>
            <rFont val="宋体"/>
            <charset val="134"/>
          </rPr>
          <t xml:space="preserve">
</t>
        </r>
      </text>
    </comment>
    <comment ref="M108" authorId="0">
      <text>
        <r>
          <rPr>
            <b/>
            <sz val="9"/>
            <rFont val="宋体"/>
            <charset val="134"/>
          </rPr>
          <t xml:space="preserve">所在楼层
</t>
        </r>
        <r>
          <rPr>
            <sz val="9"/>
            <rFont val="宋体"/>
            <charset val="134"/>
          </rPr>
          <t xml:space="preserve">
</t>
        </r>
      </text>
    </comment>
    <comment ref="N108" authorId="0">
      <text>
        <r>
          <rPr>
            <b/>
            <sz val="9"/>
            <rFont val="宋体"/>
            <charset val="134"/>
          </rPr>
          <t xml:space="preserve">所在楼层
</t>
        </r>
        <r>
          <rPr>
            <sz val="9"/>
            <rFont val="宋体"/>
            <charset val="134"/>
          </rPr>
          <t xml:space="preserve">
</t>
        </r>
      </text>
    </comment>
    <comment ref="D113" authorId="0">
      <text>
        <r>
          <rPr>
            <b/>
            <sz val="9"/>
            <rFont val="宋体"/>
            <charset val="134"/>
          </rPr>
          <t>依用途、级别选择录入</t>
        </r>
        <r>
          <rPr>
            <sz val="9"/>
            <rFont val="宋体"/>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rFont val="宋体"/>
            <charset val="134"/>
          </rPr>
          <t>开发期≤1年，单利计息；＞1年，复利计息</t>
        </r>
        <r>
          <rPr>
            <sz val="9"/>
            <rFont val="宋体"/>
            <charset val="134"/>
          </rPr>
          <t xml:space="preserve">
</t>
        </r>
      </text>
    </comment>
    <comment ref="I53" authorId="0">
      <text>
        <r>
          <rPr>
            <sz val="11"/>
            <rFont val="宋体"/>
            <charset val="134"/>
          </rPr>
          <t>依据一般经验，应比建筑物资本化率高0.5%</t>
        </r>
        <r>
          <rPr>
            <sz val="9"/>
            <rFont val="宋体"/>
            <charset val="134"/>
          </rPr>
          <t xml:space="preserve">
</t>
        </r>
      </text>
    </comment>
    <comment ref="L53" authorId="0">
      <text>
        <r>
          <rPr>
            <sz val="11"/>
            <rFont val="宋体"/>
            <charset val="134"/>
          </rPr>
          <t xml:space="preserve">需注意，采用基准地价系数修正法中土地结果计算时，土地报酬率应采用该方法中报酬率（还原率）。
</t>
        </r>
      </text>
    </comment>
    <comment ref="L56" authorId="0">
      <text>
        <r>
          <rPr>
            <sz val="11"/>
            <rFont val="宋体"/>
            <charset val="134"/>
          </rPr>
          <t>采用租约时，尽量不选用收益还原法</t>
        </r>
        <r>
          <rPr>
            <sz val="9"/>
            <rFont val="宋体"/>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15.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16.xml><?xml version="1.0" encoding="utf-8"?>
<comments xmlns="http://schemas.openxmlformats.org/spreadsheetml/2006/main">
  <authors>
    <author>崔锴</author>
  </authors>
  <commentList>
    <comment ref="I57" authorId="0">
      <text>
        <r>
          <rPr>
            <sz val="11"/>
            <rFont val="宋体"/>
            <charset val="134"/>
          </rPr>
          <t>依据一般经验，应比建筑物资本化率高0.5%</t>
        </r>
        <r>
          <rPr>
            <sz val="9"/>
            <rFont val="宋体"/>
            <charset val="134"/>
          </rPr>
          <t xml:space="preserve">
</t>
        </r>
      </text>
    </comment>
    <comment ref="L57" authorId="0">
      <text>
        <r>
          <rPr>
            <sz val="11"/>
            <rFont val="宋体"/>
            <charset val="134"/>
          </rPr>
          <t xml:space="preserve">需注意，采用基准地价系数修正法中土地结果计算时，土地报酬率应采用该方法中报酬率（还原率）。
</t>
        </r>
      </text>
    </comment>
    <comment ref="L60" authorId="0">
      <text>
        <r>
          <rPr>
            <sz val="11"/>
            <rFont val="宋体"/>
            <charset val="134"/>
          </rPr>
          <t>采用租约时，尽量不选用收益还原法</t>
        </r>
        <r>
          <rPr>
            <sz val="9"/>
            <rFont val="宋体"/>
            <charset val="134"/>
          </rPr>
          <t xml:space="preserve">
</t>
        </r>
      </text>
    </comment>
    <comment ref="I61" authorId="0">
      <text>
        <r>
          <rPr>
            <sz val="11"/>
            <rFont val="宋体"/>
            <charset val="134"/>
          </rPr>
          <t>未建项目选择“是”</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9.xml><?xml version="1.0" encoding="utf-8"?>
<comments xmlns="http://schemas.openxmlformats.org/spreadsheetml/2006/main">
  <authors>
    <author>崔锴</author>
  </authors>
  <commentList>
    <comment ref="I57" authorId="0">
      <text>
        <r>
          <rPr>
            <sz val="11"/>
            <rFont val="宋体"/>
            <charset val="134"/>
          </rPr>
          <t>依据一般经验，应比建筑物资本化率高0.5%</t>
        </r>
        <r>
          <rPr>
            <sz val="9"/>
            <rFont val="宋体"/>
            <charset val="134"/>
          </rPr>
          <t xml:space="preserve">
</t>
        </r>
      </text>
    </comment>
    <comment ref="L57" authorId="0">
      <text>
        <r>
          <rPr>
            <sz val="11"/>
            <rFont val="宋体"/>
            <charset val="134"/>
          </rPr>
          <t xml:space="preserve">需注意，采用基准地价系数修正法中土地结果计算时，土地报酬率应采用该方法中报酬率（还原率）。
</t>
        </r>
      </text>
    </comment>
    <comment ref="L60" authorId="0">
      <text>
        <r>
          <rPr>
            <sz val="11"/>
            <rFont val="宋体"/>
            <charset val="134"/>
          </rPr>
          <t>采用租约时，尽量不选用收益还原法</t>
        </r>
        <r>
          <rPr>
            <sz val="9"/>
            <rFont val="宋体"/>
            <charset val="134"/>
          </rPr>
          <t xml:space="preserve">
</t>
        </r>
      </text>
    </comment>
    <comment ref="I61" authorId="0">
      <text>
        <r>
          <rPr>
            <sz val="11"/>
            <rFont val="宋体"/>
            <charset val="134"/>
          </rPr>
          <t>未建项目选择“是”</t>
        </r>
        <r>
          <rPr>
            <sz val="9"/>
            <rFont val="宋体"/>
            <charset val="134"/>
          </rPr>
          <t xml:space="preserve">
</t>
        </r>
      </text>
    </comment>
  </commentList>
</comments>
</file>

<file path=xl/comments20.xml><?xml version="1.0" encoding="utf-8"?>
<comments xmlns="http://schemas.openxmlformats.org/spreadsheetml/2006/main">
  <authors>
    <author>崔锴</author>
  </authors>
  <commentList>
    <comment ref="I57" authorId="0">
      <text>
        <r>
          <rPr>
            <sz val="11"/>
            <rFont val="宋体"/>
            <charset val="134"/>
          </rPr>
          <t>依据一般经验，应比建筑物资本化率高0.5%</t>
        </r>
        <r>
          <rPr>
            <sz val="9"/>
            <rFont val="宋体"/>
            <charset val="134"/>
          </rPr>
          <t xml:space="preserve">
</t>
        </r>
      </text>
    </comment>
    <comment ref="L57" authorId="0">
      <text>
        <r>
          <rPr>
            <sz val="11"/>
            <rFont val="宋体"/>
            <charset val="134"/>
          </rPr>
          <t xml:space="preserve">需注意，采用基准地价系数修正法中土地结果计算时，土地报酬率应采用该方法中报酬率（还原率）。
</t>
        </r>
      </text>
    </comment>
    <comment ref="L60" authorId="0">
      <text>
        <r>
          <rPr>
            <sz val="11"/>
            <rFont val="宋体"/>
            <charset val="134"/>
          </rPr>
          <t>采用租约时，尽量不选用收益还原法</t>
        </r>
        <r>
          <rPr>
            <sz val="9"/>
            <rFont val="宋体"/>
            <charset val="134"/>
          </rPr>
          <t xml:space="preserve">
</t>
        </r>
      </text>
    </comment>
    <comment ref="I61" authorId="0">
      <text>
        <r>
          <rPr>
            <sz val="11"/>
            <rFont val="宋体"/>
            <charset val="134"/>
          </rPr>
          <t>未建项目选择“是”</t>
        </r>
        <r>
          <rPr>
            <sz val="9"/>
            <rFont val="宋体"/>
            <charset val="134"/>
          </rPr>
          <t xml:space="preserve">
</t>
        </r>
      </text>
    </comment>
  </commentList>
</comments>
</file>

<file path=xl/comments21.xml><?xml version="1.0" encoding="utf-8"?>
<comments xmlns="http://schemas.openxmlformats.org/spreadsheetml/2006/main">
  <authors>
    <author>崔锴</author>
  </authors>
  <commentList>
    <comment ref="L57" authorId="0">
      <text>
        <r>
          <rPr>
            <sz val="11"/>
            <rFont val="宋体"/>
            <charset val="134"/>
          </rPr>
          <t xml:space="preserve">需注意，采用基准地价系数修正法中土地结果计算时，土地报酬率应采用该方法中报酬率（还原率）。
</t>
        </r>
      </text>
    </comment>
    <comment ref="L60" authorId="0">
      <text>
        <r>
          <rPr>
            <sz val="11"/>
            <rFont val="宋体"/>
            <charset val="134"/>
          </rPr>
          <t>采用租约时，尽量不选用收益还原法</t>
        </r>
        <r>
          <rPr>
            <sz val="9"/>
            <rFont val="宋体"/>
            <charset val="134"/>
          </rPr>
          <t xml:space="preserve">
</t>
        </r>
      </text>
    </comment>
    <comment ref="I61" authorId="0">
      <text>
        <r>
          <rPr>
            <sz val="11"/>
            <rFont val="宋体"/>
            <charset val="134"/>
          </rPr>
          <t>未建项目选择“是”</t>
        </r>
        <r>
          <rPr>
            <sz val="9"/>
            <rFont val="宋体"/>
            <charset val="134"/>
          </rPr>
          <t xml:space="preserve">
</t>
        </r>
      </text>
    </comment>
  </commentList>
</comments>
</file>

<file path=xl/comments22.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23.xml><?xml version="1.0" encoding="utf-8"?>
<comments xmlns="http://schemas.openxmlformats.org/spreadsheetml/2006/main">
  <authors>
    <author>DDLL</author>
  </authors>
  <commentList>
    <comment ref="M4" authorId="0">
      <text>
        <r>
          <rPr>
            <sz val="9"/>
            <rFont val="宋体"/>
            <charset val="134"/>
          </rPr>
          <t>截止2022年12月31日的中央财政支持资金共计500亿元，主要用于白洋淀治理、骨干交通建设和征地拆迁支出
启动区按照20%的比例分摊</t>
        </r>
      </text>
    </comment>
    <comment ref="M5" authorId="0">
      <text>
        <r>
          <rPr>
            <sz val="9"/>
            <rFont val="宋体"/>
            <charset val="134"/>
          </rPr>
          <t>截止2022年12月31日的中央财政支持资金共计500亿元，主要用于白洋淀治理、骨干交通建设和征地拆迁支出
启动区按照20%的比例分摊</t>
        </r>
      </text>
    </comment>
    <comment ref="N14" authorId="0">
      <text>
        <r>
          <rPr>
            <sz val="9"/>
            <rFont val="宋体"/>
            <charset val="134"/>
          </rPr>
          <t xml:space="preserve">未扣除北京市政府投资23.5亿元
</t>
        </r>
      </text>
    </comment>
    <comment ref="M22" authorId="0">
      <text>
        <r>
          <rPr>
            <sz val="9"/>
            <rFont val="宋体"/>
            <charset val="134"/>
          </rPr>
          <t xml:space="preserve">未扣除北京市政府投资23.5亿元
</t>
        </r>
      </text>
    </comment>
  </commentList>
</comments>
</file>

<file path=xl/comments24.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5.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26.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7.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8.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sharedStrings.xml><?xml version="1.0" encoding="utf-8"?>
<sst xmlns="http://schemas.openxmlformats.org/spreadsheetml/2006/main" count="11463" uniqueCount="2671">
  <si>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</si>
  <si>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487289040803"/>
        <rFont val="Arial"/>
        <charset val="134"/>
      </rPr>
      <t>“</t>
    </r>
    <r>
      <rPr>
        <b/>
        <i/>
        <sz val="12"/>
        <color theme="3" tint="0.399487289040803"/>
        <rFont val="宋体"/>
        <charset val="134"/>
      </rPr>
      <t>致函链接表</t>
    </r>
    <r>
      <rPr>
        <b/>
        <i/>
        <sz val="12"/>
        <color theme="3" tint="0.399487289040803"/>
        <rFont val="Arial"/>
        <charset val="134"/>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</si>
  <si>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</si>
  <si>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</si>
  <si>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</si>
  <si>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</si>
  <si>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</si>
  <si>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</si>
  <si>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</si>
  <si>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</si>
  <si>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</si>
  <si>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</si>
  <si>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</si>
  <si>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</si>
  <si>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</si>
  <si>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</si>
  <si>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</si>
  <si>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</si>
  <si>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</si>
  <si>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</si>
  <si>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</si>
  <si>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</si>
  <si>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</si>
  <si>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</si>
  <si>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</si>
  <si>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</si>
  <si>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</si>
  <si>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</si>
  <si>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</si>
  <si>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</si>
  <si>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</si>
  <si>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</si>
  <si>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</si>
  <si>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</si>
  <si>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</si>
  <si>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</si>
  <si>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</si>
  <si>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</si>
  <si>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</si>
  <si>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</si>
  <si>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</si>
  <si>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</si>
  <si>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</si>
  <si>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</si>
  <si>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</si>
  <si>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</si>
  <si>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</si>
  <si>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</si>
  <si>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</si>
  <si>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</si>
  <si>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</si>
  <si>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</si>
  <si>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</si>
  <si>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</si>
  <si>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</si>
  <si>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</si>
  <si>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</si>
  <si>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</si>
  <si>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</si>
  <si>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</si>
  <si>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</si>
  <si>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</si>
  <si>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</si>
  <si>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</si>
  <si>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</si>
  <si>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</si>
  <si>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</si>
  <si>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</si>
  <si>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</si>
  <si>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</si>
  <si>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</si>
  <si>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</si>
  <si>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</si>
  <si>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</si>
  <si>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</si>
  <si>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</si>
  <si>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</si>
  <si>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</si>
  <si>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</si>
  <si>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</si>
  <si>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</si>
  <si>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</si>
  <si>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</si>
  <si>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</si>
  <si>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</si>
  <si>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</si>
  <si>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</si>
  <si>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</si>
  <si>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</si>
  <si>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</si>
  <si>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</si>
  <si>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</si>
  <si>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</si>
  <si>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</si>
  <si>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</si>
  <si>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</si>
  <si>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</si>
  <si>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</si>
  <si>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</si>
  <si>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</si>
  <si>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</si>
  <si>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</si>
  <si>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</si>
  <si>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</si>
  <si>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</si>
  <si>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</si>
  <si>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</si>
  <si>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</si>
  <si>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</si>
  <si>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</si>
  <si>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</si>
  <si>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</si>
  <si>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</si>
  <si>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</si>
  <si>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487289040803"/>
        <rFont val="仿宋_GB2312"/>
        <charset val="134"/>
      </rPr>
      <t>（证载）</t>
    </r>
  </si>
  <si>
    <t>设定</t>
  </si>
  <si>
    <t>规划</t>
  </si>
  <si>
    <r>
      <rPr>
        <sz val="10.5"/>
        <color theme="1"/>
        <rFont val="仿宋_GB2312"/>
        <charset val="134"/>
      </rPr>
      <t>实际</t>
    </r>
    <r>
      <rPr>
        <i/>
        <sz val="10.5"/>
        <color theme="3" tint="0.399487289040803"/>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</si>
  <si>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</si>
  <si>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</si>
  <si>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</si>
  <si>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</si>
  <si>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</si>
  <si>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</si>
  <si>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</si>
  <si>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</si>
  <si>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</si>
  <si>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</si>
  <si>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487289040803"/>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</si>
  <si>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</si>
  <si>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</si>
  <si>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</si>
  <si>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</si>
  <si>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</si>
  <si>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</si>
  <si>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</si>
  <si>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</si>
  <si>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</si>
  <si>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</si>
  <si>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charset val="134"/>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</si>
  <si>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</si>
  <si>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</si>
  <si>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</si>
  <si>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</si>
  <si>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</si>
  <si>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</si>
  <si>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</si>
  <si>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</si>
  <si>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</si>
  <si>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</si>
  <si>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</si>
  <si>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</si>
  <si>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</si>
  <si>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</si>
  <si>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</si>
  <si>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</si>
  <si>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</si>
  <si>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</si>
  <si>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</si>
  <si>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</si>
  <si>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</si>
  <si>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</si>
  <si>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</si>
  <si>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</si>
  <si>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</si>
  <si>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</si>
  <si>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</si>
  <si>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</si>
  <si>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</si>
  <si>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</si>
  <si>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</si>
  <si>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</si>
  <si>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</si>
  <si>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</si>
  <si>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charset val="134"/>
      </rPr>
      <t>基准地价</t>
    </r>
    <r>
      <rPr>
        <sz val="11"/>
        <color indexed="8"/>
        <rFont val="Arial"/>
        <charset val="134"/>
      </rPr>
      <t>-</t>
    </r>
    <r>
      <rPr>
        <sz val="11"/>
        <color indexed="8"/>
        <rFont val="宋体"/>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</si>
  <si>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</si>
  <si>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</si>
  <si>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</si>
  <si>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charset val="134"/>
      </rPr>
      <t>‘</t>
    </r>
    <r>
      <rPr>
        <b/>
        <sz val="12"/>
        <color indexed="10"/>
        <rFont val="仿宋_GB2312"/>
        <charset val="134"/>
      </rPr>
      <t>移动或复制</t>
    </r>
    <r>
      <rPr>
        <b/>
        <sz val="12"/>
        <color indexed="10"/>
        <rFont val="Arial"/>
        <charset val="134"/>
      </rPr>
      <t>’</t>
    </r>
    <r>
      <rPr>
        <b/>
        <sz val="12"/>
        <color indexed="10"/>
        <rFont val="仿宋_GB2312"/>
        <charset val="134"/>
      </rPr>
      <t>，勾选建立副本，以保证公示链接无误</t>
    </r>
  </si>
  <si>
    <r>
      <rPr>
        <b/>
        <sz val="12"/>
        <color indexed="10"/>
        <rFont val="仿宋_GB2312"/>
        <charset val="134"/>
      </rPr>
      <t>数据</t>
    </r>
    <r>
      <rPr>
        <b/>
        <sz val="12"/>
        <color indexed="10"/>
        <rFont val="Arial"/>
        <charset val="134"/>
      </rPr>
      <t>-</t>
    </r>
    <r>
      <rPr>
        <b/>
        <sz val="12"/>
        <color indexed="10"/>
        <rFont val="仿宋_GB2312"/>
        <charset val="134"/>
      </rPr>
      <t>基础表</t>
    </r>
    <r>
      <rPr>
        <b/>
        <sz val="12"/>
        <color indexed="10"/>
        <rFont val="Arial"/>
        <charset val="134"/>
      </rPr>
      <t xml:space="preserve">  </t>
    </r>
    <r>
      <rPr>
        <b/>
        <sz val="12"/>
        <color indexed="10"/>
        <rFont val="仿宋_GB2312"/>
        <charset val="134"/>
      </rPr>
      <t>面积录入特殊说明</t>
    </r>
  </si>
  <si>
    <r>
      <rPr>
        <sz val="11"/>
        <color indexed="8"/>
        <rFont val="Arial"/>
        <charset val="134"/>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</si>
  <si>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charset val="134"/>
      </rPr>
      <t>2.</t>
    </r>
    <r>
      <rPr>
        <sz val="11"/>
        <color indexed="8"/>
        <rFont val="仿宋_GB2312"/>
        <charset val="134"/>
      </rPr>
      <t>在抵押物范围的先录</t>
    </r>
    <r>
      <rPr>
        <sz val="11"/>
        <color indexed="8"/>
        <rFont val="Arial"/>
        <charset val="134"/>
      </rPr>
      <t>,</t>
    </r>
    <r>
      <rPr>
        <sz val="11"/>
        <color indexed="8"/>
        <rFont val="仿宋_GB2312"/>
        <charset val="134"/>
      </rPr>
      <t>以便核对</t>
    </r>
  </si>
  <si>
    <r>
      <rPr>
        <sz val="11"/>
        <color indexed="8"/>
        <rFont val="Arial"/>
        <charset val="134"/>
      </rPr>
      <t>3.</t>
    </r>
    <r>
      <rPr>
        <sz val="11"/>
        <color indexed="8"/>
        <rFont val="仿宋_GB2312"/>
        <charset val="134"/>
      </rPr>
      <t>面积录入中允许存在不能从来源文件中直接摘录的数据，但应列出计算公式并批注，如地上公共配套含自行车库</t>
    </r>
    <r>
      <rPr>
        <sz val="11"/>
        <color indexed="8"/>
        <rFont val="Arial"/>
        <charset val="134"/>
      </rPr>
      <t>100</t>
    </r>
    <r>
      <rPr>
        <sz val="11"/>
        <color indexed="8"/>
        <rFont val="仿宋_GB2312"/>
        <charset val="134"/>
      </rPr>
      <t>、有线电视</t>
    </r>
    <r>
      <rPr>
        <sz val="11"/>
        <color indexed="8"/>
        <rFont val="Arial"/>
        <charset val="134"/>
      </rPr>
      <t>50</t>
    </r>
    <r>
      <rPr>
        <sz val="11"/>
        <color indexed="8"/>
        <rFont val="仿宋_GB2312"/>
        <charset val="134"/>
      </rPr>
      <t>、锅炉房</t>
    </r>
    <r>
      <rPr>
        <sz val="11"/>
        <color indexed="8"/>
        <rFont val="Arial"/>
        <charset val="134"/>
      </rPr>
      <t>50</t>
    </r>
    <r>
      <rPr>
        <sz val="11"/>
        <color indexed="8"/>
        <rFont val="仿宋_GB2312"/>
        <charset val="134"/>
      </rPr>
      <t>，则单元格中应录入</t>
    </r>
    <r>
      <rPr>
        <sz val="11"/>
        <color indexed="8"/>
        <rFont val="Arial"/>
        <charset val="134"/>
      </rPr>
      <t>“=100+50+50”</t>
    </r>
    <r>
      <rPr>
        <sz val="11"/>
        <color indexed="8"/>
        <rFont val="仿宋_GB2312"/>
        <charset val="134"/>
      </rPr>
      <t>。扣减值设置有单元格进行说明，所以无需批注。</t>
    </r>
  </si>
  <si>
    <r>
      <rPr>
        <sz val="11"/>
        <color indexed="8"/>
        <rFont val="Arial"/>
        <charset val="134"/>
      </rPr>
      <t>4.</t>
    </r>
    <r>
      <rPr>
        <sz val="11"/>
        <color indexed="8"/>
        <rFont val="仿宋_GB2312"/>
        <charset val="134"/>
      </rPr>
      <t>未注明用途的计入非经营性用途——</t>
    </r>
    <r>
      <rPr>
        <sz val="11"/>
        <color indexed="8"/>
        <rFont val="Arial"/>
        <charset val="134"/>
      </rPr>
      <t>"</t>
    </r>
    <r>
      <rPr>
        <sz val="11"/>
        <color indexed="8"/>
        <rFont val="仿宋_GB2312"/>
        <charset val="134"/>
      </rPr>
      <t>未注明</t>
    </r>
    <r>
      <rPr>
        <sz val="11"/>
        <color indexed="8"/>
        <rFont val="Arial"/>
        <charset val="134"/>
      </rPr>
      <t>"</t>
    </r>
    <r>
      <rPr>
        <sz val="11"/>
        <color indexed="8"/>
        <rFont val="仿宋_GB2312"/>
        <charset val="134"/>
      </rPr>
      <t>一项，单独录入，计算时按设备用房处理</t>
    </r>
  </si>
  <si>
    <r>
      <rPr>
        <sz val="11"/>
        <color indexed="8"/>
        <rFont val="Arial"/>
        <charset val="134"/>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</si>
  <si>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</si>
  <si>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</si>
  <si>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</si>
  <si>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</si>
  <si>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</si>
  <si>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</si>
  <si>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</si>
  <si>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</si>
  <si>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</si>
  <si>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</si>
  <si>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</si>
  <si>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</si>
  <si>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</si>
  <si>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</si>
  <si>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</si>
  <si>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</si>
  <si>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</si>
  <si>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</si>
  <si>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</si>
  <si>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</si>
  <si>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</si>
  <si>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</si>
  <si>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</si>
  <si>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</si>
  <si>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</si>
  <si>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</si>
  <si>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</si>
  <si>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</si>
  <si>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</si>
  <si>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延期至2020年底</t>
  </si>
  <si>
    <t>用途类型</t>
  </si>
  <si>
    <r>
      <rPr>
        <sz val="11"/>
        <color indexed="8"/>
        <rFont val="仿宋_GB2312"/>
        <charset val="134"/>
      </rPr>
      <t>估价方法</t>
    </r>
  </si>
  <si>
    <t>土地级别</t>
  </si>
  <si>
    <r>
      <rPr>
        <sz val="11"/>
        <color indexed="8"/>
        <rFont val="仿宋_GB2312"/>
        <charset val="134"/>
      </rPr>
      <t>判定</t>
    </r>
  </si>
  <si>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</si>
  <si>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</si>
  <si>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</si>
  <si>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</si>
  <si>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</si>
  <si>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</si>
  <si>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</si>
  <si>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</si>
  <si>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</si>
  <si>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</si>
  <si>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</si>
  <si>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</si>
  <si>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</si>
  <si>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</si>
  <si>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</si>
  <si>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</si>
  <si>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</si>
  <si>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</si>
  <si>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</si>
  <si>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r>
      <rPr>
        <sz val="11"/>
        <color indexed="8"/>
        <rFont val="仿宋_GB2312"/>
        <charset val="134"/>
      </rPr>
      <t>平层住宅</t>
    </r>
  </si>
  <si>
    <r>
      <rPr>
        <sz val="11"/>
        <color indexed="8"/>
        <rFont val="仿宋_GB2312"/>
        <charset val="134"/>
      </rPr>
      <t>剩余法</t>
    </r>
    <r>
      <rPr>
        <sz val="11"/>
        <color indexed="8"/>
        <rFont val="Arial"/>
        <charset val="134"/>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</si>
  <si>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</si>
  <si>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</si>
  <si>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</si>
  <si>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</si>
  <si>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charset val="134"/>
      </rPr>
      <t>60-70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</si>
  <si>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</si>
  <si>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</si>
  <si>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</si>
  <si>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</si>
  <si>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</si>
  <si>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charset val="134"/>
      </rPr>
      <t>好</t>
    </r>
  </si>
  <si>
    <r>
      <rPr>
        <sz val="11"/>
        <color theme="1"/>
        <rFont val="Arial"/>
        <charset val="134"/>
      </rPr>
      <t>LOFT</t>
    </r>
    <r>
      <rPr>
        <sz val="11"/>
        <color indexed="8"/>
        <rFont val="仿宋_GB2312"/>
        <charset val="134"/>
      </rPr>
      <t>住宅</t>
    </r>
  </si>
  <si>
    <r>
      <rPr>
        <sz val="11"/>
        <color indexed="8"/>
        <rFont val="仿宋_GB2312"/>
        <charset val="134"/>
      </rPr>
      <t>剩余法</t>
    </r>
    <r>
      <rPr>
        <sz val="11"/>
        <color indexed="8"/>
        <rFont val="Arial"/>
        <charset val="134"/>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</si>
  <si>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</si>
  <si>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</si>
  <si>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</si>
  <si>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charset val="134"/>
      </rPr>
      <t>50-60</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</si>
  <si>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</si>
  <si>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</si>
  <si>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</si>
  <si>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</si>
  <si>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</si>
  <si>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charset val="134"/>
      </rPr>
      <t>较好</t>
    </r>
  </si>
  <si>
    <r>
      <rPr>
        <sz val="11"/>
        <color indexed="8"/>
        <rFont val="仿宋_GB2312"/>
        <charset val="134"/>
      </rPr>
      <t>普通住宅</t>
    </r>
  </si>
  <si>
    <r>
      <rPr>
        <sz val="11"/>
        <color indexed="8"/>
        <rFont val="仿宋_GB2312"/>
        <charset val="134"/>
      </rPr>
      <t>比较法</t>
    </r>
    <r>
      <rPr>
        <sz val="11"/>
        <color indexed="8"/>
        <rFont val="Arial"/>
        <charset val="134"/>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</si>
  <si>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</si>
  <si>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</si>
  <si>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</si>
  <si>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charset val="134"/>
      </rPr>
      <t>40-50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</si>
  <si>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</si>
  <si>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</si>
  <si>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</si>
  <si>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charset val="134"/>
      </rPr>
      <t>一般</t>
    </r>
  </si>
  <si>
    <r>
      <rPr>
        <sz val="11"/>
        <color indexed="8"/>
        <rFont val="仿宋_GB2312"/>
        <charset val="134"/>
      </rPr>
      <t>公寓</t>
    </r>
  </si>
  <si>
    <r>
      <rPr>
        <sz val="11"/>
        <color indexed="8"/>
        <rFont val="仿宋_GB2312"/>
        <charset val="134"/>
      </rPr>
      <t>比较法</t>
    </r>
    <r>
      <rPr>
        <sz val="11"/>
        <color indexed="8"/>
        <rFont val="Arial"/>
        <charset val="134"/>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</si>
  <si>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</si>
  <si>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</si>
  <si>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</si>
  <si>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charset val="134"/>
      </rPr>
      <t>30-40</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</si>
  <si>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</si>
  <si>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</si>
  <si>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</si>
  <si>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charset val="134"/>
      </rPr>
      <t>较差</t>
    </r>
  </si>
  <si>
    <r>
      <rPr>
        <sz val="11"/>
        <color indexed="8"/>
        <rFont val="仿宋_GB2312"/>
        <charset val="134"/>
      </rPr>
      <t>洋房</t>
    </r>
  </si>
  <si>
    <t>五级</t>
  </si>
  <si>
    <r>
      <rPr>
        <sz val="11"/>
        <color indexed="8"/>
        <rFont val="仿宋_GB2312"/>
        <charset val="134"/>
      </rPr>
      <t>仓储</t>
    </r>
  </si>
  <si>
    <r>
      <rPr>
        <sz val="11"/>
        <color theme="1"/>
        <rFont val="Arial"/>
        <charset val="134"/>
      </rPr>
      <t>20-30</t>
    </r>
    <r>
      <rPr>
        <sz val="11"/>
        <color indexed="8"/>
        <rFont val="仿宋_GB2312"/>
        <charset val="134"/>
      </rPr>
      <t>（含）</t>
    </r>
  </si>
  <si>
    <r>
      <rPr>
        <sz val="11"/>
        <color indexed="8"/>
        <rFont val="仿宋_GB2312"/>
        <charset val="134"/>
      </rPr>
      <t>差</t>
    </r>
  </si>
  <si>
    <t>三通</t>
  </si>
  <si>
    <r>
      <rPr>
        <sz val="11"/>
        <color indexed="8"/>
        <rFont val="楷体_GB2312"/>
        <charset val="134"/>
      </rPr>
      <t>差</t>
    </r>
  </si>
  <si>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</si>
  <si>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</si>
  <si>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</si>
  <si>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charset val="134"/>
      </rPr>
      <t>—</t>
    </r>
    <r>
      <rPr>
        <sz val="11"/>
        <color indexed="8"/>
        <rFont val="仿宋_GB2312"/>
        <charset val="134"/>
      </rPr>
      <t>商业</t>
    </r>
  </si>
  <si>
    <r>
      <rPr>
        <sz val="11"/>
        <color theme="1"/>
        <rFont val="Arial"/>
        <charset val="134"/>
      </rPr>
      <t>10-20</t>
    </r>
    <r>
      <rPr>
        <sz val="11"/>
        <color indexed="8"/>
        <rFont val="仿宋_GB2312"/>
        <charset val="134"/>
      </rPr>
      <t>（含）</t>
    </r>
  </si>
  <si>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</si>
  <si>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</si>
  <si>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</si>
  <si>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charset val="134"/>
      </rPr>
      <t>—</t>
    </r>
    <r>
      <rPr>
        <sz val="11"/>
        <color indexed="8"/>
        <rFont val="仿宋_GB2312"/>
        <charset val="134"/>
      </rPr>
      <t>办公</t>
    </r>
  </si>
  <si>
    <r>
      <rPr>
        <sz val="11"/>
        <color theme="1"/>
        <rFont val="Arial"/>
        <charset val="134"/>
      </rPr>
      <t>0-10</t>
    </r>
    <r>
      <rPr>
        <sz val="11"/>
        <color indexed="8"/>
        <rFont val="仿宋_GB2312"/>
        <charset val="134"/>
      </rPr>
      <t>（含）</t>
    </r>
  </si>
  <si>
    <r>
      <rPr>
        <sz val="11"/>
        <color indexed="8"/>
        <rFont val="仿宋_GB2312"/>
        <charset val="134"/>
      </rPr>
      <t>双拼</t>
    </r>
  </si>
  <si>
    <r>
      <rPr>
        <sz val="11"/>
        <color indexed="8"/>
        <rFont val="仿宋_GB2312"/>
        <charset val="134"/>
      </rPr>
      <t>不动产比较法</t>
    </r>
    <r>
      <rPr>
        <sz val="11"/>
        <color indexed="8"/>
        <rFont val="Arial"/>
        <charset val="134"/>
      </rPr>
      <t>-</t>
    </r>
    <r>
      <rPr>
        <sz val="11"/>
        <color indexed="8"/>
        <rFont val="仿宋_GB2312"/>
        <charset val="134"/>
      </rPr>
      <t>住宅</t>
    </r>
  </si>
  <si>
    <t>八级</t>
  </si>
  <si>
    <r>
      <rPr>
        <sz val="11"/>
        <color indexed="8"/>
        <rFont val="仿宋_GB2312"/>
        <charset val="134"/>
      </rPr>
      <t>独栋</t>
    </r>
  </si>
  <si>
    <r>
      <rPr>
        <sz val="11"/>
        <color indexed="8"/>
        <rFont val="仿宋_GB2312"/>
        <charset val="134"/>
      </rPr>
      <t>不动产比较法</t>
    </r>
    <r>
      <rPr>
        <sz val="11"/>
        <color indexed="8"/>
        <rFont val="Arial"/>
        <charset val="134"/>
      </rPr>
      <t>-</t>
    </r>
    <r>
      <rPr>
        <sz val="11"/>
        <color indexed="8"/>
        <rFont val="仿宋_GB2312"/>
        <charset val="134"/>
      </rPr>
      <t>商业</t>
    </r>
  </si>
  <si>
    <t>九级</t>
  </si>
  <si>
    <r>
      <rPr>
        <sz val="11"/>
        <color indexed="8"/>
        <rFont val="仿宋_GB2312"/>
        <charset val="134"/>
      </rPr>
      <t>底商</t>
    </r>
  </si>
  <si>
    <r>
      <rPr>
        <sz val="11"/>
        <color indexed="8"/>
        <rFont val="仿宋_GB2312"/>
        <charset val="134"/>
      </rPr>
      <t>不动产比较法</t>
    </r>
    <r>
      <rPr>
        <sz val="11"/>
        <color indexed="8"/>
        <rFont val="Arial"/>
        <charset val="134"/>
      </rPr>
      <t>-</t>
    </r>
    <r>
      <rPr>
        <sz val="11"/>
        <color indexed="8"/>
        <rFont val="仿宋_GB2312"/>
        <charset val="134"/>
      </rPr>
      <t>办公</t>
    </r>
  </si>
  <si>
    <t>十级</t>
  </si>
  <si>
    <r>
      <rPr>
        <sz val="11"/>
        <color indexed="8"/>
        <rFont val="仿宋_GB2312"/>
        <charset val="134"/>
      </rPr>
      <t>独立商业</t>
    </r>
  </si>
  <si>
    <r>
      <rPr>
        <sz val="11"/>
        <color indexed="8"/>
        <rFont val="仿宋_GB2312"/>
        <charset val="134"/>
      </rPr>
      <t>不动产比较法</t>
    </r>
    <r>
      <rPr>
        <sz val="11"/>
        <color indexed="8"/>
        <rFont val="Arial"/>
        <charset val="134"/>
      </rPr>
      <t>-</t>
    </r>
    <r>
      <rPr>
        <sz val="11"/>
        <color indexed="8"/>
        <rFont val="仿宋_GB2312"/>
        <charset val="134"/>
      </rPr>
      <t>工业</t>
    </r>
  </si>
  <si>
    <t>十一级</t>
  </si>
  <si>
    <r>
      <rPr>
        <sz val="11"/>
        <color indexed="8"/>
        <rFont val="仿宋_GB2312"/>
        <charset val="134"/>
      </rPr>
      <t>商业街</t>
    </r>
  </si>
  <si>
    <r>
      <rPr>
        <sz val="11"/>
        <color indexed="8"/>
        <rFont val="仿宋_GB2312"/>
        <charset val="134"/>
      </rPr>
      <t>不动产比较法</t>
    </r>
    <r>
      <rPr>
        <sz val="11"/>
        <color indexed="8"/>
        <rFont val="Arial"/>
        <charset val="134"/>
      </rPr>
      <t>-</t>
    </r>
    <r>
      <rPr>
        <sz val="11"/>
        <color indexed="8"/>
        <rFont val="仿宋_GB2312"/>
        <charset val="134"/>
      </rPr>
      <t>车位</t>
    </r>
  </si>
  <si>
    <t>十二级</t>
  </si>
  <si>
    <r>
      <rPr>
        <sz val="11"/>
        <color indexed="8"/>
        <rFont val="仿宋_GB2312"/>
        <charset val="134"/>
      </rPr>
      <t>酒店</t>
    </r>
  </si>
  <si>
    <r>
      <rPr>
        <sz val="11"/>
        <color indexed="8"/>
        <rFont val="仿宋_GB2312"/>
        <charset val="134"/>
      </rPr>
      <t>不动产比较法</t>
    </r>
    <r>
      <rPr>
        <sz val="11"/>
        <color indexed="8"/>
        <rFont val="Arial"/>
        <charset val="134"/>
      </rPr>
      <t>-</t>
    </r>
    <r>
      <rPr>
        <sz val="11"/>
        <color indexed="8"/>
        <rFont val="仿宋_GB2312"/>
        <charset val="134"/>
      </rPr>
      <t>仓储</t>
    </r>
  </si>
  <si>
    <r>
      <rPr>
        <sz val="11"/>
        <color indexed="8"/>
        <rFont val="仿宋_GB2312"/>
        <charset val="134"/>
      </rPr>
      <t>标准厂房</t>
    </r>
  </si>
  <si>
    <r>
      <rPr>
        <sz val="11"/>
        <color indexed="8"/>
        <rFont val="宋体"/>
        <charset val="134"/>
      </rPr>
      <t>不动产收益法</t>
    </r>
    <r>
      <rPr>
        <sz val="11"/>
        <color indexed="8"/>
        <rFont val="Arial"/>
        <charset val="134"/>
      </rPr>
      <t>-</t>
    </r>
    <r>
      <rPr>
        <sz val="11"/>
        <color indexed="8"/>
        <rFont val="宋体"/>
        <charset val="134"/>
      </rPr>
      <t>商业</t>
    </r>
  </si>
  <si>
    <r>
      <rPr>
        <sz val="11"/>
        <color indexed="8"/>
        <rFont val="仿宋_GB2312"/>
        <charset val="134"/>
      </rPr>
      <t>特殊厂房</t>
    </r>
  </si>
  <si>
    <r>
      <rPr>
        <sz val="11"/>
        <color indexed="8"/>
        <rFont val="宋体"/>
        <charset val="134"/>
      </rPr>
      <t>不动产收益法</t>
    </r>
    <r>
      <rPr>
        <sz val="11"/>
        <color indexed="8"/>
        <rFont val="Arial"/>
        <charset val="134"/>
      </rPr>
      <t>-</t>
    </r>
    <r>
      <rPr>
        <sz val="11"/>
        <color indexed="8"/>
        <rFont val="宋体"/>
        <charset val="134"/>
      </rPr>
      <t>办公</t>
    </r>
  </si>
  <si>
    <r>
      <rPr>
        <sz val="11"/>
        <color indexed="8"/>
        <rFont val="仿宋_GB2312"/>
        <charset val="134"/>
      </rPr>
      <t>办公楼</t>
    </r>
  </si>
  <si>
    <r>
      <rPr>
        <sz val="11"/>
        <color indexed="8"/>
        <rFont val="宋体"/>
        <charset val="134"/>
      </rPr>
      <t>不动产收益法</t>
    </r>
    <r>
      <rPr>
        <sz val="11"/>
        <color indexed="8"/>
        <rFont val="Arial"/>
        <charset val="134"/>
      </rPr>
      <t>-</t>
    </r>
    <r>
      <rPr>
        <sz val="11"/>
        <color indexed="8"/>
        <rFont val="宋体"/>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</si>
  <si>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</si>
  <si>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</si>
  <si>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</si>
  <si>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</si>
  <si>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</si>
  <si>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r>
      <rPr>
        <sz val="11"/>
        <color theme="1"/>
        <rFont val="宋体"/>
        <charset val="134"/>
      </rPr>
      <t>不动产收益法</t>
    </r>
    <r>
      <rPr>
        <sz val="11"/>
        <color theme="1"/>
        <rFont val="Arial"/>
        <charset val="134"/>
      </rPr>
      <t>-</t>
    </r>
    <r>
      <rPr>
        <sz val="11"/>
        <color theme="1"/>
        <rFont val="宋体"/>
        <charset val="134"/>
      </rPr>
      <t>酒店模型</t>
    </r>
  </si>
  <si>
    <r>
      <rPr>
        <sz val="11"/>
        <color indexed="8"/>
        <rFont val="仿宋_GB2312"/>
        <charset val="134"/>
      </rPr>
      <t>燃品库房</t>
    </r>
  </si>
  <si>
    <t>不动产收益法--基础经营</t>
  </si>
  <si>
    <r>
      <rPr>
        <sz val="11"/>
        <color indexed="8"/>
        <rFont val="仿宋_GB2312"/>
        <charset val="134"/>
      </rPr>
      <t>非燃品库房</t>
    </r>
  </si>
  <si>
    <t>不动产收益法--市场化商业</t>
  </si>
  <si>
    <r>
      <rPr>
        <sz val="11"/>
        <color theme="1"/>
        <rFont val="宋体"/>
        <charset val="134"/>
      </rPr>
      <t>不动产收益法</t>
    </r>
    <r>
      <rPr>
        <sz val="11"/>
        <color theme="1"/>
        <rFont val="Arial"/>
        <charset val="134"/>
      </rPr>
      <t>--</t>
    </r>
    <r>
      <rPr>
        <sz val="11"/>
        <color theme="1"/>
        <rFont val="宋体"/>
        <charset val="134"/>
      </rPr>
      <t>公共服务设施</t>
    </r>
  </si>
  <si>
    <r>
      <rPr>
        <sz val="11"/>
        <color indexed="8"/>
        <rFont val="仿宋_GB2312"/>
        <charset val="134"/>
      </rPr>
      <t>限价商品房</t>
    </r>
  </si>
  <si>
    <t>不动产收益法-持加转--商业</t>
  </si>
  <si>
    <r>
      <rPr>
        <sz val="11"/>
        <color indexed="8"/>
        <rFont val="仿宋_GB2312"/>
        <charset val="134"/>
      </rPr>
      <t>自住商品房</t>
    </r>
  </si>
  <si>
    <t>不动产收益法-持加转--办公</t>
  </si>
  <si>
    <t>*</t>
  </si>
  <si>
    <t>不动产收益法--住宅自持</t>
  </si>
  <si>
    <r>
      <rPr>
        <sz val="11"/>
        <color theme="1"/>
        <rFont val="宋体"/>
        <charset val="134"/>
      </rPr>
      <t>不动产收益法</t>
    </r>
    <r>
      <rPr>
        <sz val="11"/>
        <color theme="1"/>
        <rFont val="Arial"/>
        <charset val="134"/>
      </rPr>
      <t>--</t>
    </r>
    <r>
      <rPr>
        <sz val="11"/>
        <color theme="1"/>
        <rFont val="宋体"/>
        <charset val="134"/>
      </rPr>
      <t>商业</t>
    </r>
  </si>
  <si>
    <t>不动产收益法--工业</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</si>
  <si>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</si>
  <si>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</si>
  <si>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</si>
  <si>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</si>
  <si>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</si>
  <si>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</si>
  <si>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</si>
  <si>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</si>
  <si>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</si>
  <si>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</si>
  <si>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</si>
  <si>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</si>
  <si>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</si>
  <si>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，本次评估估价对象证载（地类）用途为城镇住宅用地。本次评估设定用途即为证载用途城镇住宅用地。</t>
    </r>
  </si>
  <si>
    <r>
      <rPr>
        <sz val="11"/>
        <color theme="1"/>
        <rFont val="Arial"/>
        <charset val="134"/>
      </rPr>
      <t xml:space="preserve">OR </t>
    </r>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，本次评估估价对象证载（地类）用途为城镇住宅用地；根据估价对象已取得的《国有建设用地使用权出让合同》及附件</t>
    </r>
    <r>
      <rPr>
        <sz val="11"/>
        <color indexed="8"/>
        <rFont val="Arial"/>
        <charset val="134"/>
      </rPr>
      <t>[]</t>
    </r>
    <r>
      <rPr>
        <sz val="11"/>
        <color indexed="8"/>
        <rFont val="宋体"/>
        <charset val="134"/>
      </rPr>
      <t>、《北京市规划委员会关于同意</t>
    </r>
    <r>
      <rPr>
        <sz val="11"/>
        <color indexed="8"/>
        <rFont val="Arial"/>
        <charset val="134"/>
      </rPr>
      <t>XX</t>
    </r>
    <r>
      <rPr>
        <sz val="11"/>
        <color indexed="8"/>
        <rFont val="宋体"/>
        <charset val="134"/>
      </rPr>
      <t>项目的规划设计方案的规划意见复函》</t>
    </r>
    <r>
      <rPr>
        <sz val="11"/>
        <color indexed="8"/>
        <rFont val="Arial"/>
        <charset val="134"/>
      </rPr>
      <t>[]</t>
    </r>
    <r>
      <rPr>
        <sz val="11"/>
        <color indexed="8"/>
        <rFont val="宋体"/>
        <charset val="134"/>
      </rPr>
      <t>以及《建设工程规划许可证》</t>
    </r>
    <r>
      <rPr>
        <sz val="11"/>
        <color indexed="8"/>
        <rFont val="Arial"/>
        <charset val="134"/>
      </rPr>
      <t>[]</t>
    </r>
    <r>
      <rPr>
        <sz val="11"/>
        <color indexed="8"/>
        <rFont val="宋体"/>
        <charset val="134"/>
      </rPr>
      <t>，估价对象土地规划用途调整为住宅、商业及地下车库</t>
    </r>
    <r>
      <rPr>
        <sz val="11"/>
        <color indexed="8"/>
        <rFont val="Arial"/>
        <charset val="134"/>
      </rPr>
      <t>OR</t>
    </r>
    <r>
      <rPr>
        <sz val="11"/>
        <color indexed="8"/>
        <rFont val="宋体"/>
        <charset val="134"/>
      </rPr>
      <t>估价对象规划用途为</t>
    </r>
    <r>
      <rPr>
        <sz val="11"/>
        <color indexed="8"/>
        <rFont val="Arial"/>
        <charset val="134"/>
      </rPr>
      <t>XX</t>
    </r>
    <r>
      <rPr>
        <sz val="11"/>
        <color indexed="8"/>
        <rFont val="宋体"/>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</si>
  <si>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</si>
  <si>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</si>
  <si>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</si>
  <si>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</si>
  <si>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</si>
  <si>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</si>
  <si>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r>
      <rPr>
        <sz val="12"/>
        <color indexed="8"/>
        <rFont val="仿宋_GB2312"/>
        <charset val="134"/>
      </rPr>
      <t>金融机构</t>
    </r>
    <r>
      <rPr>
        <sz val="10"/>
        <color indexed="8"/>
        <rFont val="仿宋_GB2312"/>
        <charset val="134"/>
      </rPr>
      <t>(贷款方)</t>
    </r>
  </si>
  <si>
    <t>借款方</t>
  </si>
  <si>
    <t>抵押结果包含：</t>
  </si>
  <si>
    <t>价值类型</t>
  </si>
  <si>
    <t>项目所在城市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</si>
  <si>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</si>
  <si>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</si>
  <si>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</si>
  <si>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</si>
  <si>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</si>
  <si>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</si>
  <si>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</si>
  <si>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</si>
  <si>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</si>
  <si>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住宅</t>
  </si>
  <si>
    <t>商业</t>
  </si>
  <si>
    <t>办公</t>
  </si>
  <si>
    <t>车库</t>
  </si>
  <si>
    <t>仓储</t>
  </si>
  <si>
    <t>土地性质</t>
  </si>
  <si>
    <t>出让</t>
  </si>
  <si>
    <t>终止日期</t>
  </si>
  <si>
    <t>出让年限</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</si>
  <si>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</si>
  <si>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</si>
  <si>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</si>
  <si>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</si>
  <si>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</si>
  <si>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</si>
  <si>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</si>
  <si>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</si>
  <si>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</si>
  <si>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</si>
  <si>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</si>
  <si>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</si>
  <si>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</si>
  <si>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</si>
  <si>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</si>
  <si>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</si>
  <si>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</si>
  <si>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</si>
  <si>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</si>
  <si>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</si>
  <si>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</si>
  <si>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</si>
  <si>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</si>
  <si>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</si>
  <si>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</si>
  <si>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</si>
  <si>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</si>
  <si>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</si>
  <si>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</si>
  <si>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</si>
  <si>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</si>
  <si>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</si>
  <si>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</si>
  <si>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</si>
  <si>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</si>
  <si>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</si>
  <si>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</si>
  <si>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</si>
  <si>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</si>
  <si>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</si>
  <si>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</si>
  <si>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</si>
  <si>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</si>
  <si>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</si>
  <si>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</si>
  <si>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</si>
  <si>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</si>
  <si>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</si>
  <si>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</si>
  <si>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</si>
  <si>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</si>
  <si>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</si>
  <si>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</si>
  <si>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</si>
  <si>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</si>
  <si>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</si>
  <si>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</si>
  <si>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</si>
  <si>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</si>
  <si>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</si>
  <si>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</si>
  <si>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</si>
  <si>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</si>
  <si>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</si>
  <si>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</si>
  <si>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</si>
  <si>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</si>
  <si>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</si>
  <si>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</si>
  <si>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</si>
  <si>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</si>
  <si>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</si>
  <si>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</si>
  <si>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</si>
  <si>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</si>
  <si>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</si>
  <si>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</si>
  <si>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</si>
  <si>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</si>
  <si>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</si>
  <si>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</si>
  <si>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</si>
  <si>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</si>
  <si>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</si>
  <si>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</si>
  <si>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</si>
  <si>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</si>
  <si>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</si>
  <si>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</si>
  <si>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t>否</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</si>
  <si>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</si>
  <si>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</si>
  <si>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</si>
  <si>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</si>
  <si>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charset val="134"/>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</si>
  <si>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</si>
  <si>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</si>
  <si>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</si>
  <si>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</si>
  <si>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</si>
  <si>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</si>
  <si>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charset val="134"/>
      </rPr>
      <t>10</t>
    </r>
    <r>
      <rPr>
        <sz val="10"/>
        <color indexed="8"/>
        <rFont val="仿宋_GB2312"/>
        <charset val="134"/>
      </rPr>
      <t>格</t>
    </r>
    <r>
      <rPr>
        <sz val="10"/>
        <color indexed="8"/>
        <rFont val="Arial"/>
        <charset val="134"/>
      </rPr>
      <t>)</t>
    </r>
  </si>
  <si>
    <r>
      <rPr>
        <sz val="10"/>
        <color indexed="8"/>
        <rFont val="仿宋_GB2312"/>
        <charset val="134"/>
      </rPr>
      <t>非经营性用途（共设</t>
    </r>
    <r>
      <rPr>
        <sz val="10"/>
        <color indexed="8"/>
        <rFont val="Arial"/>
        <charset val="134"/>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</si>
  <si>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</si>
  <si>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</si>
  <si>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</si>
  <si>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t>地上</t>
  </si>
  <si>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</si>
  <si>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</si>
  <si>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charset val="134"/>
      </rPr>
      <t>“</t>
    </r>
    <r>
      <rPr>
        <sz val="10"/>
        <color indexed="8"/>
        <rFont val="仿宋_GB2312"/>
        <charset val="134"/>
      </rPr>
      <t>无</t>
    </r>
    <r>
      <rPr>
        <sz val="10"/>
        <color indexed="8"/>
        <rFont val="Arial"/>
        <charset val="134"/>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</si>
  <si>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</si>
  <si>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</si>
  <si>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</si>
  <si>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</si>
  <si>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</si>
  <si>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</si>
  <si>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</si>
  <si>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普通住宅</t>
  </si>
  <si>
    <t>（住宅）</t>
  </si>
  <si>
    <t>（住宅、计出让金）</t>
  </si>
  <si>
    <r>
      <rPr>
        <sz val="10"/>
        <color indexed="8"/>
        <rFont val="仿宋_GB2312"/>
        <charset val="134"/>
      </rPr>
      <t>总值</t>
    </r>
  </si>
  <si>
    <r>
      <rPr>
        <sz val="10"/>
        <color indexed="8"/>
        <rFont val="仿宋_GB2312"/>
        <charset val="134"/>
      </rPr>
      <t>扣减值</t>
    </r>
  </si>
  <si>
    <t>是</t>
  </si>
  <si>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</si>
  <si>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</si>
  <si>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</si>
  <si>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</si>
  <si>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charset val="134"/>
      </rPr>
      <t>容积率</t>
    </r>
  </si>
  <si>
    <r>
      <rPr>
        <b/>
        <sz val="11"/>
        <color indexed="8"/>
        <rFont val="仿宋_GB2312"/>
        <charset val="134"/>
      </rPr>
      <t>面积总计</t>
    </r>
  </si>
  <si>
    <r>
      <rPr>
        <sz val="11"/>
        <color indexed="8"/>
        <rFont val="楷体_GB2312"/>
        <charset val="134"/>
      </rPr>
      <t>项目</t>
    </r>
  </si>
  <si>
    <r>
      <rPr>
        <sz val="11"/>
        <color indexed="8"/>
        <rFont val="楷体_GB2312"/>
        <charset val="134"/>
      </rPr>
      <t>总</t>
    </r>
  </si>
  <si>
    <r>
      <rPr>
        <sz val="11"/>
        <color indexed="8"/>
        <rFont val="楷体_GB2312"/>
        <charset val="134"/>
      </rPr>
      <t>地上</t>
    </r>
  </si>
  <si>
    <r>
      <rPr>
        <sz val="11"/>
        <color indexed="8"/>
        <rFont val="Arial"/>
        <charset val="134"/>
      </rPr>
      <t>1.</t>
    </r>
    <r>
      <rPr>
        <sz val="11"/>
        <color indexed="8"/>
        <rFont val="仿宋_GB2312"/>
        <charset val="134"/>
      </rPr>
      <t>其中：</t>
    </r>
  </si>
  <si>
    <r>
      <rPr>
        <sz val="11"/>
        <color indexed="8"/>
        <rFont val="楷体_GB2312"/>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</si>
  <si>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</si>
  <si>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</si>
  <si>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</si>
  <si>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charset val="134"/>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</si>
  <si>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</si>
  <si>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</si>
  <si>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</si>
  <si>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</si>
  <si>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</si>
  <si>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</si>
  <si>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</si>
  <si>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charset val="134"/>
      </rPr>
      <t>-</t>
    </r>
    <r>
      <rPr>
        <sz val="11"/>
        <color indexed="8"/>
        <rFont val="仿宋_GB2312"/>
        <charset val="134"/>
      </rPr>
      <t>商业</t>
    </r>
  </si>
  <si>
    <r>
      <rPr>
        <sz val="11"/>
        <color indexed="8"/>
        <rFont val="仿宋_GB2312"/>
        <charset val="134"/>
      </rPr>
      <t>地下车库</t>
    </r>
    <r>
      <rPr>
        <sz val="11"/>
        <color indexed="8"/>
        <rFont val="Arial"/>
        <charset val="134"/>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</si>
  <si>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</si>
  <si>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</si>
  <si>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</si>
  <si>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charset val="134"/>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</si>
  <si>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</si>
  <si>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</si>
  <si>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</si>
  <si>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</si>
  <si>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</si>
  <si>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</si>
  <si>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</si>
  <si>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</si>
  <si>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设备</t>
  </si>
  <si>
    <t>公共配套(住宅)</t>
  </si>
  <si>
    <t>合</t>
  </si>
  <si>
    <t>住宅可售</t>
  </si>
  <si>
    <t>住宅共有产</t>
  </si>
  <si>
    <t>住宅自持</t>
  </si>
  <si>
    <t>商业及配套</t>
  </si>
  <si>
    <r>
      <rPr>
        <sz val="11"/>
        <color indexed="8"/>
        <rFont val="仿宋_GB2312"/>
        <charset val="134"/>
      </rPr>
      <t>设备及其他</t>
    </r>
  </si>
  <si>
    <t>公共配套及物业（住宅）</t>
  </si>
  <si>
    <r>
      <rPr>
        <b/>
        <sz val="11"/>
        <color indexed="8"/>
        <rFont val="仿宋_GB2312"/>
        <charset val="134"/>
      </rPr>
      <t>合计</t>
    </r>
  </si>
  <si>
    <t>总计</t>
  </si>
  <si>
    <t>住宅用房合计</t>
  </si>
  <si>
    <r>
      <rPr>
        <b/>
        <sz val="14"/>
        <color indexed="10"/>
        <rFont val="楷体_GB2312"/>
        <charset val="134"/>
      </rPr>
      <t>数据取费表</t>
    </r>
  </si>
  <si>
    <r>
      <rPr>
        <b/>
        <sz val="11"/>
        <color indexed="8"/>
        <rFont val="楷体_GB2312"/>
        <charset val="134"/>
      </rPr>
      <t>价值时点</t>
    </r>
    <r>
      <rPr>
        <b/>
        <sz val="11"/>
        <color indexed="8"/>
        <rFont val="Arial"/>
        <charset val="134"/>
      </rPr>
      <t>/</t>
    </r>
    <r>
      <rPr>
        <b/>
        <sz val="11"/>
        <color indexed="8"/>
        <rFont val="楷体_GB2312"/>
        <charset val="134"/>
      </rPr>
      <t>估价期日</t>
    </r>
  </si>
  <si>
    <r>
      <rPr>
        <b/>
        <sz val="11"/>
        <color indexed="8"/>
        <rFont val="楷体_GB2312"/>
        <charset val="134"/>
      </rPr>
      <t>综合取费</t>
    </r>
  </si>
  <si>
    <t>土地使用年期</t>
  </si>
  <si>
    <t>建安费用</t>
  </si>
  <si>
    <r>
      <rPr>
        <sz val="11"/>
        <color indexed="8"/>
        <rFont val="楷体_GB2312"/>
        <charset val="134"/>
      </rPr>
      <t>无租约</t>
    </r>
    <r>
      <rPr>
        <sz val="11"/>
        <color indexed="8"/>
        <rFont val="Arial"/>
        <charset val="134"/>
      </rPr>
      <t>/</t>
    </r>
    <r>
      <rPr>
        <sz val="11"/>
        <color indexed="8"/>
        <rFont val="楷体_GB2312"/>
        <charset val="134"/>
      </rPr>
      <t>租期内</t>
    </r>
  </si>
  <si>
    <r>
      <rPr>
        <sz val="11"/>
        <color indexed="8"/>
        <rFont val="楷体_GB2312"/>
        <charset val="134"/>
      </rPr>
      <t>租期外</t>
    </r>
  </si>
  <si>
    <r>
      <rPr>
        <sz val="11"/>
        <color indexed="8"/>
        <rFont val="楷体_GB2312"/>
        <charset val="134"/>
      </rPr>
      <t>收益期</t>
    </r>
  </si>
  <si>
    <r>
      <rPr>
        <sz val="11"/>
        <color indexed="8"/>
        <rFont val="楷体_GB2312"/>
        <charset val="134"/>
      </rPr>
      <t>类别</t>
    </r>
  </si>
  <si>
    <r>
      <rPr>
        <sz val="11"/>
        <color indexed="8"/>
        <rFont val="楷体_GB2312"/>
        <charset val="134"/>
      </rPr>
      <t>地类判定</t>
    </r>
  </si>
  <si>
    <r>
      <rPr>
        <sz val="11"/>
        <rFont val="楷体_GB2312"/>
        <charset val="134"/>
      </rPr>
      <t>法定最高</t>
    </r>
    <r>
      <rPr>
        <sz val="11"/>
        <rFont val="Arial"/>
        <charset val="134"/>
      </rPr>
      <t>/</t>
    </r>
    <r>
      <rPr>
        <sz val="11"/>
        <rFont val="楷体_GB2312"/>
        <charset val="134"/>
      </rPr>
      <t>出让年限</t>
    </r>
  </si>
  <si>
    <r>
      <rPr>
        <sz val="11"/>
        <color indexed="8"/>
        <rFont val="楷体_GB2312"/>
        <charset val="134"/>
      </rPr>
      <t>终止日期</t>
    </r>
  </si>
  <si>
    <r>
      <rPr>
        <sz val="11"/>
        <color indexed="8"/>
        <rFont val="楷体_GB2312"/>
        <charset val="134"/>
      </rPr>
      <t>剩余土地使用年限</t>
    </r>
  </si>
  <si>
    <r>
      <rPr>
        <sz val="11"/>
        <color indexed="8"/>
        <rFont val="楷体_GB2312"/>
        <charset val="134"/>
      </rPr>
      <t>年期修正系数</t>
    </r>
  </si>
  <si>
    <r>
      <rPr>
        <sz val="11"/>
        <color indexed="8"/>
        <rFont val="楷体_GB2312"/>
        <charset val="134"/>
      </rPr>
      <t>还原率</t>
    </r>
    <r>
      <rPr>
        <sz val="11"/>
        <color indexed="8"/>
        <rFont val="Arial"/>
        <charset val="134"/>
      </rPr>
      <t>-</t>
    </r>
    <r>
      <rPr>
        <sz val="11"/>
        <color indexed="8"/>
        <rFont val="楷体_GB2312"/>
        <charset val="134"/>
      </rPr>
      <t>土地</t>
    </r>
  </si>
  <si>
    <r>
      <rPr>
        <sz val="11"/>
        <color indexed="8"/>
        <rFont val="楷体_GB2312"/>
        <charset val="134"/>
      </rPr>
      <t>还原率</t>
    </r>
    <r>
      <rPr>
        <sz val="11"/>
        <color indexed="8"/>
        <rFont val="Arial"/>
        <charset val="134"/>
      </rPr>
      <t>-</t>
    </r>
    <r>
      <rPr>
        <sz val="11"/>
        <color indexed="8"/>
        <rFont val="楷体_GB2312"/>
        <charset val="134"/>
      </rPr>
      <t>综合</t>
    </r>
  </si>
  <si>
    <r>
      <rPr>
        <sz val="11"/>
        <color indexed="8"/>
        <rFont val="楷体_GB2312"/>
        <charset val="134"/>
      </rPr>
      <t>资本化率</t>
    </r>
    <r>
      <rPr>
        <sz val="11"/>
        <color indexed="8"/>
        <rFont val="Arial"/>
        <charset val="134"/>
      </rPr>
      <t>-</t>
    </r>
    <r>
      <rPr>
        <sz val="11"/>
        <color indexed="8"/>
        <rFont val="楷体_GB2312"/>
        <charset val="134"/>
      </rPr>
      <t>建筑物</t>
    </r>
  </si>
  <si>
    <r>
      <rPr>
        <sz val="11"/>
        <color indexed="8"/>
        <rFont val="楷体_GB2312"/>
        <charset val="134"/>
      </rPr>
      <t>建筑面积</t>
    </r>
  </si>
  <si>
    <r>
      <rPr>
        <sz val="11"/>
        <color indexed="8"/>
        <rFont val="楷体_GB2312"/>
        <charset val="134"/>
      </rPr>
      <t>单方造价</t>
    </r>
  </si>
  <si>
    <r>
      <rPr>
        <sz val="11"/>
        <color indexed="8"/>
        <rFont val="楷体_GB2312"/>
        <charset val="134"/>
      </rPr>
      <t>建安总额</t>
    </r>
  </si>
  <si>
    <t>工程进度</t>
  </si>
  <si>
    <r>
      <rPr>
        <sz val="11"/>
        <color indexed="8"/>
        <rFont val="楷体_GB2312"/>
        <charset val="134"/>
      </rPr>
      <t>在建建安</t>
    </r>
  </si>
  <si>
    <r>
      <rPr>
        <sz val="11"/>
        <color indexed="8"/>
        <rFont val="楷体_GB2312"/>
        <charset val="134"/>
      </rPr>
      <t>续建建安</t>
    </r>
  </si>
  <si>
    <r>
      <rPr>
        <sz val="11"/>
        <color indexed="8"/>
        <rFont val="楷体_GB2312"/>
        <charset val="134"/>
      </rPr>
      <t>利润</t>
    </r>
  </si>
  <si>
    <r>
      <rPr>
        <sz val="11"/>
        <color indexed="8"/>
        <rFont val="楷体_GB2312"/>
        <charset val="134"/>
      </rPr>
      <t>分摊土地面积（经营性）</t>
    </r>
  </si>
  <si>
    <t>建筑面积（分摊设备）</t>
  </si>
  <si>
    <r>
      <rPr>
        <sz val="11"/>
        <color indexed="8"/>
        <rFont val="楷体_GB2312"/>
        <charset val="134"/>
      </rPr>
      <t>总建安（分摊非经营）</t>
    </r>
  </si>
  <si>
    <r>
      <rPr>
        <sz val="11"/>
        <color indexed="8"/>
        <rFont val="楷体_GB2312"/>
        <charset val="134"/>
      </rPr>
      <t>租金</t>
    </r>
  </si>
  <si>
    <r>
      <rPr>
        <sz val="11"/>
        <color indexed="8"/>
        <rFont val="楷体_GB2312"/>
        <charset val="134"/>
      </rPr>
      <t>年租金增长率</t>
    </r>
  </si>
  <si>
    <r>
      <rPr>
        <sz val="11"/>
        <color indexed="8"/>
        <rFont val="楷体_GB2312"/>
        <charset val="134"/>
      </rPr>
      <t>空置率</t>
    </r>
  </si>
  <si>
    <r>
      <rPr>
        <sz val="11"/>
        <color indexed="8"/>
        <rFont val="楷体_GB2312"/>
        <charset val="134"/>
      </rPr>
      <t>成新度</t>
    </r>
  </si>
  <si>
    <t>收益年期(总)</t>
  </si>
  <si>
    <r>
      <rPr>
        <sz val="11"/>
        <color indexed="8"/>
        <rFont val="楷体_GB2312"/>
        <charset val="134"/>
      </rPr>
      <t>剩余租赁期</t>
    </r>
  </si>
  <si>
    <r>
      <rPr>
        <sz val="11"/>
        <color indexed="8"/>
        <rFont val="楷体_GB2312"/>
        <charset val="134"/>
      </rPr>
      <t>租赁期外收益期</t>
    </r>
  </si>
  <si>
    <t>车位数/套数/收益面积</t>
  </si>
  <si>
    <r>
      <rPr>
        <sz val="11"/>
        <color indexed="8"/>
        <rFont val="楷体_GB2312"/>
        <charset val="134"/>
      </rPr>
      <t>天</t>
    </r>
    <r>
      <rPr>
        <sz val="11"/>
        <color indexed="8"/>
        <rFont val="Arial"/>
        <charset val="134"/>
      </rPr>
      <t>/</t>
    </r>
    <r>
      <rPr>
        <sz val="11"/>
        <color indexed="8"/>
        <rFont val="楷体_GB2312"/>
        <charset val="134"/>
      </rPr>
      <t>月</t>
    </r>
    <r>
      <rPr>
        <sz val="11"/>
        <color indexed="8"/>
        <rFont val="Arial"/>
        <charset val="134"/>
      </rPr>
      <t>/</t>
    </r>
    <r>
      <rPr>
        <sz val="11"/>
        <color indexed="8"/>
        <rFont val="楷体_GB2312"/>
        <charset val="134"/>
      </rPr>
      <t>年</t>
    </r>
  </si>
  <si>
    <r>
      <rPr>
        <sz val="11"/>
        <color indexed="8"/>
        <rFont val="楷体_GB2312"/>
        <charset val="134"/>
      </rPr>
      <t>房产税</t>
    </r>
    <r>
      <rPr>
        <sz val="11"/>
        <color indexed="8"/>
        <rFont val="Arial"/>
        <charset val="134"/>
      </rPr>
      <t>-</t>
    </r>
    <r>
      <rPr>
        <sz val="11"/>
        <color indexed="8"/>
        <rFont val="楷体_GB2312"/>
        <charset val="134"/>
      </rPr>
      <t>按票据</t>
    </r>
  </si>
  <si>
    <r>
      <rPr>
        <sz val="11"/>
        <color indexed="8"/>
        <rFont val="楷体_GB2312"/>
        <charset val="134"/>
      </rPr>
      <t>维修费率</t>
    </r>
  </si>
  <si>
    <r>
      <rPr>
        <sz val="11"/>
        <color indexed="8"/>
        <rFont val="楷体_GB2312"/>
        <charset val="134"/>
      </rPr>
      <t>保险费率</t>
    </r>
  </si>
  <si>
    <r>
      <rPr>
        <sz val="11"/>
        <color indexed="8"/>
        <rFont val="楷体_GB2312"/>
        <charset val="134"/>
      </rPr>
      <t>管理费率</t>
    </r>
  </si>
  <si>
    <t>请选择所对应的收益法</t>
  </si>
  <si>
    <t>成本逼近法有限年期修正</t>
  </si>
  <si>
    <t>不动产收益法--商业</t>
  </si>
  <si>
    <t>非经营性</t>
  </si>
  <si>
    <t>公共配套</t>
  </si>
  <si>
    <r>
      <rPr>
        <b/>
        <sz val="11"/>
        <color indexed="8"/>
        <rFont val="楷体_GB2312"/>
        <charset val="134"/>
      </rPr>
      <t>合计</t>
    </r>
  </si>
  <si>
    <r>
      <rPr>
        <b/>
        <sz val="11"/>
        <color indexed="8"/>
        <rFont val="楷体_GB2312"/>
        <charset val="134"/>
      </rPr>
      <t>开发期</t>
    </r>
  </si>
  <si>
    <r>
      <rPr>
        <sz val="11"/>
        <rFont val="楷体_GB2312"/>
        <charset val="134"/>
      </rPr>
      <t>土地开发期</t>
    </r>
  </si>
  <si>
    <t>★默认为已完成的土地开发期★</t>
  </si>
  <si>
    <r>
      <rPr>
        <sz val="11"/>
        <rFont val="楷体_GB2312"/>
        <charset val="134"/>
      </rPr>
      <t>建设期</t>
    </r>
  </si>
  <si>
    <t>包含未完成的红线外市政工程时间（如现状三通，开发完成后七通）</t>
  </si>
  <si>
    <r>
      <rPr>
        <sz val="11"/>
        <color indexed="8"/>
        <rFont val="楷体_GB2312"/>
        <charset val="134"/>
      </rPr>
      <t>已建工期</t>
    </r>
  </si>
  <si>
    <t>住宅综合利润率</t>
  </si>
  <si>
    <r>
      <rPr>
        <sz val="11"/>
        <rFont val="楷体_GB2312"/>
        <charset val="134"/>
      </rPr>
      <t>项目开发期</t>
    </r>
  </si>
  <si>
    <r>
      <rPr>
        <sz val="11"/>
        <color indexed="8"/>
        <rFont val="楷体_GB2312"/>
        <charset val="134"/>
      </rPr>
      <t>项目已运行</t>
    </r>
  </si>
  <si>
    <t>分摊面积</t>
  </si>
  <si>
    <r>
      <rPr>
        <sz val="11"/>
        <rFont val="楷体_GB2312"/>
        <charset val="134"/>
      </rPr>
      <t>续建工期</t>
    </r>
  </si>
  <si>
    <t>共有产</t>
  </si>
  <si>
    <r>
      <rPr>
        <b/>
        <sz val="11"/>
        <color indexed="8"/>
        <rFont val="楷体_GB2312"/>
        <charset val="134"/>
      </rPr>
      <t>其他取费</t>
    </r>
  </si>
  <si>
    <r>
      <rPr>
        <sz val="11"/>
        <color indexed="8"/>
        <rFont val="楷体_GB2312"/>
        <charset val="134"/>
      </rPr>
      <t>取值</t>
    </r>
  </si>
  <si>
    <r>
      <rPr>
        <sz val="11"/>
        <color indexed="8"/>
        <rFont val="楷体_GB2312"/>
        <charset val="134"/>
      </rPr>
      <t>备注</t>
    </r>
  </si>
  <si>
    <t>租赁</t>
  </si>
  <si>
    <r>
      <rPr>
        <sz val="11"/>
        <color indexed="8"/>
        <rFont val="楷体_GB2312"/>
        <charset val="134"/>
      </rPr>
      <t>城市基础设施建设费</t>
    </r>
    <r>
      <rPr>
        <sz val="11"/>
        <color indexed="8"/>
        <rFont val="Arial"/>
        <charset val="134"/>
      </rPr>
      <t>-</t>
    </r>
    <r>
      <rPr>
        <sz val="11"/>
        <color indexed="8"/>
        <rFont val="楷体_GB2312"/>
        <charset val="134"/>
      </rPr>
      <t>住宅</t>
    </r>
  </si>
  <si>
    <t>★外省请录依据文件名称★：</t>
  </si>
  <si>
    <r>
      <rPr>
        <sz val="11"/>
        <color indexed="8"/>
        <rFont val="楷体_GB2312"/>
        <charset val="134"/>
      </rPr>
      <t>城市基础设施建设费</t>
    </r>
    <r>
      <rPr>
        <sz val="11"/>
        <color indexed="8"/>
        <rFont val="Arial"/>
        <charset val="134"/>
      </rPr>
      <t>-</t>
    </r>
    <r>
      <rPr>
        <sz val="11"/>
        <color indexed="8"/>
        <rFont val="楷体_GB2312"/>
        <charset val="134"/>
      </rPr>
      <t>非住宅</t>
    </r>
  </si>
  <si>
    <r>
      <rPr>
        <sz val="11"/>
        <color indexed="8"/>
        <rFont val="楷体_GB2312"/>
        <charset val="134"/>
      </rPr>
      <t>城市基础设施建设费</t>
    </r>
    <r>
      <rPr>
        <sz val="11"/>
        <color indexed="8"/>
        <rFont val="Arial"/>
        <charset val="134"/>
      </rPr>
      <t>-</t>
    </r>
    <r>
      <rPr>
        <sz val="11"/>
        <color indexed="8"/>
        <rFont val="楷体_GB2312"/>
        <charset val="134"/>
      </rPr>
      <t>凭票据已缴纳</t>
    </r>
    <r>
      <rPr>
        <sz val="11"/>
        <color rgb="FFFF0000"/>
        <rFont val="楷体_GB2312"/>
        <charset val="134"/>
      </rPr>
      <t>（万元）</t>
    </r>
  </si>
  <si>
    <t>总额</t>
  </si>
  <si>
    <r>
      <rPr>
        <sz val="11"/>
        <color indexed="8"/>
        <rFont val="楷体_GB2312"/>
        <charset val="134"/>
      </rPr>
      <t>红线外市政基础设施（总）</t>
    </r>
  </si>
  <si>
    <r>
      <rPr>
        <sz val="11"/>
        <color indexed="8"/>
        <rFont val="楷体_GB2312"/>
        <charset val="134"/>
      </rPr>
      <t>红线外市政基础设施（现状）</t>
    </r>
  </si>
  <si>
    <r>
      <rPr>
        <sz val="11"/>
        <color indexed="8"/>
        <rFont val="楷体_GB2312"/>
        <charset val="134"/>
      </rPr>
      <t>红线外市政基础设施（待完成）</t>
    </r>
  </si>
  <si>
    <r>
      <rPr>
        <sz val="11"/>
        <color indexed="8"/>
        <rFont val="楷体_GB2312"/>
        <charset val="134"/>
      </rPr>
      <t>勘察设计和前期工程费</t>
    </r>
  </si>
  <si>
    <r>
      <rPr>
        <sz val="10"/>
        <color rgb="FFFF0000"/>
        <rFont val="楷体_GB2312"/>
        <charset val="134"/>
      </rPr>
      <t>范围：</t>
    </r>
    <r>
      <rPr>
        <sz val="10"/>
        <color rgb="FFFF0000"/>
        <rFont val="Arial"/>
        <charset val="134"/>
      </rPr>
      <t>3%-5%</t>
    </r>
  </si>
  <si>
    <r>
      <rPr>
        <sz val="11"/>
        <color indexed="8"/>
        <rFont val="楷体_GB2312"/>
        <charset val="134"/>
      </rPr>
      <t>公共配套设施费用</t>
    </r>
  </si>
  <si>
    <r>
      <rPr>
        <sz val="10"/>
        <color rgb="FFFF0000"/>
        <rFont val="楷体_GB2312"/>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</si>
  <si>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</si>
  <si>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楷体_GB2312"/>
        <charset val="134"/>
      </rPr>
      <t>红线内市政基础设施</t>
    </r>
  </si>
  <si>
    <r>
      <rPr>
        <sz val="10"/>
        <color rgb="FFFF0000"/>
        <rFont val="楷体_GB2312"/>
        <charset val="134"/>
      </rPr>
      <t>变化</t>
    </r>
  </si>
  <si>
    <r>
      <rPr>
        <sz val="11"/>
        <color indexed="8"/>
        <rFont val="楷体_GB2312"/>
        <charset val="134"/>
      </rPr>
      <t>建造成本中相关税费</t>
    </r>
  </si>
  <si>
    <r>
      <rPr>
        <sz val="10"/>
        <color rgb="FFFF0000"/>
        <rFont val="楷体_GB2312"/>
        <charset val="134"/>
      </rPr>
      <t>定值：</t>
    </r>
    <r>
      <rPr>
        <sz val="10"/>
        <color rgb="FFFF0000"/>
        <rFont val="Arial"/>
        <charset val="134"/>
      </rPr>
      <t>1.5%</t>
    </r>
  </si>
  <si>
    <r>
      <rPr>
        <sz val="11"/>
        <color indexed="8"/>
        <rFont val="楷体_GB2312"/>
        <charset val="134"/>
      </rPr>
      <t>管理费用</t>
    </r>
  </si>
  <si>
    <r>
      <rPr>
        <sz val="10"/>
        <color rgb="FFFF0000"/>
        <rFont val="楷体_GB2312"/>
        <charset val="134"/>
      </rPr>
      <t>范围：</t>
    </r>
    <r>
      <rPr>
        <sz val="10"/>
        <color rgb="FFFF0000"/>
        <rFont val="Arial"/>
        <charset val="134"/>
      </rPr>
      <t>1%-3%</t>
    </r>
  </si>
  <si>
    <r>
      <rPr>
        <sz val="11"/>
        <color indexed="8"/>
        <rFont val="楷体_GB2312"/>
        <charset val="134"/>
      </rPr>
      <t>销售费用</t>
    </r>
  </si>
  <si>
    <t>一年期存款利率</t>
  </si>
  <si>
    <t>贷款利息</t>
  </si>
  <si>
    <r>
      <rPr>
        <sz val="10"/>
        <color rgb="FFFF0000"/>
        <rFont val="仿宋_GB2312"/>
        <charset val="134"/>
      </rPr>
      <t>当前利率</t>
    </r>
    <r>
      <rPr>
        <sz val="10"/>
        <color rgb="FFFF0000"/>
        <rFont val="Arial"/>
        <charset val="134"/>
      </rPr>
      <t>,</t>
    </r>
    <r>
      <rPr>
        <sz val="10"/>
        <color rgb="FFFF0000"/>
        <rFont val="仿宋_GB2312"/>
        <charset val="134"/>
      </rPr>
      <t>对应项目开发期</t>
    </r>
  </si>
  <si>
    <r>
      <rPr>
        <sz val="11"/>
        <color indexed="8"/>
        <rFont val="楷体_GB2312"/>
        <charset val="134"/>
      </rPr>
      <t>销售税费</t>
    </r>
    <r>
      <rPr>
        <sz val="11"/>
        <color indexed="8"/>
        <rFont val="Arial"/>
        <charset val="134"/>
      </rPr>
      <t>/</t>
    </r>
    <r>
      <rPr>
        <sz val="11"/>
        <color indexed="8"/>
        <rFont val="楷体_GB2312"/>
        <charset val="134"/>
      </rPr>
      <t>两税两费</t>
    </r>
  </si>
  <si>
    <r>
      <rPr>
        <sz val="11"/>
        <color indexed="8"/>
        <rFont val="楷体_GB2312"/>
        <charset val="134"/>
      </rPr>
      <t>增值税</t>
    </r>
  </si>
  <si>
    <r>
      <rPr>
        <sz val="11"/>
        <color indexed="8"/>
        <rFont val="楷体_GB2312"/>
        <charset val="134"/>
      </rPr>
      <t>附加税合计</t>
    </r>
  </si>
  <si>
    <t>城市维护建设税</t>
  </si>
  <si>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</si>
  <si>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楷体_GB2312"/>
        <charset val="134"/>
      </rPr>
      <t>教育费附加</t>
    </r>
  </si>
  <si>
    <r>
      <rPr>
        <sz val="11"/>
        <color rgb="FFFF0000"/>
        <rFont val="楷体_GB2312"/>
        <charset val="134"/>
      </rPr>
      <t>北京：</t>
    </r>
    <r>
      <rPr>
        <sz val="11"/>
        <color rgb="FFFF0000"/>
        <rFont val="Arial"/>
        <charset val="134"/>
      </rPr>
      <t>3%</t>
    </r>
  </si>
  <si>
    <r>
      <rPr>
        <sz val="11"/>
        <color indexed="8"/>
        <rFont val="楷体_GB2312"/>
        <charset val="134"/>
      </rPr>
      <t>地方教育费附加</t>
    </r>
  </si>
  <si>
    <r>
      <rPr>
        <sz val="11"/>
        <color rgb="FFFF0000"/>
        <rFont val="楷体_GB2312"/>
        <charset val="134"/>
      </rPr>
      <t>北京：</t>
    </r>
    <r>
      <rPr>
        <sz val="11"/>
        <color rgb="FFFF0000"/>
        <rFont val="Arial"/>
        <charset val="134"/>
      </rPr>
      <t>2%</t>
    </r>
  </si>
  <si>
    <r>
      <rPr>
        <sz val="11"/>
        <color indexed="8"/>
        <rFont val="楷体_GB2312"/>
        <charset val="134"/>
      </rPr>
      <t>其他税种</t>
    </r>
  </si>
  <si>
    <t>★请录依据文件名称★：</t>
  </si>
  <si>
    <r>
      <rPr>
        <sz val="11"/>
        <color indexed="8"/>
        <rFont val="楷体_GB2312"/>
        <charset val="134"/>
      </rPr>
      <t>契税</t>
    </r>
  </si>
  <si>
    <r>
      <rPr>
        <sz val="11"/>
        <color indexed="8"/>
        <rFont val="楷体_GB2312"/>
        <charset val="134"/>
      </rPr>
      <t>印花税</t>
    </r>
  </si>
  <si>
    <r>
      <rPr>
        <sz val="11"/>
        <color rgb="FFFF0000"/>
        <rFont val="楷体_GB2312"/>
        <charset val="134"/>
      </rPr>
      <t>北京：</t>
    </r>
    <r>
      <rPr>
        <sz val="11"/>
        <color rgb="FFFF0000"/>
        <rFont val="Arial"/>
        <charset val="134"/>
      </rPr>
      <t>0.05%</t>
    </r>
  </si>
  <si>
    <r>
      <rPr>
        <sz val="11"/>
        <color indexed="8"/>
        <rFont val="楷体_GB2312"/>
        <charset val="134"/>
      </rPr>
      <t>房产税</t>
    </r>
    <r>
      <rPr>
        <sz val="11"/>
        <color indexed="8"/>
        <rFont val="Arial"/>
        <charset val="134"/>
      </rPr>
      <t>-</t>
    </r>
    <r>
      <rPr>
        <sz val="11"/>
        <color indexed="8"/>
        <rFont val="楷体_GB2312"/>
        <charset val="134"/>
      </rPr>
      <t>按原值计税</t>
    </r>
  </si>
  <si>
    <r>
      <rPr>
        <sz val="11"/>
        <color indexed="8"/>
        <rFont val="楷体_GB2312"/>
        <charset val="134"/>
      </rPr>
      <t>房产税</t>
    </r>
    <r>
      <rPr>
        <sz val="11"/>
        <color indexed="8"/>
        <rFont val="Arial"/>
        <charset val="134"/>
      </rPr>
      <t>-</t>
    </r>
    <r>
      <rPr>
        <sz val="11"/>
        <color indexed="8"/>
        <rFont val="楷体_GB2312"/>
        <charset val="134"/>
      </rPr>
      <t>按租金计税</t>
    </r>
  </si>
  <si>
    <r>
      <rPr>
        <sz val="11"/>
        <color indexed="8"/>
        <rFont val="楷体_GB2312"/>
        <charset val="134"/>
      </rPr>
      <t>土地使用税</t>
    </r>
  </si>
  <si>
    <r>
      <rPr>
        <sz val="11"/>
        <color indexed="8"/>
        <rFont val="楷体_GB2312"/>
        <charset val="134"/>
      </rPr>
      <t>城镇土地纳税等级分级范围</t>
    </r>
  </si>
  <si>
    <t>北京</t>
  </si>
  <si>
    <r>
      <rPr>
        <sz val="11"/>
        <color indexed="10"/>
        <rFont val="宋体"/>
        <charset val="134"/>
      </rPr>
      <t>★</t>
    </r>
    <r>
      <rPr>
        <sz val="11"/>
        <color indexed="10"/>
        <rFont val="楷体_GB2312"/>
        <charset val="134"/>
      </rPr>
      <t>其他省市请录依据文件名称★：</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</si>
  <si>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</si>
  <si>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</si>
  <si>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</si>
  <si>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</si>
  <si>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</si>
  <si>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</si>
  <si>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开发区，园区建设成熟度</t>
    </r>
    <r>
      <rPr>
        <sz val="11"/>
        <color theme="9" tint="-0.249977111117893"/>
        <rFont val="Arial"/>
        <charset val="134"/>
      </rPr>
      <t>XX</t>
    </r>
    <r>
      <rPr>
        <sz val="11"/>
        <color theme="9" tint="-0.249977111117893"/>
        <rFont val="仿宋_GB2312"/>
        <charset val="134"/>
      </rPr>
      <t>，产业集聚程度</t>
    </r>
    <r>
      <rPr>
        <sz val="11"/>
        <color theme="9" tint="-0.249977111117893"/>
        <rFont val="Arial"/>
        <charset val="134"/>
      </rPr>
      <t>XX</t>
    </r>
  </si>
  <si>
    <t>商业繁华度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</si>
  <si>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</si>
  <si>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</si>
  <si>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</si>
  <si>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</si>
  <si>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</si>
  <si>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</si>
  <si>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</si>
  <si>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</si>
  <si>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</si>
  <si>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</si>
  <si>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</si>
  <si>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</si>
  <si>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</si>
  <si>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</si>
  <si>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</si>
  <si>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</si>
  <si>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</si>
  <si>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</si>
  <si>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</si>
  <si>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</si>
  <si>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</si>
  <si>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</si>
  <si>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</si>
  <si>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</si>
  <si>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</si>
  <si>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</si>
  <si>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</si>
  <si>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</si>
  <si>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</si>
  <si>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</si>
  <si>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</si>
  <si>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</si>
  <si>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</si>
  <si>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</si>
  <si>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</si>
  <si>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</si>
  <si>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</si>
  <si>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</si>
  <si>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</si>
  <si>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</si>
  <si>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</si>
  <si>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</si>
  <si>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</si>
  <si>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</si>
  <si>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</si>
  <si>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</si>
  <si>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</si>
  <si>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</si>
  <si>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</si>
  <si>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r>
      <rPr>
        <sz val="10"/>
        <color indexed="8"/>
        <rFont val="仿宋_GB2312"/>
        <charset val="134"/>
      </rPr>
      <t>打分考虑因素</t>
    </r>
  </si>
  <si>
    <r>
      <rPr>
        <sz val="11"/>
        <color indexed="8"/>
        <rFont val="仿宋_GB2312"/>
        <charset val="134"/>
      </rPr>
      <t>估价方法的代表性</t>
    </r>
  </si>
  <si>
    <r>
      <rPr>
        <sz val="10"/>
        <color indexed="8"/>
        <rFont val="Arial"/>
        <charset val="134"/>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charset val="134"/>
      </rPr>
      <t>20</t>
    </r>
    <r>
      <rPr>
        <sz val="10"/>
        <color indexed="8"/>
        <rFont val="仿宋_GB2312"/>
        <charset val="134"/>
      </rPr>
      <t>～</t>
    </r>
    <r>
      <rPr>
        <sz val="10"/>
        <color indexed="8"/>
        <rFont val="Arial"/>
        <charset val="134"/>
      </rPr>
      <t>25</t>
    </r>
    <r>
      <rPr>
        <sz val="10"/>
        <color indexed="8"/>
        <rFont val="仿宋_GB2312"/>
        <charset val="134"/>
      </rPr>
      <t>分；</t>
    </r>
  </si>
  <si>
    <r>
      <rPr>
        <sz val="10"/>
        <color indexed="8"/>
        <rFont val="Arial"/>
        <charset val="134"/>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</si>
  <si>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</si>
  <si>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估价方法所要求的估价资料的完整性</t>
    </r>
  </si>
  <si>
    <r>
      <rPr>
        <sz val="10"/>
        <color indexed="8"/>
        <rFont val="Arial"/>
        <charset val="134"/>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</si>
  <si>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</si>
  <si>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参数选取的客观性</t>
    </r>
  </si>
  <si>
    <r>
      <rPr>
        <sz val="10"/>
        <color indexed="8"/>
        <rFont val="Arial"/>
        <charset val="134"/>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</si>
  <si>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</si>
  <si>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参数确定的时效性</t>
    </r>
  </si>
  <si>
    <r>
      <rPr>
        <sz val="10"/>
        <color indexed="8"/>
        <rFont val="Arial"/>
        <charset val="134"/>
      </rPr>
      <t>1.</t>
    </r>
    <r>
      <rPr>
        <sz val="10"/>
        <color indexed="8"/>
        <rFont val="仿宋_GB2312"/>
        <charset val="134"/>
      </rPr>
      <t>参数在规定的时效范围内，且距估价期日</t>
    </r>
    <r>
      <rPr>
        <b/>
        <sz val="10"/>
        <color indexed="8"/>
        <rFont val="仿宋_GB2312"/>
        <charset val="134"/>
      </rPr>
      <t>未超过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</si>
  <si>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参数在规定的时效范围内，但距估价期日</t>
    </r>
    <r>
      <rPr>
        <b/>
        <sz val="10"/>
        <color indexed="8"/>
        <rFont val="仿宋_GB2312"/>
        <charset val="134"/>
      </rPr>
      <t>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</si>
  <si>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估价结果的现势性</t>
    </r>
  </si>
  <si>
    <r>
      <rPr>
        <sz val="10"/>
        <color indexed="8"/>
        <rFont val="Arial"/>
        <charset val="134"/>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charset val="134"/>
      </rPr>
      <t>20</t>
    </r>
    <r>
      <rPr>
        <sz val="10"/>
        <color indexed="8"/>
        <rFont val="仿宋_GB2312"/>
        <charset val="134"/>
      </rPr>
      <t>～</t>
    </r>
    <r>
      <rPr>
        <sz val="10"/>
        <color indexed="8"/>
        <rFont val="Arial"/>
        <charset val="134"/>
      </rPr>
      <t>30</t>
    </r>
    <r>
      <rPr>
        <sz val="10"/>
        <color indexed="8"/>
        <rFont val="仿宋_GB2312"/>
        <charset val="134"/>
      </rPr>
      <t>分；</t>
    </r>
  </si>
  <si>
    <r>
      <rPr>
        <sz val="10"/>
        <color indexed="8"/>
        <rFont val="Arial"/>
        <charset val="134"/>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</si>
  <si>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</si>
  <si>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</si>
  <si>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</si>
  <si>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</si>
  <si>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</si>
  <si>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</si>
  <si>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</si>
  <si>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</si>
  <si>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charset val="134"/>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</si>
  <si>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</si>
  <si>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charset val="134"/>
      </rPr>
      <t>/</t>
    </r>
    <r>
      <rPr>
        <sz val="10"/>
        <color indexed="8"/>
        <rFont val="仿宋_GB2312"/>
        <charset val="134"/>
      </rPr>
      <t>亩</t>
    </r>
  </si>
  <si>
    <r>
      <rPr>
        <b/>
        <sz val="11"/>
        <color indexed="8"/>
        <rFont val="仿宋_GB2312"/>
        <charset val="134"/>
      </rPr>
      <t>扣减项</t>
    </r>
    <r>
      <rPr>
        <b/>
        <sz val="11"/>
        <color indexed="8"/>
        <rFont val="Arial"/>
        <charset val="134"/>
      </rPr>
      <t>(</t>
    </r>
    <r>
      <rPr>
        <b/>
        <sz val="11"/>
        <color indexed="8"/>
        <rFont val="仿宋_GB2312"/>
        <charset val="134"/>
      </rPr>
      <t>出让金、平整费用等</t>
    </r>
    <r>
      <rPr>
        <b/>
        <sz val="11"/>
        <color indexed="8"/>
        <rFont val="Arial"/>
        <charset val="134"/>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</si>
  <si>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</si>
  <si>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</si>
  <si>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</si>
  <si>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</si>
  <si>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</si>
  <si>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</si>
  <si>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</si>
  <si>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</si>
  <si>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</si>
  <si>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</si>
  <si>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charset val="134"/>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</si>
  <si>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</si>
  <si>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charset val="134"/>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</si>
  <si>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</si>
  <si>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</si>
  <si>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</si>
  <si>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</si>
  <si>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charset val="134"/>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</si>
  <si>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</si>
  <si>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</si>
  <si>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charset val="134"/>
      </rPr>
      <t>/</t>
    </r>
    <r>
      <rPr>
        <sz val="9"/>
        <color indexed="8"/>
        <rFont val="仿宋_GB2312"/>
        <charset val="134"/>
      </rPr>
      <t>㎡</t>
    </r>
  </si>
  <si>
    <r>
      <rPr>
        <sz val="9"/>
        <color indexed="8"/>
        <rFont val="仿宋_GB2312"/>
        <charset val="134"/>
      </rPr>
      <t>规划建筑面积</t>
    </r>
    <r>
      <rPr>
        <sz val="9"/>
        <color indexed="8"/>
        <rFont val="Arial"/>
        <charset val="134"/>
      </rPr>
      <t>/</t>
    </r>
    <r>
      <rPr>
        <sz val="9"/>
        <color indexed="8"/>
        <rFont val="仿宋_GB2312"/>
        <charset val="134"/>
      </rPr>
      <t>㎡</t>
    </r>
  </si>
  <si>
    <r>
      <rPr>
        <sz val="9"/>
        <color indexed="8"/>
        <rFont val="仿宋_GB2312"/>
        <charset val="134"/>
      </rPr>
      <t>单位面积地价</t>
    </r>
    <r>
      <rPr>
        <sz val="9"/>
        <color indexed="8"/>
        <rFont val="Arial"/>
        <charset val="134"/>
      </rPr>
      <t>/</t>
    </r>
  </si>
  <si>
    <r>
      <rPr>
        <sz val="9"/>
        <color indexed="8"/>
        <rFont val="仿宋_GB2312"/>
        <charset val="134"/>
      </rPr>
      <t>楼面地价</t>
    </r>
    <r>
      <rPr>
        <sz val="9"/>
        <color indexed="8"/>
        <rFont val="Arial"/>
        <charset val="134"/>
      </rPr>
      <t>/</t>
    </r>
    <r>
      <rPr>
        <sz val="9"/>
        <color indexed="8"/>
        <rFont val="仿宋_GB2312"/>
        <charset val="134"/>
      </rPr>
      <t>元</t>
    </r>
    <r>
      <rPr>
        <sz val="9"/>
        <color indexed="8"/>
        <rFont val="Arial"/>
        <charset val="134"/>
      </rPr>
      <t>/</t>
    </r>
    <r>
      <rPr>
        <sz val="9"/>
        <color indexed="8"/>
        <rFont val="仿宋_GB2312"/>
        <charset val="134"/>
      </rPr>
      <t>㎡</t>
    </r>
  </si>
  <si>
    <r>
      <rPr>
        <sz val="9"/>
        <color indexed="8"/>
        <rFont val="仿宋_GB2312"/>
        <charset val="134"/>
      </rPr>
      <t>总地价</t>
    </r>
    <r>
      <rPr>
        <sz val="9"/>
        <color indexed="8"/>
        <rFont val="Arial"/>
        <charset val="134"/>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</si>
  <si>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</si>
  <si>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</si>
  <si>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charset val="134"/>
      </rPr>
      <t>/</t>
    </r>
    <r>
      <rPr>
        <sz val="9"/>
        <color indexed="8"/>
        <rFont val="仿宋_GB2312"/>
        <charset val="134"/>
      </rPr>
      <t>㎡</t>
    </r>
  </si>
  <si>
    <r>
      <rPr>
        <sz val="10"/>
        <color indexed="8"/>
        <rFont val="Arial"/>
        <charset val="134"/>
      </rPr>
      <t>(</t>
    </r>
    <r>
      <rPr>
        <sz val="10"/>
        <color indexed="8"/>
        <rFont val="仿宋_GB2312"/>
        <charset val="134"/>
      </rPr>
      <t>列示计算过程</t>
    </r>
    <r>
      <rPr>
        <sz val="10"/>
        <color indexed="8"/>
        <rFont val="Arial"/>
        <charset val="134"/>
      </rPr>
      <t>,</t>
    </r>
  </si>
  <si>
    <r>
      <rPr>
        <sz val="10"/>
        <color indexed="8"/>
        <rFont val="仿宋_GB2312"/>
        <charset val="134"/>
      </rPr>
      <t>不固定格式</t>
    </r>
    <r>
      <rPr>
        <sz val="10"/>
        <color indexed="8"/>
        <rFont val="Arial"/>
        <charset val="134"/>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</si>
  <si>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</si>
  <si>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</si>
  <si>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</si>
  <si>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</si>
  <si>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</si>
  <si>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</si>
  <si>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charset val="134"/>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</si>
  <si>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</si>
  <si>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charset val="134"/>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</si>
  <si>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</si>
  <si>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charset val="134"/>
      </rPr>
      <t>/</t>
    </r>
    <r>
      <rPr>
        <sz val="12"/>
        <color indexed="8"/>
        <rFont val="仿宋_GB2312"/>
        <charset val="134"/>
      </rPr>
      <t>万元</t>
    </r>
  </si>
  <si>
    <r>
      <rPr>
        <sz val="12"/>
        <color indexed="8"/>
        <rFont val="仿宋_GB2312"/>
        <charset val="134"/>
      </rPr>
      <t>最终结果</t>
    </r>
    <r>
      <rPr>
        <sz val="12"/>
        <color indexed="8"/>
        <rFont val="Arial"/>
        <charset val="134"/>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</si>
  <si>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</si>
  <si>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</si>
  <si>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</si>
  <si>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charset val="134"/>
      </rPr>
      <t xml:space="preserve">      </t>
    </r>
  </si>
  <si>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</si>
  <si>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初审意见：</t>
    </r>
    <r>
      <rPr>
        <b/>
        <sz val="10"/>
        <color indexed="8"/>
        <rFont val="Arial"/>
        <charset val="134"/>
      </rPr>
      <t xml:space="preserve">      </t>
    </r>
  </si>
  <si>
    <r>
      <rPr>
        <sz val="10"/>
        <color indexed="8"/>
        <rFont val="仿宋_GB2312"/>
        <charset val="134"/>
      </rPr>
      <t>签字：</t>
    </r>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</si>
  <si>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终审意见：</t>
    </r>
    <r>
      <rPr>
        <b/>
        <sz val="10"/>
        <color indexed="8"/>
        <rFont val="Arial"/>
        <charset val="134"/>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</si>
  <si>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</si>
  <si>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charset val="134"/>
      </rPr>
      <t>“</t>
    </r>
    <r>
      <rPr>
        <b/>
        <sz val="10"/>
        <color indexed="8"/>
        <rFont val="仿宋_GB2312"/>
        <charset val="134"/>
      </rPr>
      <t>房地产销售收入</t>
    </r>
    <r>
      <rPr>
        <b/>
        <sz val="10"/>
        <color indexed="8"/>
        <rFont val="Arial"/>
        <charset val="134"/>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</si>
  <si>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</si>
  <si>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</si>
  <si>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</si>
  <si>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</si>
  <si>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</si>
  <si>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</si>
  <si>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</si>
  <si>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</si>
  <si>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</si>
  <si>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</si>
  <si>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charset val="134"/>
      </rPr>
      <t>1.</t>
    </r>
    <r>
      <rPr>
        <sz val="10"/>
        <color indexed="8"/>
        <rFont val="仿宋_GB2312"/>
        <charset val="134"/>
      </rPr>
      <t>增值税及附加</t>
    </r>
  </si>
  <si>
    <r>
      <rPr>
        <sz val="10"/>
        <color indexed="10"/>
        <rFont val="仿宋_GB2312"/>
        <charset val="134"/>
      </rPr>
      <t>属于免缴时请录入面缴类别</t>
    </r>
  </si>
  <si>
    <r>
      <rPr>
        <b/>
        <sz val="10"/>
        <color indexed="8"/>
        <rFont val="仿宋_GB2312"/>
        <charset val="134"/>
      </rPr>
      <t>估价对象</t>
    </r>
  </si>
  <si>
    <r>
      <rPr>
        <sz val="10"/>
        <color indexed="8"/>
        <rFont val="仿宋_GB2312"/>
        <charset val="134"/>
      </rPr>
      <t>情况</t>
    </r>
    <r>
      <rPr>
        <sz val="10"/>
        <color indexed="8"/>
        <rFont val="Arial"/>
        <charset val="134"/>
      </rPr>
      <t>1</t>
    </r>
    <r>
      <rPr>
        <sz val="10"/>
        <color indexed="8"/>
        <rFont val="仿宋_GB2312"/>
        <charset val="134"/>
      </rPr>
      <t>：</t>
    </r>
  </si>
  <si>
    <r>
      <rPr>
        <sz val="10"/>
        <color indexed="8"/>
        <rFont val="仿宋_GB2312"/>
        <charset val="134"/>
      </rPr>
      <t>个人购买的</t>
    </r>
    <r>
      <rPr>
        <sz val="10"/>
        <color indexed="8"/>
        <rFont val="Arial"/>
        <charset val="134"/>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</si>
  <si>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</si>
  <si>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</si>
  <si>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</si>
  <si>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charset val="134"/>
      </rPr>
      <t>2</t>
    </r>
    <r>
      <rPr>
        <sz val="10"/>
        <color indexed="8"/>
        <rFont val="仿宋_GB2312"/>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</si>
  <si>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</si>
  <si>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</si>
  <si>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</si>
  <si>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</si>
  <si>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t>土地抵押价格</t>
  </si>
  <si>
    <r>
      <rPr>
        <sz val="10"/>
        <color indexed="8"/>
        <rFont val="仿宋_GB2312"/>
        <charset val="134"/>
      </rPr>
      <t>情况</t>
    </r>
    <r>
      <rPr>
        <sz val="10"/>
        <color indexed="8"/>
        <rFont val="Arial"/>
        <charset val="134"/>
      </rPr>
      <t>2</t>
    </r>
    <r>
      <rPr>
        <sz val="10"/>
        <color indexed="8"/>
        <rFont val="仿宋_GB2312"/>
        <charset val="134"/>
      </rPr>
      <t>：</t>
    </r>
  </si>
  <si>
    <r>
      <rPr>
        <sz val="10"/>
        <color indexed="8"/>
        <rFont val="仿宋_GB2312"/>
        <charset val="134"/>
      </rPr>
      <t>个人购买的不足</t>
    </r>
    <r>
      <rPr>
        <sz val="10"/>
        <color indexed="8"/>
        <rFont val="Arial"/>
        <charset val="134"/>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</si>
  <si>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</si>
  <si>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charset val="134"/>
      </rPr>
      <t>3</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</si>
  <si>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</si>
  <si>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</si>
  <si>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</si>
  <si>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</si>
  <si>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charset val="134"/>
      </rPr>
      <t>4</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</si>
  <si>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</si>
  <si>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</si>
  <si>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</si>
  <si>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charset val="134"/>
      </rPr>
      <t>2.</t>
    </r>
    <r>
      <rPr>
        <sz val="10"/>
        <color indexed="8"/>
        <rFont val="仿宋_GB2312"/>
        <charset val="134"/>
      </rPr>
      <t>印花税</t>
    </r>
  </si>
  <si>
    <r>
      <rPr>
        <sz val="10"/>
        <color indexed="8"/>
        <rFont val="仿宋_GB2312"/>
        <charset val="134"/>
      </rPr>
      <t>销售额</t>
    </r>
    <r>
      <rPr>
        <sz val="10"/>
        <color indexed="8"/>
        <rFont val="Arial"/>
        <charset val="134"/>
      </rPr>
      <t>×</t>
    </r>
    <r>
      <rPr>
        <sz val="10"/>
        <color indexed="8"/>
        <rFont val="仿宋_GB2312"/>
        <charset val="134"/>
      </rPr>
      <t>税（费）率</t>
    </r>
  </si>
  <si>
    <r>
      <rPr>
        <sz val="10"/>
        <color indexed="8"/>
        <rFont val="仿宋_GB2312"/>
        <charset val="134"/>
      </rPr>
      <t>印花税</t>
    </r>
  </si>
  <si>
    <r>
      <rPr>
        <sz val="10"/>
        <color indexed="8"/>
        <rFont val="Arial"/>
        <charset val="134"/>
      </rPr>
      <t>3.</t>
    </r>
    <r>
      <rPr>
        <sz val="10"/>
        <color indexed="8"/>
        <rFont val="仿宋_GB2312"/>
        <charset val="134"/>
      </rPr>
      <t>土地增值税</t>
    </r>
  </si>
  <si>
    <r>
      <rPr>
        <sz val="10"/>
        <color indexed="8"/>
        <rFont val="仿宋_GB2312"/>
        <charset val="134"/>
      </rPr>
      <t>增值额</t>
    </r>
    <r>
      <rPr>
        <sz val="10"/>
        <color indexed="8"/>
        <rFont val="Arial"/>
        <charset val="134"/>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</si>
  <si>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</si>
  <si>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</si>
  <si>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charset val="134"/>
      </rPr>
      <t>1</t>
    </r>
    <r>
      <rPr>
        <sz val="10"/>
        <color indexed="8"/>
        <rFont val="仿宋_GB2312"/>
        <charset val="134"/>
      </rPr>
      <t>以外的其他情形</t>
    </r>
  </si>
  <si>
    <r>
      <rPr>
        <sz val="10"/>
        <color indexed="8"/>
        <rFont val="Arial"/>
        <charset val="134"/>
      </rPr>
      <t>4.</t>
    </r>
    <r>
      <rPr>
        <sz val="10"/>
        <color indexed="8"/>
        <rFont val="仿宋_GB2312"/>
        <charset val="134"/>
      </rPr>
      <t>个人所得税</t>
    </r>
  </si>
  <si>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</si>
  <si>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</si>
  <si>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</si>
  <si>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</si>
  <si>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</si>
  <si>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项目</t>
    </r>
  </si>
  <si>
    <r>
      <rPr>
        <b/>
        <sz val="10"/>
        <rFont val="仿宋_GB2312"/>
        <charset val="134"/>
      </rPr>
      <t>系数</t>
    </r>
  </si>
  <si>
    <t>1.</t>
  </si>
  <si>
    <r>
      <rPr>
        <b/>
        <sz val="10"/>
        <rFont val="仿宋_GB2312"/>
        <charset val="134"/>
      </rPr>
      <t>销售额</t>
    </r>
  </si>
  <si>
    <r>
      <rPr>
        <sz val="10"/>
        <color indexed="8"/>
        <rFont val="仿宋_GB2312"/>
        <charset val="134"/>
      </rPr>
      <t>抵押净值单价</t>
    </r>
  </si>
  <si>
    <r>
      <rPr>
        <sz val="10"/>
        <color indexed="8"/>
        <rFont val="宋体"/>
        <charset val="134"/>
      </rPr>
      <t>（</t>
    </r>
    <r>
      <rPr>
        <sz val="10"/>
        <color indexed="8"/>
        <rFont val="Arial"/>
        <charset val="134"/>
      </rPr>
      <t>1</t>
    </r>
    <r>
      <rPr>
        <sz val="10"/>
        <color indexed="8"/>
        <rFont val="宋体"/>
        <charset val="134"/>
      </rPr>
      <t>）</t>
    </r>
  </si>
  <si>
    <r>
      <rPr>
        <sz val="10"/>
        <rFont val="仿宋_GB2312"/>
        <charset val="134"/>
      </rPr>
      <t>全部价款</t>
    </r>
  </si>
  <si>
    <r>
      <rPr>
        <sz val="10"/>
        <color indexed="8"/>
        <rFont val="宋体"/>
        <charset val="134"/>
      </rPr>
      <t>（</t>
    </r>
    <r>
      <rPr>
        <sz val="10"/>
        <color indexed="8"/>
        <rFont val="Arial"/>
        <charset val="134"/>
      </rPr>
      <t>2</t>
    </r>
    <r>
      <rPr>
        <sz val="10"/>
        <color indexed="8"/>
        <rFont val="宋体"/>
        <charset val="134"/>
      </rPr>
      <t>）</t>
    </r>
  </si>
  <si>
    <r>
      <rPr>
        <sz val="10"/>
        <rFont val="仿宋_GB2312"/>
        <charset val="134"/>
      </rPr>
      <t>价外费用</t>
    </r>
  </si>
  <si>
    <t>其他处置费用</t>
  </si>
  <si>
    <t>律师费</t>
  </si>
  <si>
    <t>2.</t>
  </si>
  <si>
    <r>
      <rPr>
        <b/>
        <sz val="10"/>
        <rFont val="仿宋_GB2312"/>
        <charset val="134"/>
      </rPr>
      <t>原购房价</t>
    </r>
    <r>
      <rPr>
        <b/>
        <sz val="10"/>
        <rFont val="Arial"/>
        <charset val="134"/>
      </rPr>
      <t>/</t>
    </r>
    <r>
      <rPr>
        <b/>
        <sz val="10"/>
        <rFont val="仿宋_GB2312"/>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</si>
  <si>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</si>
  <si>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t>诉讼费</t>
  </si>
  <si>
    <r>
      <rPr>
        <sz val="10"/>
        <color indexed="8"/>
        <rFont val="楷体_GB2312"/>
        <charset val="134"/>
      </rPr>
      <t>最低</t>
    </r>
    <r>
      <rPr>
        <sz val="10"/>
        <color indexed="8"/>
        <rFont val="Arial"/>
        <charset val="134"/>
      </rPr>
      <t>50</t>
    </r>
    <r>
      <rPr>
        <sz val="10"/>
        <color indexed="8"/>
        <rFont val="楷体_GB2312"/>
        <charset val="134"/>
      </rPr>
      <t>元</t>
    </r>
  </si>
  <si>
    <t>3.</t>
  </si>
  <si>
    <r>
      <rPr>
        <b/>
        <sz val="10"/>
        <rFont val="仿宋_GB2312"/>
        <charset val="134"/>
      </rPr>
      <t>纳税基数</t>
    </r>
  </si>
  <si>
    <t>执行费</t>
  </si>
  <si>
    <t>4.</t>
  </si>
  <si>
    <r>
      <rPr>
        <b/>
        <sz val="10"/>
        <rFont val="仿宋_GB2312"/>
        <charset val="134"/>
      </rPr>
      <t>纳税额</t>
    </r>
  </si>
  <si>
    <t>诉讼保全费</t>
  </si>
  <si>
    <r>
      <rPr>
        <sz val="10"/>
        <color indexed="8"/>
        <rFont val="楷体_GB2312"/>
        <charset val="134"/>
      </rPr>
      <t>最高</t>
    </r>
    <r>
      <rPr>
        <sz val="10"/>
        <color indexed="8"/>
        <rFont val="Arial"/>
        <charset val="134"/>
      </rPr>
      <t>5000</t>
    </r>
    <r>
      <rPr>
        <sz val="10"/>
        <color indexed="8"/>
        <rFont val="楷体_GB2312"/>
        <charset val="134"/>
      </rPr>
      <t>元</t>
    </r>
  </si>
  <si>
    <t>评估费</t>
  </si>
  <si>
    <r>
      <rPr>
        <b/>
        <sz val="10"/>
        <rFont val="仿宋_GB2312"/>
        <charset val="134"/>
      </rPr>
      <t>土地增值税（转让取得）</t>
    </r>
  </si>
  <si>
    <t>拍卖费</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</si>
  <si>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</si>
  <si>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</si>
  <si>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</si>
  <si>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color indexed="8"/>
        <rFont val="Arial"/>
        <charset val="134"/>
      </rPr>
      <t>1</t>
    </r>
    <r>
      <rPr>
        <sz val="10"/>
        <color indexed="8"/>
        <rFont val="宋体"/>
        <charset val="134"/>
      </rPr>
      <t>）</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</si>
  <si>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</si>
  <si>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</si>
  <si>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</si>
  <si>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color indexed="8"/>
        <rFont val="Arial"/>
        <charset val="134"/>
      </rPr>
      <t>2</t>
    </r>
    <r>
      <rPr>
        <sz val="10"/>
        <color indexed="8"/>
        <rFont val="宋体"/>
        <charset val="134"/>
      </rPr>
      <t>）</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</si>
  <si>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</si>
  <si>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charset val="134"/>
      </rPr>
      <t>5%</t>
    </r>
    <r>
      <rPr>
        <sz val="10"/>
        <color indexed="8"/>
        <rFont val="仿宋_GB2312"/>
        <charset val="134"/>
      </rPr>
      <t>计算</t>
    </r>
  </si>
  <si>
    <r>
      <rPr>
        <sz val="10"/>
        <color indexed="8"/>
        <rFont val="Arial"/>
        <charset val="134"/>
      </rPr>
      <t>3</t>
    </r>
    <r>
      <rPr>
        <sz val="10"/>
        <color indexed="8"/>
        <rFont val="宋体"/>
        <charset val="134"/>
      </rPr>
      <t>）</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</si>
  <si>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</si>
  <si>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</si>
  <si>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</si>
  <si>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</si>
  <si>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</si>
  <si>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</si>
  <si>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t>5.</t>
  </si>
  <si>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</si>
  <si>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</si>
  <si>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</si>
  <si>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</si>
  <si>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</si>
  <si>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</si>
  <si>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</si>
  <si>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</si>
  <si>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</si>
  <si>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</si>
  <si>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</si>
  <si>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</si>
  <si>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charset val="134"/>
      </rPr>
      <t>建造成本</t>
    </r>
  </si>
  <si>
    <r>
      <rPr>
        <sz val="10"/>
        <color indexed="8"/>
        <rFont val="仿宋_GB2312"/>
        <charset val="134"/>
      </rPr>
      <t>包括前期工程费、建筑安装工程费、基础设施费和公共配套费等</t>
    </r>
  </si>
  <si>
    <t>（4）</t>
  </si>
  <si>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</si>
  <si>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charset val="134"/>
      </rPr>
      <t>10%</t>
    </r>
    <r>
      <rPr>
        <sz val="10"/>
        <color indexed="8"/>
        <rFont val="仿宋_GB2312"/>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</si>
  <si>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</si>
  <si>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t>（5）</t>
  </si>
  <si>
    <t>（6）</t>
  </si>
  <si>
    <r>
      <rPr>
        <sz val="10"/>
        <rFont val="仿宋_GB2312"/>
        <charset val="134"/>
      </rPr>
      <t>加计扣除金额</t>
    </r>
  </si>
  <si>
    <r>
      <rPr>
        <sz val="10"/>
        <color indexed="8"/>
        <rFont val="仿宋_GB2312"/>
        <charset val="134"/>
      </rPr>
      <t>对专门从事房地产开发的企业可以按</t>
    </r>
    <r>
      <rPr>
        <sz val="10"/>
        <color indexed="8"/>
        <rFont val="Arial"/>
        <charset val="134"/>
      </rPr>
      <t>20</t>
    </r>
    <r>
      <rPr>
        <sz val="10"/>
        <color indexed="8"/>
        <rFont val="仿宋_GB2312"/>
        <charset val="134"/>
      </rPr>
      <t>％计算扣除；如为土地，则</t>
    </r>
    <r>
      <rPr>
        <sz val="10"/>
        <color rgb="FFFF0000"/>
        <rFont val="仿宋_GB2312"/>
        <charset val="134"/>
      </rPr>
      <t>仅将土地开发费加计</t>
    </r>
    <r>
      <rPr>
        <sz val="10"/>
        <color rgb="FFFF0000"/>
        <rFont val="Arial"/>
        <charset val="134"/>
      </rPr>
      <t>20%</t>
    </r>
    <r>
      <rPr>
        <sz val="10"/>
        <color rgb="FFFF0000"/>
        <rFont val="仿宋_GB2312"/>
        <charset val="134"/>
      </rPr>
      <t>扣减</t>
    </r>
  </si>
  <si>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</si>
  <si>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</si>
  <si>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charset val="134"/>
      </rPr>
      <t>-</t>
    </r>
    <r>
      <rPr>
        <b/>
        <sz val="14"/>
        <color indexed="10"/>
        <rFont val="仿宋_GB2312"/>
        <charset val="134"/>
      </rPr>
      <t>因素表空白区域</t>
    </r>
    <r>
      <rPr>
        <b/>
        <sz val="14"/>
        <color indexed="10"/>
        <rFont val="Arial"/>
        <charset val="134"/>
      </rPr>
      <t>-</t>
    </r>
    <r>
      <rPr>
        <b/>
        <sz val="14"/>
        <color indexed="10"/>
        <rFont val="仿宋_GB2312"/>
        <charset val="134"/>
      </rPr>
      <t>主表黄色选项区域</t>
    </r>
    <r>
      <rPr>
        <b/>
        <sz val="14"/>
        <color indexed="10"/>
        <rFont val="Arial"/>
        <charset val="134"/>
      </rPr>
      <t>-</t>
    </r>
    <r>
      <rPr>
        <b/>
        <sz val="14"/>
        <color indexed="10"/>
        <rFont val="仿宋_GB2312"/>
        <charset val="134"/>
      </rPr>
      <t>调节修正幅度</t>
    </r>
    <r>
      <rPr>
        <b/>
        <sz val="14"/>
        <color indexed="10"/>
        <rFont val="Arial"/>
        <charset val="134"/>
      </rPr>
      <t>-</t>
    </r>
    <r>
      <rPr>
        <b/>
        <sz val="14"/>
        <color indexed="10"/>
        <rFont val="仿宋_GB2312"/>
        <charset val="134"/>
      </rPr>
      <t>完成</t>
    </r>
  </si>
  <si>
    <r>
      <rPr>
        <b/>
        <sz val="12"/>
        <rFont val="仿宋_GB2312"/>
        <charset val="134"/>
      </rPr>
      <t>总价</t>
    </r>
  </si>
  <si>
    <t>楼面地价</t>
  </si>
  <si>
    <r>
      <rPr>
        <b/>
        <sz val="12"/>
        <rFont val="仿宋_GB2312"/>
        <charset val="134"/>
      </rPr>
      <t>单位面积地价</t>
    </r>
  </si>
  <si>
    <r>
      <rPr>
        <b/>
        <sz val="12"/>
        <color indexed="8"/>
        <rFont val="仿宋_GB2312"/>
        <charset val="134"/>
      </rPr>
      <t>万元</t>
    </r>
    <r>
      <rPr>
        <b/>
        <sz val="12"/>
        <color indexed="8"/>
        <rFont val="Arial"/>
        <charset val="134"/>
      </rPr>
      <t>/</t>
    </r>
    <r>
      <rPr>
        <b/>
        <sz val="12"/>
        <color indexed="8"/>
        <rFont val="仿宋_GB2312"/>
        <charset val="134"/>
      </rPr>
      <t>亩</t>
    </r>
  </si>
  <si>
    <r>
      <rPr>
        <b/>
        <sz val="11"/>
        <rFont val="仿宋_GB2312"/>
        <charset val="134"/>
      </rPr>
      <t>比较因素</t>
    </r>
  </si>
  <si>
    <r>
      <rPr>
        <sz val="11"/>
        <rFont val="仿宋_GB2312"/>
        <charset val="134"/>
      </rPr>
      <t>估价对象</t>
    </r>
  </si>
  <si>
    <r>
      <rPr>
        <sz val="11"/>
        <rFont val="仿宋_GB2312"/>
        <charset val="134"/>
      </rPr>
      <t>案例</t>
    </r>
    <r>
      <rPr>
        <sz val="11"/>
        <rFont val="Arial"/>
        <charset val="134"/>
      </rPr>
      <t>A</t>
    </r>
  </si>
  <si>
    <r>
      <rPr>
        <sz val="11"/>
        <rFont val="仿宋_GB2312"/>
        <charset val="134"/>
      </rPr>
      <t>案例</t>
    </r>
    <r>
      <rPr>
        <sz val="11"/>
        <rFont val="Arial"/>
        <charset val="134"/>
      </rPr>
      <t>B</t>
    </r>
  </si>
  <si>
    <r>
      <rPr>
        <sz val="11"/>
        <rFont val="仿宋_GB2312"/>
        <charset val="134"/>
      </rPr>
      <t>案例</t>
    </r>
    <r>
      <rPr>
        <sz val="11"/>
        <rFont val="Arial"/>
        <charset val="134"/>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</si>
  <si>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</si>
  <si>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</si>
  <si>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</si>
  <si>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项目位置</t>
    </r>
  </si>
  <si>
    <r>
      <rPr>
        <sz val="11"/>
        <color indexed="8"/>
        <rFont val="仿宋_GB2312"/>
        <charset val="134"/>
      </rPr>
      <t>系数</t>
    </r>
    <r>
      <rPr>
        <sz val="11"/>
        <color indexed="8"/>
        <rFont val="Arial"/>
        <charset val="134"/>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</si>
  <si>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</si>
  <si>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</si>
  <si>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</si>
  <si>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</si>
  <si>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</si>
  <si>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t>正常</t>
  </si>
  <si>
    <r>
      <rPr>
        <sz val="11"/>
        <color indexed="8"/>
        <rFont val="仿宋_GB2312"/>
        <charset val="134"/>
      </rPr>
      <t>交易情况</t>
    </r>
  </si>
  <si>
    <r>
      <rPr>
        <b/>
        <sz val="11"/>
        <color indexed="8"/>
        <rFont val="仿宋_GB2312"/>
        <charset val="134"/>
      </rPr>
      <t>用途</t>
    </r>
  </si>
  <si>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</si>
  <si>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</si>
  <si>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</si>
  <si>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</si>
  <si>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</si>
  <si>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</si>
  <si>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</si>
  <si>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t>较差</t>
  </si>
  <si>
    <t>较好</t>
  </si>
  <si>
    <r>
      <rPr>
        <sz val="11"/>
        <color indexed="8"/>
        <rFont val="仿宋_GB2312"/>
        <charset val="134"/>
      </rPr>
      <t>自然及人文环境状况</t>
    </r>
  </si>
  <si>
    <t>一般</t>
  </si>
  <si>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</si>
  <si>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</si>
  <si>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</si>
  <si>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</si>
  <si>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</si>
  <si>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</si>
  <si>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r>
      <rPr>
        <sz val="11"/>
        <color indexed="8"/>
        <rFont val="仿宋_GB2312"/>
        <charset val="134"/>
      </rPr>
      <t>临街宽度及深度</t>
    </r>
  </si>
  <si>
    <t>较适宜</t>
  </si>
  <si>
    <t>宗地开发程度</t>
  </si>
  <si>
    <r>
      <rPr>
        <sz val="11"/>
        <color indexed="8"/>
        <rFont val="仿宋_GB2312"/>
        <charset val="134"/>
      </rPr>
      <t>工程地质条件</t>
    </r>
  </si>
  <si>
    <r>
      <rPr>
        <b/>
        <sz val="11"/>
        <rFont val="仿宋_GB2312"/>
        <charset val="134"/>
      </rPr>
      <t>成交单价</t>
    </r>
  </si>
  <si>
    <r>
      <rPr>
        <b/>
        <sz val="11"/>
        <rFont val="仿宋_GB2312"/>
        <charset val="134"/>
      </rPr>
      <t>比较价格（元</t>
    </r>
    <r>
      <rPr>
        <b/>
        <sz val="11"/>
        <rFont val="Arial"/>
        <charset val="134"/>
      </rPr>
      <t>/</t>
    </r>
    <r>
      <rPr>
        <b/>
        <sz val="11"/>
        <rFont val="仿宋_GB2312"/>
        <charset val="134"/>
      </rPr>
      <t>平方米）</t>
    </r>
  </si>
  <si>
    <t>简单平均</t>
  </si>
  <si>
    <r>
      <rPr>
        <b/>
        <sz val="11"/>
        <rFont val="仿宋_GB2312"/>
        <charset val="134"/>
      </rPr>
      <t>估价对象</t>
    </r>
    <r>
      <rPr>
        <b/>
        <sz val="11"/>
        <color theme="9" tint="-0.249977111117893"/>
        <rFont val="Arial"/>
        <charset val="134"/>
      </rPr>
      <t>XX</t>
    </r>
    <r>
      <rPr>
        <b/>
        <sz val="11"/>
        <color theme="9" tint="-0.249977111117893"/>
        <rFont val="仿宋_GB2312"/>
        <charset val="134"/>
      </rPr>
      <t>用房的</t>
    </r>
    <r>
      <rPr>
        <b/>
        <sz val="11"/>
        <rFont val="仿宋_GB2312"/>
        <charset val="134"/>
      </rPr>
      <t>比较价格（楼面单价，元</t>
    </r>
    <r>
      <rPr>
        <b/>
        <sz val="11"/>
        <rFont val="Arial"/>
        <charset val="134"/>
      </rPr>
      <t>/</t>
    </r>
    <r>
      <rPr>
        <b/>
        <sz val="11"/>
        <rFont val="仿宋_GB2312"/>
        <charset val="134"/>
      </rPr>
      <t>平方米）</t>
    </r>
  </si>
  <si>
    <r>
      <rPr>
        <b/>
        <sz val="11"/>
        <rFont val="仿宋_GB2312"/>
        <charset val="134"/>
      </rPr>
      <t>总修正幅度不超过</t>
    </r>
    <r>
      <rPr>
        <b/>
        <sz val="11"/>
        <color indexed="10"/>
        <rFont val="Arial"/>
        <charset val="134"/>
      </rPr>
      <t>30%</t>
    </r>
  </si>
  <si>
    <r>
      <rPr>
        <b/>
        <sz val="11"/>
        <rFont val="仿宋_GB2312"/>
        <charset val="134"/>
      </rPr>
      <t>各修正结果之间不超过</t>
    </r>
    <r>
      <rPr>
        <b/>
        <sz val="11"/>
        <color indexed="10"/>
        <rFont val="Arial"/>
        <charset val="134"/>
      </rPr>
      <t>20%</t>
    </r>
  </si>
  <si>
    <r>
      <rPr>
        <b/>
        <sz val="11"/>
        <rFont val="仿宋_GB2312"/>
        <charset val="134"/>
      </rPr>
      <t>各案例间不超过</t>
    </r>
    <r>
      <rPr>
        <b/>
        <sz val="11"/>
        <color indexed="10"/>
        <rFont val="Arial"/>
        <charset val="134"/>
      </rPr>
      <t>30%</t>
    </r>
  </si>
  <si>
    <r>
      <rPr>
        <sz val="11"/>
        <rFont val="仿宋_GB2312"/>
        <charset val="134"/>
      </rPr>
      <t>用途</t>
    </r>
    <r>
      <rPr>
        <sz val="11"/>
        <rFont val="Arial"/>
        <charset val="134"/>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</si>
  <si>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</si>
  <si>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</si>
  <si>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</si>
  <si>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</si>
  <si>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</si>
  <si>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</si>
  <si>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</si>
  <si>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</si>
  <si>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charset val="134"/>
      </rPr>
      <t>-1</t>
    </r>
    <r>
      <rPr>
        <sz val="10"/>
        <rFont val="仿宋_GB2312"/>
        <charset val="134"/>
      </rPr>
      <t>）</t>
    </r>
  </si>
  <si>
    <t>对应商业级别</t>
  </si>
  <si>
    <r>
      <rPr>
        <sz val="10"/>
        <rFont val="仿宋_GB2312"/>
        <charset val="134"/>
      </rPr>
      <t>地下商业（</t>
    </r>
    <r>
      <rPr>
        <sz val="10"/>
        <rFont val="Arial"/>
        <charset val="134"/>
      </rPr>
      <t>-2</t>
    </r>
    <r>
      <rPr>
        <sz val="10"/>
        <rFont val="仿宋_GB2312"/>
        <charset val="134"/>
      </rPr>
      <t>）</t>
    </r>
  </si>
  <si>
    <r>
      <rPr>
        <sz val="10"/>
        <rFont val="仿宋_GB2312"/>
        <charset val="134"/>
      </rPr>
      <t>地下商业（</t>
    </r>
    <r>
      <rPr>
        <sz val="10"/>
        <rFont val="Arial"/>
        <charset val="134"/>
      </rPr>
      <t>-3</t>
    </r>
    <r>
      <rPr>
        <sz val="10"/>
        <rFont val="仿宋_GB2312"/>
        <charset val="134"/>
      </rPr>
      <t>）</t>
    </r>
  </si>
  <si>
    <r>
      <rPr>
        <sz val="10"/>
        <rFont val="仿宋_GB2312"/>
        <charset val="134"/>
      </rPr>
      <t>地下商业（</t>
    </r>
    <r>
      <rPr>
        <sz val="10"/>
        <rFont val="Arial"/>
        <charset val="134"/>
      </rPr>
      <t>-4</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</si>
  <si>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</si>
  <si>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</si>
  <si>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</si>
  <si>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charset val="134"/>
      </rPr>
      <t>-</t>
    </r>
    <r>
      <rPr>
        <sz val="10"/>
        <rFont val="仿宋_GB2312"/>
        <charset val="134"/>
      </rPr>
      <t>商业</t>
    </r>
  </si>
  <si>
    <r>
      <rPr>
        <sz val="10"/>
        <rFont val="仿宋_GB2312"/>
        <charset val="134"/>
      </rPr>
      <t>地下车库</t>
    </r>
    <r>
      <rPr>
        <sz val="10"/>
        <rFont val="Arial"/>
        <charset val="134"/>
      </rPr>
      <t>-</t>
    </r>
    <r>
      <rPr>
        <sz val="10"/>
        <rFont val="仿宋_GB2312"/>
        <charset val="134"/>
      </rPr>
      <t>办公</t>
    </r>
  </si>
  <si>
    <r>
      <rPr>
        <b/>
        <sz val="10"/>
        <rFont val="仿宋_GB2312"/>
        <charset val="134"/>
      </rPr>
      <t>土地购买价格</t>
    </r>
  </si>
  <si>
    <t>-</t>
  </si>
  <si>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</si>
  <si>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</si>
  <si>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</si>
  <si>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仿宋_GB2312"/>
        <charset val="134"/>
      </rPr>
      <t>权益状况</t>
    </r>
  </si>
  <si>
    <r>
      <rPr>
        <sz val="11"/>
        <color indexed="8"/>
        <rFont val="仿宋_GB2312"/>
        <charset val="134"/>
      </rPr>
      <t>用途</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</si>
  <si>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</si>
  <si>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</si>
  <si>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</si>
  <si>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</si>
  <si>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</si>
  <si>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</si>
  <si>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</si>
  <si>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</si>
  <si>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t>剩余法</t>
  </si>
  <si>
    <t>成本法</t>
  </si>
  <si>
    <t>差额</t>
  </si>
  <si>
    <t>楼面价</t>
  </si>
  <si>
    <t>比例</t>
  </si>
  <si>
    <t>汇总</t>
  </si>
  <si>
    <t>地价款</t>
  </si>
  <si>
    <t>地面单价</t>
  </si>
  <si>
    <t>地面单价（亩均）</t>
  </si>
  <si>
    <t>未减</t>
  </si>
  <si>
    <t>已减</t>
  </si>
  <si>
    <t>总价</t>
  </si>
  <si>
    <t>绿地面积</t>
  </si>
  <si>
    <t>绿地单价</t>
  </si>
  <si>
    <t>绿地总价</t>
  </si>
  <si>
    <t>道路面积</t>
  </si>
  <si>
    <t>内部道路</t>
  </si>
  <si>
    <t>外部道路</t>
  </si>
  <si>
    <t>内部道路缴费单价</t>
  </si>
  <si>
    <t>内部道路缴费总价</t>
  </si>
  <si>
    <t>外部道路建设单价</t>
  </si>
  <si>
    <t>外部道路代建总价</t>
  </si>
  <si>
    <t>土地使用证编号</t>
  </si>
  <si>
    <t>估价期日实际土地开发程度</t>
  </si>
  <si>
    <t>估价设定土地开发程度</t>
  </si>
  <si>
    <t>估价剩余土地使用权年限/年</t>
  </si>
  <si>
    <r>
      <rPr>
        <sz val="9"/>
        <color rgb="FF000000"/>
        <rFont val="仿宋"/>
        <charset val="134"/>
      </rPr>
      <t>总土地面积/m</t>
    </r>
    <r>
      <rPr>
        <vertAlign val="superscript"/>
        <sz val="9"/>
        <color rgb="FF000000"/>
        <rFont val="仿宋"/>
        <charset val="134"/>
      </rPr>
      <t>2</t>
    </r>
  </si>
  <si>
    <t>出让土地面积（㎡）</t>
  </si>
  <si>
    <t>总规划建筑面积/㎡</t>
  </si>
  <si>
    <r>
      <rPr>
        <sz val="9"/>
        <color rgb="FF000000"/>
        <rFont val="仿宋"/>
        <charset val="134"/>
      </rPr>
      <t>规划收益建筑面积/m</t>
    </r>
    <r>
      <rPr>
        <vertAlign val="superscript"/>
        <sz val="9"/>
        <color rgb="FF000000"/>
        <rFont val="仿宋"/>
        <charset val="134"/>
      </rPr>
      <t>2</t>
    </r>
  </si>
  <si>
    <t>熟地价</t>
  </si>
  <si>
    <t>综合楼面单价（元/㎡）</t>
  </si>
  <si>
    <t>综合单位面积地价（元/㎡）</t>
  </si>
  <si>
    <t>综合单位面积地价（万元/亩）</t>
  </si>
  <si>
    <t>实际</t>
  </si>
  <si>
    <t>楼面单价/元/㎡</t>
  </si>
  <si>
    <t>D02-03-11（不含北海幼儿园）、D02-03-13（宗地范围内）、D02-03-14、D02-03-15、D02-03-16、D02-03-18、D02-03-19</t>
  </si>
  <si>
    <t>启动区西北居住片二期</t>
  </si>
  <si>
    <t>—</t>
  </si>
  <si>
    <t>住宅用地、居住综合用地、城市公园绿地与广场用地、道路用地</t>
  </si>
  <si>
    <t>居住、商业</t>
  </si>
  <si>
    <t>七通一平</t>
  </si>
  <si>
    <t>商品住宅/70</t>
  </si>
  <si>
    <t>租赁住房/70</t>
  </si>
  <si>
    <t>商业/40</t>
  </si>
  <si>
    <t>XACR-2021-031</t>
  </si>
  <si>
    <t>启动区西南居住片一期</t>
  </si>
  <si>
    <t>住宅用地、居住综合用地/居住配套设施用地/城市公园绿地、市政道路</t>
  </si>
  <si>
    <t>居住、商业/幼儿园/——</t>
  </si>
  <si>
    <t>1.96
0.47
0</t>
  </si>
  <si>
    <t>机构租赁住房/70</t>
  </si>
  <si>
    <t>共有产权住房/70</t>
  </si>
  <si>
    <r>
      <rPr>
        <b/>
        <sz val="16"/>
        <color indexed="10"/>
        <rFont val="仿宋_GB2312"/>
        <charset val="134"/>
      </rPr>
      <t>剩余法</t>
    </r>
  </si>
  <si>
    <r>
      <rPr>
        <b/>
        <sz val="11"/>
        <rFont val="仿宋_GB2312"/>
        <charset val="134"/>
      </rPr>
      <t>单位面积地价</t>
    </r>
  </si>
  <si>
    <r>
      <rPr>
        <b/>
        <sz val="12"/>
        <color indexed="8"/>
        <rFont val="Arial"/>
        <charset val="134"/>
      </rPr>
      <t>1 .</t>
    </r>
    <r>
      <rPr>
        <b/>
        <sz val="12"/>
        <color indexed="8"/>
        <rFont val="仿宋_GB2312"/>
        <charset val="134"/>
      </rPr>
      <t>不动产总价</t>
    </r>
  </si>
  <si>
    <r>
      <rPr>
        <b/>
        <sz val="11"/>
        <color indexed="8"/>
        <rFont val="仿宋_GB2312"/>
        <charset val="134"/>
      </rPr>
      <t>序号</t>
    </r>
  </si>
  <si>
    <r>
      <rPr>
        <b/>
        <sz val="11"/>
        <color indexed="8"/>
        <rFont val="仿宋_GB2312"/>
        <charset val="134"/>
      </rPr>
      <t>项目名称</t>
    </r>
  </si>
  <si>
    <r>
      <rPr>
        <sz val="10"/>
        <color indexed="8"/>
        <rFont val="仿宋_GB2312"/>
        <charset val="134"/>
      </rPr>
      <t>楼面单价</t>
    </r>
  </si>
  <si>
    <r>
      <rPr>
        <sz val="10"/>
        <color indexed="8"/>
        <rFont val="宋体"/>
        <charset val="134"/>
      </rPr>
      <t>（</t>
    </r>
    <r>
      <rPr>
        <sz val="10"/>
        <color indexed="8"/>
        <rFont val="Arial"/>
        <charset val="134"/>
      </rPr>
      <t>3</t>
    </r>
    <r>
      <rPr>
        <sz val="10"/>
        <color indexed="8"/>
        <rFont val="宋体"/>
        <charset val="134"/>
      </rPr>
      <t>）</t>
    </r>
  </si>
  <si>
    <r>
      <rPr>
        <sz val="10"/>
        <color indexed="8"/>
        <rFont val="仿宋_GB2312"/>
        <charset val="134"/>
      </rPr>
      <t>总额</t>
    </r>
  </si>
  <si>
    <r>
      <rPr>
        <b/>
        <sz val="12"/>
        <color indexed="8"/>
        <rFont val="Arial"/>
        <charset val="134"/>
      </rPr>
      <t xml:space="preserve">2. </t>
    </r>
    <r>
      <rPr>
        <b/>
        <sz val="12"/>
        <color indexed="8"/>
        <rFont val="仿宋_GB2312"/>
        <charset val="134"/>
      </rPr>
      <t>房屋现值</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</si>
  <si>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</si>
  <si>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</si>
  <si>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</si>
  <si>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</si>
  <si>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仿宋_GB2312"/>
        <charset val="134"/>
      </rPr>
      <t>建安费用</t>
    </r>
  </si>
  <si>
    <r>
      <rPr>
        <sz val="10"/>
        <color indexed="8"/>
        <rFont val="Arial"/>
        <charset val="134"/>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</si>
  <si>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</si>
  <si>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</si>
  <si>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charset val="134"/>
      </rPr>
      <t>3）</t>
    </r>
  </si>
  <si>
    <r>
      <rPr>
        <sz val="10"/>
        <color indexed="8"/>
        <rFont val="仿宋_GB2312"/>
        <charset val="134"/>
      </rPr>
      <t>公共配套设施费用</t>
    </r>
  </si>
  <si>
    <r>
      <rPr>
        <sz val="10"/>
        <color indexed="8"/>
        <rFont val="Arial"/>
        <charset val="134"/>
      </rPr>
      <t>4）</t>
    </r>
  </si>
  <si>
    <r>
      <rPr>
        <sz val="10"/>
        <color indexed="8"/>
        <rFont val="仿宋_GB2312"/>
        <charset val="134"/>
      </rPr>
      <t>红线内市政费用</t>
    </r>
  </si>
  <si>
    <r>
      <rPr>
        <sz val="10"/>
        <color indexed="8"/>
        <rFont val="Arial"/>
        <charset val="134"/>
      </rPr>
      <t>5）</t>
    </r>
  </si>
  <si>
    <r>
      <rPr>
        <sz val="10"/>
        <color indexed="8"/>
        <rFont val="仿宋_GB2312"/>
        <charset val="134"/>
      </rPr>
      <t>相关税费</t>
    </r>
  </si>
  <si>
    <r>
      <rPr>
        <b/>
        <sz val="11"/>
        <color indexed="8"/>
        <rFont val="宋体"/>
        <charset val="134"/>
      </rPr>
      <t>（</t>
    </r>
    <r>
      <rPr>
        <b/>
        <sz val="11"/>
        <color indexed="8"/>
        <rFont val="Arial"/>
        <charset val="134"/>
      </rPr>
      <t>1</t>
    </r>
    <r>
      <rPr>
        <b/>
        <sz val="11"/>
        <color indexed="8"/>
        <rFont val="宋体"/>
        <charset val="134"/>
      </rPr>
      <t>）</t>
    </r>
  </si>
  <si>
    <r>
      <rPr>
        <b/>
        <sz val="11"/>
        <color indexed="8"/>
        <rFont val="仿宋_GB2312"/>
        <charset val="134"/>
      </rPr>
      <t>房屋建造成本</t>
    </r>
  </si>
  <si>
    <r>
      <rPr>
        <b/>
        <sz val="10"/>
        <rFont val="仿宋_GB2312"/>
        <charset val="134"/>
      </rPr>
      <t>前述</t>
    </r>
    <r>
      <rPr>
        <b/>
        <sz val="10"/>
        <rFont val="Arial"/>
        <charset val="134"/>
      </rPr>
      <t>5</t>
    </r>
    <r>
      <rPr>
        <b/>
        <sz val="10"/>
        <rFont val="仿宋_GB2312"/>
        <charset val="134"/>
      </rPr>
      <t>项之和</t>
    </r>
  </si>
  <si>
    <r>
      <rPr>
        <b/>
        <sz val="11"/>
        <color indexed="8"/>
        <rFont val="宋体"/>
        <charset val="134"/>
      </rPr>
      <t>（</t>
    </r>
    <r>
      <rPr>
        <b/>
        <sz val="11"/>
        <color indexed="8"/>
        <rFont val="Arial"/>
        <charset val="134"/>
      </rPr>
      <t>2）</t>
    </r>
  </si>
  <si>
    <r>
      <rPr>
        <b/>
        <sz val="11"/>
        <color indexed="8"/>
        <rFont val="仿宋_GB2312"/>
        <charset val="134"/>
      </rPr>
      <t>管理费用</t>
    </r>
  </si>
  <si>
    <r>
      <rPr>
        <b/>
        <sz val="11"/>
        <color indexed="8"/>
        <rFont val="仿宋_GB2312"/>
        <charset val="134"/>
      </rPr>
      <t>以建造成本为基数计取</t>
    </r>
  </si>
  <si>
    <r>
      <rPr>
        <b/>
        <sz val="11"/>
        <color indexed="8"/>
        <rFont val="宋体"/>
        <charset val="134"/>
      </rPr>
      <t>（</t>
    </r>
    <r>
      <rPr>
        <b/>
        <sz val="11"/>
        <color indexed="8"/>
        <rFont val="Arial"/>
        <charset val="134"/>
      </rPr>
      <t>3）</t>
    </r>
  </si>
  <si>
    <r>
      <rPr>
        <b/>
        <sz val="11"/>
        <color indexed="8"/>
        <rFont val="仿宋_GB2312"/>
        <charset val="134"/>
      </rPr>
      <t>投资利息</t>
    </r>
  </si>
  <si>
    <r>
      <rPr>
        <b/>
        <sz val="11"/>
        <color indexed="8"/>
        <rFont val="宋体"/>
        <charset val="134"/>
      </rPr>
      <t>（</t>
    </r>
    <r>
      <rPr>
        <b/>
        <sz val="11"/>
        <color indexed="8"/>
        <rFont val="Arial"/>
        <charset val="134"/>
      </rPr>
      <t>4）</t>
    </r>
  </si>
  <si>
    <t>投资利润</t>
  </si>
  <si>
    <r>
      <rPr>
        <sz val="11"/>
        <color indexed="10"/>
        <rFont val="宋体"/>
        <charset val="134"/>
      </rPr>
      <t>开发期≤</t>
    </r>
    <r>
      <rPr>
        <sz val="11"/>
        <color indexed="10"/>
        <rFont val="Arial"/>
        <charset val="134"/>
      </rPr>
      <t>1</t>
    </r>
    <r>
      <rPr>
        <sz val="11"/>
        <color indexed="10"/>
        <rFont val="宋体"/>
        <charset val="134"/>
      </rPr>
      <t>年，单利计息；＞</t>
    </r>
    <r>
      <rPr>
        <sz val="11"/>
        <color indexed="10"/>
        <rFont val="Arial"/>
        <charset val="134"/>
      </rPr>
      <t>1</t>
    </r>
    <r>
      <rPr>
        <sz val="11"/>
        <color indexed="10"/>
        <rFont val="宋体"/>
        <charset val="134"/>
      </rPr>
      <t>年，复利计息</t>
    </r>
  </si>
  <si>
    <r>
      <rPr>
        <b/>
        <sz val="11"/>
        <color indexed="8"/>
        <rFont val="宋体"/>
        <charset val="134"/>
      </rPr>
      <t>（</t>
    </r>
    <r>
      <rPr>
        <b/>
        <sz val="11"/>
        <color indexed="8"/>
        <rFont val="Arial"/>
        <charset val="134"/>
      </rPr>
      <t>5）</t>
    </r>
  </si>
  <si>
    <r>
      <rPr>
        <b/>
        <sz val="11"/>
        <color indexed="8"/>
        <rFont val="仿宋_GB2312"/>
        <charset val="134"/>
      </rPr>
      <t>成新率</t>
    </r>
  </si>
  <si>
    <r>
      <rPr>
        <b/>
        <sz val="11"/>
        <color indexed="8"/>
        <rFont val="宋体"/>
        <charset val="134"/>
      </rPr>
      <t>（</t>
    </r>
    <r>
      <rPr>
        <b/>
        <sz val="11"/>
        <color indexed="8"/>
        <rFont val="Arial"/>
        <charset val="134"/>
      </rPr>
      <t>6）</t>
    </r>
  </si>
  <si>
    <t>重置成新价(不含税）</t>
  </si>
  <si>
    <r>
      <rPr>
        <b/>
        <sz val="11"/>
        <color theme="1"/>
        <rFont val="Arial"/>
        <charset val="134"/>
      </rPr>
      <t>3 .</t>
    </r>
    <r>
      <rPr>
        <b/>
        <sz val="11"/>
        <color indexed="8"/>
        <rFont val="仿宋_GB2312"/>
        <charset val="134"/>
      </rPr>
      <t>交易税费</t>
    </r>
  </si>
  <si>
    <t>4.销售费用</t>
  </si>
  <si>
    <t>5.购地税费</t>
  </si>
  <si>
    <r>
      <rPr>
        <b/>
        <sz val="11"/>
        <color indexed="8"/>
        <rFont val="Arial"/>
        <charset val="134"/>
      </rPr>
      <t xml:space="preserve">6. </t>
    </r>
    <r>
      <rPr>
        <b/>
        <sz val="11"/>
        <color indexed="8"/>
        <rFont val="仿宋_GB2312"/>
        <charset val="134"/>
      </rPr>
      <t>土地价格</t>
    </r>
  </si>
  <si>
    <t>(1-2-3)/[(1+（(1+利率）^建设期-1）+利润）*（1+契税及印花税率）]</t>
  </si>
  <si>
    <r>
      <rPr>
        <b/>
        <sz val="16"/>
        <rFont val="仿宋_GB2312"/>
        <charset val="134"/>
      </rPr>
      <t>工业</t>
    </r>
  </si>
  <si>
    <r>
      <rPr>
        <sz val="11"/>
        <color theme="9" tint="-0.249977111117893"/>
        <rFont val="仿宋_GB2312"/>
        <charset val="134"/>
      </rPr>
      <t>案例</t>
    </r>
    <r>
      <rPr>
        <sz val="11"/>
        <color theme="9" tint="-0.249977111117893"/>
        <rFont val="Arial"/>
        <charset val="134"/>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</si>
  <si>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</si>
  <si>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C</t>
    </r>
    <r>
      <rPr>
        <sz val="11"/>
        <color theme="9" tint="-0.249977111117893"/>
        <rFont val="仿宋_GB2312"/>
        <charset val="134"/>
      </rPr>
      <t>名称</t>
    </r>
  </si>
  <si>
    <r>
      <rPr>
        <sz val="11"/>
        <color indexed="8"/>
        <rFont val="仿宋_GB2312"/>
        <charset val="134"/>
      </rPr>
      <t>环境状况</t>
    </r>
  </si>
  <si>
    <t>单价内涵</t>
  </si>
  <si>
    <t>交易时间（按季度调整）</t>
  </si>
  <si>
    <r>
      <rPr>
        <b/>
        <sz val="11"/>
        <color indexed="8"/>
        <rFont val="仿宋_GB2312"/>
        <charset val="134"/>
      </rPr>
      <t>官方公布的价格指数</t>
    </r>
    <r>
      <rPr>
        <b/>
        <sz val="11"/>
        <color indexed="8"/>
        <rFont val="Arial"/>
        <charset val="134"/>
      </rPr>
      <t>/</t>
    </r>
    <r>
      <rPr>
        <b/>
        <sz val="11"/>
        <color indexed="8"/>
        <rFont val="仿宋_GB2312"/>
        <charset val="134"/>
      </rPr>
      <t>增幅</t>
    </r>
  </si>
  <si>
    <r>
      <rPr>
        <b/>
        <sz val="16"/>
        <color indexed="10"/>
        <rFont val="仿宋_GB2312"/>
        <charset val="134"/>
      </rPr>
      <t>基准地价系数修正法</t>
    </r>
  </si>
  <si>
    <r>
      <rPr>
        <sz val="11"/>
        <color indexed="8"/>
        <rFont val="宋体"/>
        <charset val="134"/>
      </rPr>
      <t>一级</t>
    </r>
  </si>
  <si>
    <t>商业多楼层</t>
  </si>
  <si>
    <t>楼层修正系数</t>
  </si>
  <si>
    <t>楼面熟地单价</t>
  </si>
  <si>
    <t>层面积</t>
  </si>
  <si>
    <t>万元</t>
  </si>
  <si>
    <r>
      <rPr>
        <sz val="11"/>
        <color indexed="8"/>
        <rFont val="宋体"/>
        <charset val="134"/>
      </rPr>
      <t>二级</t>
    </r>
  </si>
  <si>
    <t>元/平方米</t>
  </si>
  <si>
    <t>用途类别</t>
  </si>
  <si>
    <t>楼层</t>
  </si>
  <si>
    <t>（地上）</t>
  </si>
  <si>
    <r>
      <rPr>
        <sz val="11"/>
        <color indexed="8"/>
        <rFont val="宋体"/>
        <charset val="134"/>
      </rPr>
      <t>三级</t>
    </r>
  </si>
  <si>
    <t>单位面积地价</t>
  </si>
  <si>
    <t>万元/亩</t>
  </si>
  <si>
    <r>
      <rPr>
        <sz val="11"/>
        <color indexed="8"/>
        <rFont val="宋体"/>
        <charset val="134"/>
      </rPr>
      <t>四级</t>
    </r>
  </si>
  <si>
    <t>适用的楼面熟地价</t>
  </si>
  <si>
    <r>
      <rPr>
        <sz val="11"/>
        <color indexed="8"/>
        <rFont val="宋体"/>
        <charset val="134"/>
      </rPr>
      <t>五级</t>
    </r>
  </si>
  <si>
    <t>（1）</t>
  </si>
  <si>
    <r>
      <rPr>
        <sz val="10"/>
        <color indexed="10"/>
        <rFont val="仿宋_GB2312"/>
        <charset val="134"/>
      </rPr>
      <t>依据《北京市区片基准地价表》，能否通过用途和级别筛选？</t>
    </r>
  </si>
  <si>
    <r>
      <rPr>
        <sz val="11"/>
        <color indexed="8"/>
        <rFont val="宋体"/>
        <charset val="134"/>
      </rPr>
      <t>六级</t>
    </r>
  </si>
  <si>
    <t>商业路线价修正（商业用途）</t>
  </si>
  <si>
    <t>宗地深度（米）</t>
  </si>
  <si>
    <r>
      <rPr>
        <sz val="11"/>
        <color indexed="8"/>
        <rFont val="宋体"/>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</si>
  <si>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</si>
  <si>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</si>
  <si>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</si>
  <si>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</si>
  <si>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</si>
  <si>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charset val="134"/>
      </rPr>
      <t>八级</t>
    </r>
  </si>
  <si>
    <t>容积率             级别</t>
  </si>
  <si>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</si>
  <si>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</si>
  <si>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</si>
  <si>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</si>
  <si>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</si>
  <si>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</si>
  <si>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</si>
  <si>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</si>
  <si>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</si>
  <si>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</si>
  <si>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</si>
  <si>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</si>
  <si>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t>加价幅度</t>
  </si>
  <si>
    <t>A2</t>
  </si>
  <si>
    <t>临商业街红线1/4至2/4标准深度占地面积／宗地总面积</t>
  </si>
  <si>
    <r>
      <rPr>
        <sz val="11"/>
        <color indexed="8"/>
        <rFont val="宋体"/>
        <charset val="134"/>
      </rPr>
      <t>九级</t>
    </r>
  </si>
  <si>
    <r>
      <rPr>
        <sz val="10"/>
        <rFont val="仿宋_GB2312"/>
        <charset val="134"/>
      </rPr>
      <t>商业</t>
    </r>
    <r>
      <rPr>
        <sz val="10"/>
        <rFont val="Arial"/>
        <charset val="134"/>
      </rPr>
      <t>R</t>
    </r>
    <r>
      <rPr>
        <sz val="10"/>
        <rFont val="仿宋_GB2312"/>
        <charset val="134"/>
      </rPr>
      <t>≥</t>
    </r>
    <r>
      <rPr>
        <sz val="10"/>
        <rFont val="Arial"/>
        <charset val="134"/>
      </rPr>
      <t>1</t>
    </r>
  </si>
  <si>
    <r>
      <rPr>
        <sz val="10"/>
        <color theme="1"/>
        <rFont val="Arial"/>
        <charset val="134"/>
      </rPr>
      <t>7</t>
    </r>
    <r>
      <rPr>
        <sz val="10"/>
        <color theme="1"/>
        <rFont val="宋体"/>
        <charset val="134"/>
      </rPr>
      <t>层及以上</t>
    </r>
  </si>
  <si>
    <t>标准深度（米）</t>
  </si>
  <si>
    <t>A3</t>
  </si>
  <si>
    <t>临商业街红线2/4至3/4标准深度占地面积／宗地总面积</t>
  </si>
  <si>
    <r>
      <rPr>
        <sz val="11"/>
        <color indexed="8"/>
        <rFont val="宋体"/>
        <charset val="134"/>
      </rPr>
      <t>十级</t>
    </r>
  </si>
  <si>
    <t>1/4标准深度</t>
  </si>
  <si>
    <t>A4</t>
  </si>
  <si>
    <t>临商业街红线3/4至4/4标准深度占地面积／宗地总面积</t>
  </si>
  <si>
    <r>
      <rPr>
        <sz val="11"/>
        <color indexed="8"/>
        <rFont val="宋体"/>
        <charset val="134"/>
      </rPr>
      <t>十一级</t>
    </r>
  </si>
  <si>
    <r>
      <rPr>
        <sz val="10"/>
        <rFont val="仿宋_GB2312"/>
        <charset val="134"/>
      </rPr>
      <t>商业</t>
    </r>
    <r>
      <rPr>
        <sz val="10"/>
        <rFont val="Arial"/>
        <charset val="134"/>
      </rPr>
      <t>R&lt;1</t>
    </r>
  </si>
  <si>
    <t>（2）</t>
  </si>
  <si>
    <t>特殊情况修正（居住用途）</t>
  </si>
  <si>
    <t>需根据项目情况调整公式修正项</t>
  </si>
  <si>
    <r>
      <rPr>
        <sz val="11"/>
        <color indexed="8"/>
        <rFont val="宋体"/>
        <charset val="134"/>
      </rPr>
      <t>十二级</t>
    </r>
  </si>
  <si>
    <r>
      <rPr>
        <sz val="10"/>
        <color theme="1"/>
        <rFont val="宋体"/>
        <charset val="134"/>
      </rPr>
      <t>地上第</t>
    </r>
    <r>
      <rPr>
        <sz val="10"/>
        <color theme="1"/>
        <rFont val="Arial"/>
        <charset val="134"/>
      </rPr>
      <t>7</t>
    </r>
    <r>
      <rPr>
        <sz val="10"/>
        <color theme="1"/>
        <rFont val="宋体"/>
        <charset val="134"/>
      </rPr>
      <t>层及以上各层</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</si>
  <si>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</si>
  <si>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</si>
  <si>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</si>
  <si>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仿宋_GB2312"/>
        <charset val="134"/>
      </rPr>
      <t>中小学名校</t>
    </r>
  </si>
  <si>
    <t>轨道交通站点周边</t>
  </si>
  <si>
    <t>无</t>
  </si>
  <si>
    <t>其他（垃圾填埋场/污水处理厂等），自定义，修正幅度不超过±10%</t>
  </si>
  <si>
    <r>
      <rPr>
        <sz val="10"/>
        <color indexed="8"/>
        <rFont val="仿宋_GB2312"/>
        <charset val="134"/>
      </rPr>
      <t>修正系数</t>
    </r>
  </si>
  <si>
    <t>开发程度差异修正</t>
  </si>
  <si>
    <t>级别开发程度</t>
  </si>
  <si>
    <t>估价对象开发程度</t>
  </si>
  <si>
    <t>级别平均容积率</t>
  </si>
  <si>
    <t>用途修正系数</t>
  </si>
  <si>
    <t>期日修正指数</t>
  </si>
  <si>
    <t>基准期日</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</si>
  <si>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</si>
  <si>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</si>
  <si>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</si>
  <si>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</si>
  <si>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</si>
  <si>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</si>
  <si>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</si>
  <si>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</si>
  <si>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</si>
  <si>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</si>
  <si>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容积率修正系数</t>
  </si>
  <si>
    <r>
      <rPr>
        <sz val="11"/>
        <rFont val="Arial"/>
        <charset val="134"/>
      </rPr>
      <t>R</t>
    </r>
    <r>
      <rPr>
        <sz val="11"/>
        <rFont val="仿宋_GB2312"/>
        <charset val="134"/>
      </rPr>
      <t>≤</t>
    </r>
    <r>
      <rPr>
        <sz val="11"/>
        <rFont val="Arial"/>
        <charset val="134"/>
      </rPr>
      <t>10</t>
    </r>
  </si>
  <si>
    <t>R&gt;10</t>
  </si>
  <si>
    <t>楼层修正系数（商业）</t>
  </si>
  <si>
    <t>6.</t>
  </si>
  <si>
    <t>因素修正系数</t>
  </si>
  <si>
    <t>7.</t>
  </si>
  <si>
    <t>估算结果</t>
  </si>
  <si>
    <t>综合</t>
  </si>
  <si>
    <t>政府土地出让收益</t>
  </si>
  <si>
    <t>上浮比率</t>
  </si>
  <si>
    <t>地上部分</t>
  </si>
  <si>
    <t>单价</t>
  </si>
  <si>
    <t>地上部分——楼面熟地价</t>
  </si>
  <si>
    <r>
      <rPr>
        <sz val="10"/>
        <color indexed="8"/>
        <rFont val="仿宋_GB2312"/>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</si>
  <si>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</si>
  <si>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</si>
  <si>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</si>
  <si>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</si>
  <si>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</si>
  <si>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地下第1层商业</t>
  </si>
  <si>
    <r>
      <rPr>
        <b/>
        <sz val="10"/>
        <color rgb="FFFF0000"/>
        <rFont val="宋体"/>
        <charset val="134"/>
      </rPr>
      <t>★</t>
    </r>
    <r>
      <rPr>
        <b/>
        <sz val="10"/>
        <color rgb="FFFF0000"/>
        <rFont val="仿宋_GB2312"/>
        <charset val="134"/>
      </rPr>
      <t>地下商业不考虑路线价修正★</t>
    </r>
  </si>
  <si>
    <t>地下第2层商业</t>
  </si>
  <si>
    <t>地下第3层商业</t>
  </si>
  <si>
    <t>地下第4层商业</t>
  </si>
  <si>
    <t>地下办公</t>
  </si>
  <si>
    <r>
      <rPr>
        <sz val="10"/>
        <rFont val="仿宋_GB2312"/>
        <charset val="134"/>
      </rPr>
      <t>政府土地出让收益比例</t>
    </r>
  </si>
  <si>
    <t>地下仓储</t>
  </si>
  <si>
    <r>
      <rPr>
        <sz val="10"/>
        <rFont val="仿宋_GB2312"/>
        <charset val="134"/>
      </rPr>
      <t>商业</t>
    </r>
    <r>
      <rPr>
        <sz val="10"/>
        <rFont val="Arial"/>
        <charset val="134"/>
      </rPr>
      <t>/</t>
    </r>
    <r>
      <rPr>
        <sz val="10"/>
        <rFont val="仿宋_GB2312"/>
        <charset val="134"/>
      </rPr>
      <t>办公</t>
    </r>
    <r>
      <rPr>
        <sz val="10"/>
        <rFont val="Arial"/>
        <charset val="134"/>
      </rPr>
      <t>/</t>
    </r>
    <r>
      <rPr>
        <sz val="10"/>
        <rFont val="仿宋_GB2312"/>
        <charset val="134"/>
      </rPr>
      <t>居住</t>
    </r>
  </si>
  <si>
    <r>
      <rPr>
        <sz val="10"/>
        <rFont val="仿宋_GB2312"/>
        <charset val="134"/>
      </rPr>
      <t>工业</t>
    </r>
  </si>
  <si>
    <t>地下车库及仓储年期修正</t>
  </si>
  <si>
    <r>
      <rPr>
        <sz val="10"/>
        <rFont val="宋体"/>
        <charset val="134"/>
      </rPr>
      <t>土地还原率</t>
    </r>
  </si>
  <si>
    <r>
      <rPr>
        <sz val="10"/>
        <rFont val="宋体"/>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</si>
  <si>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</si>
  <si>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</si>
  <si>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</si>
  <si>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</si>
  <si>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charset val="134"/>
      </rPr>
      <t>修正幅度</t>
    </r>
  </si>
  <si>
    <r>
      <rPr>
        <sz val="10"/>
        <rFont val="楷体_GB2312"/>
        <charset val="134"/>
      </rPr>
      <t>合计</t>
    </r>
  </si>
  <si>
    <t>幅度控制(±)</t>
  </si>
  <si>
    <r>
      <rPr>
        <sz val="10"/>
        <color indexed="8"/>
        <rFont val="宋体"/>
        <charset val="134"/>
      </rPr>
      <t>修正系数</t>
    </r>
  </si>
  <si>
    <t>各因素幅度控制(±)</t>
  </si>
  <si>
    <r>
      <rPr>
        <sz val="10"/>
        <color indexed="8"/>
        <rFont val="楷体_GB2312"/>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</si>
  <si>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</si>
  <si>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</si>
  <si>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</si>
  <si>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</si>
  <si>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</si>
  <si>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</si>
  <si>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</si>
  <si>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</si>
  <si>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</si>
  <si>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</si>
  <si>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</si>
  <si>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</si>
  <si>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</si>
  <si>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charset val="134"/>
        <scheme val="minor"/>
      </rPr>
      <t>商业R</t>
    </r>
    <r>
      <rPr>
        <sz val="10"/>
        <color indexed="8"/>
        <rFont val="仿宋_GB2312"/>
        <charset val="134"/>
      </rPr>
      <t>≥</t>
    </r>
    <r>
      <rPr>
        <sz val="10"/>
        <color indexed="8"/>
        <rFont val="宋体"/>
        <charset val="134"/>
      </rPr>
      <t>1</t>
    </r>
  </si>
  <si>
    <t>7层及以上</t>
  </si>
  <si>
    <r>
      <rPr>
        <sz val="10"/>
        <color theme="1"/>
        <rFont val="宋体"/>
        <charset val="134"/>
        <scheme val="minor"/>
      </rPr>
      <t>商业R</t>
    </r>
    <r>
      <rPr>
        <sz val="10"/>
        <color indexed="8"/>
        <rFont val="宋体"/>
        <charset val="134"/>
      </rPr>
      <t>&lt;1</t>
    </r>
  </si>
  <si>
    <t>地上第7层及以上各层</t>
  </si>
  <si>
    <t>说明：R为宗地地上容积率</t>
  </si>
  <si>
    <r>
      <rPr>
        <sz val="10"/>
        <rFont val="楷体_GB2312"/>
        <charset val="134"/>
      </rPr>
      <t>宗地容积率</t>
    </r>
    <r>
      <rPr>
        <sz val="10"/>
        <rFont val="Arial"/>
        <charset val="134"/>
      </rPr>
      <t>R</t>
    </r>
  </si>
  <si>
    <r>
      <rPr>
        <sz val="10"/>
        <rFont val="楷体_GB2312"/>
        <charset val="134"/>
      </rPr>
      <t>修正系数</t>
    </r>
  </si>
  <si>
    <r>
      <rPr>
        <sz val="10"/>
        <rFont val="楷体_GB2312"/>
        <charset val="134"/>
      </rPr>
      <t>商业</t>
    </r>
  </si>
  <si>
    <r>
      <rPr>
        <sz val="10"/>
        <rFont val="楷体_GB2312"/>
        <charset val="134"/>
      </rPr>
      <t>办公</t>
    </r>
  </si>
  <si>
    <r>
      <rPr>
        <sz val="10"/>
        <rFont val="楷体_GB2312"/>
        <charset val="134"/>
      </rPr>
      <t>工业</t>
    </r>
  </si>
  <si>
    <t>通路</t>
  </si>
  <si>
    <t>通电</t>
  </si>
  <si>
    <t>通讯</t>
  </si>
  <si>
    <t>通上水</t>
  </si>
  <si>
    <t>通下水</t>
  </si>
  <si>
    <t>通热</t>
  </si>
  <si>
    <t>燃气</t>
  </si>
  <si>
    <t>平整</t>
  </si>
  <si>
    <t>北京市基准地价用途修正系数表</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</si>
  <si>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</si>
  <si>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</si>
  <si>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</si>
  <si>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</si>
  <si>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</si>
  <si>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</si>
  <si>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</si>
  <si>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</si>
  <si>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</si>
  <si>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</si>
  <si>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</si>
  <si>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</si>
  <si>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</si>
  <si>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</si>
  <si>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</si>
  <si>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</si>
  <si>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</si>
  <si>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</si>
  <si>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</si>
  <si>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</si>
  <si>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</si>
  <si>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</si>
  <si>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</si>
  <si>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</si>
  <si>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</si>
  <si>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</si>
  <si>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</si>
  <si>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</si>
  <si>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</si>
  <si>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</si>
  <si>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</si>
  <si>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</si>
  <si>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</si>
  <si>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</si>
  <si>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</si>
  <si>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</si>
  <si>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</si>
  <si>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</si>
  <si>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</si>
  <si>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</si>
  <si>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</si>
  <si>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</si>
  <si>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</si>
  <si>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</si>
  <si>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</si>
  <si>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</si>
  <si>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</si>
  <si>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</si>
  <si>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</si>
  <si>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</si>
  <si>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</si>
  <si>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</si>
  <si>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</si>
  <si>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</si>
  <si>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</si>
  <si>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</si>
  <si>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</si>
  <si>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</si>
  <si>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</si>
  <si>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</si>
  <si>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</si>
  <si>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</si>
  <si>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</si>
  <si>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</si>
  <si>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</si>
  <si>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</si>
  <si>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</si>
  <si>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</si>
  <si>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</si>
  <si>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</si>
  <si>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</si>
  <si>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</si>
  <si>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</si>
  <si>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</si>
  <si>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</si>
  <si>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</si>
  <si>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</si>
  <si>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</si>
  <si>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</si>
  <si>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</si>
  <si>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</si>
  <si>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</si>
  <si>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</si>
  <si>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</si>
  <si>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</si>
  <si>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</si>
  <si>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</si>
  <si>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</si>
  <si>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</si>
  <si>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</si>
  <si>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</si>
  <si>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</si>
  <si>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</si>
  <si>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</si>
  <si>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</si>
  <si>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</si>
  <si>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</si>
  <si>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</si>
  <si>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</si>
  <si>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</si>
  <si>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</si>
  <si>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</si>
  <si>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</si>
  <si>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</si>
  <si>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</si>
  <si>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</si>
  <si>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</si>
  <si>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</si>
  <si>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</si>
  <si>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</si>
  <si>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</si>
  <si>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</si>
  <si>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</si>
  <si>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</si>
  <si>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</si>
  <si>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</si>
  <si>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</si>
  <si>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</si>
  <si>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</si>
  <si>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</si>
  <si>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</si>
  <si>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</si>
  <si>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</si>
  <si>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</si>
  <si>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</si>
  <si>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</si>
  <si>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</si>
  <si>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</si>
  <si>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</si>
  <si>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</si>
  <si>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</si>
  <si>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</si>
  <si>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</si>
  <si>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</si>
  <si>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</si>
  <si>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</si>
  <si>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</si>
  <si>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</si>
  <si>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</si>
  <si>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</si>
  <si>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</si>
  <si>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</si>
  <si>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</si>
  <si>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</si>
  <si>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</si>
  <si>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</si>
  <si>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</si>
  <si>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</si>
  <si>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</si>
  <si>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</si>
  <si>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</si>
  <si>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</si>
  <si>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</si>
  <si>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</si>
  <si>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</si>
  <si>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</si>
  <si>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</si>
  <si>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</si>
  <si>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</si>
  <si>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</si>
  <si>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</si>
  <si>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</si>
  <si>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</si>
  <si>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</si>
  <si>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</si>
  <si>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</si>
  <si>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</si>
  <si>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</si>
  <si>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</si>
  <si>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</si>
  <si>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</si>
  <si>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</si>
  <si>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</si>
  <si>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</si>
  <si>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</si>
  <si>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</si>
  <si>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</si>
  <si>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</si>
  <si>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</si>
  <si>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</si>
  <si>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</si>
  <si>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</si>
  <si>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</si>
  <si>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</si>
  <si>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</si>
  <si>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</si>
  <si>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</si>
  <si>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</si>
  <si>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</si>
  <si>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</si>
  <si>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</si>
  <si>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</si>
  <si>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</si>
  <si>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</si>
  <si>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</si>
  <si>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</si>
  <si>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</si>
  <si>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</si>
  <si>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</si>
  <si>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</si>
  <si>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</si>
  <si>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</si>
  <si>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</si>
  <si>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</si>
  <si>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</si>
  <si>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</si>
  <si>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</si>
  <si>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</si>
  <si>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</si>
  <si>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</si>
  <si>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</si>
  <si>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</si>
  <si>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</si>
  <si>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</si>
  <si>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</si>
  <si>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</si>
  <si>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</si>
  <si>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</si>
  <si>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</si>
  <si>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</si>
  <si>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</si>
  <si>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</si>
  <si>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</si>
  <si>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</si>
  <si>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</si>
  <si>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</si>
  <si>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</si>
  <si>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</si>
  <si>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</si>
  <si>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</si>
  <si>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</si>
  <si>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</si>
  <si>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</si>
  <si>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</si>
  <si>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</si>
  <si>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</si>
  <si>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</si>
  <si>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</si>
  <si>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</si>
  <si>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</si>
  <si>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</si>
  <si>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</si>
  <si>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</si>
  <si>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</si>
  <si>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</si>
  <si>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</si>
  <si>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</si>
  <si>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</si>
  <si>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</si>
  <si>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</si>
  <si>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</si>
  <si>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</si>
  <si>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</si>
  <si>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</si>
  <si>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</si>
  <si>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</si>
  <si>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</si>
  <si>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</si>
  <si>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</si>
  <si>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</si>
  <si>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</si>
  <si>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</si>
  <si>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</si>
  <si>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</si>
  <si>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</si>
  <si>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</si>
  <si>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</si>
  <si>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</si>
  <si>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</si>
  <si>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</si>
  <si>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</si>
  <si>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</si>
  <si>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</si>
  <si>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</si>
  <si>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</si>
  <si>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</si>
  <si>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</si>
  <si>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</si>
  <si>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</si>
  <si>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</si>
  <si>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</si>
  <si>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</si>
  <si>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</si>
  <si>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</si>
  <si>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</si>
  <si>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</si>
  <si>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</si>
  <si>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</si>
  <si>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</si>
  <si>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</si>
  <si>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</si>
  <si>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</si>
  <si>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</si>
  <si>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</si>
  <si>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</si>
  <si>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</si>
  <si>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</si>
  <si>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</si>
  <si>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</si>
  <si>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</si>
  <si>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</si>
  <si>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</si>
  <si>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</si>
  <si>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</si>
  <si>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</si>
  <si>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</si>
  <si>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</si>
  <si>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</si>
  <si>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</si>
  <si>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</si>
  <si>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</si>
  <si>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</si>
  <si>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</si>
  <si>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</si>
  <si>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</si>
  <si>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</si>
  <si>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</si>
  <si>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</si>
  <si>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</si>
  <si>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</si>
  <si>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</si>
  <si>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</si>
  <si>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</si>
  <si>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</si>
  <si>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</si>
  <si>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</si>
  <si>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</si>
  <si>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</si>
  <si>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</si>
  <si>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</si>
  <si>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</si>
  <si>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</si>
  <si>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</si>
  <si>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</si>
  <si>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</si>
  <si>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</si>
  <si>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</si>
  <si>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</si>
  <si>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</si>
  <si>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</si>
  <si>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</si>
  <si>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</si>
  <si>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</si>
  <si>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</si>
  <si>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</si>
  <si>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</si>
  <si>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</si>
  <si>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</si>
  <si>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</si>
  <si>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</si>
  <si>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</si>
  <si>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</si>
  <si>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</si>
  <si>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</si>
  <si>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</si>
  <si>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</si>
  <si>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</si>
  <si>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</si>
  <si>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</si>
  <si>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</si>
  <si>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</si>
  <si>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</si>
  <si>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</si>
  <si>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</si>
  <si>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</si>
  <si>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</si>
  <si>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</si>
  <si>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</si>
  <si>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</si>
  <si>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</si>
  <si>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</si>
  <si>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</si>
  <si>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</si>
  <si>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</si>
  <si>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</si>
  <si>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</si>
  <si>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</si>
  <si>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</si>
  <si>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</si>
  <si>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</si>
  <si>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</si>
  <si>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</si>
  <si>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</si>
  <si>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</si>
  <si>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</si>
  <si>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</si>
  <si>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</si>
  <si>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</si>
  <si>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</si>
  <si>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</si>
  <si>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</si>
  <si>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</si>
  <si>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</si>
  <si>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</si>
  <si>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</si>
  <si>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</si>
  <si>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</si>
  <si>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</si>
  <si>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</si>
  <si>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</si>
  <si>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</si>
  <si>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</si>
  <si>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</si>
  <si>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</si>
  <si>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</si>
  <si>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</si>
  <si>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</si>
  <si>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</si>
  <si>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</si>
  <si>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</si>
  <si>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</si>
  <si>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</si>
  <si>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</si>
  <si>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</si>
  <si>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</si>
  <si>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</si>
  <si>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</si>
  <si>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</si>
  <si>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</si>
  <si>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</si>
  <si>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</si>
  <si>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</si>
  <si>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</si>
  <si>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</si>
  <si>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</si>
  <si>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</si>
  <si>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</si>
  <si>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</si>
  <si>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</si>
  <si>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</si>
  <si>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</si>
  <si>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</si>
  <si>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</si>
  <si>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</si>
  <si>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</si>
  <si>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</si>
  <si>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</si>
  <si>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</si>
  <si>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</si>
  <si>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</si>
  <si>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</si>
  <si>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</si>
  <si>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</si>
  <si>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</si>
  <si>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</si>
  <si>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</si>
  <si>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</si>
  <si>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</si>
  <si>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</si>
  <si>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</si>
  <si>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</si>
  <si>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</si>
  <si>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</si>
  <si>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</si>
  <si>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</si>
  <si>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</si>
  <si>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</si>
  <si>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</si>
  <si>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</si>
  <si>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</si>
  <si>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charset val="134"/>
      </rPr>
      <t>Ⅴ-西北旺</t>
    </r>
    <r>
      <rPr>
        <sz val="10"/>
        <color indexed="8"/>
        <rFont val="宋体"/>
        <charset val="134"/>
      </rPr>
      <t>Ⅰ</t>
    </r>
  </si>
  <si>
    <t>Ⅵ-兴1</t>
  </si>
  <si>
    <t>Ⅶ-农林园</t>
  </si>
  <si>
    <t>Ⅷ-亦1</t>
  </si>
  <si>
    <t>Ⅸ-平1</t>
  </si>
  <si>
    <r>
      <rPr>
        <sz val="10"/>
        <color theme="1"/>
        <rFont val="仿宋_GB2312"/>
        <charset val="134"/>
      </rPr>
      <t>Ⅴ-西北旺</t>
    </r>
    <r>
      <rPr>
        <sz val="10"/>
        <color indexed="8"/>
        <rFont val="宋体"/>
        <charset val="134"/>
      </rPr>
      <t>Ⅱ</t>
    </r>
  </si>
  <si>
    <t>Ⅵ-昌1</t>
  </si>
  <si>
    <t>Ⅶ-上庄科技</t>
  </si>
  <si>
    <t>Ⅷ-亦2</t>
  </si>
  <si>
    <t>Ⅸ-怀1</t>
  </si>
  <si>
    <t>Ⅴ-石景山园南区</t>
  </si>
  <si>
    <t>Ⅵ-昌2</t>
  </si>
  <si>
    <t>Ⅶ-文化教育基地</t>
  </si>
  <si>
    <t>Ⅷ-良乡开发区A</t>
  </si>
  <si>
    <t>Ⅸ-密1</t>
  </si>
  <si>
    <r>
      <rPr>
        <sz val="10"/>
        <color theme="1"/>
        <rFont val="仿宋_GB2312"/>
        <charset val="134"/>
      </rPr>
      <t>Ⅴ-石景山园北</t>
    </r>
    <r>
      <rPr>
        <sz val="10"/>
        <color indexed="8"/>
        <rFont val="宋体"/>
        <charset val="134"/>
      </rPr>
      <t>Ⅰ</t>
    </r>
  </si>
  <si>
    <t>Ⅵ-昌3</t>
  </si>
  <si>
    <r>
      <rPr>
        <sz val="10"/>
        <color theme="1"/>
        <rFont val="仿宋_GB2312"/>
        <charset val="134"/>
      </rPr>
      <t>Ⅶ-苏家坨科技</t>
    </r>
    <r>
      <rPr>
        <sz val="10"/>
        <color indexed="8"/>
        <rFont val="宋体"/>
        <charset val="134"/>
      </rPr>
      <t>Ⅰ</t>
    </r>
  </si>
  <si>
    <t>Ⅷ-良乡开发区B</t>
  </si>
  <si>
    <t>Ⅸ-延1</t>
  </si>
  <si>
    <r>
      <rPr>
        <sz val="10"/>
        <color theme="1"/>
        <rFont val="仿宋_GB2312"/>
        <charset val="134"/>
      </rPr>
      <t>Ⅴ-石景山园北</t>
    </r>
    <r>
      <rPr>
        <sz val="10"/>
        <color indexed="8"/>
        <rFont val="宋体"/>
        <charset val="134"/>
      </rPr>
      <t>Ⅱ</t>
    </r>
  </si>
  <si>
    <t>Ⅵ-昌4</t>
  </si>
  <si>
    <r>
      <rPr>
        <sz val="10"/>
        <color theme="1"/>
        <rFont val="仿宋_GB2312"/>
        <charset val="134"/>
      </rPr>
      <t>Ⅶ-苏家坨科技</t>
    </r>
    <r>
      <rPr>
        <sz val="10"/>
        <color indexed="8"/>
        <rFont val="宋体"/>
        <charset val="134"/>
      </rPr>
      <t>Ⅱ</t>
    </r>
  </si>
  <si>
    <t>Ⅷ-良乡开发区C</t>
  </si>
  <si>
    <t>Ⅸ-亦1</t>
  </si>
  <si>
    <t>Ⅵ-亦1</t>
  </si>
  <si>
    <r>
      <rPr>
        <sz val="10"/>
        <color theme="1"/>
        <rFont val="仿宋_GB2312"/>
        <charset val="134"/>
      </rPr>
      <t>Ⅶ-丰台园西</t>
    </r>
    <r>
      <rPr>
        <sz val="10"/>
        <color indexed="8"/>
        <rFont val="宋体"/>
        <charset val="134"/>
      </rPr>
      <t>Ⅰ</t>
    </r>
  </si>
  <si>
    <t>Ⅷ-通州环保园</t>
  </si>
  <si>
    <t>Ⅸ-房山工业园东</t>
  </si>
  <si>
    <t>Ⅵ-创新园</t>
  </si>
  <si>
    <r>
      <rPr>
        <sz val="10"/>
        <color theme="1"/>
        <rFont val="仿宋_GB2312"/>
        <charset val="134"/>
      </rPr>
      <t>Ⅶ-丰台园西</t>
    </r>
    <r>
      <rPr>
        <sz val="10"/>
        <color indexed="8"/>
        <rFont val="宋体"/>
        <charset val="134"/>
      </rPr>
      <t>Ⅱ</t>
    </r>
  </si>
  <si>
    <t>Ⅷ-空港北区A</t>
  </si>
  <si>
    <t>Ⅸ-房山工业园西</t>
  </si>
  <si>
    <t>Ⅵ-海淀环保园</t>
  </si>
  <si>
    <t>Ⅶ-石龙开发区</t>
  </si>
  <si>
    <t>Ⅷ-空港北区B</t>
  </si>
  <si>
    <t>Ⅸ-通州开发区东</t>
  </si>
  <si>
    <r>
      <rPr>
        <sz val="10"/>
        <color theme="1"/>
        <rFont val="仿宋_GB2312"/>
        <charset val="134"/>
      </rPr>
      <t>Ⅵ-温泉科技</t>
    </r>
    <r>
      <rPr>
        <sz val="10"/>
        <color indexed="8"/>
        <rFont val="宋体"/>
        <charset val="134"/>
      </rPr>
      <t>Ⅰ</t>
    </r>
  </si>
  <si>
    <t>Ⅶ-光机电</t>
  </si>
  <si>
    <t>Ⅷ-生物医药基地</t>
  </si>
  <si>
    <t>Ⅸ-永乐开发区</t>
  </si>
  <si>
    <r>
      <rPr>
        <sz val="10"/>
        <color theme="1"/>
        <rFont val="仿宋_GB2312"/>
        <charset val="134"/>
      </rPr>
      <t>Ⅵ-温泉科技</t>
    </r>
    <r>
      <rPr>
        <sz val="10"/>
        <color indexed="8"/>
        <rFont val="宋体"/>
        <charset val="134"/>
      </rPr>
      <t>Ⅱ</t>
    </r>
  </si>
  <si>
    <t>Ⅶ-通州开发区西</t>
  </si>
  <si>
    <t>Ⅷ-小汤山工业园</t>
  </si>
  <si>
    <t>Ⅸ-采育开发区</t>
  </si>
  <si>
    <r>
      <rPr>
        <sz val="10"/>
        <color theme="1"/>
        <rFont val="仿宋_GB2312"/>
        <charset val="134"/>
      </rPr>
      <t>Ⅵ-温泉科技</t>
    </r>
    <r>
      <rPr>
        <sz val="10"/>
        <color indexed="8"/>
        <rFont val="宋体"/>
        <charset val="134"/>
      </rPr>
      <t>Ⅲ</t>
    </r>
  </si>
  <si>
    <t>Ⅶ-林河开发区</t>
  </si>
  <si>
    <t>Ⅸ-兴谷开发区A</t>
  </si>
  <si>
    <t>Ⅵ-天竺保税区南</t>
  </si>
  <si>
    <t>Ⅶ-大兴开发区</t>
  </si>
  <si>
    <t>Ⅸ-兴谷开发区B</t>
  </si>
  <si>
    <t>Ⅵ-天竺保税区北1</t>
  </si>
  <si>
    <r>
      <rPr>
        <sz val="10"/>
        <color theme="1"/>
        <rFont val="仿宋_GB2312"/>
        <charset val="134"/>
      </rPr>
      <t>Ⅶ-昌平园南</t>
    </r>
    <r>
      <rPr>
        <sz val="10"/>
        <color indexed="8"/>
        <rFont val="宋体"/>
        <charset val="134"/>
      </rPr>
      <t>Ⅰ</t>
    </r>
  </si>
  <si>
    <t>Ⅸ-雁栖开发区A</t>
  </si>
  <si>
    <t>Ⅵ-天竺保税区北2</t>
  </si>
  <si>
    <r>
      <rPr>
        <sz val="10"/>
        <color theme="1"/>
        <rFont val="仿宋_GB2312"/>
        <charset val="134"/>
      </rPr>
      <t>Ⅶ-昌平园南</t>
    </r>
    <r>
      <rPr>
        <sz val="10"/>
        <color indexed="8"/>
        <rFont val="宋体"/>
        <charset val="134"/>
      </rPr>
      <t>Ⅱ</t>
    </r>
  </si>
  <si>
    <t>Ⅸ-雁栖开发区B</t>
  </si>
  <si>
    <t>Ⅵ-空港A</t>
  </si>
  <si>
    <r>
      <rPr>
        <sz val="10"/>
        <color theme="1"/>
        <rFont val="仿宋_GB2312"/>
        <charset val="134"/>
      </rPr>
      <t>Ⅶ-昌平园北</t>
    </r>
    <r>
      <rPr>
        <sz val="10"/>
        <color indexed="8"/>
        <rFont val="宋体"/>
        <charset val="134"/>
      </rPr>
      <t>Ⅰ</t>
    </r>
  </si>
  <si>
    <t>Ⅸ-雁栖开发区C</t>
  </si>
  <si>
    <t>Ⅵ-空港B</t>
  </si>
  <si>
    <r>
      <rPr>
        <sz val="10"/>
        <color theme="1"/>
        <rFont val="仿宋_GB2312"/>
        <charset val="134"/>
      </rPr>
      <t>Ⅶ-昌平园北</t>
    </r>
    <r>
      <rPr>
        <sz val="10"/>
        <color indexed="8"/>
        <rFont val="宋体"/>
        <charset val="134"/>
      </rPr>
      <t>Ⅱ</t>
    </r>
  </si>
  <si>
    <t>Ⅸ-密云开发区</t>
  </si>
  <si>
    <t>Ⅵ-生命科学园</t>
  </si>
  <si>
    <r>
      <rPr>
        <sz val="10"/>
        <color theme="1"/>
        <rFont val="仿宋_GB2312"/>
        <charset val="134"/>
      </rPr>
      <t>Ⅶ-昌平园北</t>
    </r>
    <r>
      <rPr>
        <sz val="10"/>
        <color indexed="8"/>
        <rFont val="宋体"/>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</si>
  <si>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</si>
  <si>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</si>
  <si>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</si>
  <si>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</si>
  <si>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</si>
  <si>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</si>
  <si>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</si>
  <si>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</si>
  <si>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</si>
  <si>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</si>
  <si>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</si>
  <si>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</si>
  <si>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charset val="134"/>
      </rPr>
      <t>公示增长率</t>
    </r>
  </si>
  <si>
    <r>
      <rPr>
        <b/>
        <sz val="10"/>
        <color theme="1"/>
        <rFont val="楷体_GB2312"/>
        <charset val="134"/>
      </rPr>
      <t>核算至百分数</t>
    </r>
  </si>
  <si>
    <r>
      <rPr>
        <b/>
        <sz val="10"/>
        <color theme="1"/>
        <rFont val="楷体_GB2312"/>
        <charset val="134"/>
      </rPr>
      <t>验证</t>
    </r>
  </si>
  <si>
    <t>季度连乘</t>
  </si>
  <si>
    <t>平均增幅</t>
  </si>
  <si>
    <r>
      <rPr>
        <sz val="11"/>
        <color indexed="8"/>
        <rFont val="楷体_GB2312"/>
        <charset val="134"/>
      </rPr>
      <t>商业</t>
    </r>
  </si>
  <si>
    <r>
      <rPr>
        <sz val="11"/>
        <color indexed="8"/>
        <rFont val="楷体_GB2312"/>
        <charset val="134"/>
      </rPr>
      <t>工业</t>
    </r>
  </si>
  <si>
    <t>商服</t>
  </si>
  <si>
    <t>本行不参与计算</t>
  </si>
  <si>
    <t>2022-1</t>
  </si>
  <si>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</si>
  <si>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</si>
  <si>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</si>
  <si>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</si>
  <si>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</si>
  <si>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</si>
  <si>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</si>
  <si>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</si>
  <si>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</si>
  <si>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</si>
  <si>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</si>
  <si>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</si>
  <si>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</si>
  <si>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</si>
  <si>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</si>
  <si>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</si>
  <si>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</si>
  <si>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</si>
  <si>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</si>
  <si>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</si>
  <si>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</si>
  <si>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</si>
  <si>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</si>
  <si>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</si>
  <si>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</si>
  <si>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</si>
  <si>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</si>
  <si>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</si>
  <si>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</si>
  <si>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</si>
  <si>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</si>
  <si>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</si>
  <si>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</si>
  <si>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</si>
  <si>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</si>
  <si>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</si>
  <si>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</si>
  <si>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</si>
  <si>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</si>
  <si>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</si>
  <si>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</si>
  <si>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</si>
  <si>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</si>
  <si>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</si>
  <si>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</si>
  <si>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</si>
  <si>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</si>
  <si>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</si>
  <si>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</si>
  <si>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</si>
  <si>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</si>
  <si>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</si>
  <si>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</si>
  <si>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</si>
  <si>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</si>
  <si>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</si>
  <si>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</si>
  <si>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</si>
  <si>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</si>
  <si>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</si>
  <si>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</si>
  <si>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</si>
  <si>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</si>
  <si>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</si>
  <si>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</si>
  <si>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</si>
  <si>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</si>
  <si>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</si>
  <si>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</si>
  <si>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</si>
  <si>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</si>
  <si>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</si>
  <si>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</si>
  <si>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</si>
  <si>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</si>
  <si>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</si>
  <si>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</si>
  <si>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</si>
  <si>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</si>
  <si>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</si>
  <si>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</si>
  <si>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</si>
  <si>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</si>
  <si>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</si>
  <si>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</si>
  <si>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</si>
  <si>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</si>
  <si>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</si>
  <si>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</si>
  <si>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</si>
  <si>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</si>
  <si>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</si>
  <si>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</si>
  <si>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</si>
  <si>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</si>
  <si>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</si>
  <si>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</si>
  <si>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</si>
  <si>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</si>
  <si>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</si>
  <si>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</si>
  <si>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charset val="134"/>
      </rPr>
      <t>未来第一年年总收益</t>
    </r>
  </si>
  <si>
    <t>年租金收入+押金利息收入+其他收入</t>
  </si>
  <si>
    <t>年租金收入（年经营收入）</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</si>
  <si>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天数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</si>
  <si>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</si>
  <si>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charset val="134"/>
      </rPr>
      <t>/</t>
    </r>
    <r>
      <rPr>
        <sz val="10"/>
        <color indexed="8"/>
        <rFont val="仿宋_GB2312"/>
        <charset val="134"/>
      </rPr>
      <t>个数</t>
    </r>
  </si>
  <si>
    <r>
      <rPr>
        <sz val="10"/>
        <color indexed="8"/>
        <rFont val="仿宋_GB2312"/>
        <charset val="134"/>
      </rPr>
      <t>天</t>
    </r>
    <r>
      <rPr>
        <sz val="10"/>
        <color indexed="8"/>
        <rFont val="Arial"/>
        <charset val="134"/>
      </rPr>
      <t>/</t>
    </r>
    <r>
      <rPr>
        <sz val="10"/>
        <color indexed="8"/>
        <rFont val="仿宋_GB2312"/>
        <charset val="134"/>
      </rPr>
      <t>月</t>
    </r>
  </si>
  <si>
    <r>
      <rPr>
        <sz val="10"/>
        <color indexed="8"/>
        <rFont val="仿宋_GB2312"/>
        <charset val="134"/>
      </rPr>
      <t>空置率（</t>
    </r>
    <r>
      <rPr>
        <sz val="10"/>
        <color indexed="8"/>
        <rFont val="Arial"/>
        <charset val="134"/>
      </rPr>
      <t>%</t>
    </r>
    <r>
      <rPr>
        <sz val="10"/>
        <color indexed="8"/>
        <rFont val="仿宋_GB2312"/>
        <charset val="134"/>
      </rPr>
      <t>）</t>
    </r>
  </si>
  <si>
    <t>押金利息收入</t>
  </si>
  <si>
    <t>押金*一年期存款利率</t>
  </si>
  <si>
    <t>押金方式</t>
  </si>
  <si>
    <r>
      <rPr>
        <i/>
        <sz val="10"/>
        <color indexed="8"/>
        <rFont val="宋体"/>
        <charset val="134"/>
      </rPr>
      <t>（自定义押金）</t>
    </r>
    <r>
      <rPr>
        <b/>
        <i/>
        <sz val="10"/>
        <color rgb="FFFF0000"/>
        <rFont val="宋体"/>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</si>
  <si>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</si>
  <si>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</si>
  <si>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charset val="134"/>
      </rPr>
      <t>×</t>
    </r>
    <r>
      <rPr>
        <sz val="10"/>
        <color indexed="8"/>
        <rFont val="仿宋_GB2312"/>
        <charset val="134"/>
      </rPr>
      <t>成新度</t>
    </r>
  </si>
  <si>
    <r>
      <rPr>
        <sz val="10"/>
        <color indexed="8"/>
        <rFont val="仿宋_GB2312"/>
        <charset val="134"/>
      </rPr>
      <t>成新度（</t>
    </r>
    <r>
      <rPr>
        <sz val="10"/>
        <color indexed="8"/>
        <rFont val="Arial"/>
        <charset val="134"/>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</si>
  <si>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</si>
  <si>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charset val="134"/>
      </rPr>
      <t>×</t>
    </r>
    <r>
      <rPr>
        <sz val="10"/>
        <color indexed="8"/>
        <rFont val="仿宋_GB2312"/>
        <charset val="134"/>
      </rPr>
      <t>建筑面积</t>
    </r>
  </si>
  <si>
    <t>建筑物重置价格</t>
  </si>
  <si>
    <r>
      <rPr>
        <sz val="10"/>
        <color indexed="8"/>
        <rFont val="仿宋_GB2312"/>
        <charset val="134"/>
      </rPr>
      <t>建安费用</t>
    </r>
    <r>
      <rPr>
        <sz val="10"/>
        <color indexed="8"/>
        <rFont val="Arial"/>
        <charset val="134"/>
      </rPr>
      <t>×</t>
    </r>
    <r>
      <rPr>
        <sz val="10"/>
        <color indexed="8"/>
        <rFont val="仿宋_GB2312"/>
        <charset val="134"/>
      </rPr>
      <t>费率</t>
    </r>
  </si>
  <si>
    <r>
      <rPr>
        <sz val="10"/>
        <color indexed="8"/>
        <rFont val="仿宋_GB2312"/>
        <charset val="134"/>
      </rPr>
      <t>费率（</t>
    </r>
    <r>
      <rPr>
        <sz val="10"/>
        <color indexed="8"/>
        <rFont val="Arial"/>
        <charset val="134"/>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</si>
  <si>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</si>
  <si>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charset val="134"/>
      </rPr>
      <t>+</t>
    </r>
    <r>
      <rPr>
        <sz val="10"/>
        <color indexed="8"/>
        <rFont val="仿宋_GB2312"/>
        <charset val="134"/>
      </rPr>
      <t>维修费</t>
    </r>
    <r>
      <rPr>
        <sz val="10"/>
        <color indexed="8"/>
        <rFont val="Arial"/>
        <charset val="134"/>
      </rPr>
      <t>+</t>
    </r>
    <r>
      <rPr>
        <sz val="10"/>
        <color indexed="8"/>
        <rFont val="仿宋_GB2312"/>
        <charset val="134"/>
      </rPr>
      <t>保险费</t>
    </r>
    <r>
      <rPr>
        <sz val="10"/>
        <color indexed="8"/>
        <rFont val="Arial"/>
        <charset val="134"/>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</si>
  <si>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</si>
  <si>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charset val="134"/>
      </rPr>
      <t>×</t>
    </r>
    <r>
      <rPr>
        <sz val="10"/>
        <color indexed="8"/>
        <rFont val="仿宋_GB2312"/>
        <charset val="134"/>
      </rPr>
      <t>取费标准</t>
    </r>
  </si>
  <si>
    <r>
      <rPr>
        <sz val="10"/>
        <color indexed="8"/>
        <rFont val="仿宋_GB2312"/>
        <charset val="134"/>
      </rPr>
      <t>市政费用（元</t>
    </r>
    <r>
      <rPr>
        <sz val="10"/>
        <color indexed="8"/>
        <rFont val="Arial"/>
        <charset val="134"/>
      </rPr>
      <t>/</t>
    </r>
    <r>
      <rPr>
        <sz val="10"/>
        <color indexed="8"/>
        <rFont val="仿宋_GB2312"/>
        <charset val="134"/>
      </rPr>
      <t>㎡）</t>
    </r>
  </si>
  <si>
    <r>
      <rPr>
        <sz val="10"/>
        <color indexed="8"/>
        <rFont val="仿宋_GB2312"/>
        <charset val="134"/>
      </rPr>
      <t>税</t>
    </r>
    <r>
      <rPr>
        <sz val="10"/>
        <color indexed="8"/>
        <rFont val="Arial"/>
        <charset val="134"/>
      </rPr>
      <t xml:space="preserve">  </t>
    </r>
    <r>
      <rPr>
        <sz val="10"/>
        <color indexed="8"/>
        <rFont val="仿宋_GB2312"/>
        <charset val="134"/>
      </rPr>
      <t>费</t>
    </r>
  </si>
  <si>
    <r>
      <rPr>
        <sz val="10"/>
        <color indexed="8"/>
        <rFont val="仿宋_GB2312"/>
        <charset val="134"/>
      </rPr>
      <t>两税一费</t>
    </r>
    <r>
      <rPr>
        <sz val="10"/>
        <color indexed="8"/>
        <rFont val="Arial"/>
        <charset val="134"/>
      </rPr>
      <t>+</t>
    </r>
    <r>
      <rPr>
        <sz val="10"/>
        <color indexed="8"/>
        <rFont val="仿宋_GB2312"/>
        <charset val="134"/>
      </rPr>
      <t>房产税</t>
    </r>
    <r>
      <rPr>
        <sz val="10"/>
        <color indexed="8"/>
        <rFont val="Arial"/>
        <charset val="134"/>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</si>
  <si>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</si>
  <si>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</si>
  <si>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</si>
  <si>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建造成本</t>
    </r>
  </si>
  <si>
    <r>
      <rPr>
        <sz val="10"/>
        <color indexed="8"/>
        <rFont val="仿宋_GB2312"/>
        <charset val="134"/>
      </rPr>
      <t>建安费用</t>
    </r>
    <r>
      <rPr>
        <sz val="10"/>
        <color indexed="8"/>
        <rFont val="Arial"/>
        <charset val="134"/>
      </rPr>
      <t>+</t>
    </r>
    <r>
      <rPr>
        <sz val="10"/>
        <color indexed="8"/>
        <rFont val="仿宋_GB2312"/>
        <charset val="134"/>
      </rPr>
      <t>公共配套设施费用</t>
    </r>
    <r>
      <rPr>
        <sz val="10"/>
        <color indexed="8"/>
        <rFont val="Arial"/>
        <charset val="134"/>
      </rPr>
      <t>+</t>
    </r>
    <r>
      <rPr>
        <sz val="10"/>
        <color indexed="8"/>
        <rFont val="仿宋_GB2312"/>
        <charset val="134"/>
      </rPr>
      <t>基础设施建设费</t>
    </r>
    <r>
      <rPr>
        <sz val="10"/>
        <color indexed="8"/>
        <rFont val="Arial"/>
        <charset val="134"/>
      </rPr>
      <t>+</t>
    </r>
    <r>
      <rPr>
        <sz val="10"/>
        <color indexed="8"/>
        <rFont val="仿宋_GB2312"/>
        <charset val="134"/>
      </rPr>
      <t>相关税费</t>
    </r>
  </si>
  <si>
    <r>
      <rPr>
        <sz val="10"/>
        <color indexed="8"/>
        <rFont val="仿宋_GB2312"/>
        <charset val="134"/>
      </rPr>
      <t>房产税</t>
    </r>
  </si>
  <si>
    <r>
      <rPr>
        <sz val="10"/>
        <color indexed="8"/>
        <rFont val="仿宋_GB2312"/>
        <charset val="134"/>
      </rPr>
      <t>按房产原值计税</t>
    </r>
  </si>
  <si>
    <r>
      <rPr>
        <sz val="10"/>
        <color indexed="8"/>
        <rFont val="宋体"/>
        <charset val="134"/>
      </rPr>
      <t>（</t>
    </r>
    <r>
      <rPr>
        <sz val="10"/>
        <color indexed="8"/>
        <rFont val="Arial"/>
        <charset val="134"/>
      </rPr>
      <t>2）</t>
    </r>
  </si>
  <si>
    <r>
      <rPr>
        <sz val="10"/>
        <color indexed="8"/>
        <rFont val="仿宋_GB2312"/>
        <charset val="134"/>
      </rPr>
      <t>管理费用</t>
    </r>
  </si>
  <si>
    <r>
      <rPr>
        <sz val="10"/>
        <color indexed="8"/>
        <rFont val="仿宋_GB2312"/>
        <charset val="134"/>
      </rPr>
      <t>建造成本</t>
    </r>
    <r>
      <rPr>
        <sz val="10"/>
        <color indexed="8"/>
        <rFont val="Arial"/>
        <charset val="134"/>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</si>
  <si>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</si>
  <si>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charset val="134"/>
      </rPr>
      <t>×</t>
    </r>
    <r>
      <rPr>
        <sz val="10"/>
        <color indexed="8"/>
        <rFont val="仿宋_GB2312"/>
        <charset val="134"/>
      </rPr>
      <t>取费标准</t>
    </r>
  </si>
  <si>
    <r>
      <rPr>
        <sz val="10"/>
        <color indexed="8"/>
        <rFont val="仿宋_GB2312"/>
        <charset val="134"/>
      </rPr>
      <t>纳税标准（元</t>
    </r>
    <r>
      <rPr>
        <sz val="10"/>
        <color indexed="8"/>
        <rFont val="Arial"/>
        <charset val="134"/>
      </rPr>
      <t>/</t>
    </r>
    <r>
      <rPr>
        <sz val="10"/>
        <color indexed="8"/>
        <rFont val="仿宋_GB2312"/>
        <charset val="134"/>
      </rPr>
      <t>㎡）</t>
    </r>
  </si>
  <si>
    <r>
      <rPr>
        <sz val="10"/>
        <color indexed="8"/>
        <rFont val="宋体"/>
        <charset val="134"/>
      </rPr>
      <t>（</t>
    </r>
    <r>
      <rPr>
        <sz val="10"/>
        <color indexed="8"/>
        <rFont val="Arial"/>
        <charset val="134"/>
      </rPr>
      <t>3）</t>
    </r>
  </si>
  <si>
    <r>
      <rPr>
        <sz val="10"/>
        <color indexed="8"/>
        <rFont val="仿宋_GB2312"/>
        <charset val="134"/>
      </rPr>
      <t>销售费用</t>
    </r>
  </si>
  <si>
    <r>
      <rPr>
        <sz val="10"/>
        <color indexed="8"/>
        <rFont val="仿宋_GB2312"/>
        <charset val="134"/>
      </rPr>
      <t>建筑物重置价值</t>
    </r>
    <r>
      <rPr>
        <sz val="10"/>
        <color indexed="8"/>
        <rFont val="Arial"/>
        <charset val="134"/>
      </rPr>
      <t>×</t>
    </r>
    <r>
      <rPr>
        <sz val="10"/>
        <color indexed="8"/>
        <rFont val="仿宋_GB2312"/>
        <charset val="134"/>
      </rPr>
      <t>费率</t>
    </r>
  </si>
  <si>
    <r>
      <rPr>
        <sz val="10"/>
        <color indexed="8"/>
        <rFont val="仿宋_GB2312"/>
        <charset val="134"/>
      </rPr>
      <t>销售费率（</t>
    </r>
    <r>
      <rPr>
        <sz val="10"/>
        <color indexed="8"/>
        <rFont val="Arial"/>
        <charset val="134"/>
      </rPr>
      <t>%</t>
    </r>
    <r>
      <rPr>
        <sz val="10"/>
        <color indexed="8"/>
        <rFont val="仿宋_GB2312"/>
        <charset val="134"/>
      </rPr>
      <t>）</t>
    </r>
  </si>
  <si>
    <r>
      <rPr>
        <sz val="10"/>
        <color indexed="8"/>
        <rFont val="仿宋_GB2312"/>
        <charset val="134"/>
      </rPr>
      <t>土地面积（㎡）</t>
    </r>
  </si>
  <si>
    <r>
      <rPr>
        <sz val="10"/>
        <color indexed="8"/>
        <rFont val="宋体"/>
        <charset val="134"/>
      </rPr>
      <t>（</t>
    </r>
    <r>
      <rPr>
        <sz val="10"/>
        <color indexed="8"/>
        <rFont val="Arial"/>
        <charset val="134"/>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</si>
  <si>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</si>
  <si>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</si>
  <si>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charset val="134"/>
      </rPr>
      <t>×</t>
    </r>
    <r>
      <rPr>
        <sz val="10"/>
        <color indexed="8"/>
        <rFont val="仿宋_GB2312"/>
        <charset val="134"/>
      </rPr>
      <t>维修费率</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</si>
  <si>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</si>
  <si>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</si>
  <si>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</si>
  <si>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charset val="134"/>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</si>
  <si>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</si>
  <si>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charset val="134"/>
      </rPr>
      <t>%</t>
    </r>
    <r>
      <rPr>
        <sz val="10"/>
        <color indexed="8"/>
        <rFont val="仿宋_GB2312"/>
        <charset val="134"/>
      </rPr>
      <t>）</t>
    </r>
  </si>
  <si>
    <r>
      <rPr>
        <sz val="10"/>
        <color indexed="8"/>
        <rFont val="仿宋_GB2312"/>
        <charset val="134"/>
      </rPr>
      <t>年总收益</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</si>
  <si>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5</t>
    </r>
    <r>
      <rPr>
        <sz val="10"/>
        <color indexed="8"/>
        <rFont val="宋体"/>
        <charset val="134"/>
      </rPr>
      <t>）</t>
    </r>
  </si>
  <si>
    <r>
      <rPr>
        <sz val="10"/>
        <color indexed="8"/>
        <rFont val="仿宋_GB2312"/>
        <charset val="134"/>
      </rPr>
      <t>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</si>
  <si>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销售费用）</t>
    </r>
    <r>
      <rPr>
        <sz val="10"/>
        <color indexed="8"/>
        <rFont val="Arial"/>
        <charset val="134"/>
      </rPr>
      <t>×</t>
    </r>
    <r>
      <rPr>
        <sz val="10"/>
        <color indexed="8"/>
        <rFont val="仿宋_GB2312"/>
        <charset val="134"/>
      </rPr>
      <t>利润率</t>
    </r>
  </si>
  <si>
    <t>不动产未来第一年净收益</t>
  </si>
  <si>
    <r>
      <rPr>
        <sz val="10"/>
        <color indexed="8"/>
        <rFont val="仿宋_GB2312"/>
        <charset val="134"/>
      </rPr>
      <t>年总收益</t>
    </r>
    <r>
      <rPr>
        <sz val="10"/>
        <color indexed="8"/>
        <rFont val="Arial"/>
        <charset val="134"/>
      </rPr>
      <t>-</t>
    </r>
    <r>
      <rPr>
        <sz val="10"/>
        <color indexed="8"/>
        <rFont val="仿宋_GB2312"/>
        <charset val="134"/>
      </rPr>
      <t>年经营费用</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</si>
  <si>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）项产生的利润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</si>
  <si>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利润率</t>
    </r>
  </si>
  <si>
    <r>
      <rPr>
        <sz val="10"/>
        <color indexed="8"/>
        <rFont val="仿宋_GB2312"/>
        <charset val="134"/>
      </rPr>
      <t>利润率（</t>
    </r>
    <r>
      <rPr>
        <sz val="10"/>
        <color indexed="8"/>
        <rFont val="Arial"/>
        <charset val="134"/>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</si>
  <si>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</si>
  <si>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charset val="134"/>
      </rPr>
      <t>×</t>
    </r>
  </si>
  <si>
    <r>
      <rPr>
        <sz val="10"/>
        <color indexed="8"/>
        <rFont val="仿宋_GB2312"/>
        <charset val="134"/>
      </rPr>
      <t>报酬率（</t>
    </r>
    <r>
      <rPr>
        <sz val="10"/>
        <color indexed="8"/>
        <rFont val="Arial"/>
        <charset val="134"/>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</si>
  <si>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</si>
  <si>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charset val="134"/>
      </rPr>
      <t>×</t>
    </r>
    <r>
      <rPr>
        <sz val="10"/>
        <color indexed="8"/>
        <rFont val="仿宋_GB2312"/>
        <charset val="134"/>
      </rPr>
      <t>利润率</t>
    </r>
  </si>
  <si>
    <r>
      <rPr>
        <sz val="10"/>
        <color indexed="8"/>
        <rFont val="Arial"/>
        <charset val="134"/>
      </rPr>
      <t>[1-</t>
    </r>
    <r>
      <rPr>
        <sz val="10"/>
        <color indexed="8"/>
        <rFont val="仿宋_GB2312"/>
        <charset val="134"/>
      </rPr>
      <t>（</t>
    </r>
    <r>
      <rPr>
        <sz val="10"/>
        <color indexed="8"/>
        <rFont val="Arial"/>
        <charset val="134"/>
      </rPr>
      <t>(1+g)/(1+Y)</t>
    </r>
    <r>
      <rPr>
        <sz val="10"/>
        <color indexed="8"/>
        <rFont val="仿宋_GB2312"/>
        <charset val="134"/>
      </rPr>
      <t>）</t>
    </r>
    <r>
      <rPr>
        <sz val="10"/>
        <color indexed="8"/>
        <rFont val="Arial"/>
        <charset val="134"/>
      </rPr>
      <t xml:space="preserve"> ^n ]/(Y-g)</t>
    </r>
  </si>
  <si>
    <r>
      <rPr>
        <sz val="10"/>
        <color indexed="8"/>
        <rFont val="仿宋_GB2312"/>
        <charset val="134"/>
      </rPr>
      <t>收益年期</t>
    </r>
    <r>
      <rPr>
        <sz val="10"/>
        <color indexed="8"/>
        <rFont val="Arial"/>
        <charset val="134"/>
      </rPr>
      <t>(n)</t>
    </r>
  </si>
  <si>
    <r>
      <rPr>
        <sz val="10"/>
        <color indexed="8"/>
        <rFont val="宋体"/>
        <charset val="134"/>
      </rPr>
      <t>（</t>
    </r>
    <r>
      <rPr>
        <sz val="10"/>
        <color indexed="8"/>
        <rFont val="Arial"/>
        <charset val="134"/>
      </rPr>
      <t>6</t>
    </r>
    <r>
      <rPr>
        <sz val="10"/>
        <color indexed="8"/>
        <rFont val="宋体"/>
        <charset val="134"/>
      </rPr>
      <t>）</t>
    </r>
  </si>
  <si>
    <r>
      <rPr>
        <sz val="10"/>
        <color indexed="8"/>
        <rFont val="仿宋_GB2312"/>
        <charset val="134"/>
      </rPr>
      <t>销售税费</t>
    </r>
  </si>
  <si>
    <r>
      <rPr>
        <sz val="10"/>
        <color indexed="8"/>
        <rFont val="仿宋_GB2312"/>
        <charset val="134"/>
      </rPr>
      <t>建筑物重置价值</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</si>
  <si>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年增长比率</t>
    </r>
    <r>
      <rPr>
        <sz val="10"/>
        <color indexed="8"/>
        <rFont val="Arial"/>
        <charset val="134"/>
      </rPr>
      <t>(g)</t>
    </r>
  </si>
  <si>
    <r>
      <rPr>
        <sz val="10"/>
        <color indexed="8"/>
        <rFont val="宋体"/>
        <charset val="134"/>
      </rPr>
      <t>（</t>
    </r>
    <r>
      <rPr>
        <sz val="10"/>
        <color indexed="8"/>
        <rFont val="Arial"/>
        <charset val="134"/>
      </rPr>
      <t>7</t>
    </r>
    <r>
      <rPr>
        <sz val="10"/>
        <color indexed="8"/>
        <rFont val="宋体"/>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</si>
  <si>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</si>
  <si>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</si>
  <si>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charset val="134"/>
      </rPr>
      <t>÷</t>
    </r>
    <r>
      <rPr>
        <sz val="10"/>
        <color indexed="8"/>
        <rFont val="仿宋_GB2312"/>
        <charset val="134"/>
      </rPr>
      <t>建筑面积</t>
    </r>
  </si>
  <si>
    <t>3</t>
  </si>
  <si>
    <r>
      <rPr>
        <b/>
        <sz val="10"/>
        <color indexed="8"/>
        <rFont val="仿宋_GB2312"/>
        <charset val="134"/>
      </rPr>
      <t>年总费用</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</si>
  <si>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</si>
  <si>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t>按房产原值计税</t>
  </si>
  <si>
    <r>
      <rPr>
        <sz val="10"/>
        <color indexed="8"/>
        <rFont val="仿宋_GB2312"/>
        <charset val="134"/>
      </rPr>
      <t>建筑物重置价格</t>
    </r>
    <r>
      <rPr>
        <sz val="10"/>
        <color indexed="8"/>
        <rFont val="Arial"/>
        <charset val="134"/>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</si>
  <si>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</si>
  <si>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</si>
  <si>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charset val="134"/>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</si>
  <si>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</si>
  <si>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charset val="134"/>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</si>
  <si>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</si>
  <si>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</si>
  <si>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charset val="134"/>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</si>
  <si>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</si>
  <si>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charset val="134"/>
      </rPr>
      <t>×</t>
    </r>
    <r>
      <rPr>
        <sz val="11"/>
        <color indexed="8"/>
        <rFont val="仿宋_GB2312"/>
        <charset val="134"/>
      </rPr>
      <t>（</t>
    </r>
    <r>
      <rPr>
        <sz val="11"/>
        <color indexed="8"/>
        <rFont val="Arial"/>
        <charset val="134"/>
      </rPr>
      <t>1-1/</t>
    </r>
    <r>
      <rPr>
        <sz val="11"/>
        <color indexed="8"/>
        <rFont val="仿宋_GB2312"/>
        <charset val="134"/>
      </rPr>
      <t>（</t>
    </r>
    <r>
      <rPr>
        <sz val="11"/>
        <color indexed="8"/>
        <rFont val="Arial"/>
        <charset val="134"/>
      </rPr>
      <t>1+y</t>
    </r>
    <r>
      <rPr>
        <sz val="11"/>
        <color indexed="8"/>
        <rFont val="仿宋_GB2312"/>
        <charset val="134"/>
      </rPr>
      <t>）</t>
    </r>
    <r>
      <rPr>
        <sz val="11"/>
        <color indexed="8"/>
        <rFont val="Arial"/>
        <charset val="134"/>
      </rPr>
      <t>^n)/y</t>
    </r>
  </si>
  <si>
    <r>
      <rPr>
        <sz val="10"/>
        <color indexed="8"/>
        <rFont val="仿宋_GB2312"/>
        <charset val="134"/>
      </rPr>
      <t>土地还原率（</t>
    </r>
    <r>
      <rPr>
        <sz val="10"/>
        <color indexed="8"/>
        <rFont val="Arial"/>
        <charset val="134"/>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</si>
  <si>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</si>
  <si>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</si>
  <si>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</si>
  <si>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</si>
  <si>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</si>
  <si>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</si>
  <si>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</si>
  <si>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</si>
  <si>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</si>
  <si>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</si>
  <si>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</si>
  <si>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</si>
  <si>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</si>
  <si>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</si>
  <si>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</si>
  <si>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</si>
  <si>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</si>
  <si>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charset val="134"/>
      </rPr>
      <t>建筑物重置价值</t>
    </r>
    <r>
      <rPr>
        <sz val="12"/>
        <color theme="1"/>
        <rFont val="Arial"/>
        <charset val="134"/>
      </rPr>
      <t>×</t>
    </r>
    <r>
      <rPr>
        <sz val="12"/>
        <color theme="1"/>
        <rFont val="楷体_GB2312"/>
        <charset val="134"/>
      </rPr>
      <t>成新率/（1+建筑物报酬率）</t>
    </r>
    <r>
      <rPr>
        <vertAlign val="superscript"/>
        <sz val="12"/>
        <color theme="1"/>
        <rFont val="楷体_GB2312"/>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</si>
  <si>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</si>
  <si>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</si>
  <si>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</si>
  <si>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</si>
  <si>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</si>
  <si>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</si>
  <si>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</si>
  <si>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</si>
  <si>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</si>
  <si>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</si>
  <si>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</si>
  <si>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</si>
  <si>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</si>
  <si>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</si>
  <si>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</si>
  <si>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</si>
  <si>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</si>
  <si>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</si>
  <si>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</si>
  <si>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</si>
  <si>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charset val="134"/>
      </rPr>
      <t>计算土地剩余价格折现</t>
    </r>
    <r>
      <rPr>
        <b/>
        <sz val="12"/>
        <color rgb="FFFF0000"/>
        <rFont val="Arial"/>
        <charset val="134"/>
      </rPr>
      <t>-</t>
    </r>
    <r>
      <rPr>
        <b/>
        <sz val="12"/>
        <color rgb="FFFF0000"/>
        <rFont val="宋体"/>
        <charset val="134"/>
      </rPr>
      <t>比较法</t>
    </r>
    <r>
      <rPr>
        <b/>
        <sz val="12"/>
        <color rgb="FFFF0000"/>
        <rFont val="Arial"/>
        <charset val="134"/>
      </rPr>
      <t>/</t>
    </r>
    <r>
      <rPr>
        <b/>
        <sz val="12"/>
        <color rgb="FFFF0000"/>
        <rFont val="宋体"/>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</si>
  <si>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</si>
  <si>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</si>
  <si>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</si>
  <si>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</si>
  <si>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</si>
  <si>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</si>
  <si>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</si>
  <si>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charset val="134"/>
      </rPr>
      <t>P</t>
    </r>
    <r>
      <rPr>
        <vertAlign val="subscript"/>
        <sz val="12"/>
        <color theme="1"/>
        <rFont val="Arial"/>
        <charset val="134"/>
      </rPr>
      <t>n</t>
    </r>
    <r>
      <rPr>
        <sz val="12"/>
        <color theme="1"/>
        <rFont val="Arial"/>
        <charset val="134"/>
      </rPr>
      <t>×</t>
    </r>
    <r>
      <rPr>
        <sz val="12"/>
        <color theme="1"/>
        <rFont val="楷体_GB2312"/>
        <charset val="134"/>
      </rPr>
      <t>（</t>
    </r>
    <r>
      <rPr>
        <sz val="12"/>
        <color theme="1"/>
        <rFont val="Arial"/>
        <charset val="134"/>
      </rPr>
      <t>K</t>
    </r>
    <r>
      <rPr>
        <vertAlign val="subscript"/>
        <sz val="12"/>
        <color theme="1"/>
        <rFont val="Arial"/>
        <charset val="134"/>
      </rPr>
      <t>N</t>
    </r>
    <r>
      <rPr>
        <sz val="12"/>
        <color theme="1"/>
        <rFont val="Arial"/>
        <charset val="134"/>
      </rPr>
      <t>÷K</t>
    </r>
    <r>
      <rPr>
        <vertAlign val="subscript"/>
        <sz val="12"/>
        <color theme="1"/>
        <rFont val="Arial"/>
        <charset val="134"/>
      </rPr>
      <t>n</t>
    </r>
    <r>
      <rPr>
        <sz val="12"/>
        <color theme="1"/>
        <rFont val="Arial"/>
        <charset val="134"/>
      </rPr>
      <t>-1</t>
    </r>
    <r>
      <rPr>
        <sz val="12"/>
        <color theme="1"/>
        <rFont val="楷体_GB2312"/>
        <charset val="134"/>
      </rPr>
      <t>）</t>
    </r>
  </si>
  <si>
    <t>土地使用年限结束后建筑物现值</t>
  </si>
  <si>
    <t>建筑物剩余耐用年限下的土地年期修正系数</t>
  </si>
  <si>
    <r>
      <rPr>
        <sz val="12"/>
        <color theme="1"/>
        <rFont val="楷体_GB2312"/>
        <charset val="134"/>
      </rPr>
      <t>剩余土地使用年限下的土地价格</t>
    </r>
    <r>
      <rPr>
        <sz val="12"/>
        <color theme="1"/>
        <rFont val="Arial"/>
        <charset val="134"/>
      </rPr>
      <t>P</t>
    </r>
    <r>
      <rPr>
        <vertAlign val="subscript"/>
        <sz val="12"/>
        <color theme="1"/>
        <rFont val="Arial"/>
        <charset val="134"/>
      </rPr>
      <t>n</t>
    </r>
    <r>
      <rPr>
        <sz val="12"/>
        <color theme="1"/>
        <rFont val="楷体_GB2312"/>
        <charset val="134"/>
      </rPr>
      <t>（万元）</t>
    </r>
  </si>
  <si>
    <t>建筑物剩余价值折现值</t>
  </si>
  <si>
    <t>剩余土地价值折现值</t>
  </si>
  <si>
    <r>
      <rPr>
        <sz val="12"/>
        <color theme="1"/>
        <rFont val="楷体_GB2312"/>
        <charset val="134"/>
      </rPr>
      <t>土地报酬率</t>
    </r>
    <r>
      <rPr>
        <sz val="12"/>
        <color theme="1"/>
        <rFont val="Arial"/>
        <charset val="134"/>
      </rPr>
      <t>r</t>
    </r>
    <r>
      <rPr>
        <sz val="12"/>
        <color theme="1"/>
        <rFont val="楷体_GB2312"/>
        <charset val="134"/>
      </rPr>
      <t>（</t>
    </r>
    <r>
      <rPr>
        <sz val="12"/>
        <color theme="1"/>
        <rFont val="Arial"/>
        <charset val="134"/>
      </rPr>
      <t>%</t>
    </r>
    <r>
      <rPr>
        <sz val="12"/>
        <color theme="1"/>
        <rFont val="楷体_GB2312"/>
        <charset val="134"/>
      </rPr>
      <t>）</t>
    </r>
  </si>
  <si>
    <r>
      <rPr>
        <sz val="12"/>
        <color theme="1"/>
        <rFont val="楷体_GB2312"/>
        <charset val="134"/>
      </rPr>
      <t>剩余土地使用年期下的土地年期修正系数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</si>
  <si>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</si>
  <si>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结构类型</t>
  </si>
  <si>
    <t>生产用房</t>
  </si>
  <si>
    <t>受腐蚀的生产用房</t>
  </si>
  <si>
    <t>非生产用房</t>
  </si>
  <si>
    <t>残值率</t>
  </si>
  <si>
    <r>
      <rPr>
        <sz val="12"/>
        <color theme="1"/>
        <rFont val="楷体_GB2312"/>
        <charset val="134"/>
      </rPr>
      <t>建筑物剩余耐用年限下的土地年期修正系数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</si>
  <si>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</si>
  <si>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钢</t>
  </si>
  <si>
    <t>钢混</t>
  </si>
  <si>
    <r>
      <rPr>
        <b/>
        <sz val="12"/>
        <color rgb="FFFF0000"/>
        <rFont val="宋体"/>
        <charset val="134"/>
      </rPr>
      <t>计算土地剩余价格折现</t>
    </r>
    <r>
      <rPr>
        <b/>
        <sz val="12"/>
        <color rgb="FFFF0000"/>
        <rFont val="Arial"/>
        <charset val="134"/>
      </rPr>
      <t>-</t>
    </r>
    <r>
      <rPr>
        <b/>
        <sz val="12"/>
        <color rgb="FFFF0000"/>
        <rFont val="宋体"/>
        <charset val="134"/>
      </rPr>
      <t>收益法</t>
    </r>
  </si>
  <si>
    <t>砖混</t>
  </si>
  <si>
    <r>
      <rPr>
        <sz val="14"/>
        <color theme="1"/>
        <rFont val="Arial"/>
        <charset val="134"/>
      </rPr>
      <t>(a</t>
    </r>
    <r>
      <rPr>
        <vertAlign val="subscript"/>
        <sz val="14"/>
        <color theme="1"/>
        <rFont val="Arial"/>
        <charset val="134"/>
      </rPr>
      <t>t</t>
    </r>
    <r>
      <rPr>
        <sz val="14"/>
        <color theme="1"/>
        <rFont val="Arial"/>
        <charset val="134"/>
      </rPr>
      <t>÷r)[1-1÷(1+r)</t>
    </r>
    <r>
      <rPr>
        <vertAlign val="superscript"/>
        <sz val="14"/>
        <color theme="1"/>
        <rFont val="Arial"/>
        <charset val="134"/>
      </rPr>
      <t>N</t>
    </r>
    <r>
      <rPr>
        <sz val="14"/>
        <color theme="1"/>
        <rFont val="Arial"/>
        <charset val="134"/>
      </rPr>
      <t>]</t>
    </r>
  </si>
  <si>
    <r>
      <rPr>
        <sz val="12"/>
        <color rgb="FF000000"/>
        <rFont val="楷体_GB2312"/>
        <charset val="134"/>
      </rPr>
      <t>土地纯收益</t>
    </r>
    <r>
      <rPr>
        <sz val="12"/>
        <color theme="1"/>
        <rFont val="Arial"/>
        <charset val="134"/>
      </rPr>
      <t>a</t>
    </r>
    <r>
      <rPr>
        <vertAlign val="subscript"/>
        <sz val="12"/>
        <color theme="1"/>
        <rFont val="Arial"/>
        <charset val="134"/>
      </rPr>
      <t>t</t>
    </r>
    <r>
      <rPr>
        <sz val="12"/>
        <color theme="1"/>
        <rFont val="楷体_GB2312"/>
        <charset val="134"/>
      </rPr>
      <t>（万元）</t>
    </r>
  </si>
  <si>
    <t>a</t>
  </si>
  <si>
    <t>房地纯收益（万元）</t>
  </si>
  <si>
    <t>b</t>
  </si>
  <si>
    <t>建筑物现值（万元）</t>
  </si>
  <si>
    <t>c</t>
  </si>
  <si>
    <r>
      <rPr>
        <sz val="12"/>
        <color rgb="FF000000"/>
        <rFont val="楷体_GB2312"/>
        <charset val="134"/>
      </rPr>
      <t>建筑物资本化率</t>
    </r>
    <r>
      <rPr>
        <sz val="12"/>
        <color rgb="FF000000"/>
        <rFont val="Arial"/>
        <charset val="134"/>
      </rPr>
      <t>g</t>
    </r>
    <r>
      <rPr>
        <sz val="12"/>
        <color rgb="FF000000"/>
        <rFont val="楷体_GB2312"/>
        <charset val="134"/>
      </rPr>
      <t>（</t>
    </r>
    <r>
      <rPr>
        <sz val="12"/>
        <color rgb="FF000000"/>
        <rFont val="Arial"/>
        <charset val="134"/>
      </rPr>
      <t>%</t>
    </r>
    <r>
      <rPr>
        <sz val="12"/>
        <color rgb="FF000000"/>
        <rFont val="楷体_GB2312"/>
        <charset val="134"/>
      </rPr>
      <t>）</t>
    </r>
  </si>
  <si>
    <t>(E)</t>
  </si>
  <si>
    <t>元/月·平方米</t>
  </si>
  <si>
    <r>
      <rPr>
        <b/>
        <sz val="12"/>
        <color indexed="8"/>
        <rFont val="Arial"/>
        <charset val="134"/>
      </rPr>
      <t>1 .</t>
    </r>
    <r>
      <rPr>
        <b/>
        <sz val="12"/>
        <color indexed="8"/>
        <rFont val="仿宋_GB2312"/>
        <charset val="134"/>
      </rPr>
      <t>开发完成后不动产总价</t>
    </r>
  </si>
  <si>
    <r>
      <rPr>
        <b/>
        <sz val="12"/>
        <color indexed="8"/>
        <rFont val="Arial"/>
        <charset val="134"/>
      </rPr>
      <t>2 .</t>
    </r>
    <r>
      <rPr>
        <b/>
        <sz val="12"/>
        <color indexed="8"/>
        <rFont val="仿宋_GB2312"/>
        <charset val="134"/>
      </rPr>
      <t>扣减项</t>
    </r>
  </si>
  <si>
    <r>
      <rPr>
        <b/>
        <sz val="11"/>
        <color indexed="8"/>
        <rFont val="仿宋_GB2312"/>
        <charset val="134"/>
      </rPr>
      <t>以住宅用房建安费用为基数计取</t>
    </r>
  </si>
  <si>
    <r>
      <rPr>
        <sz val="10"/>
        <color indexed="8"/>
        <rFont val="仿宋_GB2312"/>
        <charset val="134"/>
      </rPr>
      <t>以建安费用为基数计取</t>
    </r>
  </si>
  <si>
    <r>
      <rPr>
        <sz val="11"/>
        <color indexed="8"/>
        <rFont val="仿宋_GB2312"/>
        <charset val="134"/>
      </rPr>
      <t>前述</t>
    </r>
    <r>
      <rPr>
        <sz val="11"/>
        <color indexed="8"/>
        <rFont val="Arial"/>
        <charset val="134"/>
      </rPr>
      <t>5</t>
    </r>
    <r>
      <rPr>
        <sz val="11"/>
        <color indexed="8"/>
        <rFont val="仿宋_GB2312"/>
        <charset val="134"/>
      </rPr>
      <t>项之和</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</si>
  <si>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</si>
  <si>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</si>
  <si>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仿宋_GB2312"/>
        <charset val="134"/>
      </rPr>
      <t>城市基础设施建设费（行政收费）</t>
    </r>
  </si>
  <si>
    <t>已部分缴纳</t>
  </si>
  <si>
    <r>
      <rPr>
        <sz val="10"/>
        <color indexed="8"/>
        <rFont val="仿宋_GB2312"/>
        <charset val="134"/>
      </rPr>
      <t>住宅</t>
    </r>
  </si>
  <si>
    <r>
      <rPr>
        <sz val="10"/>
        <color indexed="8"/>
        <rFont val="仿宋_GB2312"/>
        <charset val="134"/>
      </rPr>
      <t>非住宅</t>
    </r>
  </si>
  <si>
    <r>
      <rPr>
        <b/>
        <sz val="11"/>
        <color indexed="8"/>
        <rFont val="宋体"/>
        <charset val="134"/>
      </rPr>
      <t>（</t>
    </r>
    <r>
      <rPr>
        <b/>
        <sz val="11"/>
        <color indexed="8"/>
        <rFont val="Arial"/>
        <charset val="134"/>
      </rPr>
      <t>4</t>
    </r>
    <r>
      <rPr>
        <b/>
        <sz val="11"/>
        <color indexed="8"/>
        <rFont val="宋体"/>
        <charset val="134"/>
      </rPr>
      <t>）</t>
    </r>
  </si>
  <si>
    <t>管理费用</t>
  </si>
  <si>
    <r>
      <rPr>
        <b/>
        <sz val="11"/>
        <color indexed="8"/>
        <rFont val="仿宋_GB2312"/>
        <charset val="134"/>
      </rPr>
      <t>以</t>
    </r>
    <r>
      <rPr>
        <b/>
        <sz val="11"/>
        <color indexed="8"/>
        <rFont val="Arial"/>
        <charset val="134"/>
      </rPr>
      <t>“</t>
    </r>
    <r>
      <rPr>
        <b/>
        <sz val="11"/>
        <color indexed="8"/>
        <rFont val="仿宋_GB2312"/>
        <charset val="134"/>
      </rPr>
      <t>（1）-（3）</t>
    </r>
    <r>
      <rPr>
        <b/>
        <sz val="11"/>
        <color indexed="8"/>
        <rFont val="Arial"/>
        <charset val="134"/>
      </rPr>
      <t>”</t>
    </r>
    <r>
      <rPr>
        <b/>
        <sz val="11"/>
        <color indexed="8"/>
        <rFont val="仿宋_GB2312"/>
        <charset val="134"/>
      </rPr>
      <t>为基数计算</t>
    </r>
  </si>
  <si>
    <r>
      <rPr>
        <b/>
        <sz val="10"/>
        <color indexed="8"/>
        <rFont val="楷体_GB2312"/>
        <charset val="134"/>
      </rPr>
      <t>销售费用</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</si>
  <si>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为基数计取</t>
    </r>
  </si>
  <si>
    <t>购地税费</t>
  </si>
  <si>
    <r>
      <rPr>
        <b/>
        <sz val="11"/>
        <color indexed="8"/>
        <rFont val="Arial"/>
        <charset val="134"/>
      </rPr>
      <t>P</t>
    </r>
    <r>
      <rPr>
        <b/>
        <vertAlign val="subscript"/>
        <sz val="11"/>
        <color indexed="8"/>
        <rFont val="仿宋_GB2312"/>
        <charset val="134"/>
      </rPr>
      <t>土</t>
    </r>
  </si>
  <si>
    <t>以估价对象土地价格/(1+5%)为基数记取</t>
  </si>
  <si>
    <r>
      <rPr>
        <b/>
        <sz val="11"/>
        <color indexed="8"/>
        <rFont val="宋体"/>
        <charset val="134"/>
      </rPr>
      <t>（</t>
    </r>
    <r>
      <rPr>
        <b/>
        <sz val="11"/>
        <color indexed="8"/>
        <rFont val="Arial"/>
        <charset val="134"/>
      </rPr>
      <t>7</t>
    </r>
    <r>
      <rPr>
        <b/>
        <sz val="11"/>
        <color indexed="8"/>
        <rFont val="宋体"/>
        <charset val="134"/>
      </rPr>
      <t>）</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</si>
  <si>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</si>
  <si>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</si>
  <si>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charset val="134"/>
      </rPr>
      <t>1</t>
    </r>
    <r>
      <rPr>
        <sz val="10"/>
        <color indexed="8"/>
        <rFont val="仿宋_GB2312"/>
        <charset val="134"/>
      </rPr>
      <t>）</t>
    </r>
    <r>
      <rPr>
        <sz val="10"/>
        <color indexed="8"/>
        <rFont val="Arial"/>
        <charset val="134"/>
      </rPr>
      <t>-</t>
    </r>
    <r>
      <rPr>
        <sz val="10"/>
        <color indexed="8"/>
        <rFont val="仿宋_GB2312"/>
        <charset val="134"/>
      </rPr>
      <t>（</t>
    </r>
    <r>
      <rPr>
        <sz val="10"/>
        <color indexed="8"/>
        <rFont val="Arial"/>
        <charset val="134"/>
      </rPr>
      <t>5</t>
    </r>
    <r>
      <rPr>
        <sz val="10"/>
        <color indexed="8"/>
        <rFont val="仿宋_GB2312"/>
        <charset val="134"/>
      </rPr>
      <t>）项产生的利息</t>
    </r>
  </si>
  <si>
    <r>
      <rPr>
        <b/>
        <sz val="11"/>
        <color indexed="8"/>
        <rFont val="宋体"/>
        <charset val="134"/>
      </rPr>
      <t>（</t>
    </r>
    <r>
      <rPr>
        <b/>
        <sz val="11"/>
        <color indexed="8"/>
        <rFont val="Arial"/>
        <charset val="134"/>
      </rPr>
      <t>8</t>
    </r>
    <r>
      <rPr>
        <b/>
        <sz val="11"/>
        <color indexed="8"/>
        <rFont val="宋体"/>
        <charset val="134"/>
      </rPr>
      <t>）</t>
    </r>
  </si>
  <si>
    <r>
      <rPr>
        <b/>
        <sz val="11"/>
        <color indexed="8"/>
        <rFont val="仿宋_GB2312"/>
        <charset val="134"/>
      </rPr>
      <t>销售税费</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</si>
  <si>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为基数计取</t>
    </r>
  </si>
  <si>
    <r>
      <rPr>
        <b/>
        <sz val="11"/>
        <color indexed="8"/>
        <rFont val="宋体"/>
        <charset val="134"/>
      </rPr>
      <t>（</t>
    </r>
    <r>
      <rPr>
        <b/>
        <sz val="11"/>
        <color indexed="8"/>
        <rFont val="Arial"/>
        <charset val="134"/>
      </rPr>
      <t>9</t>
    </r>
    <r>
      <rPr>
        <b/>
        <sz val="11"/>
        <color indexed="8"/>
        <rFont val="宋体"/>
        <charset val="134"/>
      </rPr>
      <t>）</t>
    </r>
  </si>
  <si>
    <r>
      <rPr>
        <b/>
        <sz val="11"/>
        <color indexed="8"/>
        <rFont val="仿宋_GB2312"/>
        <charset val="134"/>
      </rPr>
      <t>开发成本</t>
    </r>
  </si>
  <si>
    <t>前8项之和</t>
  </si>
  <si>
    <t>（10）</t>
  </si>
  <si>
    <r>
      <rPr>
        <sz val="10"/>
        <color indexed="8"/>
        <rFont val="仿宋_GB2312"/>
        <charset val="134"/>
      </rPr>
      <t>土地购买价格及购地税费应计的利润</t>
    </r>
  </si>
  <si>
    <r>
      <rPr>
        <sz val="10"/>
        <color indexed="8"/>
        <rFont val="仿宋_GB2312"/>
        <charset val="134"/>
      </rPr>
      <t>（</t>
    </r>
    <r>
      <rPr>
        <sz val="10"/>
        <color indexed="8"/>
        <rFont val="Arial"/>
        <charset val="134"/>
      </rPr>
      <t>P+P*</t>
    </r>
    <r>
      <rPr>
        <sz val="10"/>
        <color indexed="8"/>
        <rFont val="仿宋_GB2312"/>
        <charset val="134"/>
      </rPr>
      <t>取得税费</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利润率</t>
    </r>
  </si>
  <si>
    <t>（1）-（5）项及销售费用产生的利息</t>
  </si>
  <si>
    <r>
      <rPr>
        <b/>
        <sz val="11"/>
        <color indexed="8"/>
        <rFont val="Arial"/>
        <charset val="134"/>
      </rPr>
      <t>3 .</t>
    </r>
    <r>
      <rPr>
        <b/>
        <sz val="11"/>
        <color indexed="8"/>
        <rFont val="仿宋_GB2312"/>
        <charset val="134"/>
      </rPr>
      <t>土地价格</t>
    </r>
  </si>
  <si>
    <r>
      <rPr>
        <b/>
        <sz val="12"/>
        <color indexed="8"/>
        <rFont val="仿宋_GB2312"/>
        <charset val="134"/>
      </rPr>
      <t>开发完成后的不动产总价</t>
    </r>
    <r>
      <rPr>
        <b/>
        <sz val="12"/>
        <color indexed="8"/>
        <rFont val="Arial"/>
        <charset val="134"/>
      </rPr>
      <t>(1)-</t>
    </r>
    <r>
      <rPr>
        <b/>
        <sz val="12"/>
        <color indexed="8"/>
        <rFont val="仿宋_GB2312"/>
        <charset val="134"/>
      </rPr>
      <t>开发成本</t>
    </r>
    <r>
      <rPr>
        <b/>
        <sz val="12"/>
        <color indexed="8"/>
        <rFont val="Arial"/>
        <charset val="134"/>
      </rPr>
      <t>(9)-</t>
    </r>
    <r>
      <rPr>
        <b/>
        <sz val="12"/>
        <color indexed="8"/>
        <rFont val="仿宋_GB2312"/>
        <charset val="134"/>
      </rPr>
      <t>利润</t>
    </r>
    <r>
      <rPr>
        <b/>
        <sz val="12"/>
        <color indexed="8"/>
        <rFont val="Arial"/>
        <charset val="134"/>
      </rPr>
      <t>(10)</t>
    </r>
  </si>
  <si>
    <r>
      <rPr>
        <b/>
        <sz val="16"/>
        <color indexed="10"/>
        <rFont val="宋体"/>
        <charset val="134"/>
      </rPr>
      <t>收益法</t>
    </r>
    <r>
      <rPr>
        <b/>
        <sz val="12"/>
        <rFont val="宋体"/>
        <charset val="134"/>
      </rPr>
      <t>（无租约及租期内）</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</si>
  <si>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</si>
  <si>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b/>
        <sz val="10"/>
        <rFont val="宋体"/>
        <charset val="134"/>
      </rPr>
      <t>总价</t>
    </r>
  </si>
  <si>
    <r>
      <rPr>
        <sz val="10"/>
        <rFont val="宋体"/>
        <charset val="134"/>
      </rPr>
      <t>万元</t>
    </r>
  </si>
  <si>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</si>
  <si>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</si>
  <si>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</si>
  <si>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</si>
  <si>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</si>
  <si>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</si>
  <si>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</si>
  <si>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</si>
  <si>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</si>
  <si>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</si>
  <si>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0"/>
        <rFont val="宋体"/>
        <charset val="134"/>
      </rPr>
      <t>建筑面积</t>
    </r>
  </si>
  <si>
    <r>
      <rPr>
        <b/>
        <sz val="10"/>
        <rFont val="宋体"/>
        <charset val="134"/>
      </rPr>
      <t>土地面积</t>
    </r>
  </si>
  <si>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</si>
  <si>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</si>
  <si>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</si>
  <si>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</si>
  <si>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</si>
  <si>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</si>
  <si>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</si>
  <si>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</si>
  <si>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</si>
  <si>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</si>
  <si>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</si>
  <si>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</si>
  <si>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</si>
  <si>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</si>
  <si>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</si>
  <si>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</si>
  <si>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</si>
  <si>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</si>
  <si>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</si>
  <si>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</si>
  <si>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</si>
  <si>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</si>
  <si>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</si>
  <si>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</si>
  <si>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</si>
  <si>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</si>
  <si>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</si>
  <si>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</si>
  <si>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</si>
  <si>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</si>
  <si>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</si>
  <si>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</si>
  <si>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</si>
  <si>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</si>
  <si>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</si>
  <si>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</si>
  <si>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</si>
  <si>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</si>
  <si>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</si>
  <si>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</si>
  <si>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</si>
  <si>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</si>
  <si>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</si>
  <si>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</si>
  <si>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</si>
  <si>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</si>
  <si>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</si>
  <si>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</si>
  <si>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</si>
  <si>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</si>
  <si>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</si>
  <si>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</si>
  <si>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</si>
  <si>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</si>
  <si>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</si>
  <si>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</si>
  <si>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</si>
  <si>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</si>
  <si>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</si>
  <si>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</si>
  <si>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</si>
  <si>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</si>
  <si>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</si>
  <si>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</si>
  <si>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</si>
  <si>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</si>
  <si>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</si>
  <si>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</si>
  <si>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</si>
  <si>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</si>
  <si>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</si>
  <si>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</si>
  <si>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</si>
  <si>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</si>
  <si>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</si>
  <si>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</si>
  <si>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</si>
  <si>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</si>
  <si>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</si>
  <si>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建筑面积</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</si>
  <si>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</si>
  <si>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</si>
  <si>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</si>
  <si>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</si>
  <si>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</si>
  <si>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</si>
  <si>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</si>
  <si>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</si>
  <si>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</si>
  <si>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</si>
  <si>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</si>
  <si>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</si>
  <si>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</si>
  <si>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</si>
  <si>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</si>
  <si>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</si>
  <si>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</si>
  <si>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</si>
  <si>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</si>
  <si>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</si>
  <si>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</si>
  <si>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</si>
  <si>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</si>
  <si>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</si>
  <si>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</si>
  <si>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</si>
  <si>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</si>
  <si>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</si>
  <si>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</si>
  <si>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</si>
  <si>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</si>
  <si>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</si>
  <si>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</si>
  <si>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</si>
  <si>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</si>
  <si>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</si>
  <si>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</si>
  <si>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</si>
  <si>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</si>
  <si>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</si>
  <si>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</si>
  <si>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</si>
  <si>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</si>
  <si>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</si>
  <si>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</si>
  <si>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</si>
  <si>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</si>
  <si>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</si>
  <si>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</si>
  <si>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</si>
  <si>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</si>
  <si>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</si>
  <si>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</si>
  <si>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</si>
  <si>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</si>
  <si>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</si>
  <si>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</si>
  <si>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</si>
  <si>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</si>
  <si>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</si>
  <si>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</si>
  <si>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</si>
  <si>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</si>
  <si>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</si>
  <si>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</si>
  <si>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</si>
  <si>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</si>
  <si>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</si>
  <si>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t>区间建面取中值</t>
  </si>
  <si>
    <t>自行分摊</t>
  </si>
  <si>
    <t>地号</t>
  </si>
  <si>
    <t>地块面积</t>
  </si>
  <si>
    <t>规划建筑面积</t>
  </si>
  <si>
    <t>配建</t>
  </si>
  <si>
    <t>独立用地面积</t>
  </si>
  <si>
    <t>宗地面积</t>
  </si>
  <si>
    <t>配建建筑面积</t>
  </si>
  <si>
    <t>扣除独立用地面积后</t>
  </si>
  <si>
    <t>可收益面积</t>
  </si>
  <si>
    <t>容积率2</t>
  </si>
  <si>
    <t>用地性质</t>
  </si>
  <si>
    <t>建筑高度</t>
  </si>
  <si>
    <t>主导功能比例</t>
  </si>
  <si>
    <r>
      <rPr>
        <sz val="11"/>
        <color theme="1"/>
        <rFont val="宋体"/>
        <charset val="134"/>
        <scheme val="minor"/>
      </rPr>
      <t>E</t>
    </r>
    <r>
      <rPr>
        <sz val="11"/>
        <color theme="1"/>
        <rFont val="宋体"/>
        <charset val="134"/>
        <scheme val="minor"/>
      </rPr>
      <t>07-06-01</t>
    </r>
  </si>
  <si>
    <t>居委会工作站（含警务工作站）：500-800㎡；
婴幼儿照护服务设施：200-300㎡；
开关站：200㎡</t>
  </si>
  <si>
    <t>城镇住宅用地（R1）</t>
  </si>
  <si>
    <t>h≤45</t>
  </si>
  <si>
    <t>≥70%</t>
  </si>
  <si>
    <r>
      <rPr>
        <sz val="11"/>
        <color theme="1"/>
        <rFont val="宋体"/>
        <charset val="134"/>
        <scheme val="minor"/>
      </rPr>
      <t>E</t>
    </r>
    <r>
      <rPr>
        <sz val="11"/>
        <color theme="1"/>
        <rFont val="宋体"/>
        <charset val="134"/>
        <scheme val="minor"/>
      </rPr>
      <t>07-06-02</t>
    </r>
  </si>
  <si>
    <r>
      <rPr>
        <sz val="11"/>
        <color theme="1"/>
        <rFont val="宋体"/>
        <charset val="134"/>
        <scheme val="minor"/>
      </rPr>
      <t>9班幼儿园：</t>
    </r>
    <r>
      <rPr>
        <sz val="11"/>
        <color theme="1"/>
        <rFont val="宋体"/>
        <charset val="134"/>
        <scheme val="minor"/>
      </rPr>
      <t>3500-5000</t>
    </r>
  </si>
  <si>
    <t>居住配套设施用地
（R9）</t>
  </si>
  <si>
    <t>h≤25</t>
  </si>
  <si>
    <r>
      <rPr>
        <sz val="11"/>
        <color theme="1"/>
        <rFont val="宋体"/>
        <charset val="134"/>
        <scheme val="minor"/>
      </rPr>
      <t>E</t>
    </r>
    <r>
      <rPr>
        <sz val="11"/>
        <color theme="1"/>
        <rFont val="宋体"/>
        <charset val="134"/>
        <scheme val="minor"/>
      </rPr>
      <t>07-06-03</t>
    </r>
  </si>
  <si>
    <t>公共厕所：无面积指标</t>
  </si>
  <si>
    <t>居住综合用地
（F1(R)）</t>
  </si>
  <si>
    <t>住宅≥50%</t>
  </si>
  <si>
    <t>E07-06-06</t>
  </si>
  <si>
    <t>E07-06-07</t>
  </si>
  <si>
    <t>城市公园绿地
（G1）</t>
  </si>
  <si>
    <t>E07-06-11</t>
  </si>
  <si>
    <t>E07-06-12</t>
  </si>
  <si>
    <t>E07-06-13</t>
  </si>
  <si>
    <t>开关站：200㎡；
公交换乘中心：5000㎡</t>
  </si>
  <si>
    <t>商业服务业用地
(B)</t>
  </si>
  <si>
    <t>≥50%</t>
  </si>
  <si>
    <t>E07-06-14</t>
  </si>
  <si>
    <t>道路用地</t>
  </si>
  <si>
    <t>总用地面积</t>
  </si>
  <si>
    <t>名称</t>
  </si>
  <si>
    <t>出让建设用地面积</t>
  </si>
  <si>
    <t>居委会工作站（含警务工作站）</t>
  </si>
  <si>
    <t>住宅建筑规模</t>
  </si>
  <si>
    <t>住宅用地面积</t>
  </si>
  <si>
    <t>婴幼儿照护服务设施</t>
  </si>
  <si>
    <t>商业办公建筑规模</t>
  </si>
  <si>
    <t>商业服务业用地面积</t>
  </si>
  <si>
    <t>开关站</t>
  </si>
  <si>
    <t>9班幼儿园</t>
  </si>
  <si>
    <t>公交换乘中心</t>
  </si>
  <si>
    <t>住宅综合容积率</t>
  </si>
  <si>
    <t>商业综合容积率</t>
  </si>
  <si>
    <t>P=F/r(1-1/(1+r)^n))</t>
  </si>
  <si>
    <t>楼面</t>
  </si>
  <si>
    <t>地面</t>
  </si>
  <si>
    <t>地面（亩）</t>
  </si>
  <si>
    <r>
      <rPr>
        <b/>
        <sz val="16"/>
        <color indexed="10"/>
        <rFont val="仿宋_GB2312"/>
        <charset val="134"/>
      </rPr>
      <t>比较法</t>
    </r>
  </si>
  <si>
    <r>
      <rPr>
        <b/>
        <sz val="16"/>
        <rFont val="仿宋_GB2312"/>
        <charset val="134"/>
      </rPr>
      <t>住宅</t>
    </r>
  </si>
  <si>
    <r>
      <rPr>
        <b/>
        <sz val="16"/>
        <rFont val="仿宋_GB2312"/>
        <charset val="134"/>
      </rPr>
      <t>─</t>
    </r>
  </si>
  <si>
    <t>售价</t>
  </si>
  <si>
    <r>
      <rPr>
        <b/>
        <sz val="16"/>
        <color indexed="10"/>
        <rFont val="仿宋_GB2312"/>
        <charset val="134"/>
      </rPr>
      <t>录入顺序：主表的空白区域</t>
    </r>
    <r>
      <rPr>
        <b/>
        <sz val="16"/>
        <color indexed="10"/>
        <rFont val="Arial"/>
        <charset val="134"/>
      </rPr>
      <t>-</t>
    </r>
    <r>
      <rPr>
        <b/>
        <sz val="16"/>
        <color indexed="10"/>
        <rFont val="仿宋_GB2312"/>
        <charset val="134"/>
      </rPr>
      <t>因素表空白区域</t>
    </r>
    <r>
      <rPr>
        <b/>
        <sz val="16"/>
        <color indexed="10"/>
        <rFont val="Arial"/>
        <charset val="134"/>
      </rPr>
      <t>-</t>
    </r>
    <r>
      <rPr>
        <b/>
        <sz val="16"/>
        <color indexed="10"/>
        <rFont val="仿宋_GB2312"/>
        <charset val="134"/>
      </rPr>
      <t>主表黄色选项区域</t>
    </r>
    <r>
      <rPr>
        <b/>
        <sz val="16"/>
        <color indexed="10"/>
        <rFont val="Arial"/>
        <charset val="134"/>
      </rPr>
      <t>-</t>
    </r>
    <r>
      <rPr>
        <b/>
        <sz val="16"/>
        <color indexed="10"/>
        <rFont val="仿宋_GB2312"/>
        <charset val="134"/>
      </rPr>
      <t>调节修正幅度</t>
    </r>
    <r>
      <rPr>
        <b/>
        <sz val="16"/>
        <color indexed="10"/>
        <rFont val="Arial"/>
        <charset val="134"/>
      </rPr>
      <t>-</t>
    </r>
    <r>
      <rPr>
        <b/>
        <sz val="16"/>
        <color indexed="10"/>
        <rFont val="仿宋_GB2312"/>
        <charset val="134"/>
      </rPr>
      <t>完成</t>
    </r>
  </si>
  <si>
    <r>
      <rPr>
        <b/>
        <sz val="12"/>
        <rFont val="仿宋_GB2312"/>
        <charset val="134"/>
      </rPr>
      <t>楼面单价</t>
    </r>
  </si>
  <si>
    <r>
      <rPr>
        <b/>
        <sz val="12"/>
        <rFont val="仿宋_GB2312"/>
        <charset val="134"/>
      </rPr>
      <t>建筑面积</t>
    </r>
  </si>
  <si>
    <t>华锦天瑞府</t>
  </si>
  <si>
    <t>保利天珺</t>
  </si>
  <si>
    <t>瑞凝府</t>
  </si>
  <si>
    <t>60-70（含）</t>
  </si>
  <si>
    <r>
      <rPr>
        <sz val="11"/>
        <color indexed="8"/>
        <rFont val="仿宋_GB2312"/>
        <charset val="134"/>
      </rPr>
      <t>自然及人文环境</t>
    </r>
  </si>
  <si>
    <t>楼层-1</t>
  </si>
  <si>
    <r>
      <rPr>
        <sz val="11"/>
        <color indexed="8"/>
        <rFont val="仿宋_GB2312"/>
        <charset val="134"/>
      </rPr>
      <t>朝向</t>
    </r>
  </si>
  <si>
    <r>
      <rPr>
        <sz val="11"/>
        <color indexed="8"/>
        <rFont val="仿宋_GB2312"/>
        <charset val="134"/>
      </rPr>
      <t>道路级别</t>
    </r>
  </si>
  <si>
    <r>
      <rPr>
        <sz val="11"/>
        <color indexed="8"/>
        <rFont val="仿宋_GB2312"/>
        <charset val="134"/>
      </rPr>
      <t>建筑类型</t>
    </r>
  </si>
  <si>
    <t>小高层</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</si>
  <si>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</si>
  <si>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</si>
  <si>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</si>
  <si>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r>
      <rPr>
        <sz val="11"/>
        <color indexed="8"/>
        <rFont val="仿宋_GB2312"/>
        <charset val="134"/>
      </rPr>
      <t>公共部分装修</t>
    </r>
  </si>
  <si>
    <t>精装修</t>
  </si>
  <si>
    <r>
      <rPr>
        <sz val="11"/>
        <color indexed="8"/>
        <rFont val="仿宋_GB2312"/>
        <charset val="134"/>
      </rPr>
      <t>成新度</t>
    </r>
  </si>
  <si>
    <r>
      <rPr>
        <sz val="11"/>
        <color indexed="8"/>
        <rFont val="仿宋_GB2312"/>
        <charset val="134"/>
      </rPr>
      <t>物业管理</t>
    </r>
  </si>
  <si>
    <t>专业物业管理</t>
  </si>
  <si>
    <t>市政基础设施</t>
  </si>
  <si>
    <r>
      <rPr>
        <sz val="11"/>
        <color indexed="8"/>
        <rFont val="仿宋_GB2312"/>
        <charset val="134"/>
      </rPr>
      <t>房型</t>
    </r>
  </si>
  <si>
    <r>
      <rPr>
        <sz val="11"/>
        <color indexed="8"/>
        <rFont val="仿宋_GB2312"/>
        <charset val="134"/>
      </rPr>
      <t>单套</t>
    </r>
    <r>
      <rPr>
        <sz val="11"/>
        <color indexed="8"/>
        <rFont val="Arial"/>
        <charset val="134"/>
      </rPr>
      <t>/</t>
    </r>
    <r>
      <rPr>
        <sz val="11"/>
        <color indexed="8"/>
        <rFont val="仿宋_GB2312"/>
        <charset val="134"/>
      </rPr>
      <t>主力户型建筑面积</t>
    </r>
  </si>
  <si>
    <r>
      <rPr>
        <sz val="11"/>
        <color indexed="8"/>
        <rFont val="仿宋_GB2312"/>
        <charset val="134"/>
      </rPr>
      <t>内部装修</t>
    </r>
  </si>
  <si>
    <t>毛坯</t>
  </si>
  <si>
    <r>
      <rPr>
        <b/>
        <sz val="11"/>
        <rFont val="仿宋_GB2312"/>
        <charset val="134"/>
      </rPr>
      <t>成交单价（元</t>
    </r>
    <r>
      <rPr>
        <b/>
        <sz val="11"/>
        <rFont val="Arial"/>
        <charset val="134"/>
      </rPr>
      <t>/</t>
    </r>
    <r>
      <rPr>
        <b/>
        <sz val="11"/>
        <rFont val="仿宋_GB2312"/>
        <charset val="134"/>
      </rPr>
      <t>平方米）</t>
    </r>
  </si>
  <si>
    <r>
      <rPr>
        <sz val="11"/>
        <rFont val="Arial"/>
        <charset val="134"/>
      </rPr>
      <t>60-70</t>
    </r>
    <r>
      <rPr>
        <sz val="11"/>
        <rFont val="仿宋_GB2312"/>
        <charset val="134"/>
      </rPr>
      <t>（含）</t>
    </r>
  </si>
  <si>
    <r>
      <rPr>
        <sz val="11"/>
        <rFont val="Arial"/>
        <charset val="134"/>
      </rPr>
      <t>50-60</t>
    </r>
    <r>
      <rPr>
        <sz val="11"/>
        <rFont val="仿宋_GB2312"/>
        <charset val="134"/>
      </rPr>
      <t>（含）</t>
    </r>
  </si>
  <si>
    <r>
      <rPr>
        <sz val="11"/>
        <rFont val="Arial"/>
        <charset val="134"/>
      </rPr>
      <t>40-50</t>
    </r>
    <r>
      <rPr>
        <sz val="11"/>
        <rFont val="仿宋_GB2312"/>
        <charset val="134"/>
      </rPr>
      <t>（含）</t>
    </r>
  </si>
  <si>
    <r>
      <rPr>
        <sz val="11"/>
        <rFont val="Arial"/>
        <charset val="134"/>
      </rPr>
      <t>30-40</t>
    </r>
    <r>
      <rPr>
        <sz val="11"/>
        <rFont val="仿宋_GB2312"/>
        <charset val="134"/>
      </rPr>
      <t>（含）</t>
    </r>
  </si>
  <si>
    <r>
      <rPr>
        <sz val="11"/>
        <rFont val="Arial"/>
        <charset val="134"/>
      </rPr>
      <t>20-30</t>
    </r>
    <r>
      <rPr>
        <sz val="11"/>
        <rFont val="仿宋_GB2312"/>
        <charset val="134"/>
      </rPr>
      <t>（含）</t>
    </r>
  </si>
  <si>
    <r>
      <rPr>
        <sz val="11"/>
        <rFont val="Arial"/>
        <charset val="134"/>
      </rPr>
      <t>10-20</t>
    </r>
    <r>
      <rPr>
        <sz val="11"/>
        <rFont val="仿宋_GB2312"/>
        <charset val="134"/>
      </rPr>
      <t>（含）</t>
    </r>
  </si>
  <si>
    <r>
      <rPr>
        <sz val="11"/>
        <rFont val="Arial"/>
        <charset val="134"/>
      </rPr>
      <t>0-10</t>
    </r>
    <r>
      <rPr>
        <sz val="11"/>
        <rFont val="仿宋_GB2312"/>
        <charset val="134"/>
      </rPr>
      <t>（含）</t>
    </r>
  </si>
  <si>
    <t>高层</t>
  </si>
  <si>
    <t>普通装修</t>
  </si>
  <si>
    <t>简单装修</t>
  </si>
  <si>
    <t>楼层修正-2：多层及高层同时修正时的处理，以普通无电梯多层为基准</t>
  </si>
  <si>
    <t>多层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</si>
  <si>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</si>
  <si>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</si>
  <si>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</si>
  <si>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</si>
  <si>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</si>
  <si>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</si>
  <si>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</si>
  <si>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</si>
  <si>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</si>
  <si>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</si>
  <si>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</si>
  <si>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</si>
  <si>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</si>
  <si>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</si>
  <si>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</si>
  <si>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</si>
  <si>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charset val="134"/>
      </rPr>
      <t>收益法</t>
    </r>
    <r>
      <rPr>
        <b/>
        <sz val="12"/>
        <rFont val="仿宋_GB2312"/>
        <charset val="134"/>
      </rPr>
      <t>（无租约及租期内）</t>
    </r>
  </si>
  <si>
    <t>土地（套用方法）</t>
  </si>
  <si>
    <t>租金×月数×（1-空置率）</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</si>
  <si>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</si>
  <si>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t>押一</t>
  </si>
  <si>
    <r>
      <rPr>
        <sz val="10"/>
        <color indexed="8"/>
        <rFont val="仿宋_GB2312"/>
        <charset val="134"/>
      </rPr>
      <t>建筑物重置价格</t>
    </r>
    <r>
      <rPr>
        <sz val="10"/>
        <color indexed="8"/>
        <rFont val="Arial"/>
        <charset val="134"/>
      </rPr>
      <t>×</t>
    </r>
    <r>
      <rPr>
        <sz val="10"/>
        <color indexed="8"/>
        <rFont val="仿宋_GB2312"/>
        <charset val="134"/>
      </rPr>
      <t>成新度</t>
    </r>
  </si>
  <si>
    <r>
      <rPr>
        <sz val="10"/>
        <color indexed="8"/>
        <rFont val="Arial"/>
        <charset val="134"/>
      </rPr>
      <t>4</t>
    </r>
    <r>
      <rPr>
        <sz val="10"/>
        <color indexed="8"/>
        <rFont val="宋体"/>
        <charset val="134"/>
      </rPr>
      <t>）</t>
    </r>
  </si>
  <si>
    <r>
      <rPr>
        <sz val="10"/>
        <color indexed="8"/>
        <rFont val="Arial"/>
        <charset val="134"/>
      </rPr>
      <t>5</t>
    </r>
    <r>
      <rPr>
        <sz val="10"/>
        <color indexed="8"/>
        <rFont val="宋体"/>
        <charset val="134"/>
      </rPr>
      <t>）</t>
    </r>
  </si>
  <si>
    <r>
      <rPr>
        <sz val="10"/>
        <color indexed="8"/>
        <rFont val="仿宋_GB2312"/>
        <charset val="134"/>
      </rPr>
      <t>建筑物重置价格</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</si>
  <si>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4</t>
    </r>
    <r>
      <rPr>
        <sz val="10"/>
        <color indexed="8"/>
        <rFont val="宋体"/>
        <charset val="134"/>
      </rPr>
      <t>）</t>
    </r>
  </si>
  <si>
    <t>4</t>
  </si>
  <si>
    <t>5</t>
  </si>
  <si>
    <t>租约外不动产总价</t>
  </si>
  <si>
    <r>
      <rPr>
        <sz val="10"/>
        <color indexed="8"/>
        <rFont val="仿宋_GB2312"/>
        <charset val="134"/>
      </rPr>
      <t>还原率（</t>
    </r>
    <r>
      <rPr>
        <sz val="10"/>
        <color indexed="8"/>
        <rFont val="Arial"/>
        <charset val="134"/>
      </rPr>
      <t>Y</t>
    </r>
    <r>
      <rPr>
        <sz val="10"/>
        <color indexed="8"/>
        <rFont val="仿宋_GB2312"/>
        <charset val="134"/>
      </rPr>
      <t>）</t>
    </r>
  </si>
  <si>
    <t>销售税费</t>
  </si>
  <si>
    <r>
      <rPr>
        <sz val="10"/>
        <color indexed="8"/>
        <rFont val="仿宋_GB2312"/>
        <charset val="134"/>
      </rPr>
      <t>建筑物重置价格</t>
    </r>
    <r>
      <rPr>
        <sz val="10"/>
        <color indexed="8"/>
        <rFont val="Arial"/>
        <charset val="134"/>
      </rPr>
      <t>×</t>
    </r>
    <r>
      <rPr>
        <sz val="10"/>
        <color indexed="8"/>
        <rFont val="仿宋_GB2312"/>
        <charset val="134"/>
      </rPr>
      <t>费率</t>
    </r>
    <r>
      <rPr>
        <sz val="10"/>
        <color indexed="8"/>
        <rFont val="Arial"/>
        <charset val="134"/>
      </rPr>
      <t>/(1+5%)</t>
    </r>
  </si>
  <si>
    <t>（7）</t>
  </si>
  <si>
    <t>6</t>
  </si>
  <si>
    <r>
      <rPr>
        <b/>
        <sz val="10"/>
        <color indexed="8"/>
        <rFont val="仿宋_GB2312"/>
        <charset val="134"/>
      </rPr>
      <t>折现价值</t>
    </r>
  </si>
  <si>
    <t>按租金收入计税</t>
  </si>
  <si>
    <r>
      <rPr>
        <sz val="11"/>
        <color indexed="8"/>
        <rFont val="仿宋_GB2312"/>
        <charset val="134"/>
      </rPr>
      <t>分摊土地</t>
    </r>
    <r>
      <rPr>
        <sz val="11"/>
        <color indexed="8"/>
        <rFont val="Arial"/>
        <charset val="134"/>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</si>
  <si>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</si>
  <si>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</si>
  <si>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</si>
  <si>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charset val="134"/>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</si>
  <si>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</si>
  <si>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</si>
  <si>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</si>
  <si>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charset val="134"/>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</si>
  <si>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</si>
  <si>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charset val="134"/>
      </rPr>
      <t>(</t>
    </r>
    <r>
      <rPr>
        <b/>
        <sz val="10"/>
        <color indexed="8"/>
        <rFont val="仿宋_GB2312"/>
        <charset val="134"/>
      </rPr>
      <t>元</t>
    </r>
    <r>
      <rPr>
        <b/>
        <sz val="10"/>
        <color indexed="8"/>
        <rFont val="Arial"/>
        <charset val="134"/>
      </rPr>
      <t>/</t>
    </r>
    <r>
      <rPr>
        <b/>
        <sz val="10"/>
        <color indexed="8"/>
        <rFont val="仿宋_GB2312"/>
        <charset val="134"/>
      </rPr>
      <t>平方米</t>
    </r>
    <r>
      <rPr>
        <b/>
        <sz val="10"/>
        <color indexed="8"/>
        <rFont val="Arial"/>
        <charset val="134"/>
      </rPr>
      <t>)</t>
    </r>
  </si>
  <si>
    <r>
      <rPr>
        <sz val="10"/>
        <color indexed="8"/>
        <rFont val="仿宋_GB2312"/>
        <charset val="134"/>
      </rPr>
      <t>收益价值</t>
    </r>
    <r>
      <rPr>
        <sz val="10"/>
        <color indexed="8"/>
        <rFont val="Arial"/>
        <charset val="134"/>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</si>
  <si>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</si>
  <si>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</si>
  <si>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</si>
  <si>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</si>
  <si>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</si>
  <si>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</si>
  <si>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charset val="134"/>
      </rPr>
      <t>（</t>
    </r>
    <r>
      <rPr>
        <b/>
        <sz val="10"/>
        <color indexed="8"/>
        <rFont val="Arial"/>
        <charset val="134"/>
      </rPr>
      <t>2</t>
    </r>
    <r>
      <rPr>
        <b/>
        <sz val="10"/>
        <color indexed="8"/>
        <rFont val="宋体"/>
        <charset val="134"/>
      </rPr>
      <t>）</t>
    </r>
  </si>
  <si>
    <r>
      <rPr>
        <sz val="10"/>
        <color rgb="FFFF0000"/>
        <rFont val="宋体"/>
        <charset val="134"/>
      </rPr>
      <t>★当剩余土地短于建筑物耐用年限时，</t>
    </r>
    <r>
      <rPr>
        <sz val="10"/>
        <color rgb="FFFF0000"/>
        <rFont val="宋体"/>
        <charset val="134"/>
      </rPr>
      <t>未建项目的收益期计算公式为：剩余土地年限</t>
    </r>
    <r>
      <rPr>
        <sz val="10"/>
        <color rgb="FFFF0000"/>
        <rFont val="Arial"/>
        <charset val="134"/>
      </rPr>
      <t>-</t>
    </r>
    <r>
      <rPr>
        <sz val="10"/>
        <color rgb="FFFF0000"/>
        <rFont val="宋体"/>
        <charset val="134"/>
      </rPr>
      <t>建设期</t>
    </r>
  </si>
  <si>
    <t>基础经营性配套</t>
  </si>
  <si>
    <t>公共服务设施</t>
  </si>
  <si>
    <t>商业出售</t>
  </si>
  <si>
    <t>7</t>
  </si>
  <si>
    <t>转售价格</t>
  </si>
  <si>
    <t>8</t>
  </si>
  <si>
    <t>转售价折现值</t>
  </si>
  <si>
    <t>9</t>
  </si>
  <si>
    <t>10</t>
  </si>
  <si>
    <t>楼面单价(元/平方米)</t>
  </si>
  <si>
    <r>
      <rPr>
        <b/>
        <sz val="16"/>
        <rFont val="仿宋_GB2312"/>
        <charset val="134"/>
      </rPr>
      <t>商业</t>
    </r>
  </si>
  <si>
    <t>通州万达</t>
  </si>
  <si>
    <t>绿地中央广场</t>
  </si>
  <si>
    <t>单面临街</t>
  </si>
  <si>
    <r>
      <rPr>
        <sz val="11"/>
        <color indexed="8"/>
        <rFont val="仿宋_GB2312"/>
        <charset val="134"/>
      </rPr>
      <t>平面位置</t>
    </r>
    <r>
      <rPr>
        <sz val="11"/>
        <color indexed="8"/>
        <rFont val="Arial"/>
        <charset val="134"/>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</si>
  <si>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</si>
  <si>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</si>
  <si>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r>
      <rPr>
        <sz val="11"/>
        <color indexed="8"/>
        <rFont val="仿宋_GB2312"/>
        <charset val="134"/>
      </rPr>
      <t>商业类型</t>
    </r>
  </si>
  <si>
    <t>公共服务设施配套商业</t>
  </si>
  <si>
    <t>住宅配套商业</t>
  </si>
  <si>
    <t>商业街商业</t>
  </si>
  <si>
    <t>写字楼配套商业</t>
  </si>
  <si>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</si>
  <si>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</si>
  <si>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</si>
  <si>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</si>
  <si>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t>标准层高</t>
  </si>
  <si>
    <r>
      <rPr>
        <sz val="11"/>
        <color indexed="8"/>
        <rFont val="仿宋_GB2312"/>
        <charset val="134"/>
      </rPr>
      <t>进深比</t>
    </r>
  </si>
  <si>
    <t>商业自持</t>
  </si>
  <si>
    <t>现值</t>
  </si>
  <si>
    <t>办公自持</t>
  </si>
  <si>
    <t>增长率</t>
  </si>
  <si>
    <t>5年后终值</t>
  </si>
  <si>
    <t>还原后现值</t>
  </si>
  <si>
    <t>总值</t>
  </si>
  <si>
    <t>高新建筑规模</t>
  </si>
  <si>
    <r>
      <rPr>
        <b/>
        <sz val="16"/>
        <color indexed="10"/>
        <rFont val="仿宋_GB2312"/>
        <charset val="134"/>
      </rPr>
      <t>成本逼近法</t>
    </r>
  </si>
  <si>
    <r>
      <rPr>
        <b/>
        <sz val="10"/>
        <rFont val="仿宋_GB2312"/>
        <charset val="134"/>
      </rPr>
      <t>总额</t>
    </r>
  </si>
  <si>
    <r>
      <rPr>
        <b/>
        <sz val="10"/>
        <rFont val="仿宋_GB2312"/>
        <charset val="134"/>
      </rPr>
      <t>面积</t>
    </r>
  </si>
  <si>
    <r>
      <rPr>
        <b/>
        <sz val="10"/>
        <rFont val="仿宋_GB2312"/>
        <charset val="134"/>
      </rPr>
      <t>单价</t>
    </r>
  </si>
  <si>
    <t>备注</t>
  </si>
  <si>
    <r>
      <rPr>
        <b/>
        <sz val="10"/>
        <rFont val="仿宋_GB2312"/>
        <charset val="134"/>
      </rPr>
      <t>土地取得费</t>
    </r>
  </si>
  <si>
    <r>
      <rPr>
        <b/>
        <sz val="10"/>
        <rFont val="宋体"/>
        <charset val="134"/>
      </rPr>
      <t>（</t>
    </r>
    <r>
      <rPr>
        <b/>
        <sz val="10"/>
        <rFont val="Arial"/>
        <charset val="134"/>
      </rPr>
      <t>1</t>
    </r>
    <r>
      <rPr>
        <b/>
        <sz val="10"/>
        <rFont val="宋体"/>
        <charset val="134"/>
      </rPr>
      <t>）</t>
    </r>
  </si>
  <si>
    <t>补偿费</t>
  </si>
  <si>
    <r>
      <rPr>
        <b/>
        <sz val="10"/>
        <rFont val="宋体"/>
        <charset val="134"/>
      </rPr>
      <t>（</t>
    </r>
    <r>
      <rPr>
        <b/>
        <sz val="10"/>
        <rFont val="Arial"/>
        <charset val="134"/>
      </rPr>
      <t>2</t>
    </r>
    <r>
      <rPr>
        <b/>
        <sz val="10"/>
        <rFont val="宋体"/>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</si>
  <si>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</si>
  <si>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</si>
  <si>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</si>
  <si>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</si>
  <si>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</si>
  <si>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</si>
  <si>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</si>
  <si>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</si>
  <si>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</si>
  <si>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</si>
  <si>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</si>
  <si>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charset val="134"/>
      </rPr>
      <t>（</t>
    </r>
    <r>
      <rPr>
        <b/>
        <sz val="10"/>
        <rFont val="Arial"/>
        <charset val="134"/>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</si>
  <si>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</si>
  <si>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</si>
  <si>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</si>
  <si>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</si>
  <si>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</si>
  <si>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</si>
  <si>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charset val="134"/>
      </rPr>
      <t>×</t>
    </r>
    <r>
      <rPr>
        <b/>
        <sz val="10"/>
        <rFont val="仿宋_GB2312"/>
        <charset val="134"/>
      </rPr>
      <t>利润率</t>
    </r>
  </si>
  <si>
    <r>
      <rPr>
        <b/>
        <sz val="10"/>
        <rFont val="仿宋_GB2312"/>
        <charset val="134"/>
      </rPr>
      <t>土地成本价格</t>
    </r>
  </si>
  <si>
    <r>
      <rPr>
        <b/>
        <sz val="10"/>
        <rFont val="Arial"/>
        <charset val="134"/>
      </rPr>
      <t>1-</t>
    </r>
    <r>
      <rPr>
        <b/>
        <sz val="10"/>
        <rFont val="仿宋_GB2312"/>
        <charset val="134"/>
      </rPr>
      <t>５项之和</t>
    </r>
  </si>
  <si>
    <r>
      <rPr>
        <b/>
        <sz val="10"/>
        <rFont val="仿宋_GB2312"/>
        <charset val="134"/>
      </rPr>
      <t>土地增值</t>
    </r>
  </si>
  <si>
    <r>
      <rPr>
        <b/>
        <sz val="10"/>
        <rFont val="仿宋_GB2312"/>
        <charset val="134"/>
      </rPr>
      <t>６</t>
    </r>
    <r>
      <rPr>
        <b/>
        <sz val="10"/>
        <rFont val="Arial"/>
        <charset val="134"/>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</si>
  <si>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</si>
  <si>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</si>
  <si>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</si>
  <si>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charset val="134"/>
      </rPr>
      <t>×</t>
    </r>
    <r>
      <rPr>
        <b/>
        <sz val="10"/>
        <rFont val="仿宋_GB2312"/>
        <charset val="134"/>
      </rPr>
      <t>年期修正系数</t>
    </r>
  </si>
  <si>
    <r>
      <rPr>
        <b/>
        <sz val="10"/>
        <rFont val="仿宋_GB2312"/>
        <charset val="134"/>
      </rPr>
      <t>土地价格</t>
    </r>
    <r>
      <rPr>
        <b/>
        <sz val="10"/>
        <rFont val="Arial"/>
        <charset val="134"/>
      </rPr>
      <t>-</t>
    </r>
    <r>
      <rPr>
        <b/>
        <sz val="10"/>
        <rFont val="仿宋_GB2312"/>
        <charset val="134"/>
      </rPr>
      <t>总价</t>
    </r>
  </si>
  <si>
    <t>成交价</t>
  </si>
  <si>
    <t>启动区</t>
  </si>
  <si>
    <t>规划范围（平方公里）</t>
  </si>
  <si>
    <t>规划建设用地（平方公里）</t>
  </si>
  <si>
    <t>地上建设规模（万平方米）</t>
  </si>
  <si>
    <t>土地取得成本
（征拆费及相关税费）</t>
  </si>
  <si>
    <t>分摊中央财政支持资金</t>
  </si>
  <si>
    <t>就业</t>
  </si>
  <si>
    <t>支撑保障</t>
  </si>
  <si>
    <t>预留</t>
  </si>
  <si>
    <t>标准
（万元/亩）</t>
  </si>
  <si>
    <t>总额
（万元）</t>
  </si>
  <si>
    <t>楼面单价
（元/平方米）</t>
  </si>
  <si>
    <t>控制性详细规划文本</t>
  </si>
  <si>
    <t>规划图则+疏解地块信息</t>
  </si>
  <si>
    <t>启动区基础设施和公共服务设施投资汇总</t>
  </si>
  <si>
    <t>投资总额
（万元）</t>
  </si>
  <si>
    <t>资金来源（万元）</t>
  </si>
  <si>
    <t>财政资金</t>
  </si>
  <si>
    <t>雄安集团</t>
  </si>
  <si>
    <t>企业资金</t>
  </si>
  <si>
    <t>交通路网</t>
  </si>
  <si>
    <t>生态系统</t>
  </si>
  <si>
    <t>启动区基础设施和公共服务成本分摊</t>
  </si>
  <si>
    <t>成本类型</t>
  </si>
  <si>
    <t>投资总额（万元）</t>
  </si>
  <si>
    <t>参与分摊建筑规模（万平方米）</t>
  </si>
  <si>
    <t>地面价</t>
  </si>
  <si>
    <t>土地取得成本</t>
  </si>
  <si>
    <t>以出让土地规划地上总建筑规模，分摊交通路网、生态系统和公共服务设施成本；以全部土地规划地上总建筑规模，分摊市政基础设施成本和土地取得成本。</t>
  </si>
  <si>
    <t>成交时间</t>
  </si>
  <si>
    <t>起始价</t>
  </si>
  <si>
    <t>保证金</t>
  </si>
  <si>
    <t>XARD-0050</t>
  </si>
  <si>
    <t>住宅、商务金融</t>
  </si>
  <si>
    <t>XARD-0051</t>
  </si>
  <si>
    <t>XARD-0052</t>
  </si>
  <si>
    <t>容东片区东南部</t>
  </si>
  <si>
    <t>XARD-0056</t>
  </si>
  <si>
    <t>容东片区西南部</t>
  </si>
  <si>
    <t>93940（含另外2宗地）</t>
  </si>
  <si>
    <t>473001（含另外2宗地）</t>
  </si>
  <si>
    <t>住宅、商务金融、其他商服</t>
  </si>
  <si>
    <t>这三块与另外两块一起成交</t>
  </si>
  <si>
    <t>XARD-0057</t>
  </si>
  <si>
    <t>综合用地（含住宅）</t>
  </si>
  <si>
    <t>XARD-0058</t>
  </si>
  <si>
    <t>XAZG-0022</t>
  </si>
  <si>
    <t>雄安站枢纽片区东南部</t>
  </si>
  <si>
    <t>商务金融、住宅、其他商服</t>
  </si>
  <si>
    <t>XAZG-0023</t>
  </si>
  <si>
    <t>XAZG-0024</t>
  </si>
  <si>
    <t>XAZG-0020</t>
  </si>
  <si>
    <t>雄安站枢纽片区西南部</t>
  </si>
  <si>
    <t>住宅、商务金融、商业</t>
  </si>
  <si>
    <t>XAZG-0021</t>
  </si>
  <si>
    <t>XAQD-0022</t>
  </si>
  <si>
    <t>启动区西部</t>
  </si>
  <si>
    <t>XAQD-0023</t>
  </si>
  <si>
    <t>XAQD-0024</t>
  </si>
  <si>
    <t>启动区东北部</t>
  </si>
  <si>
    <t>住宅、商服</t>
  </si>
  <si>
    <t>XAQD-0025</t>
  </si>
  <si>
    <t>启动区西南部</t>
  </si>
  <si>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</si>
  <si>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</si>
  <si>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</si>
  <si>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</si>
  <si>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</si>
  <si>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</si>
  <si>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</si>
  <si>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indexed="8"/>
        <rFont val="仿宋_GB2312"/>
        <charset val="134"/>
      </rPr>
      <t>配套类型</t>
    </r>
  </si>
  <si>
    <r>
      <rPr>
        <sz val="11"/>
        <color indexed="8"/>
        <rFont val="仿宋_GB2312"/>
        <charset val="134"/>
      </rPr>
      <t>项目停车位配比</t>
    </r>
  </si>
  <si>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</si>
  <si>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</si>
  <si>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</si>
  <si>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</si>
  <si>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r>
      <rPr>
        <sz val="11"/>
        <color indexed="8"/>
        <rFont val="仿宋_GB2312"/>
        <charset val="134"/>
      </rPr>
      <t>是否直接入户</t>
    </r>
  </si>
  <si>
    <t>成交单价</t>
  </si>
  <si>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</si>
  <si>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</si>
  <si>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</si>
  <si>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</si>
  <si>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charset val="134"/>
      </rPr>
      <t>修正项</t>
    </r>
  </si>
  <si>
    <r>
      <rPr>
        <sz val="10"/>
        <color indexed="8"/>
        <rFont val="楷体_GB2312"/>
        <charset val="134"/>
      </rPr>
      <t>说明</t>
    </r>
  </si>
  <si>
    <r>
      <rPr>
        <sz val="10"/>
        <color indexed="8"/>
        <rFont val="楷体_GB2312"/>
        <charset val="134"/>
      </rPr>
      <t>修正系数</t>
    </r>
  </si>
  <si>
    <r>
      <rPr>
        <sz val="10"/>
        <color indexed="8"/>
        <rFont val="楷体_GB2312"/>
        <charset val="134"/>
      </rPr>
      <t>建筑面积</t>
    </r>
  </si>
  <si>
    <r>
      <rPr>
        <sz val="10"/>
        <color theme="9" tint="-0.249977111117893"/>
        <rFont val="楷体_GB2312"/>
        <charset val="134"/>
      </rPr>
      <t>修正项</t>
    </r>
    <r>
      <rPr>
        <sz val="10"/>
        <color theme="9" tint="-0.249977111117893"/>
        <rFont val="Arial"/>
        <charset val="134"/>
      </rPr>
      <t>2</t>
    </r>
  </si>
  <si>
    <r>
      <rPr>
        <sz val="10"/>
        <color theme="9" tint="-0.249977111117893"/>
        <rFont val="楷体_GB2312"/>
        <charset val="134"/>
      </rPr>
      <t>修正项</t>
    </r>
    <r>
      <rPr>
        <sz val="10"/>
        <color theme="9" tint="-0.249977111117893"/>
        <rFont val="Arial"/>
        <charset val="134"/>
      </rPr>
      <t>3</t>
    </r>
  </si>
  <si>
    <r>
      <rPr>
        <sz val="10"/>
        <color theme="9" tint="-0.249977111117893"/>
        <rFont val="楷体_GB2312"/>
        <charset val="134"/>
      </rPr>
      <t>修正项</t>
    </r>
    <r>
      <rPr>
        <sz val="10"/>
        <color theme="9" tint="-0.249977111117893"/>
        <rFont val="Arial"/>
        <charset val="134"/>
      </rPr>
      <t>4</t>
    </r>
  </si>
  <si>
    <r>
      <rPr>
        <sz val="10"/>
        <color theme="9" tint="-0.249977111117893"/>
        <rFont val="楷体_GB2312"/>
        <charset val="134"/>
      </rPr>
      <t>修正项</t>
    </r>
    <r>
      <rPr>
        <sz val="10"/>
        <color theme="9" tint="-0.249977111117893"/>
        <rFont val="Arial"/>
        <charset val="134"/>
      </rPr>
      <t>5</t>
    </r>
  </si>
  <si>
    <r>
      <rPr>
        <sz val="10"/>
        <color theme="9" tint="-0.249977111117893"/>
        <rFont val="楷体_GB2312"/>
        <charset val="134"/>
      </rPr>
      <t>修正项</t>
    </r>
    <r>
      <rPr>
        <sz val="10"/>
        <color theme="9" tint="-0.249977111117893"/>
        <rFont val="Arial"/>
        <charset val="134"/>
      </rPr>
      <t>6</t>
    </r>
  </si>
  <si>
    <r>
      <rPr>
        <sz val="10"/>
        <color theme="9" tint="-0.249977111117893"/>
        <rFont val="楷体_GB2312"/>
        <charset val="134"/>
      </rPr>
      <t>修正项</t>
    </r>
    <r>
      <rPr>
        <sz val="10"/>
        <color theme="9" tint="-0.249977111117893"/>
        <rFont val="Arial"/>
        <charset val="134"/>
      </rPr>
      <t>7</t>
    </r>
  </si>
  <si>
    <t>修正系数</t>
  </si>
  <si>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</si>
  <si>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</si>
  <si>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charset val="134"/>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</si>
  <si>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</si>
  <si>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</si>
  <si>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r>
      <rPr>
        <b/>
        <sz val="10"/>
        <color indexed="10"/>
        <rFont val="仿宋_GB2312"/>
        <charset val="134"/>
      </rPr>
      <t>基准户型</t>
    </r>
  </si>
  <si>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</si>
  <si>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</si>
  <si>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</si>
  <si>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</si>
  <si>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</si>
  <si>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</si>
  <si>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</si>
  <si>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</si>
  <si>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</si>
  <si>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</si>
  <si>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</si>
  <si>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</si>
  <si>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</si>
  <si>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</si>
  <si>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</si>
  <si>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</si>
  <si>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</si>
  <si>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</si>
  <si>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</si>
  <si>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</si>
  <si>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</si>
  <si>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</si>
  <si>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</si>
  <si>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</si>
  <si>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</si>
  <si>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</si>
  <si>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</si>
  <si>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</si>
  <si>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</si>
  <si>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t>
  </si>
  <si>
    <t>成交日期</t>
  </si>
  <si>
    <t>宗地用途</t>
  </si>
  <si>
    <t>亩单价</t>
  </si>
  <si>
    <t>雄安新区启动区金融岛片区XACR—2023—008宗地</t>
  </si>
  <si>
    <t>商业服务业用地</t>
  </si>
  <si>
    <t>雄安新区启动区金融岛片区XACR—2023—005</t>
  </si>
  <si>
    <t>河北雄安新区容城县RCCR—2022—003</t>
  </si>
  <si>
    <t>雄安新区启动区金融岛片区XACR—2023—006</t>
  </si>
  <si>
    <t>启动区金融岛站周边一体化开发项目（XACR—2023—004宗地）</t>
  </si>
  <si>
    <t>河北雄安新区XACR—2023—003</t>
  </si>
  <si>
    <t>商业用地</t>
  </si>
  <si>
    <t>河北雄安新区XACR—2023—001</t>
  </si>
  <si>
    <t>雄安新区启动区科学园片区XACR—2022—031</t>
  </si>
  <si>
    <t>新型产业用地
（工业用地）</t>
  </si>
  <si>
    <t>雄安新区启动区滨水商业商务区XACR—2022—026</t>
  </si>
  <si>
    <t>城镇住宅用地</t>
  </si>
  <si>
    <t>雄安新区启动区滨水商业商务区XACR—2022—025</t>
  </si>
  <si>
    <t>雄安新区启动区滨水商业商务区XACR—2022—024</t>
  </si>
  <si>
    <t>河北雄安新区XACR-2022-001</t>
  </si>
  <si>
    <t>河北雄安新区XACR-2021-045</t>
  </si>
  <si>
    <t>河北雄安新区XACR-2021-046</t>
  </si>
  <si>
    <t>河北雄安新区XACR-2021-037</t>
  </si>
  <si>
    <t>河北雄安新区XACR-2021-035</t>
  </si>
  <si>
    <t>新型产业用地（工业用地）</t>
  </si>
</sst>
</file>

<file path=xl/styles.xml><?xml version="1.0" encoding="utf-8"?>
<styleSheet xmlns="http://schemas.openxmlformats.org/spreadsheetml/2006/main" xmlns:mc="http://schemas.openxmlformats.org/markup-compatibility/2006" xmlns:xr9="http://schemas.microsoft.com/office/spreadsheetml/2016/revision9" mc:Ignorable="xr9">
  <numFmts count="23">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yyyy/m/d;@"/>
    <numFmt numFmtId="178" formatCode="0.00_ "/>
    <numFmt numFmtId="179" formatCode="0.0_);[Red]\(0.0\)"/>
    <numFmt numFmtId="180" formatCode="0.0%"/>
    <numFmt numFmtId="181" formatCode="0_);[Red]\(0\)"/>
    <numFmt numFmtId="182" formatCode="yyyy&quot;年&quot;m&quot;月&quot;d&quot;日&quot;;@"/>
    <numFmt numFmtId="183" formatCode="0.00_);[Red]\(0.00\)"/>
    <numFmt numFmtId="184" formatCode="yyyy&quot;年&quot;m&quot;月&quot;;@"/>
    <numFmt numFmtId="185" formatCode="0.000_);[Red]\(0.000\)"/>
    <numFmt numFmtId="186" formatCode="0.0_ "/>
    <numFmt numFmtId="187" formatCode="0.000%"/>
    <numFmt numFmtId="188" formatCode="0_ ;[Red]\-0\ "/>
    <numFmt numFmtId="189" formatCode="0.0000_ "/>
    <numFmt numFmtId="190" formatCode="0.000_ "/>
    <numFmt numFmtId="191" formatCode="&quot;￥&quot;#,##0.00;[Red]\-&quot;￥&quot;#,##0.00"/>
    <numFmt numFmtId="192" formatCode="0;_쐀"/>
    <numFmt numFmtId="193" formatCode="[$-F800]dddd\,\ mmmm\ dd\,\ yyyy"/>
    <numFmt numFmtId="194" formatCode="[DBNum1][$-804]General"/>
  </numFmts>
  <fonts count="267">
    <font>
      <sz val="11"/>
      <color theme="1"/>
      <name val="宋体"/>
      <charset val="134"/>
      <scheme val="minor"/>
    </font>
    <font>
      <sz val="10"/>
      <color theme="1"/>
      <name val="宋体"/>
      <charset val="134"/>
      <scheme val="minor"/>
    </font>
    <font>
      <sz val="12"/>
      <color rgb="FF3B3B3B"/>
      <name val="Times New Roman"/>
      <charset val="134"/>
    </font>
    <font>
      <sz val="10"/>
      <name val="宋体"/>
      <charset val="134"/>
    </font>
    <font>
      <b/>
      <sz val="10"/>
      <name val="宋体"/>
      <charset val="134"/>
    </font>
    <font>
      <b/>
      <sz val="10"/>
      <color rgb="FFFF0000"/>
      <name val="宋体"/>
      <charset val="134"/>
    </font>
    <font>
      <b/>
      <sz val="11"/>
      <color theme="1"/>
      <name val="宋体"/>
      <charset val="134"/>
      <scheme val="minor"/>
    </font>
    <font>
      <b/>
      <sz val="11"/>
      <color rgb="FFFF0000"/>
      <name val="宋体"/>
      <charset val="134"/>
      <scheme val="minor"/>
    </font>
    <font>
      <sz val="10"/>
      <color theme="1"/>
      <name val="宋体"/>
      <charset val="134"/>
    </font>
    <font>
      <b/>
      <sz val="16"/>
      <color theme="3" tint="0.399487289040803"/>
      <name val="宋体"/>
      <charset val="134"/>
    </font>
    <font>
      <b/>
      <sz val="12"/>
      <color theme="3" tint="0.399487289040803"/>
      <name val="宋体"/>
      <charset val="134"/>
    </font>
    <font>
      <sz val="16"/>
      <name val="宋体"/>
      <charset val="134"/>
    </font>
    <font>
      <b/>
      <sz val="16"/>
      <name val="΢ȭхڬˎ̥"/>
      <charset val="134"/>
    </font>
    <font>
      <b/>
      <sz val="10"/>
      <color theme="1"/>
      <name val="宋体"/>
      <charset val="134"/>
    </font>
    <font>
      <b/>
      <sz val="12"/>
      <color rgb="FFFF0000"/>
      <name val="宋体"/>
      <charset val="134"/>
    </font>
    <font>
      <sz val="10"/>
      <color rgb="FFFF0000"/>
      <name val="宋体"/>
      <charset val="134"/>
    </font>
    <font>
      <sz val="13"/>
      <name val="宋体"/>
      <charset val="134"/>
    </font>
    <font>
      <sz val="12"/>
      <color rgb="FFFF0000"/>
      <name val="宋体"/>
      <charset val="134"/>
    </font>
    <font>
      <sz val="10"/>
      <color indexed="8"/>
      <name val="Arial"/>
      <charset val="134"/>
    </font>
    <font>
      <sz val="10"/>
      <name val="Arial"/>
      <charset val="134"/>
    </font>
    <font>
      <sz val="10"/>
      <color indexed="10"/>
      <name val="Arial"/>
      <charset val="134"/>
    </font>
    <font>
      <b/>
      <sz val="10"/>
      <color indexed="10"/>
      <name val="Arial"/>
      <charset val="134"/>
    </font>
    <font>
      <b/>
      <sz val="10"/>
      <name val="Arial"/>
      <charset val="134"/>
    </font>
    <font>
      <b/>
      <sz val="10"/>
      <color indexed="8"/>
      <name val="Arial"/>
      <charset val="134"/>
    </font>
    <font>
      <sz val="10"/>
      <color theme="9" tint="-0.249977111117893"/>
      <name val="Arial"/>
      <charset val="134"/>
    </font>
    <font>
      <b/>
      <sz val="10"/>
      <color indexed="8"/>
      <name val="宋体"/>
      <charset val="134"/>
    </font>
    <font>
      <sz val="10"/>
      <color indexed="8"/>
      <name val="楷体_GB2312"/>
      <charset val="134"/>
    </font>
    <font>
      <b/>
      <sz val="12"/>
      <color indexed="8"/>
      <name val="Arial"/>
      <charset val="134"/>
    </font>
    <font>
      <b/>
      <sz val="10"/>
      <color theme="1"/>
      <name val="Arial"/>
      <charset val="134"/>
    </font>
    <font>
      <sz val="16"/>
      <name val="Arial"/>
      <charset val="134"/>
    </font>
    <font>
      <sz val="11"/>
      <color indexed="8"/>
      <name val="Arial"/>
      <charset val="134"/>
    </font>
    <font>
      <sz val="11"/>
      <color indexed="62"/>
      <name val="Arial"/>
      <charset val="134"/>
    </font>
    <font>
      <sz val="11"/>
      <color indexed="10"/>
      <name val="Arial"/>
      <charset val="134"/>
    </font>
    <font>
      <sz val="11"/>
      <color indexed="53"/>
      <name val="Arial"/>
      <charset val="134"/>
    </font>
    <font>
      <sz val="11"/>
      <name val="Arial"/>
      <charset val="134"/>
    </font>
    <font>
      <b/>
      <sz val="16"/>
      <color rgb="FFFF0000"/>
      <name val="Arial"/>
      <charset val="134"/>
    </font>
    <font>
      <b/>
      <sz val="16"/>
      <name val="Arial"/>
      <charset val="134"/>
    </font>
    <font>
      <b/>
      <sz val="16"/>
      <color indexed="10"/>
      <name val="Arial"/>
      <charset val="134"/>
    </font>
    <font>
      <b/>
      <sz val="12"/>
      <name val="Arial"/>
      <charset val="134"/>
    </font>
    <font>
      <b/>
      <sz val="11"/>
      <name val="Arial"/>
      <charset val="134"/>
    </font>
    <font>
      <sz val="11"/>
      <color theme="9" tint="-0.249977111117893"/>
      <name val="Arial"/>
      <charset val="134"/>
    </font>
    <font>
      <b/>
      <sz val="11"/>
      <color indexed="8"/>
      <name val="Arial"/>
      <charset val="134"/>
    </font>
    <font>
      <b/>
      <sz val="11"/>
      <color indexed="62"/>
      <name val="Arial"/>
      <charset val="134"/>
    </font>
    <font>
      <b/>
      <sz val="11"/>
      <name val="宋体"/>
      <charset val="134"/>
    </font>
    <font>
      <sz val="11"/>
      <color indexed="8"/>
      <name val="仿宋_GB2312"/>
      <charset val="134"/>
    </font>
    <font>
      <b/>
      <sz val="11"/>
      <color indexed="10"/>
      <name val="Arial"/>
      <charset val="134"/>
    </font>
    <font>
      <b/>
      <sz val="11"/>
      <color indexed="53"/>
      <name val="Arial"/>
      <charset val="134"/>
    </font>
    <font>
      <b/>
      <sz val="16"/>
      <color indexed="8"/>
      <name val="Arial"/>
      <charset val="134"/>
    </font>
    <font>
      <sz val="12"/>
      <name val="Arial"/>
      <charset val="134"/>
    </font>
    <font>
      <sz val="11"/>
      <color theme="1"/>
      <name val="Arial"/>
      <charset val="134"/>
    </font>
    <font>
      <sz val="11"/>
      <name val="仿宋_GB2312"/>
      <charset val="134"/>
    </font>
    <font>
      <b/>
      <sz val="12"/>
      <name val="仿宋_GB2312"/>
      <charset val="134"/>
    </font>
    <font>
      <b/>
      <sz val="11"/>
      <name val="仿宋_GB2312"/>
      <charset val="134"/>
    </font>
    <font>
      <b/>
      <sz val="10"/>
      <color rgb="FFFF0000"/>
      <name val="宋体"/>
      <charset val="134"/>
      <scheme val="minor"/>
    </font>
    <font>
      <sz val="10"/>
      <name val="宋体"/>
      <charset val="134"/>
      <scheme val="minor"/>
    </font>
    <font>
      <b/>
      <sz val="10"/>
      <color theme="1"/>
      <name val="宋体"/>
      <charset val="134"/>
      <scheme val="minor"/>
    </font>
    <font>
      <b/>
      <sz val="12"/>
      <color theme="1"/>
      <name val="Arial"/>
      <charset val="134"/>
    </font>
    <font>
      <b/>
      <sz val="10"/>
      <name val="仿宋_GB2312"/>
      <charset val="134"/>
    </font>
    <font>
      <i/>
      <sz val="10"/>
      <name val="仿宋_GB2312"/>
      <charset val="134"/>
    </font>
    <font>
      <i/>
      <sz val="10"/>
      <name val="Arial"/>
      <charset val="134"/>
    </font>
    <font>
      <i/>
      <sz val="10"/>
      <name val="宋体"/>
      <charset val="134"/>
    </font>
    <font>
      <sz val="12"/>
      <color indexed="10"/>
      <name val="Arial"/>
      <charset val="134"/>
    </font>
    <font>
      <sz val="14"/>
      <name val="Arial"/>
      <charset val="134"/>
    </font>
    <font>
      <b/>
      <sz val="16"/>
      <name val="宋体"/>
      <charset val="134"/>
    </font>
    <font>
      <sz val="12"/>
      <name val="宋体"/>
      <charset val="134"/>
    </font>
    <font>
      <sz val="10"/>
      <name val="楷体_GB2312"/>
      <charset val="134"/>
    </font>
    <font>
      <b/>
      <sz val="10"/>
      <color indexed="8"/>
      <name val="楷体_GB2312"/>
      <charset val="134"/>
    </font>
    <font>
      <i/>
      <sz val="10"/>
      <color indexed="8"/>
      <name val="宋体"/>
      <charset val="134"/>
    </font>
    <font>
      <sz val="10"/>
      <color indexed="8"/>
      <name val="仿宋_GB2312"/>
      <charset val="134"/>
    </font>
    <font>
      <sz val="10"/>
      <color theme="1"/>
      <name val="Arial"/>
      <charset val="134"/>
    </font>
    <font>
      <sz val="10"/>
      <color indexed="8"/>
      <name val="宋体"/>
      <charset val="134"/>
    </font>
    <font>
      <b/>
      <sz val="10"/>
      <color rgb="FFFF0000"/>
      <name val="Arial"/>
      <charset val="134"/>
    </font>
    <font>
      <b/>
      <sz val="20"/>
      <name val="Arial"/>
      <charset val="134"/>
    </font>
    <font>
      <b/>
      <sz val="10"/>
      <color indexed="8"/>
      <name val="仿宋_GB2312"/>
      <charset val="134"/>
    </font>
    <font>
      <b/>
      <sz val="11"/>
      <color rgb="FFFF0000"/>
      <name val="宋体"/>
      <charset val="134"/>
    </font>
    <font>
      <sz val="12"/>
      <color indexed="8"/>
      <name val="Arial"/>
      <charset val="134"/>
    </font>
    <font>
      <b/>
      <sz val="20"/>
      <color indexed="10"/>
      <name val="Arial"/>
      <charset val="134"/>
    </font>
    <font>
      <sz val="20"/>
      <color indexed="8"/>
      <name val="Arial"/>
      <charset val="134"/>
    </font>
    <font>
      <sz val="20"/>
      <name val="Arial"/>
      <charset val="134"/>
    </font>
    <font>
      <b/>
      <sz val="12"/>
      <color rgb="FFFF0000"/>
      <name val="楷体_GB2312"/>
      <charset val="134"/>
    </font>
    <font>
      <sz val="12"/>
      <name val="楷体_GB2312"/>
      <charset val="134"/>
    </font>
    <font>
      <sz val="12"/>
      <color theme="1"/>
      <name val="楷体_GB2312"/>
      <charset val="134"/>
    </font>
    <font>
      <sz val="12"/>
      <color theme="1"/>
      <name val="Arial"/>
      <charset val="134"/>
    </font>
    <font>
      <sz val="11"/>
      <color theme="1"/>
      <name val="楷体_GB2312"/>
      <charset val="134"/>
    </font>
    <font>
      <sz val="10"/>
      <color rgb="FFFF0000"/>
      <name val="Arial"/>
      <charset val="134"/>
    </font>
    <font>
      <b/>
      <sz val="12"/>
      <name val="楷体_GB2312"/>
      <charset val="134"/>
    </font>
    <font>
      <b/>
      <sz val="12"/>
      <color rgb="FFFF0000"/>
      <name val="Arial"/>
      <charset val="134"/>
    </font>
    <font>
      <sz val="12"/>
      <color rgb="FF000000"/>
      <name val="楷体_GB2312"/>
      <charset val="134"/>
    </font>
    <font>
      <sz val="14"/>
      <color theme="1"/>
      <name val="Arial"/>
      <charset val="134"/>
    </font>
    <font>
      <b/>
      <sz val="11"/>
      <color indexed="8"/>
      <name val="楷体_GB2312"/>
      <charset val="134"/>
    </font>
    <font>
      <b/>
      <sz val="11"/>
      <color indexed="8"/>
      <name val="仿宋_GB2312"/>
      <charset val="134"/>
    </font>
    <font>
      <b/>
      <sz val="11"/>
      <color indexed="8"/>
      <name val="宋体"/>
      <charset val="134"/>
    </font>
    <font>
      <sz val="10"/>
      <name val="仿宋_GB2312"/>
      <charset val="134"/>
    </font>
    <font>
      <sz val="10"/>
      <color rgb="FF000000"/>
      <name val="宋体"/>
      <charset val="134"/>
    </font>
    <font>
      <sz val="11"/>
      <color theme="9" tint="-0.249977111117893"/>
      <name val="仿宋_GB2312"/>
      <charset val="134"/>
    </font>
    <font>
      <sz val="11"/>
      <color theme="9" tint="-0.249977111117893"/>
      <name val="宋体"/>
      <charset val="134"/>
    </font>
    <font>
      <sz val="11"/>
      <name val="宋体"/>
      <charset val="134"/>
    </font>
    <font>
      <sz val="11"/>
      <color rgb="FF000000"/>
      <name val="宋体"/>
      <charset val="134"/>
    </font>
    <font>
      <b/>
      <sz val="12"/>
      <color rgb="FF000000"/>
      <name val="宋体"/>
      <charset val="134"/>
    </font>
    <font>
      <b/>
      <sz val="12"/>
      <color indexed="10"/>
      <name val="Arial"/>
      <charset val="134"/>
    </font>
    <font>
      <sz val="11"/>
      <color rgb="FFFF0000"/>
      <name val="仿宋_GB2312"/>
      <charset val="134"/>
    </font>
    <font>
      <sz val="11"/>
      <color theme="1"/>
      <name val="仿宋_GB2312"/>
      <charset val="134"/>
    </font>
    <font>
      <sz val="12"/>
      <name val="仿宋_GB2312"/>
      <charset val="134"/>
    </font>
    <font>
      <sz val="11"/>
      <color rgb="FFFF0000"/>
      <name val="楷体_GB2312"/>
      <charset val="134"/>
    </font>
    <font>
      <sz val="11"/>
      <name val="宋体"/>
      <charset val="134"/>
      <scheme val="minor"/>
    </font>
    <font>
      <sz val="11"/>
      <color rgb="FFFF0000"/>
      <name val="宋体"/>
      <charset val="134"/>
      <scheme val="minor"/>
    </font>
    <font>
      <b/>
      <sz val="12"/>
      <color theme="1"/>
      <name val="宋体"/>
      <charset val="134"/>
    </font>
    <font>
      <b/>
      <sz val="12"/>
      <name val="宋体"/>
      <charset val="134"/>
    </font>
    <font>
      <b/>
      <i/>
      <u/>
      <sz val="11"/>
      <color rgb="FFFF0000"/>
      <name val="宋体"/>
      <charset val="134"/>
      <scheme val="minor"/>
    </font>
    <font>
      <sz val="9"/>
      <name val="宋体"/>
      <charset val="134"/>
    </font>
    <font>
      <sz val="9"/>
      <name val="Arial"/>
      <charset val="134"/>
    </font>
    <font>
      <b/>
      <sz val="10"/>
      <color theme="9" tint="-0.249977111117893"/>
      <name val="Arial"/>
      <charset val="134"/>
    </font>
    <font>
      <sz val="10"/>
      <color indexed="62"/>
      <name val="Arial"/>
      <charset val="134"/>
    </font>
    <font>
      <sz val="12"/>
      <color rgb="FFFF0000"/>
      <name val="楷体_GB2312"/>
      <charset val="134"/>
    </font>
    <font>
      <b/>
      <sz val="16"/>
      <color rgb="FFFF0000"/>
      <name val="宋体"/>
      <charset val="134"/>
      <scheme val="minor"/>
    </font>
    <font>
      <b/>
      <sz val="12"/>
      <color theme="1"/>
      <name val="宋体"/>
      <charset val="134"/>
      <scheme val="minor"/>
    </font>
    <font>
      <b/>
      <sz val="10"/>
      <color theme="0"/>
      <name val="Arial"/>
      <charset val="134"/>
    </font>
    <font>
      <b/>
      <sz val="10"/>
      <color theme="1"/>
      <name val="楷体_GB2312"/>
      <charset val="134"/>
    </font>
    <font>
      <sz val="11"/>
      <color indexed="8"/>
      <name val="楷体_GB2312"/>
      <charset val="134"/>
    </font>
    <font>
      <sz val="10"/>
      <color rgb="FF707070"/>
      <name val="Arial"/>
      <charset val="134"/>
    </font>
    <font>
      <b/>
      <sz val="11"/>
      <color theme="1"/>
      <name val="仿宋_GB2312"/>
      <charset val="134"/>
    </font>
    <font>
      <b/>
      <sz val="10"/>
      <color theme="1"/>
      <name val="仿宋_GB2312"/>
      <charset val="134"/>
    </font>
    <font>
      <sz val="10"/>
      <color theme="1"/>
      <name val="仿宋_GB2312"/>
      <charset val="134"/>
    </font>
    <font>
      <sz val="10"/>
      <color rgb="FF000000"/>
      <name val="仿宋_GB2312"/>
      <charset val="134"/>
    </font>
    <font>
      <sz val="11"/>
      <color theme="1"/>
      <name val="宋体"/>
      <charset val="134"/>
    </font>
    <font>
      <b/>
      <sz val="11"/>
      <color theme="1"/>
      <name val="宋体"/>
      <charset val="134"/>
    </font>
    <font>
      <b/>
      <sz val="16"/>
      <color rgb="FFFF0000"/>
      <name val="仿宋_GB2312"/>
      <charset val="134"/>
    </font>
    <font>
      <b/>
      <sz val="11"/>
      <name val="楷体_GB2312"/>
      <charset val="134"/>
    </font>
    <font>
      <b/>
      <sz val="11"/>
      <color theme="0" tint="-0.499984740745262"/>
      <name val="Arial"/>
      <charset val="134"/>
    </font>
    <font>
      <b/>
      <sz val="10"/>
      <name val="楷体_GB2312"/>
      <charset val="134"/>
    </font>
    <font>
      <sz val="10"/>
      <color rgb="FFFF0000"/>
      <name val="仿宋_GB2312"/>
      <charset val="134"/>
    </font>
    <font>
      <sz val="10"/>
      <color indexed="10"/>
      <name val="仿宋_GB2312"/>
      <charset val="134"/>
    </font>
    <font>
      <sz val="11"/>
      <name val="楷体_GB2312"/>
      <charset val="134"/>
    </font>
    <font>
      <b/>
      <sz val="10"/>
      <color rgb="FFFF0000"/>
      <name val="仿宋_GB2312"/>
      <charset val="134"/>
    </font>
    <font>
      <b/>
      <sz val="11"/>
      <color rgb="FFFF0000"/>
      <name val="Arial"/>
      <charset val="134"/>
    </font>
    <font>
      <sz val="10"/>
      <color theme="1"/>
      <name val="楷体_GB2312"/>
      <charset val="134"/>
    </font>
    <font>
      <sz val="10"/>
      <color theme="9" tint="-0.249977111117893"/>
      <name val="宋体"/>
      <charset val="134"/>
      <scheme val="minor"/>
    </font>
    <font>
      <b/>
      <sz val="11"/>
      <color rgb="FFFF0000"/>
      <name val="楷体_GB2312"/>
      <charset val="134"/>
    </font>
    <font>
      <sz val="10"/>
      <color rgb="FFFF0000"/>
      <name val="宋体"/>
      <charset val="134"/>
      <scheme val="minor"/>
    </font>
    <font>
      <sz val="10"/>
      <color indexed="53"/>
      <name val="Arial"/>
      <charset val="134"/>
    </font>
    <font>
      <b/>
      <sz val="14"/>
      <color indexed="10"/>
      <name val="Arial"/>
      <charset val="134"/>
    </font>
    <font>
      <b/>
      <sz val="14"/>
      <name val="Arial"/>
      <charset val="134"/>
    </font>
    <font>
      <sz val="12"/>
      <color indexed="53"/>
      <name val="Arial"/>
      <charset val="134"/>
    </font>
    <font>
      <sz val="11"/>
      <color rgb="FFFF0000"/>
      <name val="宋体"/>
      <charset val="134"/>
    </font>
    <font>
      <b/>
      <sz val="11"/>
      <color theme="1"/>
      <name val="Arial"/>
      <charset val="134"/>
    </font>
    <font>
      <sz val="9"/>
      <color rgb="FF000000"/>
      <name val="仿宋"/>
      <charset val="134"/>
    </font>
    <font>
      <b/>
      <sz val="10"/>
      <color rgb="FF000000"/>
      <name val="仿宋"/>
      <charset val="134"/>
    </font>
    <font>
      <sz val="11"/>
      <color indexed="8"/>
      <name val="宋体"/>
      <charset val="134"/>
    </font>
    <font>
      <b/>
      <sz val="14"/>
      <color rgb="FFFF0000"/>
      <name val="楷体_GB2312"/>
      <charset val="134"/>
    </font>
    <font>
      <sz val="12"/>
      <color indexed="8"/>
      <name val="楷体_GB2312"/>
      <charset val="134"/>
    </font>
    <font>
      <sz val="11"/>
      <color rgb="FFFF0000"/>
      <name val="Arial"/>
      <charset val="134"/>
    </font>
    <font>
      <u/>
      <sz val="10"/>
      <color indexed="8"/>
      <name val="Arial"/>
      <charset val="134"/>
    </font>
    <font>
      <b/>
      <sz val="8"/>
      <color indexed="8"/>
      <name val="Arial"/>
      <charset val="134"/>
    </font>
    <font>
      <b/>
      <sz val="9"/>
      <color indexed="8"/>
      <name val="Arial"/>
      <charset val="134"/>
    </font>
    <font>
      <b/>
      <sz val="14"/>
      <color rgb="FFFF0000"/>
      <name val="Arial"/>
      <charset val="134"/>
    </font>
    <font>
      <b/>
      <u/>
      <sz val="12"/>
      <color theme="1"/>
      <name val="Arial"/>
      <charset val="134"/>
    </font>
    <font>
      <u/>
      <sz val="12"/>
      <color indexed="8"/>
      <name val="Arial"/>
      <charset val="134"/>
    </font>
    <font>
      <b/>
      <u/>
      <sz val="12"/>
      <color indexed="8"/>
      <name val="Arial"/>
      <charset val="134"/>
    </font>
    <font>
      <b/>
      <sz val="14"/>
      <color indexed="8"/>
      <name val="Arial"/>
      <charset val="134"/>
    </font>
    <font>
      <sz val="14"/>
      <color indexed="8"/>
      <name val="Arial"/>
      <charset val="134"/>
    </font>
    <font>
      <sz val="9"/>
      <color theme="1"/>
      <name val="Arial"/>
      <charset val="134"/>
    </font>
    <font>
      <sz val="9"/>
      <color rgb="FFE36C0A"/>
      <name val="Arial"/>
      <charset val="134"/>
    </font>
    <font>
      <b/>
      <sz val="9"/>
      <color theme="1"/>
      <name val="Arial"/>
      <charset val="134"/>
    </font>
    <font>
      <b/>
      <u/>
      <sz val="9"/>
      <color rgb="FFE36C0A"/>
      <name val="Arial"/>
      <charset val="134"/>
    </font>
    <font>
      <sz val="12"/>
      <color rgb="FF000000"/>
      <name val="Arial"/>
      <charset val="134"/>
    </font>
    <font>
      <sz val="9"/>
      <color indexed="8"/>
      <name val="Arial"/>
      <charset val="134"/>
    </font>
    <font>
      <b/>
      <sz val="10"/>
      <color rgb="FFE36C0A"/>
      <name val="Arial"/>
      <charset val="134"/>
    </font>
    <font>
      <sz val="10"/>
      <color rgb="FFE36C0A"/>
      <name val="Arial"/>
      <charset val="134"/>
    </font>
    <font>
      <sz val="10"/>
      <color rgb="FF000000"/>
      <name val="Arial"/>
      <charset val="134"/>
    </font>
    <font>
      <sz val="11"/>
      <color rgb="FF666666"/>
      <name val="微软雅黑"/>
      <charset val="134"/>
    </font>
    <font>
      <sz val="14"/>
      <color indexed="8"/>
      <name val="仿宋_GB2312"/>
      <charset val="134"/>
    </font>
    <font>
      <b/>
      <sz val="14"/>
      <color indexed="10"/>
      <name val="仿宋_GB2312"/>
      <charset val="134"/>
    </font>
    <font>
      <b/>
      <sz val="14"/>
      <color indexed="8"/>
      <name val="仿宋_GB2312"/>
      <charset val="134"/>
    </font>
    <font>
      <sz val="11"/>
      <color rgb="FF000000"/>
      <name val="楷体_GB2312"/>
      <charset val="134"/>
    </font>
    <font>
      <sz val="11"/>
      <color indexed="10"/>
      <name val="楷体_GB2312"/>
      <charset val="134"/>
    </font>
    <font>
      <sz val="12"/>
      <color theme="1"/>
      <name val="宋体"/>
      <charset val="134"/>
      <scheme val="minor"/>
    </font>
    <font>
      <sz val="9"/>
      <color indexed="8"/>
      <name val="宋体"/>
      <charset val="134"/>
    </font>
    <font>
      <sz val="9"/>
      <color rgb="FFFF0000"/>
      <name val="宋体"/>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sz val="12"/>
      <color rgb="FFFF0000"/>
      <name val="宋体"/>
      <charset val="134"/>
      <scheme val="minor"/>
    </font>
    <font>
      <b/>
      <sz val="12"/>
      <color rgb="FFFF0000"/>
      <name val="宋体"/>
      <charset val="134"/>
      <scheme val="major"/>
    </font>
    <font>
      <b/>
      <sz val="12"/>
      <color theme="1"/>
      <name val="宋体"/>
      <charset val="134"/>
      <scheme val="major"/>
    </font>
    <font>
      <b/>
      <sz val="12"/>
      <color rgb="FFFF0000"/>
      <name val="宋体"/>
      <charset val="134"/>
      <scheme val="minor"/>
    </font>
    <font>
      <b/>
      <sz val="12"/>
      <color indexed="13"/>
      <name val="Arial"/>
      <charset val="134"/>
    </font>
    <font>
      <sz val="12"/>
      <color theme="1"/>
      <name val="仿宋_GB2312"/>
      <charset val="134"/>
    </font>
    <font>
      <sz val="12"/>
      <color indexed="53"/>
      <name val="仿宋_GB2312"/>
      <charset val="134"/>
    </font>
    <font>
      <sz val="14"/>
      <color theme="1"/>
      <name val="仿宋_GB2312"/>
      <charset val="134"/>
    </font>
    <font>
      <sz val="10.5"/>
      <color theme="1"/>
      <name val="仿宋_GB2312"/>
      <charset val="134"/>
    </font>
    <font>
      <sz val="10.5"/>
      <color theme="9" tint="-0.249977111117893"/>
      <name val="仿宋_GB2312"/>
      <charset val="134"/>
    </font>
    <font>
      <sz val="10.5"/>
      <color rgb="FFE36C0A"/>
      <name val="仿宋_GB2312"/>
      <charset val="134"/>
    </font>
    <font>
      <b/>
      <sz val="10.5"/>
      <color rgb="FFE36C0A"/>
      <name val="仿宋_GB2312"/>
      <charset val="134"/>
    </font>
    <font>
      <sz val="10.5"/>
      <color theme="1"/>
      <name val="宋体"/>
      <charset val="134"/>
      <scheme val="minor"/>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487289040803"/>
      <name val="仿宋_GB2312"/>
      <charset val="134"/>
    </font>
    <font>
      <b/>
      <sz val="10.5"/>
      <color theme="1"/>
      <name val="黑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8"/>
      <color indexed="10"/>
      <name val="΢ȭхڬˎ̥"/>
      <charset val="134"/>
    </font>
    <font>
      <sz val="10"/>
      <color theme="9" tint="-0.249977111117893"/>
      <name val="楷体_GB2312"/>
      <charset val="134"/>
    </font>
    <font>
      <b/>
      <sz val="10"/>
      <color indexed="10"/>
      <name val="仿宋_GB2312"/>
      <charset val="134"/>
    </font>
    <font>
      <b/>
      <sz val="16"/>
      <color indexed="10"/>
      <name val="仿宋_GB2312"/>
      <charset val="134"/>
    </font>
    <font>
      <b/>
      <sz val="16"/>
      <name val="仿宋_GB2312"/>
      <charset val="134"/>
    </font>
    <font>
      <b/>
      <sz val="11"/>
      <color theme="9" tint="-0.249977111117893"/>
      <name val="Arial"/>
      <charset val="134"/>
    </font>
    <font>
      <b/>
      <sz val="11"/>
      <color theme="9" tint="-0.249977111117893"/>
      <name val="仿宋_GB2312"/>
      <charset val="134"/>
    </font>
    <font>
      <b/>
      <sz val="16"/>
      <color indexed="8"/>
      <name val="仿宋_GB2312"/>
      <charset val="134"/>
    </font>
    <font>
      <b/>
      <i/>
      <sz val="10"/>
      <color rgb="FFFF0000"/>
      <name val="宋体"/>
      <charset val="134"/>
    </font>
    <font>
      <vertAlign val="subscript"/>
      <sz val="10"/>
      <color indexed="8"/>
      <name val="仿宋_GB2312"/>
      <charset val="134"/>
    </font>
    <font>
      <vertAlign val="superscript"/>
      <sz val="12"/>
      <color theme="1"/>
      <name val="楷体_GB2312"/>
      <charset val="134"/>
    </font>
    <font>
      <vertAlign val="subscript"/>
      <sz val="12"/>
      <color theme="1"/>
      <name val="Arial"/>
      <charset val="134"/>
    </font>
    <font>
      <vertAlign val="subscript"/>
      <sz val="14"/>
      <color theme="1"/>
      <name val="Arial"/>
      <charset val="134"/>
    </font>
    <font>
      <vertAlign val="superscript"/>
      <sz val="14"/>
      <color theme="1"/>
      <name val="Arial"/>
      <charset val="134"/>
    </font>
    <font>
      <b/>
      <vertAlign val="subscript"/>
      <sz val="11"/>
      <color indexed="8"/>
      <name val="仿宋_GB2312"/>
      <charset val="134"/>
    </font>
    <font>
      <b/>
      <sz val="16"/>
      <color indexed="10"/>
      <name val="宋体"/>
      <charset val="134"/>
    </font>
    <font>
      <b/>
      <sz val="10"/>
      <color indexed="53"/>
      <name val="宋体"/>
      <charset val="134"/>
    </font>
    <font>
      <sz val="10"/>
      <color rgb="FF707070"/>
      <name val="宋体"/>
      <charset val="134"/>
    </font>
    <font>
      <sz val="11"/>
      <color indexed="10"/>
      <name val="宋体"/>
      <charset val="134"/>
    </font>
    <font>
      <vertAlign val="superscript"/>
      <sz val="9"/>
      <color rgb="FF000000"/>
      <name val="仿宋"/>
      <charset val="134"/>
    </font>
    <font>
      <sz val="11"/>
      <color indexed="10"/>
      <name val="仿宋_GB2312"/>
      <charset val="134"/>
    </font>
    <font>
      <b/>
      <sz val="8"/>
      <color indexed="8"/>
      <name val="仿宋_GB2312"/>
      <charset val="134"/>
    </font>
    <font>
      <sz val="9"/>
      <color indexed="8"/>
      <name val="仿宋_GB2312"/>
      <charset val="134"/>
    </font>
    <font>
      <b/>
      <u/>
      <sz val="12"/>
      <color indexed="8"/>
      <name val="仿宋_GB2312"/>
      <charset val="134"/>
    </font>
    <font>
      <vertAlign val="superscript"/>
      <sz val="10"/>
      <color indexed="8"/>
      <name val="Arial"/>
      <charset val="134"/>
    </font>
    <font>
      <b/>
      <sz val="14"/>
      <color indexed="10"/>
      <name val="楷体_GB2312"/>
      <charset val="134"/>
    </font>
    <font>
      <sz val="10"/>
      <color rgb="FFFF0000"/>
      <name val="楷体_GB2312"/>
      <charset val="134"/>
    </font>
    <font>
      <b/>
      <sz val="12"/>
      <color indexed="13"/>
      <name val="仿宋_GB2312"/>
      <charset val="134"/>
    </font>
    <font>
      <b/>
      <sz val="12"/>
      <color indexed="10"/>
      <name val="仿宋_GB2312"/>
      <charset val="134"/>
    </font>
    <font>
      <i/>
      <sz val="12"/>
      <color theme="3" tint="0.399487289040803"/>
      <name val="仿宋_GB2312"/>
      <charset val="134"/>
    </font>
    <font>
      <i/>
      <sz val="10.5"/>
      <color theme="9" tint="-0.249977111117893"/>
      <name val="仿宋_GB2312"/>
      <charset val="134"/>
    </font>
    <font>
      <i/>
      <sz val="10.5"/>
      <color theme="3" tint="0.399487289040803"/>
      <name val="仿宋_GB2312"/>
      <charset val="134"/>
    </font>
    <font>
      <b/>
      <i/>
      <sz val="12"/>
      <color theme="9" tint="-0.249977111117893"/>
      <name val="Arial"/>
      <charset val="134"/>
    </font>
    <font>
      <b/>
      <i/>
      <sz val="12"/>
      <color theme="9" tint="-0.249977111117893"/>
      <name val="宋体"/>
      <charset val="134"/>
    </font>
    <font>
      <b/>
      <i/>
      <sz val="12"/>
      <color theme="3" tint="0.399487289040803"/>
      <name val="Arial"/>
      <charset val="134"/>
    </font>
    <font>
      <b/>
      <i/>
      <sz val="12"/>
      <color theme="3" tint="0.399487289040803"/>
      <name val="宋体"/>
      <charset val="134"/>
    </font>
    <font>
      <sz val="9"/>
      <name val="宋体"/>
      <charset val="134"/>
    </font>
    <font>
      <sz val="14"/>
      <name val="楷体_GB2312"/>
      <charset val="134"/>
    </font>
    <font>
      <sz val="16"/>
      <name val="宋体"/>
      <charset val="134"/>
    </font>
    <font>
      <sz val="11"/>
      <name val="宋体"/>
      <charset val="134"/>
    </font>
    <font>
      <b/>
      <sz val="9"/>
      <name val="宋体"/>
      <charset val="134"/>
    </font>
    <font>
      <sz val="12"/>
      <name val="宋体"/>
      <charset val="134"/>
    </font>
    <font>
      <sz val="10"/>
      <name val="宋体"/>
      <charset val="134"/>
    </font>
    <font>
      <b/>
      <sz val="11"/>
      <name val="宋体"/>
      <charset val="134"/>
    </font>
    <font>
      <b/>
      <sz val="8"/>
      <name val="宋体"/>
      <charset val="134"/>
    </font>
    <font>
      <b/>
      <sz val="12"/>
      <name val="宋体"/>
      <charset val="134"/>
    </font>
  </fonts>
  <fills count="57">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rgb="FFCCFFFF"/>
        <bgColor indexed="64"/>
      </patternFill>
    </fill>
    <fill>
      <patternFill patternType="solid">
        <fgColor rgb="FFFFC000"/>
        <bgColor indexed="64"/>
      </patternFill>
    </fill>
    <fill>
      <patternFill patternType="solid">
        <fgColor theme="9" tint="0.799523911252174"/>
        <bgColor indexed="64"/>
      </patternFill>
    </fill>
    <fill>
      <patternFill patternType="solid">
        <fgColor rgb="FF00B0F0"/>
        <bgColor indexed="64"/>
      </patternFill>
    </fill>
    <fill>
      <patternFill patternType="solid">
        <fgColor rgb="FFFF0000"/>
        <bgColor indexed="64"/>
      </patternFill>
    </fill>
    <fill>
      <patternFill patternType="solid">
        <fgColor theme="7" tint="0.399792474135563"/>
        <bgColor indexed="64"/>
      </patternFill>
    </fill>
    <fill>
      <patternFill patternType="solid">
        <fgColor rgb="FF92D050"/>
        <bgColor indexed="64"/>
      </patternFill>
    </fill>
    <fill>
      <patternFill patternType="solid">
        <fgColor rgb="FF0070C0"/>
        <bgColor indexed="64"/>
      </patternFill>
    </fill>
    <fill>
      <patternFill patternType="solid">
        <fgColor rgb="FF00B050"/>
        <bgColor indexed="64"/>
      </patternFill>
    </fill>
    <fill>
      <patternFill patternType="solid">
        <fgColor theme="8" tint="0.399487289040803"/>
        <bgColor indexed="64"/>
      </patternFill>
    </fill>
    <fill>
      <patternFill patternType="solid">
        <fgColor theme="0" tint="-0.14951017792291"/>
        <bgColor indexed="64"/>
      </patternFill>
    </fill>
    <fill>
      <patternFill patternType="solid">
        <fgColor theme="6" tint="0.399487289040803"/>
        <bgColor indexed="64"/>
      </patternFill>
    </fill>
    <fill>
      <patternFill patternType="solid">
        <fgColor theme="3" tint="0.599993896298105"/>
        <bgColor indexed="64"/>
      </patternFill>
    </fill>
    <fill>
      <patternFill patternType="solid">
        <fgColor rgb="FFF0F0F0"/>
        <bgColor indexed="64"/>
      </patternFill>
    </fill>
    <fill>
      <patternFill patternType="solid">
        <fgColor theme="6" tint="0.599993896298105"/>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67">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02" fillId="0" borderId="0" applyNumberFormat="0" applyFill="0" applyBorder="0" applyAlignment="0" applyProtection="0">
      <alignment vertical="center"/>
    </xf>
    <xf numFmtId="0" fontId="203" fillId="0" borderId="0" applyNumberFormat="0" applyFill="0" applyBorder="0" applyAlignment="0" applyProtection="0">
      <alignment vertical="center"/>
    </xf>
    <xf numFmtId="0" fontId="0" fillId="28" borderId="159" applyNumberFormat="0" applyFont="0" applyAlignment="0" applyProtection="0">
      <alignment vertical="center"/>
    </xf>
    <xf numFmtId="0" fontId="204" fillId="0" borderId="0" applyNumberFormat="0" applyFill="0" applyBorder="0" applyAlignment="0" applyProtection="0">
      <alignment vertical="center"/>
    </xf>
    <xf numFmtId="0" fontId="205" fillId="0" borderId="0" applyNumberFormat="0" applyFill="0" applyBorder="0" applyAlignment="0" applyProtection="0">
      <alignment vertical="center"/>
    </xf>
    <xf numFmtId="0" fontId="206" fillId="0" borderId="0" applyNumberFormat="0" applyFill="0" applyBorder="0" applyAlignment="0" applyProtection="0">
      <alignment vertical="center"/>
    </xf>
    <xf numFmtId="0" fontId="207" fillId="0" borderId="160" applyNumberFormat="0" applyFill="0" applyAlignment="0" applyProtection="0">
      <alignment vertical="center"/>
    </xf>
    <xf numFmtId="0" fontId="208" fillId="0" borderId="160" applyNumberFormat="0" applyFill="0" applyAlignment="0" applyProtection="0">
      <alignment vertical="center"/>
    </xf>
    <xf numFmtId="0" fontId="209" fillId="0" borderId="161" applyNumberFormat="0" applyFill="0" applyAlignment="0" applyProtection="0">
      <alignment vertical="center"/>
    </xf>
    <xf numFmtId="0" fontId="209" fillId="0" borderId="0" applyNumberFormat="0" applyFill="0" applyBorder="0" applyAlignment="0" applyProtection="0">
      <alignment vertical="center"/>
    </xf>
    <xf numFmtId="0" fontId="210" fillId="29" borderId="162" applyNumberFormat="0" applyAlignment="0" applyProtection="0">
      <alignment vertical="center"/>
    </xf>
    <xf numFmtId="0" fontId="211" fillId="30" borderId="163" applyNumberFormat="0" applyAlignment="0" applyProtection="0">
      <alignment vertical="center"/>
    </xf>
    <xf numFmtId="0" fontId="212" fillId="30" borderId="162" applyNumberFormat="0" applyAlignment="0" applyProtection="0">
      <alignment vertical="center"/>
    </xf>
    <xf numFmtId="0" fontId="213" fillId="31" borderId="164" applyNumberFormat="0" applyAlignment="0" applyProtection="0">
      <alignment vertical="center"/>
    </xf>
    <xf numFmtId="0" fontId="214" fillId="0" borderId="165" applyNumberFormat="0" applyFill="0" applyAlignment="0" applyProtection="0">
      <alignment vertical="center"/>
    </xf>
    <xf numFmtId="0" fontId="215" fillId="0" borderId="166" applyNumberFormat="0" applyFill="0" applyAlignment="0" applyProtection="0">
      <alignment vertical="center"/>
    </xf>
    <xf numFmtId="0" fontId="216" fillId="32" borderId="0" applyNumberFormat="0" applyBorder="0" applyAlignment="0" applyProtection="0">
      <alignment vertical="center"/>
    </xf>
    <xf numFmtId="0" fontId="217" fillId="33" borderId="0" applyNumberFormat="0" applyBorder="0" applyAlignment="0" applyProtection="0">
      <alignment vertical="center"/>
    </xf>
    <xf numFmtId="0" fontId="218" fillId="34" borderId="0" applyNumberFormat="0" applyBorder="0" applyAlignment="0" applyProtection="0">
      <alignment vertical="center"/>
    </xf>
    <xf numFmtId="0" fontId="219" fillId="35" borderId="0" applyNumberFormat="0" applyBorder="0" applyAlignment="0" applyProtection="0">
      <alignment vertical="center"/>
    </xf>
    <xf numFmtId="0" fontId="220" fillId="36" borderId="0" applyNumberFormat="0" applyBorder="0" applyAlignment="0" applyProtection="0">
      <alignment vertical="center"/>
    </xf>
    <xf numFmtId="0" fontId="220" fillId="37" borderId="0" applyNumberFormat="0" applyBorder="0" applyAlignment="0" applyProtection="0">
      <alignment vertical="center"/>
    </xf>
    <xf numFmtId="0" fontId="219" fillId="38" borderId="0" applyNumberFormat="0" applyBorder="0" applyAlignment="0" applyProtection="0">
      <alignment vertical="center"/>
    </xf>
    <xf numFmtId="0" fontId="219" fillId="39" borderId="0" applyNumberFormat="0" applyBorder="0" applyAlignment="0" applyProtection="0">
      <alignment vertical="center"/>
    </xf>
    <xf numFmtId="0" fontId="220" fillId="40" borderId="0" applyNumberFormat="0" applyBorder="0" applyAlignment="0" applyProtection="0">
      <alignment vertical="center"/>
    </xf>
    <xf numFmtId="0" fontId="220" fillId="41" borderId="0" applyNumberFormat="0" applyBorder="0" applyAlignment="0" applyProtection="0">
      <alignment vertical="center"/>
    </xf>
    <xf numFmtId="0" fontId="219" fillId="42" borderId="0" applyNumberFormat="0" applyBorder="0" applyAlignment="0" applyProtection="0">
      <alignment vertical="center"/>
    </xf>
    <xf numFmtId="0" fontId="219" fillId="43" borderId="0" applyNumberFormat="0" applyBorder="0" applyAlignment="0" applyProtection="0">
      <alignment vertical="center"/>
    </xf>
    <xf numFmtId="0" fontId="220" fillId="44" borderId="0" applyNumberFormat="0" applyBorder="0" applyAlignment="0" applyProtection="0">
      <alignment vertical="center"/>
    </xf>
    <xf numFmtId="0" fontId="220" fillId="24" borderId="0" applyNumberFormat="0" applyBorder="0" applyAlignment="0" applyProtection="0">
      <alignment vertical="center"/>
    </xf>
    <xf numFmtId="0" fontId="219" fillId="45" borderId="0" applyNumberFormat="0" applyBorder="0" applyAlignment="0" applyProtection="0">
      <alignment vertical="center"/>
    </xf>
    <xf numFmtId="0" fontId="219" fillId="46" borderId="0" applyNumberFormat="0" applyBorder="0" applyAlignment="0" applyProtection="0">
      <alignment vertical="center"/>
    </xf>
    <xf numFmtId="0" fontId="220" fillId="47" borderId="0" applyNumberFormat="0" applyBorder="0" applyAlignment="0" applyProtection="0">
      <alignment vertical="center"/>
    </xf>
    <xf numFmtId="0" fontId="220" fillId="48" borderId="0" applyNumberFormat="0" applyBorder="0" applyAlignment="0" applyProtection="0">
      <alignment vertical="center"/>
    </xf>
    <xf numFmtId="0" fontId="219" fillId="49" borderId="0" applyNumberFormat="0" applyBorder="0" applyAlignment="0" applyProtection="0">
      <alignment vertical="center"/>
    </xf>
    <xf numFmtId="0" fontId="219" fillId="50" borderId="0" applyNumberFormat="0" applyBorder="0" applyAlignment="0" applyProtection="0">
      <alignment vertical="center"/>
    </xf>
    <xf numFmtId="0" fontId="220" fillId="51" borderId="0" applyNumberFormat="0" applyBorder="0" applyAlignment="0" applyProtection="0">
      <alignment vertical="center"/>
    </xf>
    <xf numFmtId="0" fontId="220" fillId="4" borderId="0" applyNumberFormat="0" applyBorder="0" applyAlignment="0" applyProtection="0">
      <alignment vertical="center"/>
    </xf>
    <xf numFmtId="0" fontId="219" fillId="52" borderId="0" applyNumberFormat="0" applyBorder="0" applyAlignment="0" applyProtection="0">
      <alignment vertical="center"/>
    </xf>
    <xf numFmtId="0" fontId="219" fillId="53" borderId="0" applyNumberFormat="0" applyBorder="0" applyAlignment="0" applyProtection="0">
      <alignment vertical="center"/>
    </xf>
    <xf numFmtId="0" fontId="220" fillId="54" borderId="0" applyNumberFormat="0" applyBorder="0" applyAlignment="0" applyProtection="0">
      <alignment vertical="center"/>
    </xf>
    <xf numFmtId="0" fontId="220" fillId="55" borderId="0" applyNumberFormat="0" applyBorder="0" applyAlignment="0" applyProtection="0">
      <alignment vertical="center"/>
    </xf>
    <xf numFmtId="0" fontId="219" fillId="56" borderId="0" applyNumberFormat="0" applyBorder="0" applyAlignment="0" applyProtection="0">
      <alignment vertical="center"/>
    </xf>
    <xf numFmtId="9" fontId="64" fillId="0" borderId="0" applyFont="0" applyFill="0" applyBorder="0" applyAlignment="0" applyProtection="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64" fillId="0" borderId="0"/>
    <xf numFmtId="0" fontId="0" fillId="0" borderId="0">
      <alignment vertical="center"/>
    </xf>
    <xf numFmtId="0" fontId="0" fillId="0" borderId="0"/>
    <xf numFmtId="0" fontId="81" fillId="0" borderId="0">
      <alignment vertical="center"/>
    </xf>
    <xf numFmtId="0" fontId="81" fillId="0" borderId="0">
      <alignment vertical="center"/>
    </xf>
    <xf numFmtId="0" fontId="81" fillId="0" borderId="0">
      <alignment vertical="center"/>
    </xf>
    <xf numFmtId="0" fontId="81" fillId="0" borderId="0">
      <alignment vertical="center"/>
    </xf>
    <xf numFmtId="0" fontId="0" fillId="0" borderId="0">
      <alignment vertical="center"/>
    </xf>
    <xf numFmtId="0" fontId="81" fillId="0" borderId="0">
      <alignment vertical="center"/>
    </xf>
    <xf numFmtId="0" fontId="81" fillId="0" borderId="0">
      <alignment vertical="center"/>
    </xf>
    <xf numFmtId="0" fontId="0" fillId="0" borderId="0"/>
  </cellStyleXfs>
  <cellXfs count="3602">
    <xf numFmtId="0" fontId="0" fillId="0" borderId="0" xfId="0">
      <alignment vertical="center"/>
    </xf>
    <xf numFmtId="0" fontId="0" fillId="0" borderId="0" xfId="0" applyFont="1">
      <alignment vertical="center"/>
    </xf>
    <xf numFmtId="0" fontId="1" fillId="0" borderId="1" xfId="0" applyFont="1" applyBorder="1" applyAlignment="1">
      <alignment horizontal="center" vertical="center" wrapText="1"/>
    </xf>
    <xf numFmtId="31" fontId="0" fillId="0" borderId="0" xfId="0" applyNumberFormat="1">
      <alignment vertical="center"/>
    </xf>
    <xf numFmtId="3" fontId="0" fillId="0" borderId="0" xfId="0" applyNumberFormat="1">
      <alignment vertical="center"/>
    </xf>
    <xf numFmtId="0" fontId="0" fillId="0" borderId="0" xfId="0" applyFont="1" applyAlignment="1">
      <alignment vertical="center" wrapText="1"/>
    </xf>
    <xf numFmtId="0" fontId="2" fillId="0" borderId="0" xfId="0" applyFont="1">
      <alignment vertical="center"/>
    </xf>
    <xf numFmtId="31" fontId="0" fillId="0" borderId="0" xfId="0" applyNumberFormat="1" applyFont="1">
      <alignment vertical="center"/>
    </xf>
    <xf numFmtId="0" fontId="0" fillId="2" borderId="0" xfId="0" applyFill="1" applyAlignment="1"/>
    <xf numFmtId="0" fontId="3" fillId="2" borderId="0" xfId="55" applyFont="1" applyFill="1"/>
    <xf numFmtId="0" fontId="3" fillId="0" borderId="0" xfId="55" applyFont="1"/>
    <xf numFmtId="0" fontId="0" fillId="0" borderId="0" xfId="0" applyAlignment="1"/>
    <xf numFmtId="0" fontId="4" fillId="2" borderId="1" xfId="55" applyFont="1" applyFill="1" applyBorder="1" applyAlignment="1">
      <alignment horizontal="center"/>
    </xf>
    <xf numFmtId="14" fontId="5" fillId="2" borderId="1" xfId="55" applyNumberFormat="1" applyFont="1" applyFill="1" applyBorder="1" applyAlignment="1">
      <alignment horizontal="center"/>
    </xf>
    <xf numFmtId="176" fontId="3" fillId="2" borderId="2" xfId="55" applyNumberFormat="1" applyFont="1" applyFill="1" applyBorder="1" applyAlignment="1">
      <alignment horizontal="center"/>
    </xf>
    <xf numFmtId="0" fontId="6" fillId="2" borderId="0" xfId="0" applyFont="1" applyFill="1" applyAlignment="1"/>
    <xf numFmtId="0" fontId="4" fillId="2" borderId="3" xfId="55" applyFont="1" applyFill="1" applyBorder="1" applyAlignment="1">
      <alignment horizontal="center"/>
    </xf>
    <xf numFmtId="0" fontId="5" fillId="2" borderId="3" xfId="55" applyFont="1" applyFill="1" applyBorder="1" applyAlignment="1">
      <alignment horizontal="center"/>
    </xf>
    <xf numFmtId="10" fontId="5" fillId="2" borderId="1" xfId="55" applyNumberFormat="1" applyFont="1" applyFill="1" applyBorder="1" applyAlignment="1">
      <alignment horizontal="center"/>
    </xf>
    <xf numFmtId="0" fontId="7" fillId="2" borderId="1" xfId="0" applyFont="1" applyFill="1" applyBorder="1" applyAlignment="1">
      <alignment horizontal="center"/>
    </xf>
    <xf numFmtId="0" fontId="3" fillId="2" borderId="4" xfId="55" applyFont="1" applyFill="1" applyBorder="1"/>
    <xf numFmtId="0" fontId="8" fillId="2" borderId="5" xfId="55" applyFont="1" applyFill="1" applyBorder="1" applyAlignment="1">
      <alignment horizontal="center" vertical="center" wrapText="1"/>
    </xf>
    <xf numFmtId="0" fontId="3" fillId="2" borderId="6" xfId="55" applyFont="1" applyFill="1" applyBorder="1"/>
    <xf numFmtId="0" fontId="8" fillId="2" borderId="1" xfId="55" applyFont="1" applyFill="1" applyBorder="1" applyAlignment="1">
      <alignment horizontal="center" vertical="center" wrapText="1"/>
    </xf>
    <xf numFmtId="0" fontId="3" fillId="2" borderId="7" xfId="55" applyFont="1" applyFill="1" applyBorder="1"/>
    <xf numFmtId="0" fontId="8" fillId="2" borderId="8" xfId="55" applyFont="1" applyFill="1" applyBorder="1" applyAlignment="1">
      <alignment horizontal="center" vertical="center" wrapText="1"/>
    </xf>
    <xf numFmtId="0" fontId="3" fillId="2" borderId="0" xfId="55" applyFont="1" applyFill="1" applyAlignment="1">
      <alignment horizontal="center"/>
    </xf>
    <xf numFmtId="0" fontId="3" fillId="2" borderId="0" xfId="55" applyFont="1" applyFill="1" applyAlignment="1">
      <alignment horizontal="right"/>
    </xf>
    <xf numFmtId="14" fontId="3" fillId="2" borderId="0" xfId="55" applyNumberFormat="1" applyFont="1" applyFill="1" applyAlignment="1">
      <alignment horizontal="center"/>
    </xf>
    <xf numFmtId="0" fontId="9" fillId="2" borderId="0" xfId="55" applyFont="1" applyFill="1" applyAlignment="1">
      <alignment horizontal="center"/>
    </xf>
    <xf numFmtId="0" fontId="10" fillId="2" borderId="0" xfId="55" applyFont="1" applyFill="1" applyAlignment="1">
      <alignment horizontal="left"/>
    </xf>
    <xf numFmtId="14" fontId="9" fillId="2" borderId="0" xfId="55" applyNumberFormat="1" applyFont="1" applyFill="1" applyAlignment="1">
      <alignment horizontal="center"/>
    </xf>
    <xf numFmtId="0" fontId="9" fillId="2" borderId="0" xfId="55" applyFont="1" applyFill="1"/>
    <xf numFmtId="0" fontId="11" fillId="2" borderId="0" xfId="55" applyFont="1" applyFill="1"/>
    <xf numFmtId="0" fontId="12" fillId="2" borderId="0" xfId="55" applyFont="1" applyFill="1"/>
    <xf numFmtId="0" fontId="8" fillId="2" borderId="0" xfId="55" applyFont="1" applyFill="1"/>
    <xf numFmtId="0" fontId="13" fillId="2" borderId="9" xfId="55" applyFont="1" applyFill="1" applyBorder="1" applyAlignment="1">
      <alignment horizontal="center" vertical="center"/>
    </xf>
    <xf numFmtId="0" fontId="13" fillId="2" borderId="9" xfId="55" applyFont="1" applyFill="1" applyBorder="1" applyAlignment="1">
      <alignment vertical="center"/>
    </xf>
    <xf numFmtId="0" fontId="13" fillId="2" borderId="10" xfId="55" applyFont="1" applyFill="1" applyBorder="1" applyAlignment="1">
      <alignment vertical="center"/>
    </xf>
    <xf numFmtId="0" fontId="13" fillId="2" borderId="11" xfId="55" applyFont="1" applyFill="1" applyBorder="1" applyAlignment="1">
      <alignment vertical="center"/>
    </xf>
    <xf numFmtId="0" fontId="13" fillId="2" borderId="12" xfId="55" applyFont="1" applyFill="1" applyBorder="1" applyAlignment="1">
      <alignment vertical="center"/>
    </xf>
    <xf numFmtId="0" fontId="13" fillId="2" borderId="3" xfId="55" applyFont="1" applyFill="1" applyBorder="1" applyAlignment="1">
      <alignment horizontal="center" vertical="center" wrapText="1"/>
    </xf>
    <xf numFmtId="0" fontId="13" fillId="2" borderId="3" xfId="55" applyFont="1" applyFill="1" applyBorder="1" applyAlignment="1">
      <alignment vertical="center" wrapText="1"/>
    </xf>
    <xf numFmtId="0" fontId="3" fillId="2" borderId="1" xfId="55" applyFont="1" applyFill="1" applyBorder="1"/>
    <xf numFmtId="0" fontId="14" fillId="2" borderId="0" xfId="55" applyFont="1" applyFill="1" applyAlignment="1">
      <alignment vertical="center"/>
    </xf>
    <xf numFmtId="0" fontId="14" fillId="2" borderId="1" xfId="55" applyFont="1" applyFill="1" applyBorder="1" applyAlignment="1">
      <alignment horizontal="left" vertical="center" wrapText="1"/>
    </xf>
    <xf numFmtId="177" fontId="14" fillId="2" borderId="1" xfId="55" applyNumberFormat="1" applyFont="1" applyFill="1" applyBorder="1" applyAlignment="1">
      <alignment horizontal="center" vertical="center" wrapText="1"/>
    </xf>
    <xf numFmtId="0" fontId="14" fillId="2" borderId="1" xfId="55" applyFont="1" applyFill="1" applyBorder="1" applyAlignment="1">
      <alignment horizontal="center" vertical="center" wrapText="1"/>
    </xf>
    <xf numFmtId="0" fontId="3" fillId="2" borderId="1" xfId="55" applyFont="1" applyFill="1" applyBorder="1" applyAlignment="1">
      <alignment horizontal="center" wrapText="1"/>
    </xf>
    <xf numFmtId="14" fontId="3" fillId="2" borderId="1" xfId="55" applyNumberFormat="1" applyFont="1" applyFill="1" applyBorder="1" applyAlignment="1">
      <alignment horizontal="center" wrapText="1"/>
    </xf>
    <xf numFmtId="14" fontId="15" fillId="2" borderId="1" xfId="55" applyNumberFormat="1" applyFont="1" applyFill="1" applyBorder="1" applyAlignment="1">
      <alignment horizontal="center" wrapText="1"/>
    </xf>
    <xf numFmtId="0" fontId="3" fillId="2" borderId="0" xfId="55" applyFont="1" applyFill="1" applyAlignment="1">
      <alignment horizontal="center" wrapText="1"/>
    </xf>
    <xf numFmtId="14" fontId="3" fillId="2" borderId="0" xfId="55" applyNumberFormat="1" applyFont="1" applyFill="1" applyAlignment="1">
      <alignment horizontal="center" wrapText="1"/>
    </xf>
    <xf numFmtId="0" fontId="0" fillId="2" borderId="2" xfId="0" applyFill="1" applyBorder="1" applyAlignment="1"/>
    <xf numFmtId="0" fontId="3" fillId="2" borderId="13" xfId="55" applyFont="1" applyFill="1" applyBorder="1" applyAlignment="1">
      <alignment horizontal="center"/>
    </xf>
    <xf numFmtId="0" fontId="8" fillId="2" borderId="4" xfId="55" applyFont="1" applyFill="1" applyBorder="1" applyAlignment="1">
      <alignment horizontal="center" vertical="center" wrapText="1"/>
    </xf>
    <xf numFmtId="0" fontId="3" fillId="2" borderId="5" xfId="55" applyFont="1" applyFill="1" applyBorder="1" applyAlignment="1">
      <alignment horizontal="center"/>
    </xf>
    <xf numFmtId="0" fontId="3" fillId="2" borderId="14" xfId="55" applyFont="1" applyFill="1" applyBorder="1" applyAlignment="1">
      <alignment horizontal="center"/>
    </xf>
    <xf numFmtId="0" fontId="8" fillId="2" borderId="6" xfId="55" applyFont="1" applyFill="1" applyBorder="1" applyAlignment="1">
      <alignment horizontal="center" vertical="center" wrapText="1"/>
    </xf>
    <xf numFmtId="0" fontId="3" fillId="2" borderId="1" xfId="55" applyFont="1" applyFill="1" applyBorder="1" applyAlignment="1">
      <alignment horizontal="center"/>
    </xf>
    <xf numFmtId="0" fontId="3" fillId="2" borderId="15" xfId="55" applyFont="1" applyFill="1" applyBorder="1" applyAlignment="1">
      <alignment horizontal="center"/>
    </xf>
    <xf numFmtId="0" fontId="8" fillId="2" borderId="7" xfId="55" applyFont="1" applyFill="1" applyBorder="1" applyAlignment="1">
      <alignment horizontal="center" vertical="center" wrapText="1"/>
    </xf>
    <xf numFmtId="0" fontId="3" fillId="2" borderId="8" xfId="55" applyFont="1" applyFill="1" applyBorder="1" applyAlignment="1">
      <alignment horizontal="center"/>
    </xf>
    <xf numFmtId="0" fontId="13" fillId="2" borderId="1" xfId="55" applyFont="1" applyFill="1" applyBorder="1" applyAlignment="1">
      <alignment horizontal="center" vertical="center" wrapText="1"/>
    </xf>
    <xf numFmtId="14" fontId="14" fillId="2" borderId="1" xfId="55" applyNumberFormat="1" applyFont="1" applyFill="1" applyBorder="1" applyAlignment="1">
      <alignment horizontal="center" vertical="center" wrapText="1"/>
    </xf>
    <xf numFmtId="178" fontId="16" fillId="2" borderId="1" xfId="55" applyNumberFormat="1" applyFont="1" applyFill="1" applyBorder="1" applyAlignment="1">
      <alignment horizontal="center"/>
    </xf>
    <xf numFmtId="0" fontId="9" fillId="0" borderId="0" xfId="55" applyFont="1"/>
    <xf numFmtId="0" fontId="11" fillId="0" borderId="0" xfId="55" applyFont="1"/>
    <xf numFmtId="0" fontId="8" fillId="0" borderId="0" xfId="55" applyFont="1"/>
    <xf numFmtId="0" fontId="14" fillId="3" borderId="0" xfId="55" applyFont="1" applyFill="1" applyAlignment="1">
      <alignment vertical="center"/>
    </xf>
    <xf numFmtId="0" fontId="9" fillId="0" borderId="0" xfId="0" applyFont="1" applyAlignment="1"/>
    <xf numFmtId="0" fontId="17" fillId="0" borderId="0" xfId="0" applyFont="1" applyAlignment="1"/>
    <xf numFmtId="0" fontId="18" fillId="0" borderId="0" xfId="0" applyFont="1" applyProtection="1">
      <alignment vertical="center"/>
      <protection locked="0"/>
    </xf>
    <xf numFmtId="0" fontId="19" fillId="0" borderId="0" xfId="0" applyFont="1" applyAlignment="1" applyProtection="1">
      <alignment horizontal="center" vertical="center"/>
      <protection locked="0"/>
    </xf>
    <xf numFmtId="0" fontId="20" fillId="0" borderId="0" xfId="0" applyFont="1" applyAlignment="1" applyProtection="1">
      <alignment horizontal="center" vertical="center"/>
      <protection locked="0"/>
    </xf>
    <xf numFmtId="0" fontId="18" fillId="0" borderId="0" xfId="0" applyFont="1" applyAlignment="1" applyProtection="1">
      <alignment horizontal="center" vertical="center"/>
      <protection locked="0"/>
    </xf>
    <xf numFmtId="0" fontId="18" fillId="0" borderId="0" xfId="0" applyFont="1" applyAlignment="1">
      <alignment horizontal="center" vertical="center" wrapText="1"/>
    </xf>
    <xf numFmtId="0" fontId="21" fillId="0" borderId="0" xfId="0" applyFont="1">
      <alignment vertical="center"/>
    </xf>
    <xf numFmtId="0" fontId="18" fillId="0" borderId="0" xfId="0" applyFont="1">
      <alignment vertical="center"/>
    </xf>
    <xf numFmtId="0" fontId="18" fillId="0" borderId="0" xfId="0" applyFont="1" applyAlignment="1">
      <alignment horizontal="center" vertical="center"/>
    </xf>
    <xf numFmtId="0" fontId="18" fillId="2" borderId="1" xfId="0" applyFont="1" applyFill="1" applyBorder="1">
      <alignment vertical="center"/>
    </xf>
    <xf numFmtId="0" fontId="18" fillId="2" borderId="8" xfId="0" applyFont="1" applyFill="1" applyBorder="1" applyAlignment="1">
      <alignment horizontal="center" vertical="center"/>
    </xf>
    <xf numFmtId="0" fontId="18" fillId="2" borderId="16" xfId="0" applyFont="1" applyFill="1" applyBorder="1" applyAlignment="1" applyProtection="1">
      <alignment horizontal="center" vertical="center"/>
      <protection locked="0"/>
    </xf>
    <xf numFmtId="0" fontId="18" fillId="2" borderId="17" xfId="0" applyFont="1" applyFill="1" applyBorder="1" applyAlignment="1" applyProtection="1">
      <alignment horizontal="center" vertical="center"/>
      <protection locked="0"/>
    </xf>
    <xf numFmtId="0" fontId="22" fillId="2" borderId="18" xfId="0" applyFont="1" applyFill="1" applyBorder="1" applyAlignment="1" applyProtection="1">
      <alignment vertical="center" wrapText="1"/>
      <protection locked="0"/>
    </xf>
    <xf numFmtId="0" fontId="18" fillId="3" borderId="19" xfId="0" applyFont="1" applyFill="1" applyBorder="1" applyAlignment="1" applyProtection="1">
      <alignment horizontal="center" vertical="center" wrapText="1"/>
      <protection locked="0"/>
    </xf>
    <xf numFmtId="0" fontId="18" fillId="2" borderId="4" xfId="0" applyFont="1" applyFill="1" applyBorder="1" applyAlignment="1">
      <alignment horizontal="center" vertical="center" wrapText="1"/>
    </xf>
    <xf numFmtId="0" fontId="18" fillId="2" borderId="5" xfId="0" applyFont="1" applyFill="1" applyBorder="1" applyAlignment="1">
      <alignment horizontal="center" vertical="center" wrapText="1"/>
    </xf>
    <xf numFmtId="0" fontId="21" fillId="2" borderId="20" xfId="0" applyFont="1" applyFill="1" applyBorder="1" applyAlignment="1" applyProtection="1">
      <alignment vertical="center" textRotation="255" wrapText="1"/>
      <protection locked="0"/>
    </xf>
    <xf numFmtId="0" fontId="18" fillId="2" borderId="21" xfId="0" applyFont="1" applyFill="1" applyBorder="1" applyAlignment="1">
      <alignment horizontal="center" vertical="center"/>
    </xf>
    <xf numFmtId="0" fontId="18" fillId="0" borderId="6" xfId="0" applyFont="1" applyBorder="1" applyAlignment="1" applyProtection="1">
      <alignment horizontal="center" vertical="center" wrapText="1"/>
      <protection locked="0"/>
    </xf>
    <xf numFmtId="0" fontId="18" fillId="0" borderId="1" xfId="0" applyFont="1" applyBorder="1" applyAlignment="1" applyProtection="1">
      <alignment horizontal="center" vertical="center" wrapText="1"/>
      <protection locked="0"/>
    </xf>
    <xf numFmtId="0" fontId="21" fillId="2" borderId="20" xfId="0" applyFont="1" applyFill="1" applyBorder="1" applyAlignment="1" applyProtection="1">
      <alignment vertical="center" wrapText="1"/>
      <protection locked="0"/>
    </xf>
    <xf numFmtId="0" fontId="18" fillId="2" borderId="21" xfId="0" applyFont="1" applyFill="1" applyBorder="1" applyAlignment="1">
      <alignment horizontal="center" vertical="center" wrapText="1"/>
    </xf>
    <xf numFmtId="0" fontId="18" fillId="0" borderId="22" xfId="0" applyFont="1" applyBorder="1" applyAlignment="1" applyProtection="1">
      <alignment horizontal="center" vertical="center" wrapText="1"/>
      <protection locked="0"/>
    </xf>
    <xf numFmtId="0" fontId="19" fillId="0" borderId="9" xfId="0" applyFont="1" applyBorder="1" applyAlignment="1" applyProtection="1">
      <alignment horizontal="center" vertical="center" wrapText="1"/>
      <protection locked="0"/>
    </xf>
    <xf numFmtId="0" fontId="23" fillId="2" borderId="20" xfId="0" applyFont="1" applyFill="1" applyBorder="1" applyAlignment="1" applyProtection="1">
      <alignment vertical="center" wrapText="1"/>
      <protection locked="0"/>
    </xf>
    <xf numFmtId="0" fontId="24" fillId="0" borderId="23" xfId="0" applyFont="1" applyBorder="1" applyAlignment="1" applyProtection="1">
      <alignment horizontal="center" vertical="center" wrapText="1"/>
      <protection locked="0"/>
    </xf>
    <xf numFmtId="0" fontId="18" fillId="0" borderId="24" xfId="0" applyFont="1" applyBorder="1" applyAlignment="1" applyProtection="1">
      <alignment horizontal="center" vertical="center" wrapText="1"/>
      <protection locked="0"/>
    </xf>
    <xf numFmtId="0" fontId="18" fillId="0" borderId="25" xfId="0" applyFont="1" applyBorder="1" applyAlignment="1" applyProtection="1">
      <alignment horizontal="center" vertical="center" wrapText="1"/>
      <protection locked="0"/>
    </xf>
    <xf numFmtId="0" fontId="18" fillId="2" borderId="26" xfId="0" applyFont="1" applyFill="1" applyBorder="1" applyAlignment="1">
      <alignment horizontal="center" vertical="center" wrapText="1"/>
    </xf>
    <xf numFmtId="0" fontId="18" fillId="2" borderId="27" xfId="0" applyFont="1" applyFill="1" applyBorder="1" applyAlignment="1">
      <alignment horizontal="center" vertical="center" wrapText="1"/>
    </xf>
    <xf numFmtId="0" fontId="19" fillId="2" borderId="28" xfId="0" applyFont="1" applyFill="1" applyBorder="1" applyAlignment="1">
      <alignment horizontal="center" vertical="center" wrapText="1"/>
    </xf>
    <xf numFmtId="0" fontId="24" fillId="0" borderId="21" xfId="0" applyFont="1" applyBorder="1" applyAlignment="1" applyProtection="1">
      <alignment horizontal="center" vertical="center" wrapText="1"/>
      <protection locked="0"/>
    </xf>
    <xf numFmtId="0" fontId="18" fillId="0" borderId="29" xfId="0" applyFont="1" applyBorder="1" applyAlignment="1" applyProtection="1">
      <alignment horizontal="center" vertical="center" wrapText="1"/>
      <protection locked="0"/>
    </xf>
    <xf numFmtId="0" fontId="18" fillId="0" borderId="3" xfId="0" applyFont="1" applyBorder="1" applyAlignment="1" applyProtection="1">
      <alignment horizontal="center" vertical="center" wrapText="1"/>
      <protection locked="0"/>
    </xf>
    <xf numFmtId="0" fontId="24" fillId="2" borderId="21" xfId="0" applyFont="1" applyFill="1" applyBorder="1" applyAlignment="1">
      <alignment horizontal="center" vertical="center" wrapText="1"/>
    </xf>
    <xf numFmtId="0" fontId="18" fillId="2" borderId="22" xfId="0" applyFont="1" applyFill="1" applyBorder="1" applyAlignment="1">
      <alignment horizontal="center" vertical="center" wrapText="1"/>
    </xf>
    <xf numFmtId="0" fontId="19" fillId="2" borderId="9" xfId="0" applyFont="1" applyFill="1" applyBorder="1" applyAlignment="1">
      <alignment horizontal="center" vertical="center" wrapText="1"/>
    </xf>
    <xf numFmtId="0" fontId="18" fillId="0" borderId="27" xfId="0" applyFont="1" applyBorder="1" applyAlignment="1" applyProtection="1">
      <alignment horizontal="center" vertical="center" wrapText="1"/>
      <protection locked="0"/>
    </xf>
    <xf numFmtId="0" fontId="19" fillId="0" borderId="28" xfId="0" applyFont="1" applyBorder="1" applyAlignment="1" applyProtection="1">
      <alignment horizontal="center" vertical="center" wrapText="1"/>
      <protection locked="0"/>
    </xf>
    <xf numFmtId="0" fontId="25" fillId="2" borderId="30" xfId="0" applyFont="1" applyFill="1" applyBorder="1" applyAlignment="1">
      <alignment horizontal="center" vertical="center" wrapText="1"/>
    </xf>
    <xf numFmtId="0" fontId="26" fillId="4" borderId="19" xfId="0" applyFont="1" applyFill="1" applyBorder="1" applyAlignment="1">
      <alignment horizontal="center" vertical="center" wrapText="1"/>
    </xf>
    <xf numFmtId="0" fontId="18" fillId="4" borderId="4" xfId="0" applyFont="1" applyFill="1" applyBorder="1" applyAlignment="1" applyProtection="1">
      <alignment horizontal="center" vertical="center" wrapText="1"/>
      <protection locked="0"/>
    </xf>
    <xf numFmtId="0" fontId="18" fillId="4" borderId="5" xfId="0" applyFont="1" applyFill="1" applyBorder="1" applyAlignment="1" applyProtection="1">
      <alignment horizontal="center" vertical="center" wrapText="1"/>
      <protection locked="0"/>
    </xf>
    <xf numFmtId="0" fontId="23" fillId="4" borderId="31" xfId="0" applyFont="1" applyFill="1" applyBorder="1" applyAlignment="1" applyProtection="1">
      <alignment vertical="center" wrapText="1"/>
      <protection locked="0"/>
    </xf>
    <xf numFmtId="0" fontId="18" fillId="4" borderId="32" xfId="0" applyFont="1" applyFill="1" applyBorder="1" applyAlignment="1">
      <alignment horizontal="center" vertical="center" wrapText="1"/>
    </xf>
    <xf numFmtId="0" fontId="18" fillId="4" borderId="7" xfId="0" applyFont="1" applyFill="1" applyBorder="1" applyAlignment="1" applyProtection="1">
      <alignment horizontal="center" vertical="center" wrapText="1"/>
      <protection locked="0"/>
    </xf>
    <xf numFmtId="0" fontId="19" fillId="4" borderId="8" xfId="0" applyFont="1" applyFill="1" applyBorder="1" applyAlignment="1" applyProtection="1">
      <alignment horizontal="center" vertical="center" wrapText="1"/>
      <protection locked="0"/>
    </xf>
    <xf numFmtId="0" fontId="18" fillId="2" borderId="0" xfId="0" applyFont="1" applyFill="1">
      <alignment vertical="center"/>
    </xf>
    <xf numFmtId="0" fontId="18" fillId="2" borderId="0" xfId="0" applyFont="1" applyFill="1" applyAlignment="1">
      <alignment horizontal="center" vertical="center"/>
    </xf>
    <xf numFmtId="0" fontId="18" fillId="2" borderId="0" xfId="0" applyFont="1" applyFill="1" applyAlignment="1" applyProtection="1">
      <alignment horizontal="center" vertical="center"/>
      <protection locked="0"/>
    </xf>
    <xf numFmtId="0" fontId="27" fillId="2" borderId="1" xfId="0" applyFont="1" applyFill="1" applyBorder="1">
      <alignment vertical="center"/>
    </xf>
    <xf numFmtId="0" fontId="27" fillId="2" borderId="1" xfId="0" applyFont="1" applyFill="1" applyBorder="1" applyAlignment="1">
      <alignment horizontal="center" vertical="center"/>
    </xf>
    <xf numFmtId="0" fontId="23" fillId="2" borderId="1" xfId="0" applyFont="1" applyFill="1" applyBorder="1" applyAlignment="1">
      <alignment horizontal="center" vertical="center"/>
    </xf>
    <xf numFmtId="0" fontId="18" fillId="2" borderId="1" xfId="0" applyFont="1" applyFill="1" applyBorder="1" applyAlignment="1">
      <alignment horizontal="center" vertical="center"/>
    </xf>
    <xf numFmtId="0" fontId="18" fillId="2" borderId="10" xfId="0" applyFont="1" applyFill="1" applyBorder="1" applyAlignment="1">
      <alignment horizontal="center" vertical="center"/>
    </xf>
    <xf numFmtId="0" fontId="18" fillId="2" borderId="12" xfId="0" applyFont="1" applyFill="1" applyBorder="1" applyAlignment="1">
      <alignment horizontal="center" vertical="center"/>
    </xf>
    <xf numFmtId="0" fontId="18" fillId="2" borderId="1" xfId="0" applyFont="1" applyFill="1" applyBorder="1" applyAlignment="1">
      <alignment horizontal="center" vertical="center" wrapText="1"/>
    </xf>
    <xf numFmtId="0" fontId="18" fillId="3" borderId="1" xfId="0" applyFont="1" applyFill="1" applyBorder="1" applyAlignment="1" applyProtection="1">
      <alignment horizontal="center" vertical="center" wrapText="1"/>
      <protection locked="0"/>
    </xf>
    <xf numFmtId="0" fontId="21" fillId="0" borderId="1" xfId="0" applyFont="1" applyBorder="1" applyAlignment="1" applyProtection="1">
      <alignment horizontal="center" vertical="center"/>
      <protection locked="0"/>
    </xf>
    <xf numFmtId="0" fontId="28" fillId="2" borderId="1" xfId="0" applyFont="1" applyFill="1" applyBorder="1" applyAlignment="1">
      <alignment horizontal="center" vertical="center"/>
    </xf>
    <xf numFmtId="0" fontId="28" fillId="5" borderId="1" xfId="0" applyFont="1" applyFill="1" applyBorder="1" applyAlignment="1" applyProtection="1">
      <alignment horizontal="center" vertical="center"/>
      <protection locked="0"/>
    </xf>
    <xf numFmtId="0" fontId="18" fillId="0" borderId="1" xfId="0" applyFont="1" applyBorder="1" applyProtection="1">
      <alignment vertical="center"/>
      <protection locked="0"/>
    </xf>
    <xf numFmtId="0" fontId="18" fillId="0" borderId="1" xfId="0" applyFont="1" applyBorder="1" applyAlignment="1" applyProtection="1">
      <alignment horizontal="center" vertical="center"/>
      <protection locked="0"/>
    </xf>
    <xf numFmtId="0" fontId="21" fillId="5" borderId="1" xfId="0" applyFont="1" applyFill="1" applyBorder="1" applyAlignment="1" applyProtection="1">
      <alignment horizontal="center" vertical="center"/>
      <protection locked="0"/>
    </xf>
    <xf numFmtId="0" fontId="20" fillId="0" borderId="1" xfId="0" applyFont="1" applyBorder="1" applyAlignment="1" applyProtection="1">
      <alignment horizontal="center" vertical="center" wrapText="1"/>
      <protection locked="0"/>
    </xf>
    <xf numFmtId="0" fontId="20" fillId="0" borderId="1" xfId="0" applyFont="1" applyBorder="1" applyAlignment="1" applyProtection="1">
      <alignment horizontal="left" vertical="center" wrapText="1"/>
      <protection locked="0"/>
    </xf>
    <xf numFmtId="0" fontId="20" fillId="0" borderId="10" xfId="0" applyFont="1" applyBorder="1" applyAlignment="1" applyProtection="1">
      <alignment horizontal="center" vertical="center" wrapText="1"/>
      <protection locked="0"/>
    </xf>
    <xf numFmtId="0" fontId="18" fillId="0" borderId="10" xfId="0" applyFont="1" applyBorder="1" applyAlignment="1" applyProtection="1">
      <alignment horizontal="center" vertical="center" wrapText="1"/>
      <protection locked="0"/>
    </xf>
    <xf numFmtId="0" fontId="19" fillId="0" borderId="18" xfId="0" applyFont="1" applyBorder="1" applyAlignment="1" applyProtection="1">
      <alignment horizontal="center" vertical="center" wrapText="1"/>
      <protection locked="0"/>
    </xf>
    <xf numFmtId="0" fontId="18" fillId="0" borderId="18" xfId="0" applyFont="1" applyBorder="1" applyAlignment="1" applyProtection="1">
      <alignment horizontal="center" vertical="center" wrapText="1"/>
      <protection locked="0"/>
    </xf>
    <xf numFmtId="0" fontId="18" fillId="0" borderId="25" xfId="0" applyFont="1" applyBorder="1" applyAlignment="1" applyProtection="1">
      <alignment horizontal="left" vertical="center" wrapText="1"/>
      <protection locked="0"/>
    </xf>
    <xf numFmtId="0" fontId="18" fillId="0" borderId="33" xfId="0" applyFont="1" applyBorder="1" applyAlignment="1" applyProtection="1">
      <alignment horizontal="center" vertical="center" wrapText="1"/>
      <protection locked="0"/>
    </xf>
    <xf numFmtId="0" fontId="18" fillId="0" borderId="34" xfId="0" applyFont="1" applyBorder="1" applyAlignment="1" applyProtection="1">
      <alignment horizontal="center" vertical="center" wrapText="1"/>
      <protection locked="0"/>
    </xf>
    <xf numFmtId="0" fontId="18" fillId="0" borderId="20" xfId="0" applyFont="1" applyBorder="1" applyAlignment="1" applyProtection="1">
      <alignment horizontal="center" vertical="center"/>
      <protection locked="0"/>
    </xf>
    <xf numFmtId="0" fontId="18" fillId="0" borderId="35" xfId="0" applyFont="1" applyBorder="1" applyAlignment="1" applyProtection="1">
      <alignment horizontal="center" vertical="center" wrapText="1"/>
      <protection locked="0"/>
    </xf>
    <xf numFmtId="0" fontId="18" fillId="0" borderId="3" xfId="0" applyFont="1" applyBorder="1" applyAlignment="1" applyProtection="1">
      <alignment horizontal="left" vertical="center" wrapText="1"/>
      <protection locked="0"/>
    </xf>
    <xf numFmtId="0" fontId="18" fillId="0" borderId="36" xfId="0" applyFont="1" applyBorder="1" applyAlignment="1" applyProtection="1">
      <alignment horizontal="center" vertical="center"/>
      <protection locked="0"/>
    </xf>
    <xf numFmtId="0" fontId="18" fillId="0" borderId="37" xfId="0" applyFont="1" applyBorder="1" applyAlignment="1" applyProtection="1">
      <alignment horizontal="center" vertical="center" wrapText="1"/>
      <protection locked="0"/>
    </xf>
    <xf numFmtId="0" fontId="19" fillId="0" borderId="38" xfId="0" applyFont="1" applyBorder="1" applyAlignment="1" applyProtection="1">
      <alignment horizontal="center" vertical="center" wrapText="1"/>
      <protection locked="0"/>
    </xf>
    <xf numFmtId="0" fontId="18" fillId="4" borderId="5" xfId="0" applyFont="1" applyFill="1" applyBorder="1" applyAlignment="1" applyProtection="1">
      <alignment horizontal="left" vertical="center" wrapText="1"/>
      <protection locked="0"/>
    </xf>
    <xf numFmtId="0" fontId="18" fillId="4" borderId="39" xfId="0" applyFont="1" applyFill="1" applyBorder="1" applyAlignment="1" applyProtection="1">
      <alignment horizontal="center" vertical="center" wrapText="1"/>
      <protection locked="0"/>
    </xf>
    <xf numFmtId="0" fontId="18" fillId="4" borderId="40" xfId="0" applyFont="1" applyFill="1" applyBorder="1" applyAlignment="1" applyProtection="1">
      <alignment horizontal="center" vertical="center"/>
      <protection locked="0"/>
    </xf>
    <xf numFmtId="0" fontId="18" fillId="4" borderId="41" xfId="0" applyFont="1" applyFill="1" applyBorder="1" applyAlignment="1" applyProtection="1">
      <alignment horizontal="center" vertical="center" wrapText="1"/>
      <protection locked="0"/>
    </xf>
    <xf numFmtId="0" fontId="19" fillId="4" borderId="42" xfId="0" applyFont="1" applyFill="1" applyBorder="1" applyAlignment="1" applyProtection="1">
      <alignment horizontal="center" vertical="center" wrapText="1"/>
      <protection locked="0"/>
    </xf>
    <xf numFmtId="0" fontId="18" fillId="2" borderId="43" xfId="0" applyFont="1" applyFill="1" applyBorder="1" applyAlignment="1" applyProtection="1">
      <alignment horizontal="center" vertical="center"/>
      <protection locked="0"/>
    </xf>
    <xf numFmtId="0" fontId="18" fillId="6" borderId="0" xfId="0" applyFont="1" applyFill="1" applyProtection="1">
      <alignment vertical="center"/>
      <protection locked="0"/>
    </xf>
    <xf numFmtId="0" fontId="18" fillId="2" borderId="44" xfId="0" applyFont="1" applyFill="1" applyBorder="1" applyAlignment="1">
      <alignment horizontal="center" vertical="center" wrapText="1"/>
    </xf>
    <xf numFmtId="0" fontId="18" fillId="2" borderId="45" xfId="0" applyFont="1" applyFill="1" applyBorder="1" applyAlignment="1">
      <alignment horizontal="center" vertical="center" wrapText="1"/>
    </xf>
    <xf numFmtId="0" fontId="19" fillId="6" borderId="0" xfId="0" applyFont="1" applyFill="1" applyAlignment="1" applyProtection="1">
      <alignment horizontal="center" vertical="center"/>
      <protection locked="0"/>
    </xf>
    <xf numFmtId="0" fontId="18" fillId="0" borderId="46" xfId="0" applyFont="1" applyBorder="1" applyAlignment="1" applyProtection="1">
      <alignment horizontal="center" vertical="center" wrapText="1"/>
      <protection locked="0"/>
    </xf>
    <xf numFmtId="0" fontId="20" fillId="2" borderId="47" xfId="0" applyFont="1" applyFill="1" applyBorder="1" applyAlignment="1">
      <alignment horizontal="center" vertical="center" wrapText="1"/>
    </xf>
    <xf numFmtId="0" fontId="20" fillId="6" borderId="0" xfId="0" applyFont="1" applyFill="1" applyAlignment="1" applyProtection="1">
      <alignment horizontal="center" vertical="center"/>
      <protection locked="0"/>
    </xf>
    <xf numFmtId="0" fontId="19" fillId="0" borderId="47" xfId="0" applyFont="1" applyBorder="1" applyAlignment="1" applyProtection="1">
      <alignment horizontal="center" vertical="center" wrapText="1"/>
      <protection locked="0"/>
    </xf>
    <xf numFmtId="0" fontId="19" fillId="2" borderId="48" xfId="0" applyFont="1" applyFill="1" applyBorder="1" applyAlignment="1">
      <alignment horizontal="center" vertical="center" wrapText="1"/>
    </xf>
    <xf numFmtId="0" fontId="18" fillId="0" borderId="49" xfId="0" applyFont="1" applyBorder="1" applyAlignment="1" applyProtection="1">
      <alignment horizontal="center" vertical="center" wrapText="1"/>
      <protection locked="0"/>
    </xf>
    <xf numFmtId="0" fontId="18" fillId="0" borderId="50" xfId="0" applyFont="1" applyBorder="1" applyAlignment="1" applyProtection="1">
      <alignment horizontal="center" vertical="center" wrapText="1"/>
      <protection locked="0"/>
    </xf>
    <xf numFmtId="0" fontId="18" fillId="6" borderId="0" xfId="0" applyFont="1" applyFill="1" applyAlignment="1" applyProtection="1">
      <alignment horizontal="center" vertical="center"/>
      <protection locked="0"/>
    </xf>
    <xf numFmtId="0" fontId="19" fillId="2" borderId="51" xfId="0" applyFont="1" applyFill="1" applyBorder="1" applyAlignment="1">
      <alignment horizontal="center" vertical="center" wrapText="1"/>
    </xf>
    <xf numFmtId="9" fontId="18" fillId="0" borderId="35" xfId="0" applyNumberFormat="1" applyFont="1" applyBorder="1" applyAlignment="1" applyProtection="1">
      <alignment horizontal="center" vertical="center" wrapText="1"/>
      <protection locked="0"/>
    </xf>
    <xf numFmtId="0" fontId="18" fillId="0" borderId="35" xfId="0" applyFont="1" applyBorder="1" applyAlignment="1" applyProtection="1">
      <alignment horizontal="center" vertical="center"/>
      <protection locked="0"/>
    </xf>
    <xf numFmtId="0" fontId="18" fillId="0" borderId="48" xfId="0" applyFont="1" applyBorder="1" applyAlignment="1" applyProtection="1">
      <alignment horizontal="center" vertical="center"/>
      <protection locked="0"/>
    </xf>
    <xf numFmtId="0" fontId="18" fillId="0" borderId="48" xfId="0" applyFont="1" applyBorder="1" applyAlignment="1" applyProtection="1">
      <alignment horizontal="center" vertical="center" wrapText="1"/>
      <protection locked="0"/>
    </xf>
    <xf numFmtId="9" fontId="18" fillId="0" borderId="37" xfId="0" applyNumberFormat="1" applyFont="1" applyBorder="1" applyAlignment="1" applyProtection="1">
      <alignment horizontal="center" vertical="center" wrapText="1"/>
      <protection locked="0"/>
    </xf>
    <xf numFmtId="0" fontId="18" fillId="0" borderId="37" xfId="0" applyFont="1" applyBorder="1" applyAlignment="1" applyProtection="1">
      <alignment horizontal="center" vertical="center"/>
      <protection locked="0"/>
    </xf>
    <xf numFmtId="0" fontId="18" fillId="0" borderId="50" xfId="0" applyFont="1" applyBorder="1" applyAlignment="1" applyProtection="1">
      <alignment horizontal="center" vertical="center"/>
      <protection locked="0"/>
    </xf>
    <xf numFmtId="0" fontId="18" fillId="2" borderId="50" xfId="0" applyFont="1" applyFill="1" applyBorder="1" applyAlignment="1">
      <alignment horizontal="center" vertical="center" wrapText="1"/>
    </xf>
    <xf numFmtId="0" fontId="19" fillId="0" borderId="52" xfId="0" applyFont="1" applyBorder="1" applyAlignment="1" applyProtection="1">
      <alignment horizontal="center" vertical="center" wrapText="1"/>
      <protection locked="0"/>
    </xf>
    <xf numFmtId="9" fontId="18" fillId="4" borderId="41" xfId="0" applyNumberFormat="1" applyFont="1" applyFill="1" applyBorder="1" applyAlignment="1" applyProtection="1">
      <alignment horizontal="center" vertical="center" wrapText="1"/>
      <protection locked="0"/>
    </xf>
    <xf numFmtId="0" fontId="18" fillId="4" borderId="41" xfId="0" applyFont="1" applyFill="1" applyBorder="1" applyAlignment="1" applyProtection="1">
      <alignment horizontal="center" vertical="center"/>
      <protection locked="0"/>
    </xf>
    <xf numFmtId="0" fontId="18" fillId="4" borderId="45" xfId="0" applyFont="1" applyFill="1" applyBorder="1" applyAlignment="1" applyProtection="1">
      <alignment horizontal="center" vertical="center"/>
      <protection locked="0"/>
    </xf>
    <xf numFmtId="0" fontId="19" fillId="4" borderId="53" xfId="0" applyFont="1" applyFill="1" applyBorder="1" applyAlignment="1" applyProtection="1">
      <alignment horizontal="center" vertical="center" wrapText="1"/>
      <protection locked="0"/>
    </xf>
    <xf numFmtId="0" fontId="18" fillId="2" borderId="0" xfId="0" applyFont="1" applyFill="1" applyProtection="1">
      <alignment vertical="center"/>
      <protection locked="0"/>
    </xf>
    <xf numFmtId="0" fontId="18" fillId="2" borderId="11" xfId="0" applyFont="1" applyFill="1" applyBorder="1" applyAlignment="1">
      <alignment horizontal="center" vertical="center"/>
    </xf>
    <xf numFmtId="0" fontId="18" fillId="0" borderId="0" xfId="0" applyFont="1" applyAlignment="1" applyProtection="1">
      <alignment horizontal="center" vertical="center" wrapText="1"/>
      <protection locked="0"/>
    </xf>
    <xf numFmtId="0" fontId="21" fillId="2" borderId="1" xfId="0" applyFont="1" applyFill="1" applyBorder="1" applyAlignment="1">
      <alignment horizontal="center" vertical="center"/>
    </xf>
    <xf numFmtId="0" fontId="21" fillId="0" borderId="0" xfId="0" applyFont="1" applyProtection="1">
      <alignment vertical="center"/>
      <protection locked="0"/>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0" fontId="33" fillId="0" borderId="0" xfId="0" applyFont="1" applyAlignment="1">
      <alignment horizontal="center" vertical="center"/>
    </xf>
    <xf numFmtId="49" fontId="30" fillId="0" borderId="0" xfId="0" applyNumberFormat="1" applyFont="1" applyAlignment="1">
      <alignment horizontal="center" vertical="center"/>
    </xf>
    <xf numFmtId="0" fontId="34" fillId="0" borderId="0" xfId="0" applyFont="1" applyAlignment="1">
      <alignment horizontal="center" vertical="center"/>
    </xf>
    <xf numFmtId="179" fontId="34" fillId="0" borderId="0" xfId="0" applyNumberFormat="1" applyFont="1" applyAlignment="1">
      <alignment horizontal="center" vertical="center"/>
    </xf>
    <xf numFmtId="180" fontId="34" fillId="0" borderId="0" xfId="0" applyNumberFormat="1" applyFont="1" applyAlignment="1">
      <alignment horizontal="center" vertical="center"/>
    </xf>
    <xf numFmtId="0" fontId="35" fillId="2" borderId="18" xfId="0" applyFont="1" applyFill="1" applyBorder="1">
      <alignment vertical="center"/>
    </xf>
    <xf numFmtId="0" fontId="36" fillId="5" borderId="54" xfId="0" applyFont="1" applyFill="1" applyBorder="1" applyAlignment="1" applyProtection="1">
      <alignment horizontal="right" vertical="center"/>
      <protection locked="0"/>
    </xf>
    <xf numFmtId="0" fontId="36" fillId="2" borderId="0" xfId="0" applyFont="1" applyFill="1" applyAlignment="1">
      <alignment horizontal="center" vertical="center"/>
    </xf>
    <xf numFmtId="0" fontId="36" fillId="5" borderId="54" xfId="0" applyFont="1" applyFill="1" applyBorder="1" applyProtection="1">
      <alignment vertical="center"/>
      <protection locked="0"/>
    </xf>
    <xf numFmtId="0" fontId="36" fillId="2" borderId="54" xfId="0" applyFont="1" applyFill="1" applyBorder="1">
      <alignment vertical="center"/>
    </xf>
    <xf numFmtId="0" fontId="36" fillId="3" borderId="1" xfId="0" applyFont="1" applyFill="1" applyBorder="1" applyAlignment="1" applyProtection="1">
      <alignment horizontal="center" vertical="center"/>
      <protection locked="0"/>
    </xf>
    <xf numFmtId="0" fontId="37" fillId="2" borderId="54" xfId="0" applyFont="1" applyFill="1" applyBorder="1">
      <alignment vertical="center"/>
    </xf>
    <xf numFmtId="0" fontId="38" fillId="2" borderId="1" xfId="51" applyFont="1" applyFill="1" applyBorder="1">
      <alignment vertical="center"/>
    </xf>
    <xf numFmtId="0" fontId="38" fillId="2" borderId="1" xfId="0" applyFont="1" applyFill="1" applyBorder="1" applyAlignment="1">
      <alignment horizontal="right" vertical="center"/>
    </xf>
    <xf numFmtId="0" fontId="38" fillId="2" borderId="0" xfId="0" applyFont="1" applyFill="1" applyProtection="1">
      <alignment vertical="center"/>
      <protection locked="0"/>
    </xf>
    <xf numFmtId="0" fontId="36" fillId="2" borderId="0" xfId="0" applyFont="1" applyFill="1" applyProtection="1">
      <alignment vertical="center"/>
      <protection locked="0"/>
    </xf>
    <xf numFmtId="0" fontId="37" fillId="2" borderId="0" xfId="0" applyFont="1" applyFill="1" applyProtection="1">
      <alignment vertical="center"/>
      <protection locked="0"/>
    </xf>
    <xf numFmtId="0" fontId="38" fillId="2" borderId="9" xfId="51" applyFont="1" applyFill="1" applyBorder="1">
      <alignment vertical="center"/>
    </xf>
    <xf numFmtId="181" fontId="38" fillId="2" borderId="9" xfId="0" applyNumberFormat="1" applyFont="1" applyFill="1" applyBorder="1" applyAlignment="1">
      <alignment horizontal="right" vertical="center"/>
    </xf>
    <xf numFmtId="0" fontId="38" fillId="2" borderId="9" xfId="0" applyFont="1" applyFill="1" applyBorder="1" applyAlignment="1">
      <alignment horizontal="center" vertical="center"/>
    </xf>
    <xf numFmtId="0" fontId="38" fillId="2" borderId="9" xfId="0" applyFont="1" applyFill="1" applyBorder="1" applyAlignment="1">
      <alignment horizontal="right" vertical="center"/>
    </xf>
    <xf numFmtId="0" fontId="39" fillId="2" borderId="19" xfId="0" applyFont="1" applyFill="1" applyBorder="1" applyAlignment="1">
      <alignment vertical="center" wrapText="1"/>
    </xf>
    <xf numFmtId="0" fontId="39" fillId="2" borderId="55" xfId="0" applyFont="1" applyFill="1" applyBorder="1" applyAlignment="1">
      <alignment vertical="center" wrapText="1"/>
    </xf>
    <xf numFmtId="0" fontId="34" fillId="2" borderId="4" xfId="0" applyFont="1" applyFill="1" applyBorder="1" applyAlignment="1">
      <alignment horizontal="center" vertical="center" wrapText="1"/>
    </xf>
    <xf numFmtId="0" fontId="34" fillId="2" borderId="13" xfId="0" applyFont="1" applyFill="1" applyBorder="1" applyAlignment="1">
      <alignment horizontal="center" vertical="center" wrapText="1"/>
    </xf>
    <xf numFmtId="0" fontId="34" fillId="2" borderId="56" xfId="0" applyFont="1" applyFill="1" applyBorder="1" applyAlignment="1">
      <alignment horizontal="center" vertical="center" wrapText="1"/>
    </xf>
    <xf numFmtId="0" fontId="34" fillId="2" borderId="39" xfId="0" applyFont="1" applyFill="1" applyBorder="1" applyAlignment="1">
      <alignment horizontal="center" vertical="center" wrapText="1"/>
    </xf>
    <xf numFmtId="0" fontId="39" fillId="2" borderId="21" xfId="0" applyFont="1" applyFill="1" applyBorder="1" applyAlignment="1">
      <alignment vertical="center" wrapText="1"/>
    </xf>
    <xf numFmtId="0" fontId="39" fillId="2" borderId="0" xfId="0" applyFont="1" applyFill="1" applyAlignment="1">
      <alignment vertical="center" wrapText="1"/>
    </xf>
    <xf numFmtId="0" fontId="40" fillId="0" borderId="6" xfId="0" applyFont="1" applyBorder="1" applyAlignment="1" applyProtection="1">
      <alignment horizontal="center" vertical="center" wrapText="1"/>
      <protection locked="0"/>
    </xf>
    <xf numFmtId="0" fontId="40" fillId="0" borderId="14" xfId="0" applyFont="1" applyBorder="1" applyAlignment="1" applyProtection="1">
      <alignment horizontal="center" vertical="center" wrapText="1"/>
      <protection locked="0"/>
    </xf>
    <xf numFmtId="0" fontId="40" fillId="0" borderId="11" xfId="0" applyFont="1" applyBorder="1" applyAlignment="1" applyProtection="1">
      <alignment horizontal="center" vertical="center" wrapText="1"/>
      <protection locked="0"/>
    </xf>
    <xf numFmtId="0" fontId="40" fillId="0" borderId="10" xfId="0" applyFont="1" applyBorder="1" applyAlignment="1" applyProtection="1">
      <alignment horizontal="center" vertical="center" wrapText="1"/>
      <protection locked="0"/>
    </xf>
    <xf numFmtId="0" fontId="39" fillId="2" borderId="32" xfId="0" applyFont="1" applyFill="1" applyBorder="1" applyAlignment="1">
      <alignment vertical="center" wrapText="1"/>
    </xf>
    <xf numFmtId="0" fontId="39" fillId="2" borderId="17" xfId="0" applyFont="1" applyFill="1" applyBorder="1" applyAlignment="1">
      <alignment vertical="center" wrapText="1"/>
    </xf>
    <xf numFmtId="0" fontId="40" fillId="0" borderId="22" xfId="0" applyFont="1" applyBorder="1" applyAlignment="1" applyProtection="1">
      <alignment horizontal="center" vertical="center" wrapText="1"/>
      <protection locked="0"/>
    </xf>
    <xf numFmtId="0" fontId="40" fillId="0" borderId="57" xfId="0" applyFont="1" applyBorder="1" applyAlignment="1" applyProtection="1">
      <alignment horizontal="center" vertical="center" wrapText="1"/>
      <protection locked="0"/>
    </xf>
    <xf numFmtId="0" fontId="40" fillId="0" borderId="58" xfId="0" applyFont="1" applyBorder="1" applyAlignment="1" applyProtection="1">
      <alignment horizontal="center" vertical="center" wrapText="1"/>
      <protection locked="0"/>
    </xf>
    <xf numFmtId="0" fontId="40" fillId="0" borderId="18" xfId="0" applyFont="1" applyBorder="1" applyAlignment="1" applyProtection="1">
      <alignment horizontal="center" vertical="center" wrapText="1"/>
      <protection locked="0"/>
    </xf>
    <xf numFmtId="0" fontId="41" fillId="2" borderId="59" xfId="0" applyFont="1" applyFill="1" applyBorder="1" applyAlignment="1">
      <alignment vertical="center" wrapText="1"/>
    </xf>
    <xf numFmtId="0" fontId="41" fillId="2" borderId="44" xfId="0" applyFont="1" applyFill="1" applyBorder="1" applyAlignment="1">
      <alignment horizontal="left" vertical="center" wrapText="1"/>
    </xf>
    <xf numFmtId="182" fontId="30" fillId="2" borderId="60" xfId="0" applyNumberFormat="1" applyFont="1" applyFill="1" applyBorder="1" applyAlignment="1">
      <alignment horizontal="center" vertical="center" wrapText="1"/>
    </xf>
    <xf numFmtId="0" fontId="30" fillId="2" borderId="61" xfId="0" applyFont="1" applyFill="1" applyBorder="1" applyAlignment="1">
      <alignment horizontal="center" vertical="center" wrapText="1"/>
    </xf>
    <xf numFmtId="182" fontId="30" fillId="0" borderId="62" xfId="0" applyNumberFormat="1" applyFont="1" applyBorder="1" applyAlignment="1" applyProtection="1">
      <alignment horizontal="center" vertical="center" wrapText="1"/>
      <protection locked="0"/>
    </xf>
    <xf numFmtId="0" fontId="30" fillId="2" borderId="63" xfId="0" applyFont="1" applyFill="1" applyBorder="1" applyAlignment="1">
      <alignment horizontal="center" vertical="center" wrapText="1"/>
    </xf>
    <xf numFmtId="182" fontId="30" fillId="0" borderId="60" xfId="0" applyNumberFormat="1" applyFont="1" applyBorder="1" applyAlignment="1" applyProtection="1">
      <alignment horizontal="center" vertical="center" wrapText="1"/>
      <protection locked="0"/>
    </xf>
    <xf numFmtId="0" fontId="41" fillId="2" borderId="64" xfId="0" applyFont="1" applyFill="1" applyBorder="1" applyAlignment="1">
      <alignment vertical="center" wrapText="1"/>
    </xf>
    <xf numFmtId="0" fontId="41" fillId="2" borderId="46" xfId="0" applyFont="1" applyFill="1" applyBorder="1" applyAlignment="1">
      <alignment horizontal="left" vertical="center" wrapText="1"/>
    </xf>
    <xf numFmtId="49" fontId="30" fillId="5" borderId="60" xfId="0" applyNumberFormat="1" applyFont="1" applyFill="1" applyBorder="1" applyAlignment="1" applyProtection="1">
      <alignment horizontal="center" vertical="center" wrapText="1"/>
      <protection locked="0"/>
    </xf>
    <xf numFmtId="0" fontId="41" fillId="2" borderId="65" xfId="0" applyFont="1" applyFill="1" applyBorder="1" applyAlignment="1">
      <alignment vertical="center" wrapText="1"/>
    </xf>
    <xf numFmtId="0" fontId="41" fillId="2" borderId="66" xfId="0" applyFont="1" applyFill="1" applyBorder="1" applyAlignment="1">
      <alignment horizontal="left" vertical="center" wrapText="1"/>
    </xf>
    <xf numFmtId="0" fontId="30" fillId="0" borderId="59" xfId="0" applyFont="1" applyBorder="1" applyAlignment="1" applyProtection="1">
      <alignment horizontal="center" vertical="center" wrapText="1"/>
      <protection locked="0"/>
    </xf>
    <xf numFmtId="0" fontId="30" fillId="2" borderId="13" xfId="0" applyFont="1" applyFill="1" applyBorder="1" applyAlignment="1">
      <alignment horizontal="center" vertical="center" wrapText="1"/>
    </xf>
    <xf numFmtId="49" fontId="30" fillId="5" borderId="4" xfId="0" applyNumberFormat="1" applyFont="1" applyFill="1" applyBorder="1" applyAlignment="1" applyProtection="1">
      <alignment horizontal="center" vertical="center" wrapText="1"/>
      <protection locked="0"/>
    </xf>
    <xf numFmtId="0" fontId="42" fillId="2" borderId="64" xfId="0" applyFont="1" applyFill="1" applyBorder="1" applyAlignment="1">
      <alignment vertical="center" wrapText="1"/>
    </xf>
    <xf numFmtId="49" fontId="30" fillId="5" borderId="6" xfId="0" applyNumberFormat="1" applyFont="1" applyFill="1" applyBorder="1" applyAlignment="1" applyProtection="1">
      <alignment horizontal="center" vertical="center" wrapText="1"/>
      <protection locked="0"/>
    </xf>
    <xf numFmtId="0" fontId="30" fillId="2" borderId="14" xfId="0" applyFont="1" applyFill="1" applyBorder="1" applyAlignment="1">
      <alignment horizontal="center" vertical="center" wrapText="1"/>
    </xf>
    <xf numFmtId="49" fontId="30" fillId="5" borderId="11" xfId="0" applyNumberFormat="1" applyFont="1" applyFill="1" applyBorder="1" applyAlignment="1" applyProtection="1">
      <alignment horizontal="center" vertical="center" wrapText="1"/>
      <protection locked="0"/>
    </xf>
    <xf numFmtId="0" fontId="39" fillId="6" borderId="65" xfId="0" applyFont="1" applyFill="1" applyBorder="1" applyAlignment="1">
      <alignment vertical="center" wrapText="1"/>
    </xf>
    <xf numFmtId="0" fontId="41" fillId="6" borderId="66" xfId="0" applyFont="1" applyFill="1" applyBorder="1" applyAlignment="1" applyProtection="1">
      <alignment horizontal="left" vertical="center" wrapText="1"/>
      <protection locked="0"/>
    </xf>
    <xf numFmtId="0" fontId="30" fillId="0" borderId="29" xfId="0" applyFont="1" applyBorder="1" applyAlignment="1" applyProtection="1">
      <alignment horizontal="center" vertical="center" wrapText="1"/>
      <protection locked="0"/>
    </xf>
    <xf numFmtId="0" fontId="30" fillId="0" borderId="64" xfId="0" applyFont="1" applyBorder="1" applyAlignment="1" applyProtection="1">
      <alignment horizontal="center" vertical="center" wrapText="1"/>
      <protection locked="0"/>
    </xf>
    <xf numFmtId="0" fontId="30" fillId="2" borderId="66" xfId="0" applyFont="1" applyFill="1" applyBorder="1" applyAlignment="1">
      <alignment horizontal="center" vertical="center" wrapText="1"/>
    </xf>
    <xf numFmtId="0" fontId="39" fillId="6" borderId="32" xfId="0" applyFont="1" applyFill="1" applyBorder="1" applyAlignment="1">
      <alignment vertical="center" wrapText="1"/>
    </xf>
    <xf numFmtId="0" fontId="41" fillId="6" borderId="67" xfId="0" applyFont="1" applyFill="1" applyBorder="1" applyAlignment="1" applyProtection="1">
      <alignment horizontal="left" vertical="center" wrapText="1"/>
      <protection locked="0"/>
    </xf>
    <xf numFmtId="0" fontId="34" fillId="0" borderId="64" xfId="0" applyFont="1" applyBorder="1" applyAlignment="1" applyProtection="1">
      <alignment horizontal="center" vertical="center" wrapText="1"/>
      <protection locked="0"/>
    </xf>
    <xf numFmtId="0" fontId="34" fillId="2" borderId="14" xfId="0" applyFont="1" applyFill="1" applyBorder="1" applyAlignment="1">
      <alignment horizontal="center" vertical="center" wrapText="1"/>
    </xf>
    <xf numFmtId="0" fontId="43" fillId="2" borderId="68" xfId="0" applyFont="1" applyFill="1" applyBorder="1" applyAlignment="1">
      <alignment vertical="center" wrapText="1"/>
    </xf>
    <xf numFmtId="0" fontId="30" fillId="2" borderId="40" xfId="0" applyFont="1" applyFill="1" applyBorder="1" applyAlignment="1">
      <alignment horizontal="center" vertical="center" wrapText="1"/>
    </xf>
    <xf numFmtId="0" fontId="34" fillId="2" borderId="69" xfId="0" applyFont="1" applyFill="1" applyBorder="1" applyAlignment="1">
      <alignment horizontal="center" vertical="center" wrapText="1"/>
    </xf>
    <xf numFmtId="0" fontId="34" fillId="2" borderId="70" xfId="0" applyFont="1" applyFill="1" applyBorder="1" applyAlignment="1">
      <alignment horizontal="center" vertical="center" wrapText="1"/>
    </xf>
    <xf numFmtId="49" fontId="34" fillId="0" borderId="71" xfId="0" applyNumberFormat="1" applyFont="1" applyBorder="1" applyAlignment="1" applyProtection="1">
      <alignment horizontal="center" vertical="center" wrapText="1"/>
      <protection locked="0"/>
    </xf>
    <xf numFmtId="0" fontId="34" fillId="2" borderId="40" xfId="0" applyFont="1" applyFill="1" applyBorder="1" applyAlignment="1">
      <alignment horizontal="center" vertical="center" wrapText="1"/>
    </xf>
    <xf numFmtId="49" fontId="34" fillId="0" borderId="69" xfId="0" applyNumberFormat="1" applyFont="1" applyBorder="1" applyAlignment="1" applyProtection="1">
      <alignment horizontal="center" vertical="center" wrapText="1"/>
      <protection locked="0"/>
    </xf>
    <xf numFmtId="0" fontId="39" fillId="2" borderId="68" xfId="0" applyFont="1" applyFill="1" applyBorder="1" applyAlignment="1">
      <alignment vertical="center" wrapText="1"/>
    </xf>
    <xf numFmtId="0" fontId="34" fillId="2" borderId="0" xfId="0" applyFont="1" applyFill="1" applyAlignment="1">
      <alignment horizontal="center" vertical="center"/>
    </xf>
    <xf numFmtId="0" fontId="34" fillId="5" borderId="29" xfId="0" applyFont="1" applyFill="1" applyBorder="1" applyAlignment="1" applyProtection="1">
      <alignment horizontal="center" vertical="center" wrapText="1"/>
      <protection locked="0"/>
    </xf>
    <xf numFmtId="0" fontId="34" fillId="2" borderId="72" xfId="0" applyFont="1" applyFill="1" applyBorder="1" applyAlignment="1">
      <alignment horizontal="center" vertical="center" wrapText="1"/>
    </xf>
    <xf numFmtId="0" fontId="34" fillId="2" borderId="34" xfId="0" applyFont="1" applyFill="1" applyBorder="1" applyAlignment="1">
      <alignment horizontal="center" vertical="center" wrapText="1"/>
    </xf>
    <xf numFmtId="0" fontId="34" fillId="2" borderId="73" xfId="0" applyFont="1" applyFill="1" applyBorder="1" applyAlignment="1">
      <alignment horizontal="center" vertical="center" wrapText="1"/>
    </xf>
    <xf numFmtId="0" fontId="44" fillId="2" borderId="57" xfId="0" applyFont="1" applyFill="1" applyBorder="1" applyAlignment="1">
      <alignment horizontal="center" vertical="center" wrapText="1"/>
    </xf>
    <xf numFmtId="0" fontId="34" fillId="2" borderId="22" xfId="0" applyFont="1" applyFill="1" applyBorder="1" applyAlignment="1">
      <alignment horizontal="center" vertical="center" wrapText="1"/>
    </xf>
    <xf numFmtId="0" fontId="34" fillId="2" borderId="57" xfId="0" applyFont="1" applyFill="1" applyBorder="1" applyAlignment="1">
      <alignment horizontal="center" vertical="center" wrapText="1"/>
    </xf>
    <xf numFmtId="49" fontId="34" fillId="0" borderId="58" xfId="0" applyNumberFormat="1" applyFont="1" applyBorder="1" applyAlignment="1" applyProtection="1">
      <alignment horizontal="center" vertical="center" wrapText="1"/>
      <protection locked="0"/>
    </xf>
    <xf numFmtId="0" fontId="34" fillId="2" borderId="18" xfId="0" applyFont="1" applyFill="1" applyBorder="1" applyAlignment="1">
      <alignment horizontal="center" vertical="center" wrapText="1"/>
    </xf>
    <xf numFmtId="49" fontId="34" fillId="0" borderId="22" xfId="0" applyNumberFormat="1" applyFont="1" applyBorder="1" applyAlignment="1" applyProtection="1">
      <alignment horizontal="center" vertical="center" wrapText="1"/>
      <protection locked="0"/>
    </xf>
    <xf numFmtId="0" fontId="30" fillId="2" borderId="72" xfId="0" applyFont="1" applyFill="1" applyBorder="1" applyAlignment="1">
      <alignment horizontal="center" vertical="center" wrapText="1"/>
    </xf>
    <xf numFmtId="0" fontId="34" fillId="5" borderId="68" xfId="0" applyFont="1" applyFill="1" applyBorder="1" applyAlignment="1" applyProtection="1">
      <alignment horizontal="center" vertical="center" wrapText="1"/>
      <protection locked="0"/>
    </xf>
    <xf numFmtId="0" fontId="44" fillId="2" borderId="73" xfId="0" applyFont="1" applyFill="1" applyBorder="1" applyAlignment="1">
      <alignment horizontal="center" vertical="center" wrapText="1"/>
    </xf>
    <xf numFmtId="49" fontId="34" fillId="0" borderId="74" xfId="0" applyNumberFormat="1" applyFont="1" applyBorder="1" applyAlignment="1" applyProtection="1">
      <alignment horizontal="center" vertical="center" wrapText="1"/>
      <protection locked="0"/>
    </xf>
    <xf numFmtId="0" fontId="34" fillId="2" borderId="20" xfId="0" applyFont="1" applyFill="1" applyBorder="1" applyAlignment="1">
      <alignment horizontal="center" vertical="center" wrapText="1"/>
    </xf>
    <xf numFmtId="49" fontId="34" fillId="0" borderId="68" xfId="0" applyNumberFormat="1" applyFont="1" applyBorder="1" applyAlignment="1" applyProtection="1">
      <alignment horizontal="center" vertical="center" wrapText="1"/>
      <protection locked="0"/>
    </xf>
    <xf numFmtId="0" fontId="30" fillId="2" borderId="73" xfId="0" applyFont="1" applyFill="1" applyBorder="1" applyAlignment="1">
      <alignment horizontal="center" vertical="center" wrapText="1"/>
    </xf>
    <xf numFmtId="0" fontId="30" fillId="2" borderId="18" xfId="0" applyFont="1" applyFill="1" applyBorder="1" applyAlignment="1">
      <alignment horizontal="center" vertical="center" wrapText="1"/>
    </xf>
    <xf numFmtId="0" fontId="30" fillId="2" borderId="34" xfId="0" applyFont="1" applyFill="1" applyBorder="1" applyAlignment="1">
      <alignment horizontal="center" vertical="center" wrapText="1"/>
    </xf>
    <xf numFmtId="0" fontId="34" fillId="5" borderId="64" xfId="0" applyFont="1" applyFill="1" applyBorder="1" applyAlignment="1" applyProtection="1">
      <alignment horizontal="center" vertical="center" wrapText="1"/>
      <protection locked="0"/>
    </xf>
    <xf numFmtId="0" fontId="34" fillId="2" borderId="10" xfId="0" applyFont="1" applyFill="1" applyBorder="1" applyAlignment="1">
      <alignment horizontal="center" vertical="center" wrapText="1"/>
    </xf>
    <xf numFmtId="0" fontId="30" fillId="0" borderId="18" xfId="0" applyFont="1" applyBorder="1" applyAlignment="1" applyProtection="1">
      <alignment horizontal="center" vertical="center" wrapText="1"/>
      <protection locked="0"/>
    </xf>
    <xf numFmtId="0" fontId="41" fillId="2" borderId="68" xfId="0" applyFont="1" applyFill="1" applyBorder="1" applyAlignment="1">
      <alignment vertical="center" wrapText="1"/>
    </xf>
    <xf numFmtId="0" fontId="34" fillId="0" borderId="75" xfId="0" applyFont="1" applyBorder="1" applyAlignment="1" applyProtection="1">
      <alignment horizontal="center" vertical="center" wrapText="1"/>
      <protection locked="0"/>
    </xf>
    <xf numFmtId="0" fontId="30" fillId="2" borderId="20" xfId="0" applyFont="1" applyFill="1" applyBorder="1" applyAlignment="1">
      <alignment horizontal="center" vertical="center" wrapText="1"/>
    </xf>
    <xf numFmtId="0" fontId="43" fillId="2" borderId="69" xfId="0" applyFont="1" applyFill="1" applyBorder="1" applyAlignment="1">
      <alignment vertical="center" wrapText="1"/>
    </xf>
    <xf numFmtId="0" fontId="30" fillId="2" borderId="39" xfId="0" applyFont="1" applyFill="1" applyBorder="1" applyAlignment="1">
      <alignment horizontal="center" vertical="center" wrapText="1"/>
    </xf>
    <xf numFmtId="0" fontId="34" fillId="5" borderId="4" xfId="0" applyFont="1" applyFill="1" applyBorder="1" applyAlignment="1" applyProtection="1">
      <alignment horizontal="center" vertical="center" wrapText="1"/>
      <protection locked="0"/>
    </xf>
    <xf numFmtId="0" fontId="45" fillId="2" borderId="68" xfId="0" applyFont="1" applyFill="1" applyBorder="1" applyAlignment="1">
      <alignment vertical="center" textRotation="255" wrapText="1"/>
    </xf>
    <xf numFmtId="0" fontId="30" fillId="2" borderId="10" xfId="0" applyFont="1" applyFill="1" applyBorder="1" applyAlignment="1">
      <alignment horizontal="center" vertical="center" wrapText="1"/>
    </xf>
    <xf numFmtId="9" fontId="30" fillId="0" borderId="64" xfId="0" applyNumberFormat="1" applyFont="1" applyBorder="1" applyAlignment="1" applyProtection="1">
      <alignment horizontal="center" vertical="center" wrapText="1"/>
      <protection locked="0"/>
    </xf>
    <xf numFmtId="9" fontId="30" fillId="0" borderId="11" xfId="0" applyNumberFormat="1" applyFont="1" applyBorder="1" applyAlignment="1" applyProtection="1">
      <alignment horizontal="center" vertical="center" wrapText="1"/>
      <protection locked="0"/>
    </xf>
    <xf numFmtId="9" fontId="30" fillId="0" borderId="6" xfId="0" applyNumberFormat="1" applyFont="1" applyBorder="1" applyAlignment="1" applyProtection="1">
      <alignment horizontal="center" vertical="center" wrapText="1"/>
      <protection locked="0"/>
    </xf>
    <xf numFmtId="0" fontId="39" fillId="2" borderId="68" xfId="0" applyFont="1" applyFill="1" applyBorder="1" applyAlignment="1">
      <alignment vertical="center" textRotation="255" wrapText="1"/>
    </xf>
    <xf numFmtId="0" fontId="34" fillId="5" borderId="6" xfId="0" applyFont="1" applyFill="1" applyBorder="1" applyAlignment="1" applyProtection="1">
      <alignment horizontal="center" vertical="center" wrapText="1"/>
      <protection locked="0"/>
    </xf>
    <xf numFmtId="0" fontId="30" fillId="5" borderId="64" xfId="0" applyFont="1" applyFill="1" applyBorder="1" applyAlignment="1" applyProtection="1">
      <alignment horizontal="center" vertical="center" wrapText="1"/>
      <protection locked="0"/>
    </xf>
    <xf numFmtId="0" fontId="41" fillId="2" borderId="68" xfId="0" applyFont="1" applyFill="1" applyBorder="1" applyAlignment="1">
      <alignment vertical="center" textRotation="255" wrapText="1"/>
    </xf>
    <xf numFmtId="0" fontId="39" fillId="2" borderId="76" xfId="0" applyFont="1" applyFill="1" applyBorder="1" applyAlignment="1">
      <alignment vertical="center" textRotation="255" wrapText="1"/>
    </xf>
    <xf numFmtId="0" fontId="30" fillId="0" borderId="42" xfId="0" applyFont="1" applyBorder="1" applyAlignment="1" applyProtection="1">
      <alignment horizontal="center" vertical="center" wrapText="1"/>
      <protection locked="0"/>
    </xf>
    <xf numFmtId="0" fontId="34" fillId="0" borderId="77" xfId="0" applyFont="1" applyBorder="1" applyAlignment="1" applyProtection="1">
      <alignment horizontal="center" vertical="center" wrapText="1"/>
      <protection locked="0"/>
    </xf>
    <xf numFmtId="0" fontId="34" fillId="2" borderId="15" xfId="0" applyFont="1" applyFill="1" applyBorder="1" applyAlignment="1">
      <alignment horizontal="center" vertical="center" wrapText="1"/>
    </xf>
    <xf numFmtId="0" fontId="30" fillId="0" borderId="77" xfId="0" applyFont="1" applyBorder="1" applyAlignment="1" applyProtection="1">
      <alignment horizontal="center" vertical="center" wrapText="1"/>
      <protection locked="0"/>
    </xf>
    <xf numFmtId="0" fontId="34" fillId="2" borderId="42" xfId="0" applyFont="1" applyFill="1" applyBorder="1" applyAlignment="1">
      <alignment horizontal="center" vertical="center" wrapText="1"/>
    </xf>
    <xf numFmtId="49" fontId="39" fillId="2" borderId="59" xfId="0" applyNumberFormat="1" applyFont="1" applyFill="1" applyBorder="1">
      <alignment vertical="center"/>
    </xf>
    <xf numFmtId="49" fontId="39" fillId="2" borderId="78" xfId="0" applyNumberFormat="1" applyFont="1" applyFill="1" applyBorder="1">
      <alignment vertical="center"/>
    </xf>
    <xf numFmtId="0" fontId="39" fillId="2" borderId="59" xfId="0" applyFont="1" applyFill="1" applyBorder="1" applyAlignment="1">
      <alignment horizontal="right" vertical="center" wrapText="1"/>
    </xf>
    <xf numFmtId="0" fontId="39" fillId="2" borderId="44" xfId="0" applyFont="1" applyFill="1" applyBorder="1" applyAlignment="1">
      <alignment vertical="center" wrapText="1"/>
    </xf>
    <xf numFmtId="0" fontId="46" fillId="7" borderId="78" xfId="0" applyFont="1" applyFill="1" applyBorder="1" applyAlignment="1" applyProtection="1">
      <alignment vertical="center" wrapText="1"/>
      <protection locked="0"/>
    </xf>
    <xf numFmtId="0" fontId="46" fillId="2" borderId="78" xfId="0" applyFont="1" applyFill="1" applyBorder="1" applyAlignment="1">
      <alignment vertical="center" wrapText="1"/>
    </xf>
    <xf numFmtId="0" fontId="46" fillId="7" borderId="59" xfId="0" applyFont="1" applyFill="1" applyBorder="1" applyAlignment="1" applyProtection="1">
      <alignment vertical="center" wrapText="1"/>
      <protection locked="0"/>
    </xf>
    <xf numFmtId="0" fontId="46" fillId="2" borderId="44" xfId="0" applyFont="1" applyFill="1" applyBorder="1" applyAlignment="1">
      <alignment vertical="center" wrapText="1"/>
    </xf>
    <xf numFmtId="49" fontId="39" fillId="2" borderId="77" xfId="0" applyNumberFormat="1" applyFont="1" applyFill="1" applyBorder="1">
      <alignment vertical="center"/>
    </xf>
    <xf numFmtId="49" fontId="39" fillId="2" borderId="79" xfId="0" applyNumberFormat="1" applyFont="1" applyFill="1" applyBorder="1">
      <alignment vertical="center"/>
    </xf>
    <xf numFmtId="0" fontId="39" fillId="2" borderId="77" xfId="0" applyFont="1" applyFill="1" applyBorder="1" applyAlignment="1">
      <alignment vertical="center" wrapText="1"/>
    </xf>
    <xf numFmtId="0" fontId="22" fillId="8" borderId="53" xfId="0" applyFont="1" applyFill="1" applyBorder="1" applyAlignment="1" applyProtection="1">
      <alignment horizontal="left" vertical="center" wrapText="1"/>
      <protection locked="0"/>
    </xf>
    <xf numFmtId="0" fontId="39" fillId="2" borderId="79" xfId="0" applyFont="1" applyFill="1" applyBorder="1" applyAlignment="1">
      <alignment vertical="center" wrapText="1"/>
    </xf>
    <xf numFmtId="180" fontId="39" fillId="8" borderId="53" xfId="0" applyNumberFormat="1" applyFont="1" applyFill="1" applyBorder="1" applyAlignment="1" applyProtection="1">
      <alignment horizontal="left" vertical="center" wrapText="1"/>
      <protection locked="0"/>
    </xf>
    <xf numFmtId="49" fontId="39" fillId="0" borderId="32" xfId="0" applyNumberFormat="1" applyFont="1" applyBorder="1" applyProtection="1">
      <alignment vertical="center"/>
      <protection locked="0"/>
    </xf>
    <xf numFmtId="49" fontId="39" fillId="0" borderId="67" xfId="0" applyNumberFormat="1" applyFont="1" applyBorder="1" applyProtection="1">
      <alignment vertical="center"/>
      <protection locked="0"/>
    </xf>
    <xf numFmtId="0" fontId="34" fillId="9" borderId="0" xfId="0" applyFont="1" applyFill="1" applyAlignment="1" applyProtection="1">
      <alignment horizontal="center" vertical="center"/>
      <protection locked="0"/>
    </xf>
    <xf numFmtId="9" fontId="34" fillId="9" borderId="0" xfId="0" applyNumberFormat="1" applyFont="1" applyFill="1" applyAlignment="1" applyProtection="1">
      <alignment horizontal="center" vertical="center"/>
      <protection locked="0"/>
    </xf>
    <xf numFmtId="0" fontId="39" fillId="2" borderId="1" xfId="0" applyFont="1" applyFill="1" applyBorder="1" applyAlignment="1">
      <alignment horizontal="left" vertical="center"/>
    </xf>
    <xf numFmtId="0" fontId="39" fillId="2" borderId="1" xfId="0" applyFont="1" applyFill="1" applyBorder="1" applyAlignment="1">
      <alignment horizontal="center" vertical="center" wrapText="1"/>
    </xf>
    <xf numFmtId="180" fontId="34" fillId="2" borderId="10" xfId="0" applyNumberFormat="1" applyFont="1" applyFill="1" applyBorder="1" applyAlignment="1">
      <alignment horizontal="center" vertical="center"/>
    </xf>
    <xf numFmtId="180" fontId="34" fillId="2" borderId="11" xfId="0" applyNumberFormat="1" applyFont="1" applyFill="1" applyBorder="1">
      <alignment vertical="center"/>
    </xf>
    <xf numFmtId="0" fontId="39" fillId="2" borderId="11" xfId="0" applyFont="1" applyFill="1" applyBorder="1" applyAlignment="1">
      <alignment horizontal="center" vertical="center" wrapText="1"/>
    </xf>
    <xf numFmtId="0" fontId="33" fillId="9" borderId="0" xfId="0"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14" fontId="34" fillId="2" borderId="0" xfId="0" applyNumberFormat="1" applyFont="1" applyFill="1" applyAlignment="1" applyProtection="1">
      <alignment horizontal="center" vertical="center"/>
      <protection locked="0"/>
    </xf>
    <xf numFmtId="183" fontId="34" fillId="2" borderId="0" xfId="0" applyNumberFormat="1" applyFont="1" applyFill="1" applyAlignment="1" applyProtection="1">
      <alignment horizontal="center" vertical="center"/>
      <protection locked="0"/>
    </xf>
    <xf numFmtId="0" fontId="34" fillId="2" borderId="0" xfId="0" applyFont="1" applyFill="1" applyAlignment="1" applyProtection="1">
      <alignment horizontal="center" vertical="center"/>
      <protection locked="0"/>
    </xf>
    <xf numFmtId="0" fontId="47" fillId="2" borderId="0" xfId="0" applyFont="1" applyFill="1" applyAlignment="1"/>
    <xf numFmtId="0" fontId="34" fillId="2" borderId="0" xfId="0" applyFont="1" applyFill="1" applyAlignment="1"/>
    <xf numFmtId="0" fontId="34" fillId="2" borderId="0" xfId="0" applyFont="1" applyFill="1" applyAlignment="1">
      <alignment horizontal="center"/>
    </xf>
    <xf numFmtId="0" fontId="41" fillId="2" borderId="19" xfId="0" applyFont="1" applyFill="1" applyBorder="1" applyAlignment="1">
      <alignment vertical="center" wrapText="1"/>
    </xf>
    <xf numFmtId="0" fontId="41" fillId="2" borderId="71" xfId="0" applyFont="1" applyFill="1" applyBorder="1" applyAlignment="1">
      <alignment vertical="center" wrapText="1"/>
    </xf>
    <xf numFmtId="184" fontId="30" fillId="2" borderId="56" xfId="0" applyNumberFormat="1" applyFont="1" applyFill="1" applyBorder="1" applyAlignment="1">
      <alignment horizontal="center" vertical="center" wrapText="1"/>
    </xf>
    <xf numFmtId="184" fontId="30" fillId="2" borderId="5" xfId="0" applyNumberFormat="1" applyFont="1" applyFill="1" applyBorder="1" applyAlignment="1">
      <alignment horizontal="center" vertical="center" wrapText="1"/>
    </xf>
    <xf numFmtId="0" fontId="41" fillId="2" borderId="21" xfId="0" applyFont="1" applyFill="1" applyBorder="1" applyAlignment="1">
      <alignment vertical="center" wrapText="1"/>
    </xf>
    <xf numFmtId="0" fontId="41" fillId="2" borderId="74" xfId="0" applyFont="1" applyFill="1" applyBorder="1" applyAlignment="1">
      <alignment vertical="center" wrapText="1"/>
    </xf>
    <xf numFmtId="0" fontId="30" fillId="2" borderId="58" xfId="0" applyFont="1" applyFill="1" applyBorder="1" applyAlignment="1">
      <alignment horizontal="center" vertical="center" wrapText="1"/>
    </xf>
    <xf numFmtId="0" fontId="30" fillId="0" borderId="9" xfId="0" applyFont="1" applyBorder="1" applyAlignment="1" applyProtection="1">
      <alignment horizontal="center" vertical="center" wrapText="1"/>
      <protection locked="0"/>
    </xf>
    <xf numFmtId="0" fontId="41" fillId="2" borderId="32" xfId="0" applyFont="1" applyFill="1" applyBorder="1">
      <alignment vertical="center"/>
    </xf>
    <xf numFmtId="0" fontId="41" fillId="2" borderId="43" xfId="0" applyFont="1" applyFill="1" applyBorder="1" applyAlignment="1">
      <alignment vertical="center" wrapText="1"/>
    </xf>
    <xf numFmtId="0" fontId="30" fillId="0" borderId="43" xfId="0" applyFont="1" applyBorder="1" applyAlignment="1" applyProtection="1">
      <alignment horizontal="center" vertical="center" wrapText="1"/>
      <protection locked="0"/>
    </xf>
    <xf numFmtId="0" fontId="30" fillId="0" borderId="80" xfId="0" applyFont="1" applyBorder="1" applyAlignment="1" applyProtection="1">
      <alignment horizontal="center" vertical="center" wrapText="1"/>
      <protection locked="0"/>
    </xf>
    <xf numFmtId="0" fontId="41" fillId="2" borderId="20" xfId="0" applyFont="1" applyFill="1" applyBorder="1" applyAlignment="1">
      <alignment vertical="center" wrapText="1"/>
    </xf>
    <xf numFmtId="0" fontId="30" fillId="2" borderId="81" xfId="0" applyFont="1" applyFill="1" applyBorder="1" applyAlignment="1">
      <alignment horizontal="center" vertical="center" wrapText="1"/>
    </xf>
    <xf numFmtId="0" fontId="30" fillId="0" borderId="3" xfId="0" applyFont="1" applyBorder="1" applyAlignment="1" applyProtection="1">
      <alignment horizontal="center" vertical="center" wrapText="1"/>
      <protection locked="0"/>
    </xf>
    <xf numFmtId="0" fontId="39" fillId="2" borderId="69" xfId="0" applyFont="1" applyFill="1" applyBorder="1" applyAlignment="1">
      <alignment vertical="center" wrapText="1"/>
    </xf>
    <xf numFmtId="0" fontId="30" fillId="2" borderId="41" xfId="0" applyFont="1" applyFill="1" applyBorder="1" applyAlignment="1">
      <alignment horizontal="center" vertical="center" wrapText="1"/>
    </xf>
    <xf numFmtId="0" fontId="34" fillId="2" borderId="5" xfId="0" applyFont="1" applyFill="1" applyBorder="1" applyAlignment="1">
      <alignment horizontal="center" vertical="center" wrapText="1"/>
    </xf>
    <xf numFmtId="0" fontId="34" fillId="0" borderId="5" xfId="0" applyFont="1" applyBorder="1" applyAlignment="1" applyProtection="1">
      <alignment horizontal="center" vertical="center" wrapText="1"/>
      <protection locked="0"/>
    </xf>
    <xf numFmtId="0" fontId="32" fillId="2" borderId="82" xfId="0" applyFont="1" applyFill="1" applyBorder="1" applyAlignment="1">
      <alignment horizontal="center" vertical="center" wrapText="1"/>
    </xf>
    <xf numFmtId="0" fontId="34" fillId="0" borderId="83" xfId="0" applyFont="1" applyBorder="1" applyAlignment="1" applyProtection="1">
      <alignment horizontal="center" vertical="center" wrapText="1"/>
      <protection locked="0"/>
    </xf>
    <xf numFmtId="0" fontId="30" fillId="2" borderId="84" xfId="0" applyFont="1" applyFill="1" applyBorder="1" applyAlignment="1">
      <alignment horizontal="center" vertical="center" wrapText="1"/>
    </xf>
    <xf numFmtId="0" fontId="34" fillId="2" borderId="85" xfId="0" applyFont="1" applyFill="1" applyBorder="1" applyAlignment="1">
      <alignment horizontal="center" vertical="center" wrapText="1"/>
    </xf>
    <xf numFmtId="0" fontId="30" fillId="2" borderId="82" xfId="0" applyFont="1" applyFill="1" applyBorder="1" applyAlignment="1">
      <alignment horizontal="center" vertical="center" wrapText="1"/>
    </xf>
    <xf numFmtId="0" fontId="34" fillId="2" borderId="83" xfId="0" applyFont="1" applyFill="1" applyBorder="1" applyAlignment="1">
      <alignment horizontal="center" vertical="center" wrapText="1"/>
    </xf>
    <xf numFmtId="0" fontId="34" fillId="2" borderId="35" xfId="0" applyFont="1" applyFill="1" applyBorder="1" applyAlignment="1">
      <alignment horizontal="center" vertical="center" wrapText="1"/>
    </xf>
    <xf numFmtId="0" fontId="34" fillId="0" borderId="1" xfId="0" applyFont="1" applyBorder="1" applyAlignment="1" applyProtection="1">
      <alignment horizontal="center" vertical="center" wrapText="1"/>
      <protection locked="0"/>
    </xf>
    <xf numFmtId="0" fontId="30" fillId="0" borderId="83" xfId="0" applyFont="1" applyBorder="1" applyAlignment="1" applyProtection="1">
      <alignment horizontal="center" vertical="center" wrapText="1"/>
      <protection locked="0"/>
    </xf>
    <xf numFmtId="0" fontId="45" fillId="2" borderId="68" xfId="0" applyFont="1" applyFill="1" applyBorder="1" applyAlignment="1">
      <alignment vertical="center" wrapText="1"/>
    </xf>
    <xf numFmtId="0" fontId="30" fillId="0" borderId="85" xfId="0" applyFont="1" applyBorder="1" applyAlignment="1" applyProtection="1">
      <alignment horizontal="center" vertical="center" wrapText="1"/>
      <protection locked="0"/>
    </xf>
    <xf numFmtId="0" fontId="32" fillId="0" borderId="85" xfId="0" applyFont="1" applyBorder="1" applyAlignment="1" applyProtection="1">
      <alignment horizontal="center" vertical="center" wrapText="1"/>
      <protection locked="0"/>
    </xf>
    <xf numFmtId="0" fontId="32" fillId="0" borderId="83" xfId="0" applyFont="1" applyBorder="1" applyAlignment="1" applyProtection="1">
      <alignment horizontal="center" vertical="center" wrapText="1"/>
      <protection locked="0"/>
    </xf>
    <xf numFmtId="0" fontId="30" fillId="2" borderId="5" xfId="0" applyFont="1" applyFill="1" applyBorder="1" applyAlignment="1">
      <alignment horizontal="center" vertical="center" wrapText="1"/>
    </xf>
    <xf numFmtId="0" fontId="44" fillId="2" borderId="84" xfId="0" applyFont="1" applyFill="1" applyBorder="1" applyAlignment="1">
      <alignment horizontal="center" vertical="center" wrapText="1"/>
    </xf>
    <xf numFmtId="0" fontId="30" fillId="2" borderId="85" xfId="0" applyFont="1" applyFill="1" applyBorder="1" applyAlignment="1">
      <alignment horizontal="center" vertical="center" wrapText="1"/>
    </xf>
    <xf numFmtId="179" fontId="36" fillId="2" borderId="54" xfId="0" applyNumberFormat="1" applyFont="1" applyFill="1" applyBorder="1" applyAlignment="1">
      <alignment horizontal="center" vertical="center"/>
    </xf>
    <xf numFmtId="180" fontId="36" fillId="2" borderId="54" xfId="0" applyNumberFormat="1" applyFont="1" applyFill="1" applyBorder="1" applyProtection="1">
      <alignment vertical="center"/>
      <protection locked="0"/>
    </xf>
    <xf numFmtId="0" fontId="36" fillId="2" borderId="54" xfId="0" applyFont="1" applyFill="1" applyBorder="1" applyAlignment="1" applyProtection="1">
      <alignment horizontal="center" vertical="center"/>
      <protection locked="0"/>
    </xf>
    <xf numFmtId="0" fontId="36" fillId="2" borderId="0" xfId="0" applyFont="1" applyFill="1" applyAlignment="1" applyProtection="1">
      <alignment horizontal="center" vertical="center"/>
      <protection locked="0"/>
    </xf>
    <xf numFmtId="179" fontId="36" fillId="2" borderId="0" xfId="0" applyNumberFormat="1" applyFont="1" applyFill="1" applyAlignment="1" applyProtection="1">
      <alignment horizontal="center" vertical="center"/>
      <protection locked="0"/>
    </xf>
    <xf numFmtId="180" fontId="36" fillId="2" borderId="0" xfId="0" applyNumberFormat="1" applyFont="1" applyFill="1" applyProtection="1">
      <alignment vertical="center"/>
      <protection locked="0"/>
    </xf>
    <xf numFmtId="179" fontId="30" fillId="2" borderId="11" xfId="0" applyNumberFormat="1" applyFont="1" applyFill="1" applyBorder="1" applyAlignment="1">
      <alignment horizontal="center" vertical="center" wrapText="1"/>
    </xf>
    <xf numFmtId="180" fontId="30" fillId="2" borderId="0" xfId="0" applyNumberFormat="1" applyFont="1" applyFill="1" applyAlignment="1" applyProtection="1">
      <alignment vertical="center" wrapText="1"/>
      <protection locked="0"/>
    </xf>
    <xf numFmtId="0" fontId="30" fillId="2" borderId="11" xfId="0" applyFont="1" applyFill="1" applyBorder="1" applyAlignment="1">
      <alignment horizontal="center" vertical="center" wrapText="1"/>
    </xf>
    <xf numFmtId="180"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10" xfId="0" applyFont="1" applyFill="1" applyBorder="1" applyAlignment="1">
      <alignment horizontal="center" vertical="center"/>
    </xf>
    <xf numFmtId="0" fontId="30" fillId="2" borderId="74" xfId="0" applyFont="1" applyFill="1" applyBorder="1" applyAlignment="1" applyProtection="1">
      <alignment horizontal="center" vertical="center"/>
      <protection locked="0"/>
    </xf>
    <xf numFmtId="0" fontId="34" fillId="2" borderId="1" xfId="0" applyFont="1" applyFill="1" applyBorder="1" applyAlignment="1">
      <alignment horizontal="center" vertical="center" wrapText="1"/>
    </xf>
    <xf numFmtId="0" fontId="48" fillId="0" borderId="11" xfId="0" applyFont="1" applyBorder="1" applyAlignment="1" applyProtection="1">
      <alignment horizontal="center" vertical="center" wrapText="1"/>
      <protection locked="0"/>
    </xf>
    <xf numFmtId="180" fontId="31" fillId="2" borderId="0" xfId="0" applyNumberFormat="1" applyFont="1" applyFill="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0" fontId="48" fillId="2" borderId="11" xfId="0" applyFont="1" applyFill="1" applyBorder="1" applyAlignment="1">
      <alignment horizontal="center" vertical="center" wrapText="1"/>
    </xf>
    <xf numFmtId="180" fontId="32" fillId="2" borderId="0" xfId="0" applyNumberFormat="1" applyFont="1" applyFill="1" applyAlignment="1" applyProtection="1">
      <alignment horizontal="center" vertical="center" wrapText="1"/>
      <protection locked="0"/>
    </xf>
    <xf numFmtId="0" fontId="34" fillId="2" borderId="74" xfId="0" applyFont="1" applyFill="1" applyBorder="1" applyAlignment="1" applyProtection="1">
      <alignment horizontal="center" vertical="center"/>
      <protection locked="0"/>
    </xf>
    <xf numFmtId="180" fontId="33" fillId="2" borderId="0" xfId="0" applyNumberFormat="1" applyFont="1" applyFill="1" applyAlignment="1" applyProtection="1">
      <alignment horizontal="center" vertical="center" wrapText="1"/>
      <protection locked="0"/>
    </xf>
    <xf numFmtId="0" fontId="48" fillId="0" borderId="22" xfId="0" applyFont="1" applyBorder="1" applyAlignment="1" applyProtection="1">
      <alignment horizontal="center" vertical="center" wrapText="1"/>
      <protection locked="0"/>
    </xf>
    <xf numFmtId="0" fontId="34" fillId="2" borderId="9" xfId="0" applyFont="1" applyFill="1" applyBorder="1" applyAlignment="1">
      <alignment horizontal="center" vertical="center" wrapText="1"/>
    </xf>
    <xf numFmtId="0" fontId="48" fillId="2" borderId="29" xfId="0" applyFont="1" applyFill="1" applyBorder="1" applyAlignment="1">
      <alignment horizontal="center" vertical="center" wrapText="1"/>
    </xf>
    <xf numFmtId="0" fontId="48" fillId="2" borderId="68" xfId="0" applyFont="1" applyFill="1" applyBorder="1" applyAlignment="1">
      <alignment horizontal="center" vertical="center" wrapText="1"/>
    </xf>
    <xf numFmtId="0" fontId="34" fillId="2" borderId="9" xfId="0" applyFont="1" applyFill="1" applyBorder="1" applyAlignment="1">
      <alignment horizontal="center" vertical="center" textRotation="255" wrapText="1"/>
    </xf>
    <xf numFmtId="0" fontId="32" fillId="2" borderId="0" xfId="0" applyFont="1" applyFill="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0" fontId="34" fillId="2" borderId="35" xfId="0" applyFont="1" applyFill="1" applyBorder="1" applyAlignment="1">
      <alignment horizontal="center" vertical="center" textRotation="255" wrapText="1"/>
    </xf>
    <xf numFmtId="179" fontId="34" fillId="2" borderId="11" xfId="0" applyNumberFormat="1" applyFont="1" applyFill="1" applyBorder="1" applyAlignment="1">
      <alignment horizontal="center" vertical="center"/>
    </xf>
    <xf numFmtId="180" fontId="34" fillId="2" borderId="0" xfId="0" applyNumberFormat="1" applyFont="1" applyFill="1" applyAlignment="1" applyProtection="1">
      <alignment vertical="center" wrapText="1"/>
      <protection locked="0"/>
    </xf>
    <xf numFmtId="183" fontId="34" fillId="8" borderId="46" xfId="0" applyNumberFormat="1" applyFont="1" applyFill="1" applyBorder="1" applyAlignment="1">
      <alignment horizontal="left" vertical="center" wrapText="1"/>
    </xf>
    <xf numFmtId="179" fontId="34" fillId="2" borderId="1" xfId="0" applyNumberFormat="1" applyFont="1" applyFill="1" applyBorder="1" applyAlignment="1">
      <alignment horizontal="center" vertical="center" wrapText="1"/>
    </xf>
    <xf numFmtId="179" fontId="34" fillId="9" borderId="0" xfId="0" applyNumberFormat="1" applyFont="1" applyFill="1" applyAlignment="1" applyProtection="1">
      <alignment horizontal="center" vertical="center"/>
      <protection locked="0"/>
    </xf>
    <xf numFmtId="180" fontId="34" fillId="2" borderId="0" xfId="0" applyNumberFormat="1" applyFont="1" applyFill="1" applyAlignment="1" applyProtection="1">
      <alignment horizontal="center" vertical="center"/>
      <protection locked="0"/>
    </xf>
    <xf numFmtId="179" fontId="33" fillId="9" borderId="0" xfId="0" applyNumberFormat="1" applyFont="1" applyFill="1" applyAlignment="1" applyProtection="1">
      <alignment horizontal="center" vertical="center"/>
      <protection locked="0"/>
    </xf>
    <xf numFmtId="180" fontId="33" fillId="2" borderId="0" xfId="0" applyNumberFormat="1" applyFont="1" applyFill="1" applyAlignment="1" applyProtection="1">
      <alignment horizontal="center" vertical="center"/>
      <protection locked="0"/>
    </xf>
    <xf numFmtId="179" fontId="33" fillId="2" borderId="0" xfId="0" applyNumberFormat="1" applyFont="1" applyFill="1" applyAlignment="1" applyProtection="1">
      <alignment horizontal="center" vertical="center"/>
      <protection locked="0"/>
    </xf>
    <xf numFmtId="179" fontId="34" fillId="2" borderId="0" xfId="0" applyNumberFormat="1" applyFont="1" applyFill="1" applyAlignment="1" applyProtection="1">
      <alignment horizontal="center" vertical="center"/>
      <protection locked="0"/>
    </xf>
    <xf numFmtId="179" fontId="34" fillId="2" borderId="0" xfId="0" applyNumberFormat="1" applyFont="1" applyFill="1" applyAlignment="1">
      <alignment horizontal="center"/>
    </xf>
    <xf numFmtId="180" fontId="34" fillId="2" borderId="0" xfId="0" applyNumberFormat="1" applyFont="1" applyFill="1" applyAlignment="1"/>
    <xf numFmtId="0" fontId="34" fillId="2" borderId="0" xfId="0" applyFont="1" applyFill="1" applyAlignment="1" applyProtection="1">
      <protection locked="0"/>
    </xf>
    <xf numFmtId="49" fontId="30" fillId="2" borderId="0" xfId="0" applyNumberFormat="1" applyFont="1" applyFill="1" applyAlignment="1" applyProtection="1">
      <alignment horizontal="center" vertical="center"/>
      <protection locked="0"/>
    </xf>
    <xf numFmtId="0" fontId="30" fillId="0" borderId="57" xfId="0" applyFont="1" applyBorder="1" applyAlignment="1" applyProtection="1">
      <alignment horizontal="center" vertical="center" wrapText="1"/>
      <protection locked="0"/>
    </xf>
    <xf numFmtId="9" fontId="30" fillId="2" borderId="0" xfId="0" applyNumberFormat="1" applyFont="1" applyFill="1" applyAlignment="1" applyProtection="1">
      <alignment horizontal="center" vertical="center" wrapText="1"/>
      <protection locked="0"/>
    </xf>
    <xf numFmtId="0" fontId="30" fillId="0" borderId="16" xfId="0" applyFont="1" applyBorder="1" applyAlignment="1" applyProtection="1">
      <alignment horizontal="center" vertical="center" wrapText="1"/>
      <protection locked="0"/>
    </xf>
    <xf numFmtId="0" fontId="30" fillId="0" borderId="86" xfId="0" applyFont="1" applyBorder="1" applyAlignment="1" applyProtection="1">
      <alignment horizontal="center" vertical="center" wrapText="1"/>
      <protection locked="0"/>
    </xf>
    <xf numFmtId="0" fontId="30" fillId="0" borderId="3" xfId="0" applyFont="1" applyBorder="1" applyAlignment="1" applyProtection="1">
      <alignment horizontal="left" vertical="center" wrapText="1"/>
      <protection locked="0"/>
    </xf>
    <xf numFmtId="0" fontId="30" fillId="0" borderId="72" xfId="0" applyFont="1" applyBorder="1" applyAlignment="1" applyProtection="1">
      <alignment horizontal="center" vertical="center" wrapText="1"/>
      <protection locked="0"/>
    </xf>
    <xf numFmtId="0" fontId="30" fillId="2" borderId="0" xfId="0" applyFont="1" applyFill="1" applyAlignment="1" applyProtection="1">
      <alignment horizontal="center" vertical="center" wrapText="1"/>
      <protection locked="0"/>
    </xf>
    <xf numFmtId="0" fontId="49" fillId="2" borderId="0" xfId="0" applyFont="1" applyFill="1" applyProtection="1">
      <alignment vertical="center"/>
      <protection locked="0"/>
    </xf>
    <xf numFmtId="0" fontId="33" fillId="0" borderId="5" xfId="0" applyFont="1" applyBorder="1" applyAlignment="1" applyProtection="1">
      <alignment horizontal="center" vertical="center" wrapText="1"/>
      <protection locked="0"/>
    </xf>
    <xf numFmtId="0" fontId="33" fillId="0" borderId="5" xfId="0" applyFont="1" applyBorder="1" applyAlignment="1" applyProtection="1">
      <alignment horizontal="left" vertical="center" wrapText="1"/>
      <protection locked="0"/>
    </xf>
    <xf numFmtId="0" fontId="33" fillId="0" borderId="13"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34" fillId="0" borderId="87" xfId="0" applyFont="1" applyBorder="1" applyAlignment="1" applyProtection="1">
      <alignment horizontal="center" vertical="center" wrapText="1"/>
      <protection locked="0"/>
    </xf>
    <xf numFmtId="0" fontId="34" fillId="2" borderId="0" xfId="0" applyFont="1" applyFill="1" applyAlignment="1" applyProtection="1">
      <alignment horizontal="center" vertical="center" wrapText="1"/>
      <protection locked="0"/>
    </xf>
    <xf numFmtId="0" fontId="33" fillId="2" borderId="85" xfId="0" applyFont="1" applyFill="1" applyBorder="1" applyAlignment="1">
      <alignment horizontal="center" vertical="center" wrapText="1"/>
    </xf>
    <xf numFmtId="0" fontId="33" fillId="2" borderId="85" xfId="0" applyFont="1" applyFill="1" applyBorder="1" applyAlignment="1">
      <alignment horizontal="left" vertical="center" wrapText="1"/>
    </xf>
    <xf numFmtId="0" fontId="33" fillId="2" borderId="88" xfId="0" applyFont="1" applyFill="1" applyBorder="1" applyAlignment="1">
      <alignment horizontal="center" vertical="center" wrapText="1"/>
    </xf>
    <xf numFmtId="0" fontId="34" fillId="2" borderId="87"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33" fillId="0" borderId="1" xfId="0" applyFont="1" applyBorder="1" applyAlignment="1" applyProtection="1">
      <alignment horizontal="left" vertical="center" wrapText="1"/>
      <protection locked="0"/>
    </xf>
    <xf numFmtId="0" fontId="33" fillId="0" borderId="14" xfId="0" applyFont="1" applyBorder="1" applyAlignment="1" applyProtection="1">
      <alignment horizontal="center" vertical="center" wrapText="1"/>
      <protection locked="0"/>
    </xf>
    <xf numFmtId="0" fontId="32" fillId="0" borderId="85" xfId="0" applyFont="1" applyBorder="1" applyAlignment="1" applyProtection="1">
      <alignment horizontal="left" vertical="center" wrapText="1"/>
      <protection locked="0"/>
    </xf>
    <xf numFmtId="0" fontId="32" fillId="0" borderId="88"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2" fillId="0" borderId="87" xfId="0" applyFont="1" applyBorder="1" applyAlignment="1" applyProtection="1">
      <alignment horizontal="center" vertical="center" wrapText="1"/>
      <protection locked="0"/>
    </xf>
    <xf numFmtId="0" fontId="33" fillId="2" borderId="5" xfId="0" applyFont="1" applyFill="1" applyBorder="1" applyAlignment="1">
      <alignment horizontal="center" vertical="center" wrapText="1"/>
    </xf>
    <xf numFmtId="0" fontId="33" fillId="2" borderId="5" xfId="0" applyFont="1" applyFill="1" applyBorder="1" applyAlignment="1">
      <alignment horizontal="left" vertical="center" wrapText="1"/>
    </xf>
    <xf numFmtId="0" fontId="33" fillId="2" borderId="13" xfId="0" applyFont="1" applyFill="1" applyBorder="1" applyAlignment="1">
      <alignment horizontal="center" vertical="center" wrapText="1"/>
    </xf>
    <xf numFmtId="0" fontId="30" fillId="2" borderId="0" xfId="0" applyFont="1" applyFill="1" applyAlignment="1" applyProtection="1">
      <alignment vertical="center" wrapText="1"/>
      <protection locked="0"/>
    </xf>
    <xf numFmtId="0" fontId="34" fillId="2" borderId="58" xfId="0" applyFont="1" applyFill="1" applyBorder="1" applyAlignment="1">
      <alignment horizontal="center" vertical="center" wrapText="1"/>
    </xf>
    <xf numFmtId="0" fontId="34" fillId="2" borderId="18" xfId="0" applyFont="1" applyFill="1" applyBorder="1" applyAlignment="1">
      <alignment horizontal="center" vertical="center"/>
    </xf>
    <xf numFmtId="0" fontId="34" fillId="2" borderId="58" xfId="0" applyFont="1" applyFill="1" applyBorder="1" applyAlignment="1">
      <alignment horizontal="center" vertical="center"/>
    </xf>
    <xf numFmtId="0" fontId="34" fillId="2" borderId="1" xfId="0" applyFont="1" applyFill="1" applyBorder="1" applyAlignment="1">
      <alignment horizontal="center" vertical="center"/>
    </xf>
    <xf numFmtId="0" fontId="34" fillId="2" borderId="35" xfId="0" applyFont="1" applyFill="1" applyBorder="1" applyAlignment="1">
      <alignment horizontal="center" vertical="center"/>
    </xf>
    <xf numFmtId="0" fontId="34" fillId="2" borderId="74" xfId="0" applyFont="1" applyFill="1" applyBorder="1" applyAlignment="1">
      <alignment horizontal="center" vertical="center" wrapText="1"/>
    </xf>
    <xf numFmtId="0" fontId="34" fillId="2" borderId="20" xfId="0" applyFont="1" applyFill="1" applyBorder="1" applyAlignment="1">
      <alignment horizontal="center" vertical="center"/>
    </xf>
    <xf numFmtId="0" fontId="34" fillId="2" borderId="74" xfId="0" applyFont="1" applyFill="1" applyBorder="1" applyAlignment="1">
      <alignment horizontal="center" vertical="center"/>
    </xf>
    <xf numFmtId="0" fontId="34" fillId="2" borderId="81" xfId="0" applyFont="1" applyFill="1" applyBorder="1" applyAlignment="1">
      <alignment horizontal="center" vertical="center" wrapText="1"/>
    </xf>
    <xf numFmtId="0" fontId="34" fillId="2" borderId="34" xfId="0" applyFont="1" applyFill="1" applyBorder="1" applyAlignment="1">
      <alignment horizontal="center" vertical="center"/>
    </xf>
    <xf numFmtId="0" fontId="34" fillId="2" borderId="81" xfId="0" applyFont="1" applyFill="1" applyBorder="1" applyAlignment="1">
      <alignment horizontal="center" vertical="center"/>
    </xf>
    <xf numFmtId="0" fontId="30" fillId="2" borderId="12" xfId="0" applyFont="1" applyFill="1" applyBorder="1" applyAlignment="1">
      <alignment horizontal="center" vertical="center"/>
    </xf>
    <xf numFmtId="185" fontId="30" fillId="2" borderId="10" xfId="0" applyNumberFormat="1" applyFont="1" applyFill="1" applyBorder="1" applyAlignment="1">
      <alignment horizontal="center" vertical="center"/>
    </xf>
    <xf numFmtId="49" fontId="30" fillId="2" borderId="11" xfId="0" applyNumberFormat="1" applyFont="1" applyFill="1" applyBorder="1" applyAlignment="1">
      <alignment horizontal="center" vertical="center"/>
    </xf>
    <xf numFmtId="0" fontId="30" fillId="2" borderId="35" xfId="0" applyFont="1" applyFill="1" applyBorder="1" applyAlignment="1">
      <alignment horizontal="center" vertical="center"/>
    </xf>
    <xf numFmtId="0" fontId="30" fillId="2" borderId="11" xfId="0" applyFont="1" applyFill="1" applyBorder="1" applyAlignment="1">
      <alignment horizontal="center" vertical="center"/>
    </xf>
    <xf numFmtId="0" fontId="30" fillId="2" borderId="1" xfId="0" applyFont="1" applyFill="1" applyBorder="1" applyAlignment="1">
      <alignment horizontal="center" vertical="center" wrapText="1"/>
    </xf>
    <xf numFmtId="185" fontId="34" fillId="2" borderId="10" xfId="0" applyNumberFormat="1" applyFont="1" applyFill="1" applyBorder="1" applyAlignment="1">
      <alignment horizontal="center" vertical="center"/>
    </xf>
    <xf numFmtId="49" fontId="34" fillId="2" borderId="11" xfId="0" applyNumberFormat="1" applyFont="1" applyFill="1" applyBorder="1" applyAlignment="1">
      <alignment horizontal="center" vertical="center"/>
    </xf>
    <xf numFmtId="0" fontId="32" fillId="2" borderId="1" xfId="0" applyFont="1" applyFill="1" applyBorder="1" applyAlignment="1">
      <alignment horizontal="center" vertical="center" wrapText="1"/>
    </xf>
    <xf numFmtId="185" fontId="32" fillId="2" borderId="10" xfId="0" applyNumberFormat="1" applyFont="1" applyFill="1" applyBorder="1" applyAlignment="1">
      <alignment horizontal="center" vertical="center"/>
    </xf>
    <xf numFmtId="49" fontId="32" fillId="2" borderId="11" xfId="0" applyNumberFormat="1" applyFont="1" applyFill="1" applyBorder="1" applyAlignment="1">
      <alignment horizontal="center" vertical="center"/>
    </xf>
    <xf numFmtId="0" fontId="32" fillId="2" borderId="35" xfId="0" applyFont="1" applyFill="1" applyBorder="1" applyAlignment="1">
      <alignment horizontal="center" vertical="center"/>
    </xf>
    <xf numFmtId="0" fontId="34" fillId="2" borderId="11" xfId="0" applyFont="1" applyFill="1" applyBorder="1" applyAlignment="1">
      <alignment horizontal="center" vertical="center" wrapText="1"/>
    </xf>
    <xf numFmtId="0" fontId="39" fillId="8" borderId="1" xfId="0" applyFont="1" applyFill="1" applyBorder="1" applyAlignment="1">
      <alignment horizontal="center" vertical="center"/>
    </xf>
    <xf numFmtId="9" fontId="32" fillId="2" borderId="0" xfId="0" applyNumberFormat="1" applyFont="1" applyFill="1" applyAlignment="1" applyProtection="1">
      <alignment horizontal="center" vertical="center" wrapText="1"/>
      <protection locked="0"/>
    </xf>
    <xf numFmtId="9" fontId="32" fillId="2" borderId="0" xfId="0" applyNumberFormat="1" applyFont="1" applyFill="1" applyAlignment="1" applyProtection="1">
      <alignment horizontal="center" vertical="center"/>
      <protection locked="0"/>
    </xf>
    <xf numFmtId="0" fontId="29" fillId="2" borderId="0" xfId="0" applyFont="1" applyFill="1" applyAlignment="1" applyProtection="1">
      <alignment horizontal="center" vertical="center"/>
      <protection locked="0"/>
    </xf>
    <xf numFmtId="0" fontId="36" fillId="2" borderId="89" xfId="0" applyFont="1" applyFill="1" applyBorder="1" applyAlignment="1" applyProtection="1">
      <alignment horizontal="center" vertical="center"/>
      <protection locked="0"/>
    </xf>
    <xf numFmtId="0" fontId="34" fillId="2" borderId="9" xfId="0" applyFont="1" applyFill="1" applyBorder="1" applyAlignment="1">
      <alignment horizontal="center" vertical="center"/>
    </xf>
    <xf numFmtId="0" fontId="34" fillId="2" borderId="3" xfId="0" applyFont="1" applyFill="1" applyBorder="1" applyAlignment="1">
      <alignment horizontal="center" vertical="center"/>
    </xf>
    <xf numFmtId="0" fontId="30" fillId="2" borderId="1" xfId="0" applyFont="1" applyFill="1" applyBorder="1" applyAlignment="1">
      <alignment horizontal="center" vertical="center"/>
    </xf>
    <xf numFmtId="0" fontId="32" fillId="2" borderId="1" xfId="0" applyFont="1" applyFill="1" applyBorder="1" applyAlignment="1">
      <alignment horizontal="center" vertical="center"/>
    </xf>
    <xf numFmtId="0" fontId="34" fillId="2" borderId="3" xfId="0" applyFont="1" applyFill="1" applyBorder="1" applyAlignment="1">
      <alignment vertical="center" textRotation="255" wrapText="1"/>
    </xf>
    <xf numFmtId="0" fontId="44" fillId="2" borderId="35" xfId="0" applyFont="1" applyFill="1" applyBorder="1" applyAlignment="1">
      <alignment horizontal="center" vertical="center" wrapText="1"/>
    </xf>
    <xf numFmtId="0" fontId="50" fillId="2" borderId="35" xfId="0" applyFont="1" applyFill="1" applyBorder="1" applyAlignment="1">
      <alignment horizontal="center" vertical="center" wrapText="1"/>
    </xf>
    <xf numFmtId="0" fontId="30" fillId="2" borderId="35" xfId="0" applyFont="1" applyFill="1" applyBorder="1" applyAlignment="1">
      <alignment horizontal="center" vertical="center" wrapText="1"/>
    </xf>
    <xf numFmtId="0" fontId="34" fillId="0" borderId="85" xfId="0" applyFont="1" applyBorder="1" applyAlignment="1" applyProtection="1">
      <alignment horizontal="center" vertical="center" wrapText="1"/>
      <protection locked="0"/>
    </xf>
    <xf numFmtId="0" fontId="30" fillId="2" borderId="83" xfId="0" applyFont="1" applyFill="1" applyBorder="1" applyAlignment="1">
      <alignment horizontal="center" vertical="center" wrapText="1"/>
    </xf>
    <xf numFmtId="0" fontId="30" fillId="0" borderId="1" xfId="0" applyFont="1" applyBorder="1" applyAlignment="1" applyProtection="1">
      <alignment horizontal="center" vertical="center" wrapText="1"/>
      <protection locked="0"/>
    </xf>
    <xf numFmtId="0" fontId="34" fillId="2" borderId="84" xfId="0" applyFont="1" applyFill="1" applyBorder="1" applyAlignment="1">
      <alignment horizontal="center" vertical="center" wrapText="1"/>
    </xf>
    <xf numFmtId="0" fontId="34" fillId="0" borderId="0" xfId="0" applyFont="1" applyAlignment="1" applyProtection="1">
      <alignment horizontal="center" vertical="center"/>
      <protection locked="0"/>
    </xf>
    <xf numFmtId="0" fontId="34" fillId="2" borderId="88"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33" fillId="0" borderId="85" xfId="0" applyFont="1" applyBorder="1" applyAlignment="1" applyProtection="1">
      <alignment horizontal="left" vertical="center" wrapText="1"/>
      <protection locked="0"/>
    </xf>
    <xf numFmtId="0" fontId="33" fillId="0" borderId="88" xfId="0" applyFont="1" applyBorder="1" applyAlignment="1" applyProtection="1">
      <alignment horizontal="center" vertical="center" wrapText="1"/>
      <protection locked="0"/>
    </xf>
    <xf numFmtId="0" fontId="30" fillId="0" borderId="85" xfId="0" applyFont="1" applyBorder="1" applyAlignment="1" applyProtection="1">
      <alignment horizontal="left" vertical="center" wrapText="1"/>
      <protection locked="0"/>
    </xf>
    <xf numFmtId="0" fontId="30" fillId="0" borderId="88" xfId="0" applyFont="1" applyBorder="1" applyAlignment="1" applyProtection="1">
      <alignment horizontal="center" vertical="center" wrapText="1"/>
      <protection locked="0"/>
    </xf>
    <xf numFmtId="0" fontId="33" fillId="2" borderId="35" xfId="0" applyFont="1" applyFill="1" applyBorder="1" applyAlignment="1">
      <alignment horizontal="center" vertical="center" wrapText="1"/>
    </xf>
    <xf numFmtId="0" fontId="33" fillId="2" borderId="35" xfId="0" applyFont="1" applyFill="1" applyBorder="1" applyAlignment="1">
      <alignment horizontal="left" vertical="center" wrapText="1"/>
    </xf>
    <xf numFmtId="0" fontId="33" fillId="2" borderId="73" xfId="0" applyFont="1" applyFill="1" applyBorder="1" applyAlignment="1">
      <alignment horizontal="center" vertical="center" wrapText="1"/>
    </xf>
    <xf numFmtId="0" fontId="30" fillId="2" borderId="88" xfId="0" applyFont="1" applyFill="1" applyBorder="1" applyAlignment="1">
      <alignment horizontal="center" vertical="center" wrapText="1"/>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14" xfId="0" applyFont="1" applyBorder="1" applyAlignment="1" applyProtection="1">
      <alignment horizontal="center" vertical="center" wrapText="1"/>
      <protection locked="0"/>
    </xf>
    <xf numFmtId="179" fontId="34" fillId="0" borderId="0" xfId="0" applyNumberFormat="1" applyFont="1" applyAlignment="1" applyProtection="1">
      <alignment horizontal="center" vertical="center"/>
      <protection locked="0"/>
    </xf>
    <xf numFmtId="180" fontId="34" fillId="0" borderId="0" xfId="0" applyNumberFormat="1" applyFont="1" applyAlignment="1" applyProtection="1">
      <alignment horizontal="center" vertical="center"/>
      <protection locked="0"/>
    </xf>
    <xf numFmtId="9" fontId="34" fillId="2" borderId="0" xfId="0" applyNumberFormat="1" applyFont="1" applyFill="1" applyAlignment="1" applyProtection="1">
      <alignment horizontal="center" vertical="center" wrapText="1"/>
      <protection locked="0"/>
    </xf>
    <xf numFmtId="0" fontId="51" fillId="2" borderId="9" xfId="0" applyFont="1" applyFill="1" applyBorder="1" applyAlignment="1">
      <alignment horizontal="center" vertical="center"/>
    </xf>
    <xf numFmtId="0" fontId="40" fillId="0" borderId="7" xfId="0" applyFont="1" applyBorder="1" applyAlignment="1" applyProtection="1">
      <alignment horizontal="center" vertical="center" wrapText="1"/>
      <protection locked="0"/>
    </xf>
    <xf numFmtId="0" fontId="40" fillId="0" borderId="15" xfId="0" applyFont="1" applyBorder="1" applyAlignment="1" applyProtection="1">
      <alignment horizontal="center" vertical="center" wrapText="1"/>
      <protection locked="0"/>
    </xf>
    <xf numFmtId="49" fontId="30" fillId="5" borderId="56" xfId="0" applyNumberFormat="1" applyFont="1" applyFill="1" applyBorder="1" applyAlignment="1" applyProtection="1">
      <alignment horizontal="center" vertical="center" wrapText="1"/>
      <protection locked="0"/>
    </xf>
    <xf numFmtId="0" fontId="30" fillId="2" borderId="70" xfId="0" applyFont="1" applyFill="1" applyBorder="1" applyAlignment="1">
      <alignment horizontal="center" vertical="center" wrapText="1"/>
    </xf>
    <xf numFmtId="0" fontId="34" fillId="2" borderId="73" xfId="0" applyFont="1" applyFill="1" applyBorder="1" applyAlignment="1">
      <alignment horizontal="center" vertical="center"/>
    </xf>
    <xf numFmtId="0" fontId="30" fillId="2" borderId="57" xfId="0" applyFont="1" applyFill="1" applyBorder="1" applyAlignment="1">
      <alignment horizontal="center" vertical="center" wrapText="1"/>
    </xf>
    <xf numFmtId="0" fontId="30" fillId="0" borderId="15" xfId="0" applyFont="1" applyBorder="1" applyAlignment="1" applyProtection="1">
      <alignment horizontal="center" vertical="center" wrapText="1"/>
      <protection locked="0"/>
    </xf>
    <xf numFmtId="0" fontId="30" fillId="2" borderId="86" xfId="0" applyFont="1" applyFill="1" applyBorder="1" applyAlignment="1">
      <alignment horizontal="center" vertical="center" wrapText="1"/>
    </xf>
    <xf numFmtId="0" fontId="30" fillId="0" borderId="76" xfId="0" applyFont="1" applyBorder="1" applyAlignment="1" applyProtection="1">
      <alignment horizontal="center" vertical="center" wrapText="1"/>
      <protection locked="0"/>
    </xf>
    <xf numFmtId="0" fontId="30" fillId="2" borderId="16" xfId="0" applyFont="1" applyFill="1" applyBorder="1" applyAlignment="1">
      <alignment horizontal="center" vertical="center" wrapText="1"/>
    </xf>
    <xf numFmtId="0" fontId="34" fillId="2" borderId="29" xfId="0" applyFont="1" applyFill="1" applyBorder="1" applyAlignment="1">
      <alignment horizontal="center" vertical="center" wrapText="1"/>
    </xf>
    <xf numFmtId="0" fontId="45" fillId="2" borderId="21" xfId="0" applyFont="1" applyFill="1" applyBorder="1" applyAlignment="1">
      <alignment vertical="center" textRotation="255" wrapText="1"/>
    </xf>
    <xf numFmtId="49" fontId="30" fillId="0" borderId="64" xfId="0" applyNumberFormat="1" applyFont="1" applyBorder="1" applyAlignment="1" applyProtection="1">
      <alignment horizontal="center" vertical="center" wrapText="1"/>
      <protection locked="0"/>
    </xf>
    <xf numFmtId="0" fontId="39" fillId="2" borderId="21" xfId="0" applyFont="1" applyFill="1" applyBorder="1" applyAlignment="1">
      <alignment vertical="center" textRotation="255" wrapText="1"/>
    </xf>
    <xf numFmtId="0" fontId="41" fillId="2" borderId="21" xfId="0" applyFont="1" applyFill="1" applyBorder="1" applyAlignment="1">
      <alignment vertical="center" textRotation="255" wrapText="1"/>
    </xf>
    <xf numFmtId="0" fontId="39" fillId="2" borderId="32" xfId="0" applyFont="1" applyFill="1" applyBorder="1" applyAlignment="1">
      <alignment vertical="center" textRotation="255" wrapText="1"/>
    </xf>
    <xf numFmtId="49" fontId="52" fillId="2" borderId="59" xfId="0" applyNumberFormat="1" applyFont="1" applyFill="1" applyBorder="1">
      <alignment vertical="center"/>
    </xf>
    <xf numFmtId="49" fontId="52" fillId="3" borderId="78" xfId="0" applyNumberFormat="1" applyFont="1" applyFill="1" applyBorder="1" applyProtection="1">
      <alignment vertical="center"/>
      <protection locked="0"/>
    </xf>
    <xf numFmtId="0" fontId="34" fillId="2" borderId="0" xfId="0" applyFont="1" applyFill="1" applyAlignment="1" applyProtection="1">
      <alignment horizontal="center"/>
      <protection locked="0"/>
    </xf>
    <xf numFmtId="0" fontId="30" fillId="2" borderId="58" xfId="0" applyFont="1" applyFill="1" applyBorder="1" applyAlignment="1" applyProtection="1">
      <alignment horizontal="center" vertical="center" wrapText="1"/>
      <protection locked="0"/>
    </xf>
    <xf numFmtId="179" fontId="34" fillId="2" borderId="0" xfId="0" applyNumberFormat="1" applyFont="1" applyFill="1" applyAlignment="1" applyProtection="1">
      <alignment horizontal="center"/>
      <protection locked="0"/>
    </xf>
    <xf numFmtId="180" fontId="34" fillId="2" borderId="0" xfId="0" applyNumberFormat="1" applyFont="1" applyFill="1" applyAlignment="1" applyProtection="1">
      <protection locked="0"/>
    </xf>
    <xf numFmtId="49" fontId="34" fillId="0" borderId="5" xfId="0" applyNumberFormat="1" applyFont="1" applyBorder="1" applyAlignment="1" applyProtection="1">
      <alignment horizontal="center" vertical="center" wrapText="1"/>
      <protection locked="0"/>
    </xf>
    <xf numFmtId="49" fontId="33" fillId="0" borderId="5" xfId="0" applyNumberFormat="1" applyFont="1" applyBorder="1" applyAlignment="1" applyProtection="1">
      <alignment horizontal="center" vertical="center" wrapText="1"/>
      <protection locked="0"/>
    </xf>
    <xf numFmtId="49" fontId="33" fillId="0" borderId="5" xfId="0" applyNumberFormat="1" applyFont="1" applyBorder="1" applyAlignment="1" applyProtection="1">
      <alignment horizontal="left" vertical="center" wrapText="1"/>
      <protection locked="0"/>
    </xf>
    <xf numFmtId="49" fontId="33" fillId="0" borderId="13" xfId="0" applyNumberFormat="1" applyFont="1" applyBorder="1" applyAlignment="1" applyProtection="1">
      <alignment horizontal="center" vertical="center" wrapText="1"/>
      <protection locked="0"/>
    </xf>
    <xf numFmtId="0" fontId="34" fillId="0" borderId="35" xfId="0" applyFont="1" applyBorder="1" applyAlignment="1" applyProtection="1">
      <alignment horizontal="center" vertical="center" wrapText="1"/>
      <protection locked="0"/>
    </xf>
    <xf numFmtId="0" fontId="33" fillId="0" borderId="35" xfId="0" applyFont="1" applyBorder="1" applyAlignment="1" applyProtection="1">
      <alignment horizontal="center" vertical="center" wrapText="1"/>
      <protection locked="0"/>
    </xf>
    <xf numFmtId="0" fontId="33" fillId="0" borderId="35" xfId="0" applyFont="1" applyBorder="1" applyAlignment="1" applyProtection="1">
      <alignment horizontal="left" vertical="center" wrapText="1"/>
      <protection locked="0"/>
    </xf>
    <xf numFmtId="0" fontId="33" fillId="0" borderId="73" xfId="0" applyFont="1" applyBorder="1" applyAlignment="1" applyProtection="1">
      <alignment horizontal="center" vertical="center" wrapText="1"/>
      <protection locked="0"/>
    </xf>
    <xf numFmtId="0" fontId="36" fillId="2" borderId="54" xfId="0" applyFont="1" applyFill="1" applyBorder="1" applyAlignment="1">
      <alignment horizontal="right" vertical="center"/>
    </xf>
    <xf numFmtId="0" fontId="39" fillId="2" borderId="64" xfId="0" applyFont="1" applyFill="1" applyBorder="1" applyAlignment="1">
      <alignment vertical="center" wrapText="1"/>
    </xf>
    <xf numFmtId="0" fontId="30" fillId="0" borderId="6" xfId="0" applyFont="1" applyBorder="1" applyAlignment="1" applyProtection="1">
      <alignment horizontal="center" vertical="center" wrapText="1"/>
      <protection locked="0"/>
    </xf>
    <xf numFmtId="0" fontId="30" fillId="0" borderId="11" xfId="0" applyFont="1" applyBorder="1" applyAlignment="1" applyProtection="1">
      <alignment horizontal="center" vertical="center" wrapText="1"/>
      <protection locked="0"/>
    </xf>
    <xf numFmtId="0" fontId="30" fillId="0" borderId="12" xfId="0" applyFont="1" applyBorder="1" applyAlignment="1" applyProtection="1">
      <alignment horizontal="center" vertical="center" wrapText="1"/>
      <protection locked="0"/>
    </xf>
    <xf numFmtId="49" fontId="34" fillId="5" borderId="74" xfId="0" applyNumberFormat="1" applyFont="1" applyFill="1" applyBorder="1" applyAlignment="1" applyProtection="1">
      <alignment horizontal="center" vertical="center" wrapText="1"/>
      <protection locked="0"/>
    </xf>
    <xf numFmtId="49" fontId="34" fillId="5" borderId="68" xfId="0" applyNumberFormat="1" applyFont="1" applyFill="1" applyBorder="1" applyAlignment="1" applyProtection="1">
      <alignment horizontal="center" vertical="center" wrapText="1"/>
      <protection locked="0"/>
    </xf>
    <xf numFmtId="49" fontId="34" fillId="5" borderId="81" xfId="0" applyNumberFormat="1" applyFont="1" applyFill="1" applyBorder="1" applyAlignment="1" applyProtection="1">
      <alignment horizontal="center" vertical="center" wrapText="1"/>
      <protection locked="0"/>
    </xf>
    <xf numFmtId="49" fontId="34" fillId="5" borderId="29" xfId="0" applyNumberFormat="1" applyFont="1" applyFill="1" applyBorder="1" applyAlignment="1" applyProtection="1">
      <alignment horizontal="center" vertical="center" wrapText="1"/>
      <protection locked="0"/>
    </xf>
    <xf numFmtId="0" fontId="30" fillId="0" borderId="10" xfId="0" applyFont="1" applyBorder="1" applyAlignment="1" applyProtection="1">
      <alignment horizontal="center" vertical="center" wrapText="1"/>
      <protection locked="0"/>
    </xf>
    <xf numFmtId="0" fontId="39" fillId="2" borderId="76" xfId="0" applyFont="1" applyFill="1" applyBorder="1" applyAlignment="1">
      <alignment vertical="center" wrapText="1"/>
    </xf>
    <xf numFmtId="0" fontId="44" fillId="2" borderId="10" xfId="0" applyFont="1" applyFill="1" applyBorder="1" applyAlignment="1">
      <alignment horizontal="center" vertical="center" wrapText="1"/>
    </xf>
    <xf numFmtId="0" fontId="34" fillId="2" borderId="3" xfId="0" applyFont="1" applyFill="1" applyBorder="1" applyAlignment="1">
      <alignment horizontal="center" vertical="center" wrapText="1"/>
    </xf>
    <xf numFmtId="0" fontId="32" fillId="2" borderId="35" xfId="0" applyFont="1" applyFill="1" applyBorder="1" applyAlignment="1">
      <alignment horizontal="center" vertical="center" wrapText="1"/>
    </xf>
    <xf numFmtId="0" fontId="34" fillId="2" borderId="3" xfId="0" applyFont="1" applyFill="1" applyBorder="1" applyAlignment="1">
      <alignment horizontal="center" vertical="center" textRotation="255" wrapText="1"/>
    </xf>
    <xf numFmtId="0" fontId="32" fillId="0" borderId="3" xfId="0" applyFont="1" applyBorder="1" applyAlignment="1" applyProtection="1">
      <alignment horizontal="center" vertical="center" wrapText="1"/>
      <protection locked="0"/>
    </xf>
    <xf numFmtId="0" fontId="45" fillId="2" borderId="76" xfId="0" applyFont="1" applyFill="1" applyBorder="1" applyAlignment="1">
      <alignment vertical="center" wrapText="1"/>
    </xf>
    <xf numFmtId="0" fontId="30" fillId="2" borderId="80" xfId="0" applyFont="1" applyFill="1" applyBorder="1" applyAlignment="1">
      <alignment horizontal="center" vertical="center" wrapText="1"/>
    </xf>
    <xf numFmtId="0" fontId="30" fillId="0" borderId="8" xfId="0" applyFont="1" applyBorder="1" applyAlignment="1" applyProtection="1">
      <alignment horizontal="center" vertical="center" wrapText="1"/>
      <protection locked="0"/>
    </xf>
    <xf numFmtId="0" fontId="32" fillId="0" borderId="8" xfId="0" applyFont="1" applyBorder="1" applyAlignment="1" applyProtection="1">
      <alignment horizontal="center" vertical="center" wrapText="1"/>
      <protection locked="0"/>
    </xf>
    <xf numFmtId="0" fontId="34" fillId="0" borderId="3" xfId="0" applyFont="1" applyBorder="1" applyAlignment="1" applyProtection="1">
      <alignment horizontal="center" vertical="center" wrapText="1"/>
      <protection locked="0"/>
    </xf>
    <xf numFmtId="0" fontId="34" fillId="0" borderId="8" xfId="0" applyFont="1" applyBorder="1" applyAlignment="1" applyProtection="1">
      <alignment horizontal="center" vertical="center" wrapText="1"/>
      <protection locked="0"/>
    </xf>
    <xf numFmtId="0" fontId="30" fillId="2" borderId="20" xfId="0" applyFont="1" applyFill="1" applyBorder="1" applyAlignment="1">
      <alignment horizontal="center" vertical="center"/>
    </xf>
    <xf numFmtId="0" fontId="32" fillId="0" borderId="3" xfId="0" applyFont="1" applyBorder="1" applyAlignment="1" applyProtection="1">
      <alignment horizontal="left" vertical="center" wrapText="1"/>
      <protection locked="0"/>
    </xf>
    <xf numFmtId="0" fontId="32" fillId="0" borderId="72" xfId="0" applyFont="1" applyBorder="1" applyAlignment="1" applyProtection="1">
      <alignment horizontal="center" vertical="center" wrapText="1"/>
      <protection locked="0"/>
    </xf>
    <xf numFmtId="0" fontId="32" fillId="2" borderId="0" xfId="0" applyFont="1" applyFill="1" applyAlignment="1" applyProtection="1">
      <alignment vertical="center" wrapText="1"/>
      <protection locked="0"/>
    </xf>
    <xf numFmtId="0" fontId="32" fillId="0" borderId="15"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3" fillId="0" borderId="3" xfId="0" applyFont="1" applyBorder="1" applyAlignment="1" applyProtection="1">
      <alignment horizontal="left" vertical="center" wrapText="1"/>
      <protection locked="0"/>
    </xf>
    <xf numFmtId="0" fontId="33" fillId="0" borderId="72" xfId="0" applyFont="1" applyBorder="1" applyAlignment="1" applyProtection="1">
      <alignment horizontal="center" vertical="center" wrapText="1"/>
      <protection locked="0"/>
    </xf>
    <xf numFmtId="0" fontId="34" fillId="0" borderId="15" xfId="0" applyFont="1" applyBorder="1" applyAlignment="1" applyProtection="1">
      <alignment horizontal="center" vertical="center" wrapText="1"/>
      <protection locked="0"/>
    </xf>
    <xf numFmtId="0" fontId="34" fillId="0" borderId="20" xfId="0" applyFont="1" applyBorder="1" applyAlignment="1">
      <alignment horizontal="center" vertical="center"/>
    </xf>
    <xf numFmtId="0" fontId="30" fillId="0" borderId="81" xfId="0" applyFont="1" applyBorder="1" applyAlignment="1" applyProtection="1">
      <alignment horizontal="center" vertical="center" wrapText="1"/>
      <protection locked="0"/>
    </xf>
    <xf numFmtId="49" fontId="34" fillId="2" borderId="71" xfId="0" applyNumberFormat="1" applyFont="1" applyFill="1" applyBorder="1" applyAlignment="1">
      <alignment horizontal="center" vertical="center" wrapText="1"/>
    </xf>
    <xf numFmtId="0" fontId="34" fillId="2" borderId="48" xfId="0" applyFont="1" applyFill="1" applyBorder="1" applyAlignment="1">
      <alignment horizontal="center" vertical="center"/>
    </xf>
    <xf numFmtId="0" fontId="34" fillId="5" borderId="81" xfId="0" applyFont="1" applyFill="1" applyBorder="1" applyAlignment="1" applyProtection="1">
      <alignment horizontal="center" vertical="center" wrapText="1"/>
      <protection locked="0"/>
    </xf>
    <xf numFmtId="0" fontId="34" fillId="5" borderId="74" xfId="0" applyFont="1" applyFill="1" applyBorder="1" applyAlignment="1" applyProtection="1">
      <alignment horizontal="center" vertical="center" wrapText="1"/>
      <protection locked="0"/>
    </xf>
    <xf numFmtId="0" fontId="34" fillId="0" borderId="12" xfId="0" applyFont="1" applyBorder="1" applyAlignment="1" applyProtection="1">
      <alignment horizontal="center" vertical="center" wrapText="1"/>
      <protection locked="0"/>
    </xf>
    <xf numFmtId="0" fontId="34" fillId="5" borderId="12" xfId="0" applyFont="1" applyFill="1" applyBorder="1" applyAlignment="1" applyProtection="1">
      <alignment horizontal="center" vertical="center" wrapText="1"/>
      <protection locked="0"/>
    </xf>
    <xf numFmtId="0" fontId="30" fillId="5" borderId="81" xfId="0" applyFont="1" applyFill="1" applyBorder="1" applyAlignment="1" applyProtection="1">
      <alignment horizontal="center" vertical="center" wrapText="1"/>
      <protection locked="0"/>
    </xf>
    <xf numFmtId="0" fontId="30" fillId="5" borderId="29" xfId="0" applyFont="1" applyFill="1" applyBorder="1" applyAlignment="1" applyProtection="1">
      <alignment horizontal="center" vertical="center" wrapText="1"/>
      <protection locked="0"/>
    </xf>
    <xf numFmtId="0" fontId="30" fillId="0" borderId="14" xfId="0" applyFont="1" applyBorder="1" applyAlignment="1" applyProtection="1">
      <alignment horizontal="center" vertical="center" wrapText="1"/>
      <protection locked="0"/>
    </xf>
    <xf numFmtId="0" fontId="34" fillId="0" borderId="79" xfId="0" applyFont="1" applyBorder="1" applyAlignment="1" applyProtection="1">
      <alignment horizontal="center" vertical="center" wrapText="1"/>
      <protection locked="0"/>
    </xf>
    <xf numFmtId="49" fontId="34" fillId="5" borderId="6" xfId="0" applyNumberFormat="1" applyFont="1" applyFill="1" applyBorder="1" applyAlignment="1" applyProtection="1">
      <alignment horizontal="center" vertical="center" wrapText="1"/>
      <protection locked="0"/>
    </xf>
    <xf numFmtId="0" fontId="30" fillId="0" borderId="58" xfId="0" applyFont="1" applyBorder="1" applyAlignment="1" applyProtection="1">
      <alignment horizontal="center" vertical="center" wrapText="1"/>
      <protection locked="0"/>
    </xf>
    <xf numFmtId="0" fontId="36" fillId="2" borderId="20" xfId="0" applyFont="1" applyFill="1" applyBorder="1" applyAlignment="1" applyProtection="1">
      <alignment horizontal="center" vertical="center"/>
      <protection locked="0"/>
    </xf>
    <xf numFmtId="0" fontId="34" fillId="2" borderId="54" xfId="0" applyFont="1" applyFill="1" applyBorder="1" applyAlignment="1">
      <alignment horizontal="center" vertical="center" wrapText="1"/>
    </xf>
    <xf numFmtId="0" fontId="34" fillId="2" borderId="0" xfId="0" applyFont="1" applyFill="1" applyAlignment="1">
      <alignment horizontal="center" vertical="center" wrapText="1"/>
    </xf>
    <xf numFmtId="0" fontId="34" fillId="2" borderId="89" xfId="0" applyFont="1" applyFill="1" applyBorder="1" applyAlignment="1">
      <alignment horizontal="center" vertical="center" wrapText="1"/>
    </xf>
    <xf numFmtId="0" fontId="34" fillId="2" borderId="12" xfId="0" applyFont="1" applyFill="1" applyBorder="1" applyAlignment="1">
      <alignment horizontal="center" vertical="center" wrapText="1"/>
    </xf>
    <xf numFmtId="0" fontId="34"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4" fillId="2" borderId="20" xfId="0" applyFont="1" applyFill="1" applyBorder="1" applyAlignment="1" applyProtection="1">
      <protection locked="0"/>
    </xf>
    <xf numFmtId="49" fontId="30" fillId="2" borderId="20" xfId="0" applyNumberFormat="1" applyFont="1" applyFill="1" applyBorder="1" applyAlignment="1" applyProtection="1">
      <alignment horizontal="center" vertical="center"/>
      <protection locked="0"/>
    </xf>
    <xf numFmtId="9" fontId="30" fillId="2" borderId="20" xfId="0" applyNumberFormat="1" applyFont="1" applyFill="1" applyBorder="1" applyAlignment="1" applyProtection="1">
      <alignment horizontal="center" vertical="center" wrapText="1"/>
      <protection locked="0"/>
    </xf>
    <xf numFmtId="0" fontId="49" fillId="2" borderId="20" xfId="0" applyFont="1" applyFill="1" applyBorder="1" applyProtection="1">
      <alignment vertical="center"/>
      <protection locked="0"/>
    </xf>
    <xf numFmtId="0" fontId="30" fillId="2" borderId="20" xfId="0" applyFont="1" applyFill="1" applyBorder="1" applyAlignment="1" applyProtection="1">
      <alignment horizontal="center" vertical="center" wrapText="1"/>
      <protection locked="0"/>
    </xf>
    <xf numFmtId="0" fontId="30" fillId="0" borderId="90" xfId="0" applyFont="1" applyBorder="1" applyAlignment="1" applyProtection="1">
      <alignment horizontal="center" vertical="center"/>
      <protection locked="0"/>
    </xf>
    <xf numFmtId="0" fontId="32" fillId="2" borderId="20" xfId="0" applyFont="1" applyFill="1" applyBorder="1" applyAlignment="1" applyProtection="1">
      <alignment horizontal="center" vertical="center" wrapText="1"/>
      <protection locked="0"/>
    </xf>
    <xf numFmtId="0" fontId="32"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vertical="center" wrapText="1"/>
      <protection locked="0"/>
    </xf>
    <xf numFmtId="0" fontId="30" fillId="2" borderId="20" xfId="0" applyFont="1" applyFill="1" applyBorder="1" applyAlignment="1" applyProtection="1">
      <alignment vertical="center" wrapText="1"/>
      <protection locked="0"/>
    </xf>
    <xf numFmtId="0" fontId="34" fillId="0" borderId="85" xfId="0" applyFont="1" applyBorder="1" applyAlignment="1" applyProtection="1">
      <alignment horizontal="left" vertical="center" wrapText="1"/>
      <protection locked="0"/>
    </xf>
    <xf numFmtId="0" fontId="34" fillId="0" borderId="88" xfId="0" applyFont="1" applyBorder="1" applyAlignment="1" applyProtection="1">
      <alignment horizontal="center" vertical="center" wrapText="1"/>
      <protection locked="0"/>
    </xf>
    <xf numFmtId="0" fontId="34" fillId="2" borderId="20" xfId="0" applyFont="1" applyFill="1" applyBorder="1" applyAlignment="1" applyProtection="1">
      <alignment horizontal="center" vertical="center" wrapText="1"/>
      <protection locked="0"/>
    </xf>
    <xf numFmtId="0" fontId="34" fillId="0" borderId="20" xfId="0" applyFont="1" applyBorder="1" applyAlignment="1" applyProtection="1">
      <alignment horizontal="center" vertical="center"/>
      <protection locked="0"/>
    </xf>
    <xf numFmtId="0" fontId="0" fillId="3" borderId="0" xfId="0" applyFill="1" applyAlignment="1">
      <alignment vertical="center" wrapText="1"/>
    </xf>
    <xf numFmtId="0" fontId="0" fillId="0" borderId="0" xfId="0" applyAlignment="1">
      <alignment vertical="center" wrapText="1"/>
    </xf>
    <xf numFmtId="0" fontId="0" fillId="0" borderId="1" xfId="0" applyBorder="1" applyAlignment="1">
      <alignment horizontal="center" vertical="center" wrapText="1"/>
    </xf>
    <xf numFmtId="177" fontId="0" fillId="0" borderId="1" xfId="0" applyNumberFormat="1" applyBorder="1" applyAlignment="1">
      <alignment horizontal="center" vertical="center" wrapText="1"/>
    </xf>
    <xf numFmtId="0" fontId="0" fillId="0" borderId="9" xfId="0" applyBorder="1" applyAlignment="1">
      <alignment horizontal="center" vertical="center" wrapText="1"/>
    </xf>
    <xf numFmtId="177" fontId="0" fillId="0" borderId="9" xfId="0" applyNumberFormat="1" applyBorder="1" applyAlignment="1">
      <alignment horizontal="center" vertical="center" wrapText="1"/>
    </xf>
    <xf numFmtId="0" fontId="0" fillId="0" borderId="35" xfId="0" applyBorder="1" applyAlignment="1">
      <alignment horizontal="center" vertical="center" wrapText="1"/>
    </xf>
    <xf numFmtId="177" fontId="0" fillId="0" borderId="35" xfId="0" applyNumberFormat="1" applyBorder="1" applyAlignment="1">
      <alignment horizontal="center" vertical="center" wrapText="1"/>
    </xf>
    <xf numFmtId="0" fontId="0" fillId="0" borderId="3" xfId="0" applyBorder="1" applyAlignment="1">
      <alignment horizontal="center" vertical="center" wrapText="1"/>
    </xf>
    <xf numFmtId="177" fontId="0" fillId="0" borderId="3" xfId="0" applyNumberFormat="1" applyBorder="1" applyAlignment="1">
      <alignment horizontal="center" vertical="center" wrapText="1"/>
    </xf>
    <xf numFmtId="0" fontId="0" fillId="3" borderId="1" xfId="0" applyFill="1" applyBorder="1" applyAlignment="1">
      <alignment horizontal="center" vertical="center" wrapText="1"/>
    </xf>
    <xf numFmtId="14" fontId="0" fillId="3" borderId="1" xfId="0" applyNumberFormat="1" applyFill="1" applyBorder="1" applyAlignment="1">
      <alignment horizontal="center" vertical="center" wrapText="1"/>
    </xf>
    <xf numFmtId="14" fontId="0" fillId="0" borderId="9" xfId="0" applyNumberFormat="1" applyBorder="1" applyAlignment="1">
      <alignment horizontal="center" vertical="center" wrapText="1"/>
    </xf>
    <xf numFmtId="0" fontId="0" fillId="0" borderId="0" xfId="0" applyAlignment="1">
      <alignment horizontal="center" vertical="center" wrapText="1"/>
    </xf>
    <xf numFmtId="0" fontId="1" fillId="0" borderId="0" xfId="0" applyFont="1" applyAlignment="1">
      <alignment horizontal="center" vertical="center" wrapText="1"/>
    </xf>
    <xf numFmtId="0" fontId="1" fillId="10" borderId="1" xfId="0" applyFont="1" applyFill="1" applyBorder="1" applyAlignment="1">
      <alignment horizontal="center" vertical="center" wrapText="1"/>
    </xf>
    <xf numFmtId="0" fontId="53" fillId="10" borderId="1" xfId="0" applyFont="1" applyFill="1" applyBorder="1" applyAlignment="1">
      <alignment horizontal="center" vertical="center" wrapText="1"/>
    </xf>
    <xf numFmtId="0" fontId="54" fillId="10" borderId="1" xfId="0" applyFont="1" applyFill="1" applyBorder="1" applyAlignment="1">
      <alignment horizontal="center" vertical="center" wrapText="1"/>
    </xf>
    <xf numFmtId="0" fontId="55" fillId="10" borderId="1" xfId="0" applyFont="1" applyFill="1" applyBorder="1" applyAlignment="1">
      <alignment horizontal="center" vertical="center" wrapText="1"/>
    </xf>
    <xf numFmtId="0" fontId="53" fillId="11" borderId="1" xfId="0" applyFont="1" applyFill="1" applyBorder="1" applyAlignment="1">
      <alignment horizontal="center" vertical="center" wrapText="1"/>
    </xf>
    <xf numFmtId="0" fontId="1" fillId="12" borderId="1" xfId="0" applyFont="1" applyFill="1" applyBorder="1" applyAlignment="1">
      <alignment horizontal="center" vertical="center" wrapText="1"/>
    </xf>
    <xf numFmtId="0" fontId="1" fillId="11" borderId="1" xfId="0" applyFont="1" applyFill="1" applyBorder="1" applyAlignment="1">
      <alignment horizontal="center" vertical="center" wrapText="1"/>
    </xf>
    <xf numFmtId="0" fontId="55" fillId="13" borderId="89" xfId="0" applyFont="1" applyFill="1" applyBorder="1" applyAlignment="1">
      <alignment horizontal="center" vertical="center" wrapText="1"/>
    </xf>
    <xf numFmtId="41" fontId="1" fillId="0" borderId="1" xfId="0" applyNumberFormat="1" applyFont="1" applyBorder="1" applyAlignment="1">
      <alignment horizontal="center" vertical="center" wrapText="1"/>
    </xf>
    <xf numFmtId="3" fontId="1" fillId="0" borderId="1" xfId="0" applyNumberFormat="1" applyFont="1" applyBorder="1" applyAlignment="1">
      <alignment horizontal="center" vertical="center" wrapText="1"/>
    </xf>
    <xf numFmtId="3" fontId="1" fillId="10" borderId="1" xfId="0" applyNumberFormat="1" applyFont="1" applyFill="1" applyBorder="1" applyAlignment="1">
      <alignment horizontal="center" vertical="center" wrapText="1"/>
    </xf>
    <xf numFmtId="0" fontId="1" fillId="0" borderId="1" xfId="0" applyFont="1" applyBorder="1" applyAlignment="1">
      <alignment horizontal="left" vertical="center" wrapText="1"/>
    </xf>
    <xf numFmtId="0" fontId="48" fillId="6" borderId="0" xfId="0" applyFont="1" applyFill="1" applyProtection="1">
      <alignment vertical="center"/>
      <protection locked="0"/>
    </xf>
    <xf numFmtId="0" fontId="22" fillId="6" borderId="0" xfId="0" applyFont="1" applyFill="1" applyProtection="1">
      <alignment vertical="center"/>
      <protection locked="0"/>
    </xf>
    <xf numFmtId="0" fontId="22" fillId="0" borderId="0" xfId="0" applyFont="1" applyProtection="1">
      <alignment vertical="center"/>
      <protection locked="0"/>
    </xf>
    <xf numFmtId="0" fontId="19" fillId="0" borderId="0" xfId="0" applyFont="1" applyProtection="1">
      <alignment vertical="center"/>
      <protection locked="0"/>
    </xf>
    <xf numFmtId="0" fontId="19" fillId="7" borderId="0" xfId="0" applyFont="1" applyFill="1" applyAlignment="1" applyProtection="1">
      <alignment horizontal="left" vertical="center"/>
      <protection locked="0"/>
    </xf>
    <xf numFmtId="0" fontId="19" fillId="7" borderId="0" xfId="0" applyFont="1" applyFill="1" applyProtection="1">
      <alignment vertical="center"/>
      <protection locked="0"/>
    </xf>
    <xf numFmtId="0" fontId="19" fillId="7" borderId="0" xfId="0" applyFont="1" applyFill="1" applyAlignment="1" applyProtection="1">
      <alignment horizontal="center" vertical="center"/>
      <protection locked="0"/>
    </xf>
    <xf numFmtId="0" fontId="19" fillId="6" borderId="0" xfId="0" applyFont="1" applyFill="1" applyProtection="1">
      <alignment vertical="center"/>
      <protection locked="0"/>
    </xf>
    <xf numFmtId="0" fontId="35" fillId="2" borderId="59" xfId="51" applyFont="1" applyFill="1" applyBorder="1">
      <alignment vertical="center"/>
    </xf>
    <xf numFmtId="0" fontId="38" fillId="2" borderId="78" xfId="51" applyFont="1" applyFill="1" applyBorder="1">
      <alignment vertical="center"/>
    </xf>
    <xf numFmtId="0" fontId="38" fillId="2" borderId="55" xfId="51" applyFont="1" applyFill="1" applyBorder="1" applyProtection="1">
      <alignment vertical="center"/>
      <protection locked="0"/>
    </xf>
    <xf numFmtId="0" fontId="38" fillId="2" borderId="0" xfId="51" applyFont="1" applyFill="1" applyProtection="1">
      <alignment vertical="center"/>
      <protection locked="0"/>
    </xf>
    <xf numFmtId="0" fontId="38" fillId="2" borderId="9" xfId="51" applyFont="1" applyFill="1" applyBorder="1" applyAlignment="1">
      <alignment horizontal="right" vertical="center"/>
    </xf>
    <xf numFmtId="0" fontId="38" fillId="9" borderId="0" xfId="51" applyFont="1" applyFill="1" applyProtection="1">
      <alignment vertical="center"/>
      <protection locked="0"/>
    </xf>
    <xf numFmtId="0" fontId="52" fillId="2" borderId="9" xfId="51" applyFont="1" applyFill="1" applyBorder="1">
      <alignment vertical="center"/>
    </xf>
    <xf numFmtId="0" fontId="39" fillId="2" borderId="9" xfId="0" applyFont="1" applyFill="1" applyBorder="1">
      <alignment vertical="center"/>
    </xf>
    <xf numFmtId="0" fontId="38" fillId="2" borderId="1" xfId="0" applyFont="1" applyFill="1" applyBorder="1">
      <alignment vertical="center"/>
    </xf>
    <xf numFmtId="0" fontId="29" fillId="9" borderId="0" xfId="0" applyFont="1" applyFill="1" applyAlignment="1" applyProtection="1">
      <alignment horizontal="center" vertical="center"/>
      <protection locked="0"/>
    </xf>
    <xf numFmtId="0" fontId="38" fillId="2" borderId="0" xfId="51" applyFont="1" applyFill="1">
      <alignment vertical="center"/>
    </xf>
    <xf numFmtId="0" fontId="38" fillId="2" borderId="18" xfId="0" applyFont="1" applyFill="1" applyBorder="1">
      <alignment vertical="center"/>
    </xf>
    <xf numFmtId="0" fontId="56" fillId="2" borderId="58" xfId="0" applyFont="1" applyFill="1" applyBorder="1" applyAlignment="1">
      <alignment horizontal="left" vertical="center"/>
    </xf>
    <xf numFmtId="0" fontId="22" fillId="2" borderId="4" xfId="51" applyFont="1" applyFill="1" applyBorder="1" applyAlignment="1">
      <alignment horizontal="left" vertical="center"/>
    </xf>
    <xf numFmtId="0" fontId="22" fillId="2" borderId="39" xfId="51" applyFont="1" applyFill="1" applyBorder="1">
      <alignment vertical="center"/>
    </xf>
    <xf numFmtId="176" fontId="22" fillId="2" borderId="5" xfId="51" applyNumberFormat="1" applyFont="1" applyFill="1" applyBorder="1" applyAlignment="1">
      <alignment horizontal="center" vertical="center"/>
    </xf>
    <xf numFmtId="0" fontId="22" fillId="2" borderId="5" xfId="51" applyFont="1" applyFill="1" applyBorder="1" applyAlignment="1">
      <alignment horizontal="center" vertical="center"/>
    </xf>
    <xf numFmtId="0" fontId="4" fillId="2" borderId="13" xfId="51" applyFont="1" applyFill="1" applyBorder="1" applyAlignment="1">
      <alignment horizontal="left" vertical="center"/>
    </xf>
    <xf numFmtId="49" fontId="22" fillId="2" borderId="6" xfId="51" applyNumberFormat="1" applyFont="1" applyFill="1" applyBorder="1" applyAlignment="1">
      <alignment horizontal="left" vertical="center"/>
    </xf>
    <xf numFmtId="0" fontId="22" fillId="2" borderId="10" xfId="51" applyFont="1" applyFill="1" applyBorder="1">
      <alignment vertical="center"/>
    </xf>
    <xf numFmtId="176" fontId="22" fillId="2" borderId="1" xfId="51" applyNumberFormat="1" applyFont="1" applyFill="1" applyBorder="1" applyAlignment="1">
      <alignment horizontal="center" vertical="center"/>
    </xf>
    <xf numFmtId="0" fontId="22" fillId="2" borderId="1" xfId="51" applyFont="1" applyFill="1" applyBorder="1" applyAlignment="1">
      <alignment horizontal="center" vertical="center"/>
    </xf>
    <xf numFmtId="0" fontId="57" fillId="3" borderId="14" xfId="51" applyFont="1" applyFill="1" applyBorder="1" applyProtection="1">
      <alignment vertical="center"/>
      <protection locked="0"/>
    </xf>
    <xf numFmtId="0" fontId="58" fillId="2" borderId="10" xfId="51" applyFont="1" applyFill="1" applyBorder="1">
      <alignment vertical="center"/>
    </xf>
    <xf numFmtId="176" fontId="19" fillId="0" borderId="1" xfId="51" applyNumberFormat="1" applyFont="1" applyBorder="1" applyAlignment="1" applyProtection="1">
      <alignment horizontal="center" vertical="center"/>
      <protection locked="0"/>
    </xf>
    <xf numFmtId="178" fontId="19" fillId="0" borderId="1" xfId="51" applyNumberFormat="1" applyFont="1" applyBorder="1" applyAlignment="1" applyProtection="1">
      <alignment horizontal="center" vertical="center"/>
      <protection locked="0"/>
    </xf>
    <xf numFmtId="0" fontId="19" fillId="0" borderId="1" xfId="51" applyFont="1" applyBorder="1" applyAlignment="1" applyProtection="1">
      <alignment horizontal="center" vertical="center"/>
      <protection locked="0"/>
    </xf>
    <xf numFmtId="0" fontId="22" fillId="2" borderId="14" xfId="51" applyFont="1" applyFill="1" applyBorder="1" applyAlignment="1">
      <alignment horizontal="left" vertical="center"/>
    </xf>
    <xf numFmtId="178" fontId="22" fillId="2" borderId="1" xfId="51" applyNumberFormat="1" applyFont="1" applyFill="1" applyBorder="1" applyAlignment="1">
      <alignment horizontal="center" vertical="center"/>
    </xf>
    <xf numFmtId="9" fontId="22" fillId="2" borderId="10" xfId="51" applyNumberFormat="1" applyFont="1" applyFill="1" applyBorder="1" applyAlignment="1">
      <alignment horizontal="center" vertical="center"/>
    </xf>
    <xf numFmtId="0" fontId="19" fillId="2" borderId="14" xfId="51" applyFont="1" applyFill="1" applyBorder="1" applyAlignment="1">
      <alignment vertical="center" wrapText="1"/>
    </xf>
    <xf numFmtId="0" fontId="19" fillId="2" borderId="10" xfId="51" applyFont="1" applyFill="1" applyBorder="1">
      <alignment vertical="center"/>
    </xf>
    <xf numFmtId="176" fontId="19" fillId="2" borderId="1" xfId="51" applyNumberFormat="1" applyFont="1" applyFill="1" applyBorder="1" applyAlignment="1">
      <alignment horizontal="center" vertical="center"/>
    </xf>
    <xf numFmtId="176" fontId="19" fillId="2" borderId="1" xfId="51" applyNumberFormat="1" applyFont="1" applyFill="1" applyBorder="1">
      <alignment vertical="center"/>
    </xf>
    <xf numFmtId="10" fontId="19" fillId="2" borderId="1" xfId="51" applyNumberFormat="1" applyFont="1" applyFill="1" applyBorder="1" applyAlignment="1">
      <alignment horizontal="center" vertical="center"/>
    </xf>
    <xf numFmtId="0" fontId="3" fillId="2" borderId="14" xfId="51" applyFont="1" applyFill="1" applyBorder="1" applyAlignment="1">
      <alignment horizontal="left" vertical="center"/>
    </xf>
    <xf numFmtId="49" fontId="4" fillId="2" borderId="6" xfId="51" applyNumberFormat="1" applyFont="1" applyFill="1" applyBorder="1" applyAlignment="1">
      <alignment horizontal="left" vertical="center"/>
    </xf>
    <xf numFmtId="0" fontId="59" fillId="2" borderId="10" xfId="51" applyFont="1" applyFill="1" applyBorder="1">
      <alignment vertical="center"/>
    </xf>
    <xf numFmtId="176" fontId="59" fillId="2" borderId="1" xfId="51" applyNumberFormat="1" applyFont="1" applyFill="1" applyBorder="1" applyAlignment="1">
      <alignment horizontal="center" vertical="center"/>
    </xf>
    <xf numFmtId="0" fontId="60" fillId="2" borderId="10" xfId="51" applyFont="1" applyFill="1" applyBorder="1">
      <alignment vertical="center"/>
    </xf>
    <xf numFmtId="176" fontId="59" fillId="0" borderId="1" xfId="51" applyNumberFormat="1" applyFont="1" applyBorder="1" applyAlignment="1" applyProtection="1">
      <alignment horizontal="center" vertical="center"/>
      <protection locked="0"/>
    </xf>
    <xf numFmtId="186" fontId="19" fillId="0" borderId="1" xfId="51" applyNumberFormat="1" applyFont="1" applyBorder="1" applyAlignment="1" applyProtection="1">
      <alignment horizontal="center" vertical="center"/>
      <protection locked="0"/>
    </xf>
    <xf numFmtId="10" fontId="19" fillId="2" borderId="10" xfId="51" applyNumberFormat="1" applyFont="1" applyFill="1" applyBorder="1" applyAlignment="1">
      <alignment horizontal="center" vertical="center"/>
    </xf>
    <xf numFmtId="0" fontId="3" fillId="2" borderId="14" xfId="51" applyFont="1" applyFill="1" applyBorder="1" applyAlignment="1">
      <alignment vertical="center" wrapText="1"/>
    </xf>
    <xf numFmtId="49" fontId="22" fillId="2" borderId="6" xfId="0" applyNumberFormat="1" applyFont="1" applyFill="1" applyBorder="1" applyAlignment="1">
      <alignment horizontal="left" vertical="center"/>
    </xf>
    <xf numFmtId="0" fontId="22" fillId="2" borderId="1"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1" xfId="0" applyFont="1" applyFill="1" applyBorder="1" applyAlignment="1">
      <alignment horizontal="left" vertical="center"/>
    </xf>
    <xf numFmtId="10" fontId="22" fillId="2" borderId="10" xfId="51" applyNumberFormat="1" applyFont="1" applyFill="1" applyBorder="1" applyAlignment="1">
      <alignment horizontal="center" vertical="center"/>
    </xf>
    <xf numFmtId="0" fontId="22" fillId="2" borderId="14" xfId="0" applyFont="1" applyFill="1" applyBorder="1" applyAlignment="1">
      <alignment vertical="center" wrapText="1"/>
    </xf>
    <xf numFmtId="0" fontId="5" fillId="6" borderId="0" xfId="0" applyFont="1" applyFill="1" applyProtection="1">
      <alignment vertical="center"/>
      <protection locked="0"/>
    </xf>
    <xf numFmtId="9" fontId="22" fillId="0" borderId="10" xfId="51" applyNumberFormat="1" applyFont="1" applyBorder="1" applyAlignment="1" applyProtection="1">
      <alignment horizontal="center" vertical="center"/>
      <protection locked="0"/>
    </xf>
    <xf numFmtId="0" fontId="22" fillId="2" borderId="10" xfId="51" applyFont="1" applyFill="1" applyBorder="1" applyAlignment="1">
      <alignment horizontal="center" vertical="center"/>
    </xf>
    <xf numFmtId="49" fontId="22" fillId="2" borderId="7" xfId="51" applyNumberFormat="1" applyFont="1" applyFill="1" applyBorder="1" applyAlignment="1">
      <alignment horizontal="left" vertical="center"/>
    </xf>
    <xf numFmtId="0" fontId="22" fillId="2" borderId="42" xfId="51" applyFont="1" applyFill="1" applyBorder="1">
      <alignment vertical="center"/>
    </xf>
    <xf numFmtId="176" fontId="22" fillId="2" borderId="8" xfId="51" applyNumberFormat="1" applyFont="1" applyFill="1" applyBorder="1" applyAlignment="1">
      <alignment horizontal="center" vertical="center"/>
    </xf>
    <xf numFmtId="178" fontId="22" fillId="2" borderId="8" xfId="51" applyNumberFormat="1" applyFont="1" applyFill="1" applyBorder="1" applyAlignment="1">
      <alignment horizontal="center" vertical="center"/>
    </xf>
    <xf numFmtId="9" fontId="22" fillId="2" borderId="42" xfId="51" applyNumberFormat="1" applyFont="1" applyFill="1" applyBorder="1" applyAlignment="1">
      <alignment horizontal="center" vertical="center"/>
    </xf>
    <xf numFmtId="0" fontId="22" fillId="2" borderId="15" xfId="0" applyFont="1" applyFill="1" applyBorder="1" applyAlignment="1">
      <alignment vertical="center" wrapText="1"/>
    </xf>
    <xf numFmtId="0" fontId="19" fillId="0" borderId="0" xfId="0" applyFont="1" applyAlignment="1" applyProtection="1">
      <alignment horizontal="left" vertical="center"/>
      <protection locked="0"/>
    </xf>
    <xf numFmtId="178" fontId="59" fillId="0" borderId="1" xfId="51" applyNumberFormat="1" applyFont="1" applyBorder="1" applyAlignment="1" applyProtection="1">
      <alignment horizontal="center" vertical="center"/>
      <protection locked="0"/>
    </xf>
    <xf numFmtId="0" fontId="29" fillId="0" borderId="0" xfId="0" applyFont="1" applyProtection="1">
      <alignment vertical="center"/>
      <protection locked="0"/>
    </xf>
    <xf numFmtId="0" fontId="61" fillId="0" borderId="0" xfId="0" applyFont="1" applyProtection="1">
      <alignment vertical="center"/>
      <protection locked="0"/>
    </xf>
    <xf numFmtId="0" fontId="48" fillId="0" borderId="0" xfId="0" applyFont="1" applyProtection="1">
      <alignment vertical="center"/>
      <protection locked="0"/>
    </xf>
    <xf numFmtId="0" fontId="48" fillId="0" borderId="0" xfId="0" applyFont="1" applyAlignment="1" applyProtection="1">
      <alignment horizontal="center" vertical="center"/>
      <protection locked="0"/>
    </xf>
    <xf numFmtId="0" fontId="48" fillId="0" borderId="0" xfId="0" applyFont="1" applyAlignment="1" applyProtection="1">
      <alignment horizontal="left" vertical="center"/>
      <protection locked="0"/>
    </xf>
    <xf numFmtId="0" fontId="48" fillId="6" borderId="0" xfId="0" applyFont="1" applyFill="1" applyAlignment="1" applyProtection="1">
      <alignment horizontal="center" vertical="center"/>
      <protection locked="0"/>
    </xf>
    <xf numFmtId="49" fontId="36" fillId="2" borderId="89" xfId="0" applyNumberFormat="1" applyFont="1" applyFill="1" applyBorder="1" applyAlignment="1"/>
    <xf numFmtId="0" fontId="62" fillId="2" borderId="0" xfId="0" applyFont="1" applyFill="1" applyAlignment="1">
      <alignment horizontal="center" vertical="center"/>
    </xf>
    <xf numFmtId="49" fontId="63" fillId="5" borderId="91" xfId="0" applyNumberFormat="1" applyFont="1" applyFill="1" applyBorder="1" applyAlignment="1" applyProtection="1">
      <alignment horizontal="left"/>
      <protection locked="0"/>
    </xf>
    <xf numFmtId="0" fontId="29" fillId="3" borderId="0" xfId="0" applyFont="1" applyFill="1" applyProtection="1">
      <alignment vertical="center"/>
      <protection locked="0"/>
    </xf>
    <xf numFmtId="49" fontId="64" fillId="2" borderId="0" xfId="0" applyNumberFormat="1" applyFont="1" applyFill="1" applyAlignment="1">
      <alignment horizontal="center"/>
    </xf>
    <xf numFmtId="0" fontId="48" fillId="2" borderId="0" xfId="0" applyFont="1" applyFill="1" applyAlignment="1">
      <alignment horizontal="center"/>
    </xf>
    <xf numFmtId="176" fontId="36" fillId="2" borderId="89" xfId="0" applyNumberFormat="1" applyFont="1" applyFill="1" applyBorder="1" applyAlignment="1" applyProtection="1">
      <protection locked="0"/>
    </xf>
    <xf numFmtId="0" fontId="29" fillId="2" borderId="0" xfId="0" applyFont="1" applyFill="1" applyProtection="1">
      <alignment vertical="center"/>
      <protection locked="0"/>
    </xf>
    <xf numFmtId="49" fontId="38" fillId="9" borderId="0" xfId="0" applyNumberFormat="1" applyFont="1" applyFill="1" applyAlignment="1" applyProtection="1">
      <alignment horizontal="center"/>
      <protection locked="0"/>
    </xf>
    <xf numFmtId="0" fontId="48" fillId="9" borderId="0" xfId="0" applyFont="1" applyFill="1" applyProtection="1">
      <alignment vertical="center"/>
      <protection locked="0"/>
    </xf>
    <xf numFmtId="49" fontId="38" fillId="9" borderId="0" xfId="0" applyNumberFormat="1" applyFont="1" applyFill="1" applyAlignment="1" applyProtection="1">
      <protection locked="0"/>
    </xf>
    <xf numFmtId="176" fontId="38" fillId="2" borderId="0" xfId="0" applyNumberFormat="1" applyFont="1" applyFill="1" applyAlignment="1" applyProtection="1">
      <protection locked="0"/>
    </xf>
    <xf numFmtId="49" fontId="38" fillId="2" borderId="0" xfId="0" applyNumberFormat="1" applyFont="1" applyFill="1" applyAlignment="1" applyProtection="1">
      <alignment horizontal="center"/>
      <protection locked="0"/>
    </xf>
    <xf numFmtId="0" fontId="38" fillId="2" borderId="8" xfId="51" applyFont="1" applyFill="1" applyBorder="1">
      <alignment vertical="center"/>
    </xf>
    <xf numFmtId="0" fontId="27" fillId="2" borderId="8" xfId="0" applyFont="1" applyFill="1" applyBorder="1" applyAlignment="1">
      <alignment horizontal="center" vertical="center"/>
    </xf>
    <xf numFmtId="49" fontId="36" fillId="2" borderId="0" xfId="0" applyNumberFormat="1" applyFont="1" applyFill="1" applyAlignment="1">
      <alignment horizontal="center"/>
    </xf>
    <xf numFmtId="49" fontId="18" fillId="2" borderId="4" xfId="0" applyNumberFormat="1" applyFont="1" applyFill="1" applyBorder="1" applyAlignment="1">
      <alignment horizontal="center" vertical="center"/>
    </xf>
    <xf numFmtId="0" fontId="18" fillId="2" borderId="5" xfId="0" applyFont="1" applyFill="1" applyBorder="1" applyAlignment="1">
      <alignment horizontal="center" vertical="center"/>
    </xf>
    <xf numFmtId="0" fontId="18" fillId="2" borderId="39" xfId="0" applyFont="1" applyFill="1" applyBorder="1" applyAlignment="1">
      <alignment horizontal="right" vertical="center"/>
    </xf>
    <xf numFmtId="0" fontId="18" fillId="2" borderId="44" xfId="0" applyFont="1" applyFill="1" applyBorder="1" applyAlignment="1">
      <alignment horizontal="center" vertical="center"/>
    </xf>
    <xf numFmtId="0" fontId="48" fillId="2" borderId="0" xfId="0" applyFont="1" applyFill="1" applyProtection="1">
      <alignment vertical="center"/>
      <protection locked="0"/>
    </xf>
    <xf numFmtId="49" fontId="23" fillId="2" borderId="22" xfId="0" applyNumberFormat="1" applyFont="1" applyFill="1" applyBorder="1">
      <alignment vertical="center"/>
    </xf>
    <xf numFmtId="0" fontId="23" fillId="2" borderId="9" xfId="0" applyFont="1" applyFill="1" applyBorder="1" applyAlignment="1">
      <alignment vertical="center" wrapText="1"/>
    </xf>
    <xf numFmtId="0" fontId="18" fillId="2" borderId="35" xfId="0" applyFont="1" applyFill="1" applyBorder="1" applyAlignment="1">
      <alignment horizontal="center" vertical="center"/>
    </xf>
    <xf numFmtId="0" fontId="65" fillId="2" borderId="9" xfId="0" applyFont="1" applyFill="1" applyBorder="1">
      <alignment vertical="center"/>
    </xf>
    <xf numFmtId="0" fontId="18" fillId="2" borderId="34" xfId="0" applyFont="1" applyFill="1" applyBorder="1" applyAlignment="1">
      <alignment horizontal="right" vertical="center"/>
    </xf>
    <xf numFmtId="0" fontId="18" fillId="2" borderId="66" xfId="0" applyFont="1" applyFill="1" applyBorder="1" applyAlignment="1">
      <alignment horizontal="center" vertical="center"/>
    </xf>
    <xf numFmtId="49" fontId="18" fillId="2" borderId="22" xfId="0" applyNumberFormat="1" applyFont="1" applyFill="1" applyBorder="1" applyAlignment="1">
      <alignment horizontal="left" vertical="center"/>
    </xf>
    <xf numFmtId="0" fontId="66" fillId="2" borderId="9" xfId="0" applyFont="1" applyFill="1" applyBorder="1" applyAlignment="1">
      <alignment vertical="top" wrapText="1"/>
    </xf>
    <xf numFmtId="0" fontId="23" fillId="2" borderId="9" xfId="0" applyFont="1" applyFill="1" applyBorder="1" applyAlignment="1">
      <alignment horizontal="center" vertical="center"/>
    </xf>
    <xf numFmtId="0" fontId="26" fillId="2" borderId="9" xfId="0" applyFont="1" applyFill="1" applyBorder="1">
      <alignment vertical="center"/>
    </xf>
    <xf numFmtId="0" fontId="18" fillId="2" borderId="1" xfId="0" applyFont="1" applyFill="1" applyBorder="1" applyAlignment="1">
      <alignment horizontal="left" vertical="center"/>
    </xf>
    <xf numFmtId="0" fontId="23" fillId="2" borderId="14" xfId="0" applyFont="1" applyFill="1" applyBorder="1" applyAlignment="1">
      <alignment horizontal="center" vertical="center"/>
    </xf>
    <xf numFmtId="49" fontId="18" fillId="2" borderId="22" xfId="0" applyNumberFormat="1" applyFont="1" applyFill="1" applyBorder="1" applyAlignment="1">
      <alignment horizontal="center" vertical="center"/>
    </xf>
    <xf numFmtId="49" fontId="18" fillId="2" borderId="35" xfId="0" applyNumberFormat="1" applyFont="1" applyFill="1" applyBorder="1" applyAlignment="1">
      <alignment horizontal="left" vertical="center"/>
    </xf>
    <xf numFmtId="0" fontId="66" fillId="2" borderId="74" xfId="0" applyFont="1" applyFill="1" applyBorder="1" applyAlignment="1">
      <alignment vertical="top" wrapText="1"/>
    </xf>
    <xf numFmtId="0" fontId="23" fillId="2" borderId="35" xfId="0" applyFont="1" applyFill="1" applyBorder="1" applyAlignment="1">
      <alignment horizontal="center" vertical="center"/>
    </xf>
    <xf numFmtId="0" fontId="18" fillId="2" borderId="35" xfId="0" applyFont="1" applyFill="1" applyBorder="1">
      <alignment vertical="center"/>
    </xf>
    <xf numFmtId="49" fontId="18" fillId="2" borderId="68" xfId="0" applyNumberFormat="1" applyFont="1" applyFill="1" applyBorder="1" applyAlignment="1">
      <alignment horizontal="center" vertical="center"/>
    </xf>
    <xf numFmtId="49" fontId="18" fillId="2" borderId="74" xfId="0" applyNumberFormat="1" applyFont="1" applyFill="1" applyBorder="1" applyAlignment="1">
      <alignment horizontal="left" vertical="center"/>
    </xf>
    <xf numFmtId="0" fontId="66" fillId="2" borderId="35" xfId="0" applyFont="1" applyFill="1" applyBorder="1" applyAlignment="1">
      <alignment vertical="top" wrapText="1"/>
    </xf>
    <xf numFmtId="49" fontId="23" fillId="2" borderId="68" xfId="0" applyNumberFormat="1" applyFont="1" applyFill="1" applyBorder="1">
      <alignment vertical="center"/>
    </xf>
    <xf numFmtId="0" fontId="66" fillId="2" borderId="3" xfId="0" applyFont="1" applyFill="1" applyBorder="1" applyAlignment="1">
      <alignment vertical="top" wrapText="1"/>
    </xf>
    <xf numFmtId="180" fontId="23" fillId="2" borderId="14" xfId="0" applyNumberFormat="1" applyFont="1" applyFill="1" applyBorder="1" applyAlignment="1">
      <alignment horizontal="center" vertical="center"/>
    </xf>
    <xf numFmtId="49" fontId="23" fillId="2" borderId="68" xfId="0" applyNumberFormat="1" applyFont="1" applyFill="1" applyBorder="1" applyAlignment="1">
      <alignment horizontal="center" vertical="center"/>
    </xf>
    <xf numFmtId="0" fontId="26" fillId="2" borderId="58" xfId="0" applyFont="1" applyFill="1" applyBorder="1" applyAlignment="1">
      <alignment vertical="center" wrapText="1"/>
    </xf>
    <xf numFmtId="0" fontId="26" fillId="2" borderId="58" xfId="0" applyFont="1" applyFill="1" applyBorder="1">
      <alignment vertical="center"/>
    </xf>
    <xf numFmtId="0" fontId="26" fillId="2" borderId="9" xfId="0" applyFont="1" applyFill="1" applyBorder="1" applyAlignment="1">
      <alignment horizontal="left" vertical="center"/>
    </xf>
    <xf numFmtId="180" fontId="23" fillId="3" borderId="57" xfId="0" applyNumberFormat="1" applyFont="1" applyFill="1" applyBorder="1" applyAlignment="1" applyProtection="1">
      <alignment horizontal="center" vertical="center"/>
      <protection locked="0"/>
    </xf>
    <xf numFmtId="49" fontId="18" fillId="2" borderId="75" xfId="0" applyNumberFormat="1" applyFont="1" applyFill="1" applyBorder="1" applyAlignment="1">
      <alignment horizontal="center" vertical="center"/>
    </xf>
    <xf numFmtId="49" fontId="23" fillId="2" borderId="29" xfId="0" applyNumberFormat="1" applyFont="1" applyFill="1" applyBorder="1">
      <alignment vertical="center"/>
    </xf>
    <xf numFmtId="0" fontId="67" fillId="2" borderId="1" xfId="0" applyFont="1" applyFill="1" applyBorder="1" applyAlignment="1">
      <alignment horizontal="right" vertical="center" wrapText="1"/>
    </xf>
    <xf numFmtId="0" fontId="23" fillId="2" borderId="1" xfId="0" applyFont="1" applyFill="1" applyBorder="1" applyAlignment="1" applyProtection="1">
      <alignment horizontal="center" vertical="center"/>
      <protection locked="0"/>
    </xf>
    <xf numFmtId="180" fontId="23" fillId="2" borderId="57" xfId="0" applyNumberFormat="1" applyFont="1" applyFill="1" applyBorder="1" applyAlignment="1">
      <alignment horizontal="center" vertical="center"/>
    </xf>
    <xf numFmtId="49" fontId="23" fillId="2" borderId="65" xfId="0" applyNumberFormat="1" applyFont="1" applyFill="1" applyBorder="1" applyAlignment="1">
      <alignment horizontal="center" vertical="center"/>
    </xf>
    <xf numFmtId="49" fontId="18" fillId="2" borderId="92" xfId="0" applyNumberFormat="1" applyFont="1" applyFill="1" applyBorder="1">
      <alignment vertical="center"/>
    </xf>
    <xf numFmtId="0" fontId="26" fillId="2" borderId="93" xfId="0" applyFont="1" applyFill="1" applyBorder="1" applyAlignment="1">
      <alignment vertical="center" wrapText="1"/>
    </xf>
    <xf numFmtId="0" fontId="23" fillId="0" borderId="83" xfId="0" applyFont="1" applyBorder="1" applyAlignment="1" applyProtection="1">
      <alignment horizontal="center" vertical="center"/>
      <protection locked="0"/>
    </xf>
    <xf numFmtId="0" fontId="18" fillId="2" borderId="83" xfId="0" applyFont="1" applyFill="1" applyBorder="1">
      <alignment vertical="center"/>
    </xf>
    <xf numFmtId="0" fontId="68" fillId="2" borderId="83" xfId="0" applyFont="1" applyFill="1" applyBorder="1" applyAlignment="1">
      <alignment horizontal="left" vertical="center"/>
    </xf>
    <xf numFmtId="180" fontId="23" fillId="2" borderId="87" xfId="0" applyNumberFormat="1" applyFont="1" applyFill="1" applyBorder="1" applyAlignment="1">
      <alignment horizontal="center" vertical="center"/>
    </xf>
    <xf numFmtId="49" fontId="18" fillId="2" borderId="92" xfId="0" applyNumberFormat="1" applyFont="1" applyFill="1" applyBorder="1" applyAlignment="1">
      <alignment horizontal="center" vertical="center"/>
    </xf>
    <xf numFmtId="49" fontId="23" fillId="2" borderId="29" xfId="0" applyNumberFormat="1" applyFont="1" applyFill="1" applyBorder="1" applyAlignment="1">
      <alignment horizontal="left" vertical="center"/>
    </xf>
    <xf numFmtId="0" fontId="23" fillId="2" borderId="3" xfId="0" applyFont="1" applyFill="1" applyBorder="1" applyAlignment="1">
      <alignment horizontal="left" vertical="center"/>
    </xf>
    <xf numFmtId="0" fontId="23" fillId="2" borderId="3" xfId="0" applyFont="1" applyFill="1" applyBorder="1" applyAlignment="1">
      <alignment horizontal="center" vertical="center"/>
    </xf>
    <xf numFmtId="0" fontId="18" fillId="2" borderId="35" xfId="0" applyFont="1" applyFill="1" applyBorder="1" applyAlignment="1">
      <alignment horizontal="left" vertical="center"/>
    </xf>
    <xf numFmtId="180" fontId="18" fillId="2" borderId="73" xfId="0" applyNumberFormat="1" applyFont="1" applyFill="1" applyBorder="1" applyAlignment="1">
      <alignment horizontal="center" vertical="center"/>
    </xf>
    <xf numFmtId="49" fontId="18" fillId="2" borderId="6" xfId="0" applyNumberFormat="1" applyFont="1" applyFill="1" applyBorder="1" applyAlignment="1">
      <alignment horizontal="right" vertical="center"/>
    </xf>
    <xf numFmtId="0" fontId="69" fillId="2" borderId="10" xfId="0" applyFont="1" applyFill="1" applyBorder="1" applyAlignment="1">
      <alignment horizontal="center" vertical="center"/>
    </xf>
    <xf numFmtId="0" fontId="18" fillId="2" borderId="10" xfId="0" applyFont="1" applyFill="1" applyBorder="1" applyAlignment="1">
      <alignment horizontal="left" vertical="center" wrapText="1"/>
    </xf>
    <xf numFmtId="0" fontId="18" fillId="2" borderId="12" xfId="0" applyFont="1" applyFill="1" applyBorder="1" applyAlignment="1">
      <alignment horizontal="left" vertical="center" wrapText="1"/>
    </xf>
    <xf numFmtId="178" fontId="23" fillId="2" borderId="46" xfId="0" applyNumberFormat="1" applyFont="1" applyFill="1" applyBorder="1" applyAlignment="1">
      <alignment horizontal="center" vertical="center"/>
    </xf>
    <xf numFmtId="49" fontId="18" fillId="2" borderId="6" xfId="0" applyNumberFormat="1" applyFont="1" applyFill="1" applyBorder="1" applyAlignment="1">
      <alignment horizontal="center" vertical="center"/>
    </xf>
    <xf numFmtId="0" fontId="18" fillId="2" borderId="3" xfId="0" applyFont="1" applyFill="1" applyBorder="1" applyAlignment="1">
      <alignment horizontal="left" vertical="center"/>
    </xf>
    <xf numFmtId="180" fontId="18" fillId="2" borderId="72" xfId="0" applyNumberFormat="1" applyFont="1" applyFill="1" applyBorder="1" applyAlignment="1">
      <alignment horizontal="center" vertical="center"/>
    </xf>
    <xf numFmtId="0" fontId="61" fillId="2" borderId="0" xfId="0" applyFont="1" applyFill="1" applyProtection="1">
      <alignment vertical="center"/>
      <protection locked="0"/>
    </xf>
    <xf numFmtId="180" fontId="18" fillId="2" borderId="14" xfId="0" applyNumberFormat="1" applyFont="1" applyFill="1" applyBorder="1" applyAlignment="1">
      <alignment horizontal="center" vertical="center"/>
    </xf>
    <xf numFmtId="0" fontId="18" fillId="2" borderId="46" xfId="0" applyFont="1" applyFill="1" applyBorder="1" applyAlignment="1">
      <alignment horizontal="center" vertical="center"/>
    </xf>
    <xf numFmtId="0" fontId="18" fillId="2" borderId="10" xfId="0" applyFont="1" applyFill="1" applyBorder="1">
      <alignment vertical="center"/>
    </xf>
    <xf numFmtId="0" fontId="18" fillId="2" borderId="1" xfId="0" applyFont="1" applyFill="1" applyBorder="1" applyAlignment="1">
      <alignment vertical="center" wrapText="1"/>
    </xf>
    <xf numFmtId="49" fontId="18" fillId="2" borderId="22" xfId="0" applyNumberFormat="1" applyFont="1" applyFill="1" applyBorder="1" applyAlignment="1">
      <alignment horizontal="right" vertical="center"/>
    </xf>
    <xf numFmtId="0" fontId="69" fillId="14" borderId="1" xfId="0" applyFont="1" applyFill="1" applyBorder="1" applyAlignment="1">
      <alignment horizontal="center" vertical="center"/>
    </xf>
    <xf numFmtId="49" fontId="18" fillId="2" borderId="29" xfId="0" applyNumberFormat="1" applyFont="1" applyFill="1" applyBorder="1" applyAlignment="1">
      <alignment horizontal="right" vertical="center"/>
    </xf>
    <xf numFmtId="0" fontId="68" fillId="2" borderId="10" xfId="0" applyFont="1" applyFill="1" applyBorder="1">
      <alignment vertical="center"/>
    </xf>
    <xf numFmtId="0" fontId="68" fillId="2" borderId="1" xfId="0" applyFont="1" applyFill="1" applyBorder="1">
      <alignment vertical="center"/>
    </xf>
    <xf numFmtId="0" fontId="18" fillId="2" borderId="14" xfId="0" applyFont="1" applyFill="1" applyBorder="1" applyAlignment="1">
      <alignment horizontal="center" vertical="center"/>
    </xf>
    <xf numFmtId="10" fontId="18" fillId="2" borderId="14" xfId="0" applyNumberFormat="1" applyFont="1" applyFill="1" applyBorder="1" applyAlignment="1">
      <alignment horizontal="center" vertical="center"/>
    </xf>
    <xf numFmtId="49" fontId="70" fillId="2" borderId="6" xfId="0" applyNumberFormat="1" applyFont="1" applyFill="1" applyBorder="1" applyAlignment="1">
      <alignment horizontal="center" vertical="center"/>
    </xf>
    <xf numFmtId="0" fontId="18" fillId="2" borderId="9" xfId="0" applyFont="1" applyFill="1" applyBorder="1" applyAlignment="1">
      <alignment horizontal="left" vertical="center"/>
    </xf>
    <xf numFmtId="49" fontId="23" fillId="2" borderId="22" xfId="0" applyNumberFormat="1" applyFont="1" applyFill="1" applyBorder="1" applyAlignment="1">
      <alignment horizontal="left" vertical="center"/>
    </xf>
    <xf numFmtId="49" fontId="23" fillId="2" borderId="68" xfId="0" applyNumberFormat="1" applyFont="1" applyFill="1" applyBorder="1" applyAlignment="1">
      <alignment horizontal="left" vertical="center"/>
    </xf>
    <xf numFmtId="49" fontId="70" fillId="2" borderId="92" xfId="0" applyNumberFormat="1" applyFont="1" applyFill="1" applyBorder="1" applyAlignment="1">
      <alignment horizontal="center" vertical="center"/>
    </xf>
    <xf numFmtId="0" fontId="18" fillId="2" borderId="83" xfId="0" applyFont="1" applyFill="1" applyBorder="1" applyAlignment="1">
      <alignment horizontal="center" vertical="center"/>
    </xf>
    <xf numFmtId="0" fontId="18" fillId="2" borderId="83" xfId="0" applyFont="1" applyFill="1" applyBorder="1" applyAlignment="1">
      <alignment horizontal="left" vertical="center" wrapText="1"/>
    </xf>
    <xf numFmtId="0" fontId="18" fillId="2" borderId="83" xfId="0" applyFont="1" applyFill="1" applyBorder="1" applyAlignment="1">
      <alignment horizontal="left" vertical="center"/>
    </xf>
    <xf numFmtId="180" fontId="18" fillId="2" borderId="87" xfId="0" applyNumberFormat="1" applyFont="1" applyFill="1" applyBorder="1" applyAlignment="1">
      <alignment horizontal="center" vertical="center"/>
    </xf>
    <xf numFmtId="49" fontId="23" fillId="2" borderId="7" xfId="0" applyNumberFormat="1" applyFont="1" applyFill="1" applyBorder="1" applyAlignment="1">
      <alignment horizontal="left" vertical="center"/>
    </xf>
    <xf numFmtId="0" fontId="18" fillId="2" borderId="34" xfId="0" applyFont="1" applyFill="1" applyBorder="1" applyAlignment="1">
      <alignment horizontal="left" vertical="center"/>
    </xf>
    <xf numFmtId="0" fontId="18" fillId="2" borderId="89" xfId="0" applyFont="1" applyFill="1" applyBorder="1" applyAlignment="1">
      <alignment horizontal="center" vertical="center"/>
    </xf>
    <xf numFmtId="49" fontId="22" fillId="2" borderId="0" xfId="0" applyNumberFormat="1" applyFont="1" applyFill="1" applyAlignment="1" applyProtection="1">
      <alignment horizontal="left" vertical="center"/>
      <protection locked="0"/>
    </xf>
    <xf numFmtId="0" fontId="18" fillId="8" borderId="1" xfId="0" applyFont="1" applyFill="1" applyBorder="1" applyAlignment="1">
      <alignment horizontal="center" vertical="center"/>
    </xf>
    <xf numFmtId="0" fontId="18" fillId="2" borderId="1" xfId="0" applyFont="1" applyFill="1" applyBorder="1" applyAlignment="1">
      <alignment horizontal="left" vertical="center" wrapText="1"/>
    </xf>
    <xf numFmtId="180" fontId="18" fillId="8" borderId="46" xfId="0" applyNumberFormat="1" applyFont="1" applyFill="1" applyBorder="1" applyAlignment="1">
      <alignment horizontal="center" vertical="center" wrapText="1"/>
    </xf>
    <xf numFmtId="49" fontId="71" fillId="2" borderId="0" xfId="0" applyNumberFormat="1" applyFont="1" applyFill="1" applyAlignment="1" applyProtection="1">
      <alignment horizontal="left" vertical="center"/>
      <protection locked="0"/>
    </xf>
    <xf numFmtId="49" fontId="72" fillId="2" borderId="0" xfId="0" applyNumberFormat="1" applyFont="1" applyFill="1" applyAlignment="1" applyProtection="1">
      <alignment horizontal="left" vertical="center"/>
      <protection locked="0"/>
    </xf>
    <xf numFmtId="0" fontId="18" fillId="5" borderId="1" xfId="0" applyFont="1" applyFill="1" applyBorder="1" applyAlignment="1" applyProtection="1">
      <alignment horizontal="left" vertical="center" wrapText="1"/>
      <protection locked="0"/>
    </xf>
    <xf numFmtId="0" fontId="49" fillId="2" borderId="0" xfId="0" applyFont="1" applyFill="1" applyAlignment="1" applyProtection="1">
      <protection locked="0"/>
    </xf>
    <xf numFmtId="0" fontId="18" fillId="2" borderId="9" xfId="0" applyFont="1" applyFill="1" applyBorder="1">
      <alignment vertical="center"/>
    </xf>
    <xf numFmtId="0" fontId="18" fillId="2" borderId="9" xfId="0" applyFont="1" applyFill="1" applyBorder="1" applyAlignment="1">
      <alignment horizontal="center" vertical="center"/>
    </xf>
    <xf numFmtId="0" fontId="18" fillId="2" borderId="9" xfId="0" applyFont="1" applyFill="1" applyBorder="1" applyAlignment="1">
      <alignment horizontal="left" vertical="center" wrapText="1"/>
    </xf>
    <xf numFmtId="49" fontId="18" fillId="2" borderId="29" xfId="0" applyNumberFormat="1" applyFont="1" applyFill="1" applyBorder="1">
      <alignment vertical="center"/>
    </xf>
    <xf numFmtId="0" fontId="18" fillId="2" borderId="3" xfId="0" applyFont="1" applyFill="1" applyBorder="1">
      <alignment vertical="center"/>
    </xf>
    <xf numFmtId="0" fontId="18" fillId="2" borderId="3" xfId="0" applyFont="1" applyFill="1" applyBorder="1" applyAlignment="1">
      <alignment horizontal="center" vertical="center"/>
    </xf>
    <xf numFmtId="0" fontId="18" fillId="2" borderId="3" xfId="0" applyFont="1" applyFill="1" applyBorder="1" applyAlignment="1">
      <alignment horizontal="left" vertical="center" wrapText="1"/>
    </xf>
    <xf numFmtId="10" fontId="23" fillId="2" borderId="14" xfId="0" applyNumberFormat="1" applyFont="1" applyFill="1" applyBorder="1" applyAlignment="1">
      <alignment horizontal="center" vertical="center"/>
    </xf>
    <xf numFmtId="187" fontId="23" fillId="2" borderId="14" xfId="0" applyNumberFormat="1" applyFont="1" applyFill="1" applyBorder="1" applyAlignment="1">
      <alignment horizontal="center" vertical="center"/>
    </xf>
    <xf numFmtId="0" fontId="73" fillId="2" borderId="3" xfId="0" applyFont="1" applyFill="1" applyBorder="1" applyAlignment="1">
      <alignment horizontal="left" vertical="center" wrapText="1"/>
    </xf>
    <xf numFmtId="0" fontId="18" fillId="2" borderId="34" xfId="0" applyFont="1" applyFill="1" applyBorder="1" applyAlignment="1">
      <alignment horizontal="left" vertical="center" wrapText="1"/>
    </xf>
    <xf numFmtId="0" fontId="18" fillId="2" borderId="89" xfId="0" applyFont="1" applyFill="1" applyBorder="1" applyAlignment="1">
      <alignment horizontal="center" vertical="center" wrapText="1"/>
    </xf>
    <xf numFmtId="0" fontId="18" fillId="2" borderId="66" xfId="0" applyFont="1" applyFill="1" applyBorder="1" applyAlignment="1">
      <alignment horizontal="center" vertical="center" wrapText="1"/>
    </xf>
    <xf numFmtId="0" fontId="73" fillId="2" borderId="9" xfId="0" applyFont="1" applyFill="1" applyBorder="1" applyAlignment="1">
      <alignment vertical="center" wrapText="1"/>
    </xf>
    <xf numFmtId="0" fontId="23" fillId="2" borderId="35" xfId="0" applyFont="1" applyFill="1" applyBorder="1" applyAlignment="1">
      <alignment vertical="center" wrapText="1"/>
    </xf>
    <xf numFmtId="0" fontId="18" fillId="2" borderId="35" xfId="0" applyFont="1" applyFill="1" applyBorder="1" applyAlignment="1">
      <alignment horizontal="left" vertical="center" wrapText="1"/>
    </xf>
    <xf numFmtId="178" fontId="23" fillId="2" borderId="14" xfId="0" applyNumberFormat="1" applyFont="1" applyFill="1" applyBorder="1" applyAlignment="1">
      <alignment horizontal="center" vertical="center"/>
    </xf>
    <xf numFmtId="0" fontId="23" fillId="2" borderId="3" xfId="0" applyFont="1" applyFill="1" applyBorder="1" applyAlignment="1">
      <alignment vertical="center" wrapText="1"/>
    </xf>
    <xf numFmtId="0" fontId="23" fillId="2" borderId="8" xfId="0" applyFont="1" applyFill="1" applyBorder="1" applyAlignment="1">
      <alignment horizontal="left" vertical="center"/>
    </xf>
    <xf numFmtId="0" fontId="23" fillId="2" borderId="8" xfId="0" applyFont="1" applyFill="1" applyBorder="1" applyAlignment="1">
      <alignment horizontal="center" vertical="center"/>
    </xf>
    <xf numFmtId="0" fontId="18" fillId="2" borderId="8" xfId="0" applyFont="1" applyFill="1" applyBorder="1">
      <alignment vertical="center"/>
    </xf>
    <xf numFmtId="0" fontId="18" fillId="2" borderId="8" xfId="0" applyFont="1" applyFill="1" applyBorder="1" applyAlignment="1">
      <alignment horizontal="left" vertical="center"/>
    </xf>
    <xf numFmtId="178" fontId="23" fillId="2" borderId="15" xfId="0" applyNumberFormat="1" applyFont="1" applyFill="1" applyBorder="1" applyAlignment="1">
      <alignment horizontal="center" vertical="center"/>
    </xf>
    <xf numFmtId="0" fontId="30" fillId="6" borderId="0" xfId="0" applyFont="1" applyFill="1" applyAlignment="1" applyProtection="1">
      <protection locked="0"/>
    </xf>
    <xf numFmtId="0" fontId="30" fillId="6" borderId="0" xfId="0" applyFont="1" applyFill="1" applyAlignment="1" applyProtection="1">
      <alignment horizontal="center"/>
      <protection locked="0"/>
    </xf>
    <xf numFmtId="0" fontId="74" fillId="6" borderId="0" xfId="0" applyFont="1" applyFill="1" applyAlignment="1" applyProtection="1">
      <protection locked="0"/>
    </xf>
    <xf numFmtId="0" fontId="30" fillId="2" borderId="0" xfId="0" applyFont="1" applyFill="1" applyAlignment="1">
      <alignment horizontal="center"/>
    </xf>
    <xf numFmtId="0" fontId="30" fillId="9" borderId="0" xfId="0" applyFont="1" applyFill="1" applyAlignment="1" applyProtection="1">
      <protection locked="0"/>
    </xf>
    <xf numFmtId="49" fontId="23" fillId="2" borderId="69" xfId="0" applyNumberFormat="1" applyFont="1" applyFill="1" applyBorder="1">
      <alignment vertical="center"/>
    </xf>
    <xf numFmtId="0" fontId="23" fillId="2" borderId="41" xfId="0" applyFont="1" applyFill="1" applyBorder="1" applyAlignment="1">
      <alignment vertical="center" wrapText="1"/>
    </xf>
    <xf numFmtId="49" fontId="25" fillId="2" borderId="69" xfId="0" applyNumberFormat="1" applyFont="1" applyFill="1" applyBorder="1">
      <alignment vertical="center"/>
    </xf>
    <xf numFmtId="0" fontId="50" fillId="2" borderId="55" xfId="0" applyFont="1" applyFill="1" applyBorder="1" applyProtection="1">
      <alignment vertical="center"/>
      <protection locked="0"/>
    </xf>
    <xf numFmtId="0" fontId="23" fillId="2" borderId="41" xfId="0" applyFont="1" applyFill="1" applyBorder="1" applyAlignment="1">
      <alignment horizontal="center" vertical="center"/>
    </xf>
    <xf numFmtId="0" fontId="18" fillId="2" borderId="41" xfId="0" applyFont="1" applyFill="1" applyBorder="1">
      <alignment vertical="center"/>
    </xf>
    <xf numFmtId="0" fontId="68" fillId="2" borderId="5" xfId="0" applyFont="1" applyFill="1" applyBorder="1" applyAlignment="1">
      <alignment horizontal="left" vertical="center"/>
    </xf>
    <xf numFmtId="0" fontId="23" fillId="0" borderId="13" xfId="0" applyFont="1" applyBorder="1" applyAlignment="1" applyProtection="1">
      <alignment horizontal="center" vertical="center"/>
      <protection locked="0"/>
    </xf>
    <xf numFmtId="178" fontId="19" fillId="6" borderId="0" xfId="0" applyNumberFormat="1" applyFont="1" applyFill="1" applyAlignment="1" applyProtection="1">
      <alignment horizontal="center" vertical="center"/>
      <protection locked="0"/>
    </xf>
    <xf numFmtId="49" fontId="22" fillId="6" borderId="0" xfId="0" applyNumberFormat="1" applyFont="1" applyFill="1" applyAlignment="1" applyProtection="1">
      <alignment horizontal="left" vertical="center"/>
      <protection locked="0"/>
    </xf>
    <xf numFmtId="180" fontId="23" fillId="0" borderId="14" xfId="0" applyNumberFormat="1" applyFont="1" applyBorder="1" applyAlignment="1" applyProtection="1">
      <alignment horizontal="center" vertical="center"/>
      <protection locked="0"/>
    </xf>
    <xf numFmtId="180" fontId="18" fillId="2" borderId="57" xfId="0" applyNumberFormat="1" applyFont="1" applyFill="1" applyBorder="1" applyAlignment="1">
      <alignment horizontal="center" vertical="center"/>
    </xf>
    <xf numFmtId="49" fontId="23" fillId="2" borderId="6" xfId="0" applyNumberFormat="1" applyFont="1" applyFill="1" applyBorder="1" applyAlignment="1">
      <alignment horizontal="left" vertical="center"/>
    </xf>
    <xf numFmtId="0" fontId="23" fillId="2" borderId="1" xfId="0" applyFont="1" applyFill="1" applyBorder="1" applyAlignment="1">
      <alignment horizontal="left" vertical="center"/>
    </xf>
    <xf numFmtId="0" fontId="68" fillId="2" borderId="1" xfId="0" applyFont="1" applyFill="1" applyBorder="1" applyAlignment="1">
      <alignment horizontal="left" vertical="center"/>
    </xf>
    <xf numFmtId="0" fontId="18" fillId="2" borderId="10" xfId="0" applyFont="1" applyFill="1" applyBorder="1" applyAlignment="1">
      <alignment horizontal="left" vertical="center"/>
    </xf>
    <xf numFmtId="49" fontId="36" fillId="2" borderId="0" xfId="0" applyNumberFormat="1" applyFont="1" applyFill="1" applyAlignment="1" applyProtection="1">
      <alignment horizontal="center"/>
      <protection locked="0"/>
    </xf>
    <xf numFmtId="49" fontId="36" fillId="2" borderId="0" xfId="0" applyNumberFormat="1" applyFont="1" applyFill="1" applyAlignment="1" applyProtection="1">
      <alignment horizontal="left"/>
      <protection locked="0"/>
    </xf>
    <xf numFmtId="0" fontId="29" fillId="6" borderId="0" xfId="0" applyFont="1" applyFill="1" applyProtection="1">
      <alignment vertical="center"/>
      <protection locked="0"/>
    </xf>
    <xf numFmtId="49" fontId="38" fillId="2" borderId="0" xfId="0" applyNumberFormat="1" applyFont="1" applyFill="1" applyAlignment="1" applyProtection="1">
      <alignment horizontal="left"/>
      <protection locked="0"/>
    </xf>
    <xf numFmtId="49" fontId="38" fillId="2" borderId="0" xfId="0" applyNumberFormat="1" applyFont="1" applyFill="1" applyAlignment="1">
      <alignment horizontal="center"/>
    </xf>
    <xf numFmtId="49" fontId="38" fillId="2" borderId="0" xfId="0" applyNumberFormat="1" applyFont="1" applyFill="1" applyAlignment="1">
      <alignment horizontal="left"/>
    </xf>
    <xf numFmtId="0" fontId="26" fillId="2" borderId="9" xfId="0" applyFont="1" applyFill="1" applyBorder="1" applyAlignment="1">
      <alignment vertical="center" wrapText="1"/>
    </xf>
    <xf numFmtId="180" fontId="23" fillId="2" borderId="47" xfId="0" applyNumberFormat="1" applyFont="1" applyFill="1" applyBorder="1" applyAlignment="1">
      <alignment horizontal="center" vertical="center"/>
    </xf>
    <xf numFmtId="0" fontId="26" fillId="2" borderId="94" xfId="0" applyFont="1" applyFill="1" applyBorder="1" applyAlignment="1">
      <alignment vertical="center" wrapText="1"/>
    </xf>
    <xf numFmtId="0" fontId="23" fillId="0" borderId="82" xfId="0" applyFont="1" applyBorder="1" applyAlignment="1" applyProtection="1">
      <alignment horizontal="center" vertical="center"/>
      <protection locked="0"/>
    </xf>
    <xf numFmtId="180" fontId="23" fillId="2" borderId="95" xfId="0" applyNumberFormat="1" applyFont="1" applyFill="1" applyBorder="1" applyAlignment="1">
      <alignment horizontal="center" vertical="center"/>
    </xf>
    <xf numFmtId="0" fontId="23" fillId="2" borderId="34" xfId="0" applyFont="1" applyFill="1" applyBorder="1" applyAlignment="1">
      <alignment horizontal="center" vertical="center"/>
    </xf>
    <xf numFmtId="0" fontId="75" fillId="2" borderId="89" xfId="0" applyFont="1" applyFill="1" applyBorder="1">
      <alignment vertical="center"/>
    </xf>
    <xf numFmtId="0" fontId="75" fillId="2" borderId="66" xfId="0" applyFont="1" applyFill="1" applyBorder="1">
      <alignment vertical="center"/>
    </xf>
    <xf numFmtId="0" fontId="75" fillId="2" borderId="12" xfId="0" applyFont="1" applyFill="1" applyBorder="1">
      <alignment vertical="center"/>
    </xf>
    <xf numFmtId="0" fontId="75" fillId="2" borderId="46" xfId="0" applyFont="1" applyFill="1" applyBorder="1">
      <alignment vertical="center"/>
    </xf>
    <xf numFmtId="180" fontId="23" fillId="2" borderId="83" xfId="0" applyNumberFormat="1" applyFont="1" applyFill="1" applyBorder="1" applyAlignment="1">
      <alignment horizontal="center" vertical="center"/>
    </xf>
    <xf numFmtId="0" fontId="18" fillId="2" borderId="96" xfId="0" applyFont="1" applyFill="1" applyBorder="1" applyAlignment="1">
      <alignment horizontal="left" vertical="center"/>
    </xf>
    <xf numFmtId="0" fontId="75" fillId="2" borderId="97" xfId="0" applyFont="1" applyFill="1" applyBorder="1">
      <alignment vertical="center"/>
    </xf>
    <xf numFmtId="0" fontId="75" fillId="2" borderId="95" xfId="0" applyFont="1" applyFill="1" applyBorder="1">
      <alignment vertical="center"/>
    </xf>
    <xf numFmtId="0" fontId="61" fillId="6" borderId="0" xfId="0" applyFont="1" applyFill="1" applyProtection="1">
      <alignment vertical="center"/>
      <protection locked="0"/>
    </xf>
    <xf numFmtId="0" fontId="22" fillId="2" borderId="0" xfId="0" applyFont="1" applyFill="1" applyAlignment="1" applyProtection="1">
      <alignment horizontal="left" vertical="center"/>
      <protection locked="0"/>
    </xf>
    <xf numFmtId="0" fontId="21" fillId="2" borderId="0" xfId="0" applyFont="1" applyFill="1" applyAlignment="1" applyProtection="1">
      <alignment horizontal="center" vertical="center"/>
      <protection locked="0"/>
    </xf>
    <xf numFmtId="0" fontId="19" fillId="2" borderId="0" xfId="0" applyFont="1" applyFill="1" applyAlignment="1" applyProtection="1">
      <alignment horizontal="left" vertical="center"/>
      <protection locked="0"/>
    </xf>
    <xf numFmtId="178" fontId="21" fillId="2" borderId="0" xfId="0" applyNumberFormat="1" applyFont="1" applyFill="1" applyAlignment="1" applyProtection="1">
      <alignment horizontal="center" vertical="center"/>
      <protection locked="0"/>
    </xf>
    <xf numFmtId="0" fontId="72" fillId="2" borderId="0" xfId="0" applyFont="1" applyFill="1" applyAlignment="1" applyProtection="1">
      <alignment horizontal="left" vertical="center"/>
      <protection locked="0"/>
    </xf>
    <xf numFmtId="0" fontId="76" fillId="2" borderId="0" xfId="0" applyFont="1" applyFill="1" applyAlignment="1" applyProtection="1">
      <alignment horizontal="center" vertical="center"/>
      <protection locked="0"/>
    </xf>
    <xf numFmtId="0" fontId="77" fillId="2" borderId="0" xfId="0" applyFont="1" applyFill="1" applyProtection="1">
      <alignment vertical="center"/>
      <protection locked="0"/>
    </xf>
    <xf numFmtId="0" fontId="78" fillId="2" borderId="0" xfId="0" applyFont="1" applyFill="1" applyAlignment="1" applyProtection="1">
      <alignment horizontal="left" vertical="center"/>
      <protection locked="0"/>
    </xf>
    <xf numFmtId="178" fontId="76" fillId="2" borderId="0" xfId="0" applyNumberFormat="1" applyFont="1" applyFill="1" applyAlignment="1" applyProtection="1">
      <alignment horizontal="center" vertical="center"/>
      <protection locked="0"/>
    </xf>
    <xf numFmtId="0" fontId="49" fillId="2" borderId="0" xfId="0" applyFont="1" applyFill="1" applyAlignment="1" applyProtection="1">
      <alignment horizontal="left"/>
      <protection locked="0"/>
    </xf>
    <xf numFmtId="0" fontId="30" fillId="2" borderId="1" xfId="0" applyFont="1" applyFill="1" applyBorder="1" applyAlignment="1"/>
    <xf numFmtId="0" fontId="30" fillId="2" borderId="1" xfId="0" applyFont="1" applyFill="1" applyBorder="1" applyAlignment="1">
      <alignment horizontal="center"/>
    </xf>
    <xf numFmtId="0" fontId="41" fillId="2" borderId="0" xfId="0" applyFont="1" applyFill="1" applyAlignment="1" applyProtection="1">
      <alignment horizontal="left"/>
      <protection locked="0"/>
    </xf>
    <xf numFmtId="0" fontId="41" fillId="2" borderId="0" xfId="0" applyFont="1" applyFill="1" applyAlignment="1" applyProtection="1">
      <protection locked="0"/>
    </xf>
    <xf numFmtId="0" fontId="19" fillId="2" borderId="1" xfId="0" applyFont="1" applyFill="1" applyBorder="1" applyAlignment="1">
      <alignment horizontal="left"/>
    </xf>
    <xf numFmtId="181" fontId="19" fillId="2" borderId="1" xfId="0" applyNumberFormat="1" applyFont="1" applyFill="1" applyBorder="1" applyAlignment="1">
      <alignment horizontal="center"/>
    </xf>
    <xf numFmtId="0" fontId="19" fillId="2" borderId="1" xfId="0" applyFont="1" applyFill="1" applyBorder="1" applyAlignment="1">
      <alignment vertical="center" wrapText="1"/>
    </xf>
    <xf numFmtId="180" fontId="23" fillId="2" borderId="1" xfId="0" applyNumberFormat="1" applyFont="1" applyFill="1" applyBorder="1" applyAlignment="1">
      <alignment horizontal="center" vertical="center"/>
    </xf>
    <xf numFmtId="0" fontId="18" fillId="2" borderId="0" xfId="0" applyFont="1" applyFill="1" applyAlignment="1" applyProtection="1">
      <alignment horizontal="left" vertical="center"/>
      <protection locked="0"/>
    </xf>
    <xf numFmtId="0" fontId="28" fillId="2" borderId="1" xfId="0" applyFont="1" applyFill="1" applyBorder="1" applyAlignment="1">
      <alignment horizontal="left"/>
    </xf>
    <xf numFmtId="0" fontId="28" fillId="2" borderId="1" xfId="0" applyFont="1" applyFill="1" applyBorder="1" applyAlignment="1">
      <alignment horizontal="center"/>
    </xf>
    <xf numFmtId="0" fontId="21" fillId="2" borderId="1" xfId="0" applyFont="1" applyFill="1" applyBorder="1" applyAlignment="1">
      <alignment horizontal="left"/>
    </xf>
    <xf numFmtId="0" fontId="21" fillId="2" borderId="1" xfId="0" applyFont="1" applyFill="1" applyBorder="1" applyAlignment="1">
      <alignment horizontal="center"/>
    </xf>
    <xf numFmtId="0" fontId="48" fillId="2" borderId="0" xfId="0" applyFont="1" applyFill="1" applyAlignment="1" applyProtection="1">
      <alignment horizontal="left" vertical="center"/>
      <protection locked="0"/>
    </xf>
    <xf numFmtId="180" fontId="19" fillId="2" borderId="1" xfId="0" applyNumberFormat="1" applyFont="1" applyFill="1" applyBorder="1" applyAlignment="1">
      <alignment horizontal="center"/>
    </xf>
    <xf numFmtId="0" fontId="48" fillId="2" borderId="1" xfId="0" applyFont="1" applyFill="1" applyBorder="1" applyAlignment="1">
      <alignment horizontal="center" vertical="center"/>
    </xf>
    <xf numFmtId="0" fontId="18" fillId="2" borderId="1" xfId="0" applyFont="1" applyFill="1" applyBorder="1" applyAlignment="1"/>
    <xf numFmtId="180" fontId="18" fillId="2" borderId="1" xfId="0" applyNumberFormat="1" applyFont="1" applyFill="1" applyBorder="1" applyAlignment="1">
      <alignment horizontal="center"/>
    </xf>
    <xf numFmtId="0" fontId="48" fillId="6" borderId="0" xfId="0" applyFont="1" applyFill="1" applyAlignment="1" applyProtection="1">
      <alignment horizontal="left" vertical="center"/>
      <protection locked="0"/>
    </xf>
    <xf numFmtId="0" fontId="79" fillId="6" borderId="98" xfId="0" applyFont="1" applyFill="1" applyBorder="1" applyProtection="1">
      <alignment vertical="center"/>
      <protection locked="0"/>
    </xf>
    <xf numFmtId="0" fontId="48" fillId="6" borderId="99" xfId="0" applyFont="1" applyFill="1" applyBorder="1" applyProtection="1">
      <alignment vertical="center"/>
      <protection locked="0"/>
    </xf>
    <xf numFmtId="0" fontId="48" fillId="6" borderId="100" xfId="0" applyFont="1" applyFill="1" applyBorder="1" applyAlignment="1" applyProtection="1">
      <alignment horizontal="left" vertical="center"/>
      <protection locked="0"/>
    </xf>
    <xf numFmtId="0" fontId="56" fillId="2" borderId="101" xfId="0" applyFont="1" applyFill="1" applyBorder="1" applyAlignment="1">
      <alignment horizontal="center" vertical="center"/>
    </xf>
    <xf numFmtId="0" fontId="14" fillId="2" borderId="0" xfId="0" applyFont="1" applyFill="1">
      <alignment vertical="center"/>
    </xf>
    <xf numFmtId="0" fontId="48" fillId="2" borderId="0" xfId="0" applyFont="1" applyFill="1">
      <alignment vertical="center"/>
    </xf>
    <xf numFmtId="0" fontId="80" fillId="2" borderId="4" xfId="0" applyFont="1" applyFill="1" applyBorder="1">
      <alignment vertical="center"/>
    </xf>
    <xf numFmtId="0" fontId="80" fillId="3" borderId="13" xfId="0" applyFont="1" applyFill="1" applyBorder="1" applyAlignment="1" applyProtection="1">
      <alignment horizontal="center" vertical="center"/>
      <protection locked="0"/>
    </xf>
    <xf numFmtId="0" fontId="80" fillId="2" borderId="4" xfId="0" applyFont="1" applyFill="1" applyBorder="1" applyAlignment="1">
      <alignment horizontal="left" vertical="center"/>
    </xf>
    <xf numFmtId="0" fontId="48" fillId="2" borderId="13" xfId="0" applyFont="1" applyFill="1" applyBorder="1" applyAlignment="1">
      <alignment horizontal="center" vertical="center"/>
    </xf>
    <xf numFmtId="0" fontId="48" fillId="2" borderId="0" xfId="0" applyFont="1" applyFill="1" applyAlignment="1">
      <alignment horizontal="center" vertical="center"/>
    </xf>
    <xf numFmtId="0" fontId="81" fillId="2" borderId="101" xfId="0" applyFont="1" applyFill="1" applyBorder="1" applyAlignment="1">
      <alignment vertical="center" wrapText="1"/>
    </xf>
    <xf numFmtId="0" fontId="81" fillId="2" borderId="100" xfId="0" applyFont="1" applyFill="1" applyBorder="1">
      <alignment vertical="center"/>
    </xf>
    <xf numFmtId="0" fontId="80" fillId="2" borderId="6" xfId="0" applyFont="1" applyFill="1" applyBorder="1">
      <alignment vertical="center"/>
    </xf>
    <xf numFmtId="0" fontId="81" fillId="3" borderId="14" xfId="0" applyFont="1" applyFill="1" applyBorder="1" applyAlignment="1" applyProtection="1">
      <alignment horizontal="center"/>
      <protection locked="0"/>
    </xf>
    <xf numFmtId="0" fontId="81" fillId="2" borderId="6" xfId="0" applyFont="1" applyFill="1" applyBorder="1" applyAlignment="1">
      <alignment horizontal="left"/>
    </xf>
    <xf numFmtId="0" fontId="48" fillId="2" borderId="14" xfId="0" applyFont="1" applyFill="1" applyBorder="1" applyAlignment="1">
      <alignment horizontal="center" vertical="center"/>
    </xf>
    <xf numFmtId="0" fontId="82" fillId="2" borderId="102" xfId="0" applyFont="1" applyFill="1" applyBorder="1" applyAlignment="1">
      <alignment vertical="center" wrapText="1"/>
    </xf>
    <xf numFmtId="0" fontId="81" fillId="2" borderId="67" xfId="0" applyFont="1" applyFill="1" applyBorder="1">
      <alignment vertical="center"/>
    </xf>
    <xf numFmtId="0" fontId="48" fillId="6" borderId="14" xfId="0" applyFont="1" applyFill="1" applyBorder="1" applyAlignment="1" applyProtection="1">
      <alignment horizontal="center" vertical="center"/>
      <protection locked="0"/>
    </xf>
    <xf numFmtId="0" fontId="83" fillId="2" borderId="6" xfId="0" applyFont="1" applyFill="1" applyBorder="1" applyAlignment="1">
      <alignment horizontal="left"/>
    </xf>
    <xf numFmtId="0" fontId="48" fillId="0" borderId="14" xfId="0" applyFont="1" applyBorder="1" applyAlignment="1" applyProtection="1">
      <alignment horizontal="center" vertical="center"/>
      <protection locked="0"/>
    </xf>
    <xf numFmtId="0" fontId="82" fillId="2" borderId="14" xfId="0" applyFont="1" applyFill="1" applyBorder="1" applyAlignment="1">
      <alignment horizontal="center"/>
    </xf>
    <xf numFmtId="0" fontId="82" fillId="2" borderId="102" xfId="0" applyFont="1" applyFill="1" applyBorder="1" applyAlignment="1">
      <alignment horizontal="right" vertical="center" wrapText="1"/>
    </xf>
    <xf numFmtId="49" fontId="80" fillId="2" borderId="6" xfId="0" applyNumberFormat="1" applyFont="1" applyFill="1" applyBorder="1" applyAlignment="1">
      <alignment horizontal="left" vertical="center"/>
    </xf>
    <xf numFmtId="188" fontId="48" fillId="2" borderId="14" xfId="0" applyNumberFormat="1" applyFont="1" applyFill="1" applyBorder="1" applyAlignment="1">
      <alignment horizontal="center" vertical="center"/>
    </xf>
    <xf numFmtId="0" fontId="80" fillId="2" borderId="7" xfId="0" applyFont="1" applyFill="1" applyBorder="1">
      <alignment vertical="center"/>
    </xf>
    <xf numFmtId="10" fontId="48" fillId="0" borderId="15" xfId="0" applyNumberFormat="1" applyFont="1" applyBorder="1" applyAlignment="1" applyProtection="1">
      <alignment horizontal="center" vertical="center"/>
      <protection locked="0"/>
    </xf>
    <xf numFmtId="0" fontId="80" fillId="2" borderId="60" xfId="0" applyFont="1" applyFill="1" applyBorder="1" applyAlignment="1">
      <alignment vertical="center" wrapText="1"/>
    </xf>
    <xf numFmtId="0" fontId="48" fillId="8" borderId="103" xfId="0" applyFont="1" applyFill="1" applyBorder="1" applyAlignment="1">
      <alignment horizontal="center" vertical="center"/>
    </xf>
    <xf numFmtId="0" fontId="84" fillId="2" borderId="63" xfId="0" applyFont="1" applyFill="1" applyBorder="1" applyAlignment="1">
      <alignment horizontal="left" vertical="center" wrapText="1"/>
    </xf>
    <xf numFmtId="0" fontId="84" fillId="2" borderId="100" xfId="0" applyFont="1" applyFill="1" applyBorder="1" applyAlignment="1">
      <alignment horizontal="left" vertical="center" wrapText="1"/>
    </xf>
    <xf numFmtId="0" fontId="85" fillId="2" borderId="59" xfId="0" applyFont="1" applyFill="1" applyBorder="1" applyAlignment="1">
      <alignment horizontal="left" vertical="center" wrapText="1"/>
    </xf>
    <xf numFmtId="180" fontId="48" fillId="2" borderId="5" xfId="0" applyNumberFormat="1" applyFont="1" applyFill="1" applyBorder="1" applyAlignment="1">
      <alignment horizontal="center" vertical="center"/>
    </xf>
    <xf numFmtId="0" fontId="85" fillId="2" borderId="19" xfId="0" applyFont="1" applyFill="1" applyBorder="1" applyAlignment="1">
      <alignment horizontal="center" vertical="center"/>
    </xf>
    <xf numFmtId="0" fontId="48" fillId="3" borderId="44" xfId="0" applyFont="1" applyFill="1" applyBorder="1" applyAlignment="1" applyProtection="1">
      <alignment horizontal="center" vertical="center"/>
      <protection locked="0"/>
    </xf>
    <xf numFmtId="0" fontId="86" fillId="2" borderId="0" xfId="0" applyFont="1" applyFill="1">
      <alignment vertical="center"/>
    </xf>
    <xf numFmtId="0" fontId="80" fillId="2" borderId="29" xfId="0" applyFont="1" applyFill="1" applyBorder="1" applyAlignment="1">
      <alignment vertical="center" wrapText="1"/>
    </xf>
    <xf numFmtId="0" fontId="48" fillId="3" borderId="0" xfId="0" applyFont="1" applyFill="1" applyAlignment="1" applyProtection="1">
      <alignment horizontal="center" vertical="center"/>
      <protection locked="0"/>
    </xf>
    <xf numFmtId="0" fontId="80" fillId="2" borderId="6" xfId="0" applyFont="1" applyFill="1" applyBorder="1" applyAlignment="1">
      <alignment vertical="center" wrapText="1"/>
    </xf>
    <xf numFmtId="0" fontId="48" fillId="2" borderId="10" xfId="0" applyFont="1" applyFill="1" applyBorder="1" applyAlignment="1">
      <alignment horizontal="center" vertical="center"/>
    </xf>
    <xf numFmtId="180" fontId="48" fillId="2" borderId="10" xfId="0" applyNumberFormat="1" applyFont="1" applyFill="1" applyBorder="1" applyAlignment="1">
      <alignment horizontal="center" vertical="center"/>
    </xf>
    <xf numFmtId="49" fontId="85" fillId="2" borderId="7" xfId="0" applyNumberFormat="1" applyFont="1" applyFill="1" applyBorder="1" applyAlignment="1">
      <alignment horizontal="left" vertical="center"/>
    </xf>
    <xf numFmtId="0" fontId="48" fillId="2" borderId="15" xfId="0" applyFont="1" applyFill="1" applyBorder="1" applyAlignment="1">
      <alignment horizontal="center" vertical="center"/>
    </xf>
    <xf numFmtId="0" fontId="85" fillId="2" borderId="7" xfId="0" applyFont="1" applyFill="1" applyBorder="1" applyAlignment="1">
      <alignment horizontal="center" vertical="center"/>
    </xf>
    <xf numFmtId="0" fontId="80" fillId="2" borderId="1" xfId="0" applyFont="1" applyFill="1" applyBorder="1" applyAlignment="1"/>
    <xf numFmtId="0" fontId="80" fillId="2" borderId="1" xfId="0" applyFont="1" applyFill="1" applyBorder="1" applyAlignment="1">
      <alignment horizontal="center"/>
    </xf>
    <xf numFmtId="0" fontId="80" fillId="2" borderId="1" xfId="0" applyFont="1" applyFill="1" applyBorder="1" applyAlignment="1">
      <alignment horizontal="center" vertical="center"/>
    </xf>
    <xf numFmtId="9" fontId="48" fillId="2" borderId="1" xfId="0" applyNumberFormat="1" applyFont="1" applyFill="1" applyBorder="1" applyAlignment="1">
      <alignment horizontal="center" vertical="center"/>
    </xf>
    <xf numFmtId="0" fontId="29" fillId="6" borderId="0" xfId="0" applyFont="1" applyFill="1" applyAlignment="1" applyProtection="1">
      <alignment horizontal="center" vertical="center"/>
      <protection locked="0"/>
    </xf>
    <xf numFmtId="0" fontId="61" fillId="6" borderId="0" xfId="0" applyFont="1" applyFill="1" applyAlignment="1" applyProtection="1">
      <alignment horizontal="center" vertical="center"/>
      <protection locked="0"/>
    </xf>
    <xf numFmtId="0" fontId="81" fillId="2" borderId="100" xfId="0" applyFont="1" applyFill="1" applyBorder="1" applyAlignment="1">
      <alignment horizontal="center" vertical="center" wrapText="1"/>
    </xf>
    <xf numFmtId="0" fontId="82" fillId="2" borderId="67" xfId="0" applyFont="1" applyFill="1" applyBorder="1" applyAlignment="1">
      <alignment horizontal="center" vertical="center" wrapText="1"/>
    </xf>
    <xf numFmtId="10" fontId="82" fillId="2" borderId="67" xfId="0" applyNumberFormat="1" applyFont="1" applyFill="1" applyBorder="1" applyAlignment="1">
      <alignment horizontal="center" vertical="center" wrapText="1"/>
    </xf>
    <xf numFmtId="0" fontId="82" fillId="2" borderId="67" xfId="0" applyFont="1" applyFill="1" applyBorder="1">
      <alignment vertical="center"/>
    </xf>
    <xf numFmtId="0" fontId="73" fillId="2" borderId="1" xfId="0" applyFont="1" applyFill="1" applyBorder="1" applyAlignment="1">
      <alignment horizontal="left" vertical="center" wrapText="1"/>
    </xf>
    <xf numFmtId="0" fontId="18" fillId="2" borderId="12" xfId="0" applyFont="1" applyFill="1" applyBorder="1" applyAlignment="1">
      <alignment horizontal="center" vertical="center" wrapText="1"/>
    </xf>
    <xf numFmtId="0" fontId="18" fillId="2" borderId="46" xfId="0" applyFont="1" applyFill="1" applyBorder="1" applyAlignment="1">
      <alignment horizontal="center" vertical="center" wrapText="1"/>
    </xf>
    <xf numFmtId="0" fontId="87" fillId="2" borderId="67" xfId="0" applyFont="1" applyFill="1" applyBorder="1">
      <alignment vertical="center"/>
    </xf>
    <xf numFmtId="188" fontId="82" fillId="2" borderId="67" xfId="0" applyNumberFormat="1" applyFont="1" applyFill="1" applyBorder="1" applyAlignment="1">
      <alignment horizontal="center" vertical="center" wrapText="1"/>
    </xf>
    <xf numFmtId="0" fontId="88" fillId="2" borderId="67" xfId="0" applyFont="1" applyFill="1" applyBorder="1">
      <alignment vertical="center"/>
    </xf>
    <xf numFmtId="0" fontId="75" fillId="6" borderId="0" xfId="0" applyFont="1" applyFill="1" applyAlignment="1" applyProtection="1">
      <protection locked="0"/>
    </xf>
    <xf numFmtId="0" fontId="41" fillId="0" borderId="0" xfId="0" applyFont="1" applyAlignment="1" applyProtection="1">
      <protection locked="0"/>
    </xf>
    <xf numFmtId="0" fontId="18" fillId="0" borderId="0" xfId="0" applyFont="1" applyAlignment="1" applyProtection="1">
      <protection locked="0"/>
    </xf>
    <xf numFmtId="0" fontId="32" fillId="6" borderId="0" xfId="0" applyFont="1" applyFill="1" applyProtection="1">
      <alignment vertical="center"/>
      <protection locked="0"/>
    </xf>
    <xf numFmtId="0" fontId="32" fillId="0" borderId="0" xfId="0" applyFont="1" applyProtection="1">
      <alignment vertical="center"/>
      <protection locked="0"/>
    </xf>
    <xf numFmtId="0" fontId="45" fillId="6" borderId="0" xfId="0" applyFont="1" applyFill="1" applyProtection="1">
      <alignment vertical="center"/>
      <protection locked="0"/>
    </xf>
    <xf numFmtId="0" fontId="32" fillId="6" borderId="0" xfId="0" applyFont="1" applyFill="1" applyAlignment="1" applyProtection="1">
      <protection locked="0"/>
    </xf>
    <xf numFmtId="0" fontId="20" fillId="6" borderId="0" xfId="0" applyFont="1" applyFill="1" applyAlignment="1" applyProtection="1">
      <protection locked="0"/>
    </xf>
    <xf numFmtId="0" fontId="45" fillId="6" borderId="0" xfId="0" applyFont="1" applyFill="1" applyAlignment="1" applyProtection="1">
      <protection locked="0"/>
    </xf>
    <xf numFmtId="0" fontId="32" fillId="6" borderId="0" xfId="0" applyFont="1" applyFill="1" applyAlignment="1" applyProtection="1">
      <alignment vertical="center" wrapText="1"/>
      <protection locked="0"/>
    </xf>
    <xf numFmtId="0" fontId="20" fillId="6" borderId="0" xfId="0" applyFont="1" applyFill="1" applyAlignment="1" applyProtection="1">
      <alignment vertical="center" wrapText="1"/>
      <protection locked="0"/>
    </xf>
    <xf numFmtId="0" fontId="18" fillId="7" borderId="0" xfId="0" applyFont="1" applyFill="1" applyAlignment="1" applyProtection="1">
      <alignment horizontal="center"/>
      <protection locked="0"/>
    </xf>
    <xf numFmtId="0" fontId="18" fillId="6" borderId="0" xfId="0" applyFont="1" applyFill="1" applyAlignment="1" applyProtection="1">
      <protection locked="0"/>
    </xf>
    <xf numFmtId="181" fontId="18" fillId="7" borderId="0" xfId="0" applyNumberFormat="1" applyFont="1" applyFill="1" applyAlignment="1" applyProtection="1">
      <alignment horizontal="center"/>
      <protection locked="0"/>
    </xf>
    <xf numFmtId="0" fontId="35" fillId="2" borderId="59" xfId="51" applyFont="1" applyFill="1" applyBorder="1" applyProtection="1">
      <alignment vertical="center"/>
      <protection locked="0"/>
    </xf>
    <xf numFmtId="0" fontId="27" fillId="3" borderId="78" xfId="51" applyFont="1" applyFill="1" applyBorder="1" applyAlignment="1" applyProtection="1">
      <alignment horizontal="right" vertical="center"/>
      <protection locked="0"/>
    </xf>
    <xf numFmtId="0" fontId="27" fillId="2" borderId="0" xfId="51" applyFont="1" applyFill="1" applyProtection="1">
      <alignment vertical="center"/>
      <protection locked="0"/>
    </xf>
    <xf numFmtId="0" fontId="38" fillId="2" borderId="1" xfId="51" applyFont="1" applyFill="1" applyBorder="1" applyProtection="1">
      <alignment vertical="center"/>
      <protection locked="0"/>
    </xf>
    <xf numFmtId="176" fontId="38" fillId="2" borderId="1" xfId="51" applyNumberFormat="1" applyFont="1" applyFill="1" applyBorder="1" applyAlignment="1" applyProtection="1">
      <alignment horizontal="right" vertical="center"/>
      <protection locked="0"/>
    </xf>
    <xf numFmtId="0" fontId="52" fillId="2" borderId="9" xfId="51" applyFont="1" applyFill="1" applyBorder="1" applyProtection="1">
      <alignment vertical="center"/>
      <protection locked="0"/>
    </xf>
    <xf numFmtId="0" fontId="38" fillId="2" borderId="9" xfId="51" applyFont="1" applyFill="1" applyBorder="1" applyAlignment="1" applyProtection="1">
      <alignment horizontal="right" vertical="center"/>
      <protection locked="0"/>
    </xf>
    <xf numFmtId="0" fontId="29" fillId="2" borderId="0" xfId="0" applyFont="1" applyFill="1" applyAlignment="1">
      <alignment horizontal="center" vertical="center"/>
    </xf>
    <xf numFmtId="0" fontId="27" fillId="2" borderId="0" xfId="51" applyFont="1" applyFill="1">
      <alignment vertical="center"/>
    </xf>
    <xf numFmtId="0" fontId="27" fillId="2" borderId="59" xfId="0" applyFont="1" applyFill="1" applyBorder="1">
      <alignment vertical="center"/>
    </xf>
    <xf numFmtId="0" fontId="27" fillId="2" borderId="78" xfId="0" applyFont="1" applyFill="1" applyBorder="1">
      <alignment vertical="center"/>
    </xf>
    <xf numFmtId="181" fontId="41" fillId="2" borderId="39" xfId="0" applyNumberFormat="1" applyFont="1" applyFill="1" applyBorder="1" applyAlignment="1">
      <alignment horizontal="center" vertical="center"/>
    </xf>
    <xf numFmtId="0" fontId="41" fillId="2" borderId="6" xfId="0" applyFont="1" applyFill="1" applyBorder="1" applyAlignment="1">
      <alignment horizontal="center" vertical="center"/>
    </xf>
    <xf numFmtId="0" fontId="41" fillId="2" borderId="18" xfId="0" applyFont="1" applyFill="1" applyBorder="1">
      <alignment vertical="center"/>
    </xf>
    <xf numFmtId="181" fontId="18" fillId="3" borderId="1" xfId="0" applyNumberFormat="1" applyFont="1" applyFill="1" applyBorder="1" applyAlignment="1" applyProtection="1">
      <alignment horizontal="center" vertical="center" wrapText="1"/>
      <protection locked="0"/>
    </xf>
    <xf numFmtId="49" fontId="18" fillId="2" borderId="6" xfId="0" applyNumberFormat="1" applyFont="1" applyFill="1" applyBorder="1" applyAlignment="1">
      <alignment horizontal="left" vertical="center"/>
    </xf>
    <xf numFmtId="181" fontId="18" fillId="0" borderId="1" xfId="0" applyNumberFormat="1" applyFont="1" applyBorder="1" applyAlignment="1" applyProtection="1">
      <alignment horizontal="center" vertical="center"/>
      <protection locked="0"/>
    </xf>
    <xf numFmtId="183" fontId="18" fillId="0" borderId="1" xfId="0" applyNumberFormat="1" applyFont="1" applyBorder="1" applyAlignment="1" applyProtection="1">
      <alignment horizontal="center" vertical="center"/>
      <protection locked="0"/>
    </xf>
    <xf numFmtId="183" fontId="69" fillId="2" borderId="1" xfId="0" applyNumberFormat="1" applyFont="1" applyFill="1" applyBorder="1" applyAlignment="1">
      <alignment horizontal="center" vertical="center"/>
    </xf>
    <xf numFmtId="49" fontId="18" fillId="2" borderId="7" xfId="0" applyNumberFormat="1" applyFont="1" applyFill="1" applyBorder="1" applyAlignment="1">
      <alignment horizontal="left" vertical="center"/>
    </xf>
    <xf numFmtId="0" fontId="18" fillId="2" borderId="42" xfId="0" applyFont="1" applyFill="1" applyBorder="1">
      <alignment vertical="center"/>
    </xf>
    <xf numFmtId="181" fontId="69" fillId="0" borderId="9" xfId="0" applyNumberFormat="1" applyFont="1" applyBorder="1" applyAlignment="1" applyProtection="1">
      <alignment horizontal="center" vertical="center"/>
      <protection locked="0"/>
    </xf>
    <xf numFmtId="181" fontId="18" fillId="0" borderId="8" xfId="0" applyNumberFormat="1" applyFont="1" applyBorder="1" applyAlignment="1" applyProtection="1">
      <alignment horizontal="center" vertical="center"/>
      <protection locked="0"/>
    </xf>
    <xf numFmtId="49" fontId="27" fillId="2" borderId="59" xfId="0" applyNumberFormat="1" applyFont="1" applyFill="1" applyBorder="1">
      <alignment vertical="center"/>
    </xf>
    <xf numFmtId="49" fontId="41" fillId="2" borderId="6" xfId="0" applyNumberFormat="1" applyFont="1" applyFill="1" applyBorder="1" applyAlignment="1">
      <alignment horizontal="center" vertical="center"/>
    </xf>
    <xf numFmtId="0" fontId="41" fillId="2" borderId="10" xfId="0" applyFont="1" applyFill="1" applyBorder="1">
      <alignment vertical="center"/>
    </xf>
    <xf numFmtId="181" fontId="41" fillId="2" borderId="1" xfId="0" applyNumberFormat="1" applyFont="1" applyFill="1" applyBorder="1" applyAlignment="1">
      <alignment horizontal="center" vertical="center"/>
    </xf>
    <xf numFmtId="0" fontId="41" fillId="2" borderId="1" xfId="0" applyFont="1" applyFill="1" applyBorder="1" applyAlignment="1">
      <alignment horizontal="center" vertical="center"/>
    </xf>
    <xf numFmtId="0" fontId="41" fillId="2" borderId="12" xfId="0" applyFont="1" applyFill="1" applyBorder="1">
      <alignment vertical="center"/>
    </xf>
    <xf numFmtId="49" fontId="18" fillId="2" borderId="6" xfId="51" applyNumberFormat="1" applyFont="1" applyFill="1" applyBorder="1" applyAlignment="1">
      <alignment horizontal="left" vertical="center"/>
    </xf>
    <xf numFmtId="0" fontId="18" fillId="2" borderId="10" xfId="51" applyFont="1" applyFill="1" applyBorder="1">
      <alignment vertical="center"/>
    </xf>
    <xf numFmtId="176" fontId="18" fillId="2" borderId="1" xfId="0" applyNumberFormat="1" applyFont="1" applyFill="1" applyBorder="1" applyAlignment="1">
      <alignment horizontal="center" vertical="center"/>
    </xf>
    <xf numFmtId="178" fontId="18" fillId="2" borderId="1" xfId="51" applyNumberFormat="1" applyFont="1" applyFill="1" applyBorder="1" applyAlignment="1">
      <alignment horizontal="center" vertical="center"/>
    </xf>
    <xf numFmtId="180" fontId="18" fillId="2" borderId="1" xfId="51" applyNumberFormat="1" applyFont="1" applyFill="1" applyBorder="1" applyAlignment="1">
      <alignment horizontal="center" vertical="center"/>
    </xf>
    <xf numFmtId="9" fontId="18" fillId="2" borderId="1" xfId="51" applyNumberFormat="1" applyFont="1" applyFill="1" applyBorder="1" applyAlignment="1">
      <alignment horizontal="center" vertical="center"/>
    </xf>
    <xf numFmtId="176" fontId="18" fillId="2" borderId="1" xfId="51" applyNumberFormat="1" applyFont="1" applyFill="1" applyBorder="1" applyAlignment="1">
      <alignment horizontal="center" vertical="center"/>
    </xf>
    <xf numFmtId="176" fontId="18" fillId="2" borderId="1" xfId="51" applyNumberFormat="1" applyFont="1" applyFill="1" applyBorder="1">
      <alignment vertical="center"/>
    </xf>
    <xf numFmtId="10" fontId="18" fillId="2" borderId="1" xfId="51" applyNumberFormat="1" applyFont="1" applyFill="1" applyBorder="1" applyAlignment="1">
      <alignment horizontal="center" vertical="center"/>
    </xf>
    <xf numFmtId="0" fontId="18" fillId="2" borderId="12" xfId="0" applyFont="1" applyFill="1" applyBorder="1">
      <alignment vertical="center"/>
    </xf>
    <xf numFmtId="49" fontId="41" fillId="2" borderId="6" xfId="51" applyNumberFormat="1" applyFont="1" applyFill="1" applyBorder="1" applyAlignment="1">
      <alignment horizontal="left" vertical="center"/>
    </xf>
    <xf numFmtId="0" fontId="41" fillId="2" borderId="10" xfId="51" applyFont="1" applyFill="1" applyBorder="1">
      <alignment vertical="center"/>
    </xf>
    <xf numFmtId="176" fontId="41" fillId="2" borderId="1" xfId="51" applyNumberFormat="1" applyFont="1" applyFill="1" applyBorder="1" applyAlignment="1">
      <alignment horizontal="center" vertical="center"/>
    </xf>
    <xf numFmtId="0" fontId="41" fillId="2" borderId="1" xfId="51" applyFont="1" applyFill="1" applyBorder="1">
      <alignment vertical="center"/>
    </xf>
    <xf numFmtId="176" fontId="41" fillId="2" borderId="1" xfId="51" applyNumberFormat="1" applyFont="1" applyFill="1" applyBorder="1">
      <alignment vertical="center"/>
    </xf>
    <xf numFmtId="0" fontId="30" fillId="2" borderId="10" xfId="0" applyFont="1" applyFill="1" applyBorder="1">
      <alignment vertical="center"/>
    </xf>
    <xf numFmtId="0" fontId="30" fillId="2" borderId="12" xfId="0" applyFont="1" applyFill="1" applyBorder="1">
      <alignment vertical="center"/>
    </xf>
    <xf numFmtId="178" fontId="41" fillId="2" borderId="1" xfId="51" applyNumberFormat="1" applyFont="1" applyFill="1" applyBorder="1" applyAlignment="1">
      <alignment horizontal="center" vertical="center"/>
    </xf>
    <xf numFmtId="9" fontId="41" fillId="2" borderId="1" xfId="51" applyNumberFormat="1" applyFont="1" applyFill="1" applyBorder="1" applyAlignment="1">
      <alignment horizontal="center" vertical="center"/>
    </xf>
    <xf numFmtId="0" fontId="23" fillId="3" borderId="10" xfId="0" applyFont="1" applyFill="1" applyBorder="1" applyProtection="1">
      <alignment vertical="center"/>
      <protection locked="0"/>
    </xf>
    <xf numFmtId="0" fontId="18" fillId="0" borderId="12" xfId="0" applyFont="1" applyBorder="1" applyProtection="1">
      <alignment vertical="center"/>
      <protection locked="0"/>
    </xf>
    <xf numFmtId="0" fontId="18" fillId="2" borderId="12" xfId="0" applyFont="1" applyFill="1" applyBorder="1" applyAlignment="1">
      <alignment horizontal="left" vertical="center"/>
    </xf>
    <xf numFmtId="0" fontId="89" fillId="2" borderId="10" xfId="51" applyFont="1" applyFill="1" applyBorder="1">
      <alignment vertical="center"/>
    </xf>
    <xf numFmtId="10" fontId="41" fillId="2" borderId="1" xfId="51" applyNumberFormat="1" applyFont="1" applyFill="1" applyBorder="1" applyAlignment="1">
      <alignment horizontal="center" vertical="center"/>
    </xf>
    <xf numFmtId="176" fontId="18" fillId="2" borderId="12" xfId="51" applyNumberFormat="1" applyFont="1" applyFill="1" applyBorder="1">
      <alignment vertical="center"/>
    </xf>
    <xf numFmtId="176" fontId="18" fillId="2" borderId="10" xfId="0" applyNumberFormat="1" applyFont="1" applyFill="1" applyBorder="1">
      <alignment vertical="center"/>
    </xf>
    <xf numFmtId="10" fontId="41" fillId="2" borderId="1" xfId="0" applyNumberFormat="1" applyFont="1" applyFill="1" applyBorder="1" applyAlignment="1">
      <alignment horizontal="center" vertical="center"/>
    </xf>
    <xf numFmtId="176" fontId="41" fillId="2" borderId="1" xfId="51" applyNumberFormat="1" applyFont="1" applyFill="1" applyBorder="1" applyAlignment="1"/>
    <xf numFmtId="176" fontId="41" fillId="2" borderId="12" xfId="51" applyNumberFormat="1" applyFont="1" applyFill="1" applyBorder="1">
      <alignment vertical="center"/>
    </xf>
    <xf numFmtId="0" fontId="90" fillId="2" borderId="10" xfId="0" applyFont="1" applyFill="1" applyBorder="1">
      <alignment vertical="center"/>
    </xf>
    <xf numFmtId="0" fontId="89" fillId="2" borderId="1" xfId="51" applyFont="1" applyFill="1" applyBorder="1">
      <alignment vertical="center"/>
    </xf>
    <xf numFmtId="176" fontId="41" fillId="2" borderId="0" xfId="0" applyNumberFormat="1" applyFont="1" applyFill="1" applyAlignment="1">
      <alignment horizontal="center" vertical="center"/>
    </xf>
    <xf numFmtId="0" fontId="41" fillId="2" borderId="1" xfId="0" applyFont="1" applyFill="1" applyBorder="1" applyAlignment="1">
      <alignment horizontal="right" vertical="center"/>
    </xf>
    <xf numFmtId="10" fontId="41" fillId="2" borderId="9" xfId="0" applyNumberFormat="1" applyFont="1" applyFill="1" applyBorder="1" applyAlignment="1">
      <alignment horizontal="center" vertical="center"/>
    </xf>
    <xf numFmtId="0" fontId="18" fillId="2" borderId="1" xfId="51" applyFont="1" applyFill="1" applyBorder="1" applyAlignment="1">
      <alignment horizontal="left" vertical="center"/>
    </xf>
    <xf numFmtId="189" fontId="18" fillId="2" borderId="11" xfId="0" applyNumberFormat="1" applyFont="1" applyFill="1" applyBorder="1" applyAlignment="1">
      <alignment horizontal="center" vertical="center"/>
    </xf>
    <xf numFmtId="189" fontId="18" fillId="2" borderId="1" xfId="0" applyNumberFormat="1" applyFont="1" applyFill="1" applyBorder="1" applyAlignment="1">
      <alignment horizontal="center" vertical="center"/>
    </xf>
    <xf numFmtId="10" fontId="18" fillId="2" borderId="9" xfId="0" applyNumberFormat="1" applyFont="1" applyFill="1" applyBorder="1" applyAlignment="1">
      <alignment horizontal="center" vertical="center"/>
    </xf>
    <xf numFmtId="176" fontId="18" fillId="2" borderId="0" xfId="0" applyNumberFormat="1" applyFont="1" applyFill="1" applyAlignment="1">
      <alignment horizontal="center" vertical="center"/>
    </xf>
    <xf numFmtId="49" fontId="41" fillId="2" borderId="6" xfId="0" applyNumberFormat="1" applyFont="1" applyFill="1" applyBorder="1" applyAlignment="1">
      <alignment horizontal="left" vertical="center"/>
    </xf>
    <xf numFmtId="10" fontId="23" fillId="2" borderId="1" xfId="51" applyNumberFormat="1" applyFont="1" applyFill="1" applyBorder="1" applyAlignment="1">
      <alignment horizontal="center" vertical="center"/>
    </xf>
    <xf numFmtId="49" fontId="41" fillId="2" borderId="6" xfId="0" applyNumberFormat="1" applyFont="1" applyFill="1" applyBorder="1" applyAlignment="1">
      <alignment horizontal="left" vertical="center" wrapText="1"/>
    </xf>
    <xf numFmtId="0" fontId="41" fillId="2" borderId="1" xfId="51" applyFont="1" applyFill="1" applyBorder="1" applyAlignment="1">
      <alignment horizontal="left" vertical="center"/>
    </xf>
    <xf numFmtId="189" fontId="41" fillId="2" borderId="1" xfId="0" applyNumberFormat="1" applyFont="1" applyFill="1" applyBorder="1" applyAlignment="1">
      <alignment horizontal="right" vertical="center"/>
    </xf>
    <xf numFmtId="49" fontId="91" fillId="2" borderId="6" xfId="0" applyNumberFormat="1" applyFont="1" applyFill="1" applyBorder="1" applyAlignment="1">
      <alignment horizontal="left" vertical="center" wrapText="1"/>
    </xf>
    <xf numFmtId="0" fontId="90" fillId="2" borderId="1" xfId="51" applyFont="1" applyFill="1" applyBorder="1" applyAlignment="1">
      <alignment vertical="center" wrapText="1"/>
    </xf>
    <xf numFmtId="176" fontId="41" fillId="2" borderId="11" xfId="0" applyNumberFormat="1" applyFont="1" applyFill="1" applyBorder="1" applyAlignment="1">
      <alignment horizontal="center" vertical="center" wrapText="1"/>
    </xf>
    <xf numFmtId="10" fontId="41" fillId="2" borderId="1" xfId="0" applyNumberFormat="1" applyFont="1" applyFill="1" applyBorder="1" applyAlignment="1">
      <alignment horizontal="center" vertical="center" wrapText="1"/>
    </xf>
    <xf numFmtId="49" fontId="18" fillId="2" borderId="6" xfId="0" applyNumberFormat="1" applyFont="1" applyFill="1" applyBorder="1" applyAlignment="1">
      <alignment horizontal="left" vertical="center" wrapText="1"/>
    </xf>
    <xf numFmtId="0" fontId="18" fillId="2" borderId="10" xfId="51" applyFont="1" applyFill="1" applyBorder="1" applyAlignment="1">
      <alignment horizontal="left" vertical="center"/>
    </xf>
    <xf numFmtId="10" fontId="18" fillId="2" borderId="1" xfId="0" applyNumberFormat="1" applyFont="1" applyFill="1" applyBorder="1" applyAlignment="1">
      <alignment horizontal="center" vertical="center" wrapText="1"/>
    </xf>
    <xf numFmtId="49" fontId="18" fillId="2" borderId="7" xfId="0" applyNumberFormat="1" applyFont="1" applyFill="1" applyBorder="1" applyAlignment="1">
      <alignment horizontal="left" vertical="center" wrapText="1"/>
    </xf>
    <xf numFmtId="0" fontId="92" fillId="2" borderId="8" xfId="0" applyFont="1" applyFill="1" applyBorder="1">
      <alignment vertical="center"/>
    </xf>
    <xf numFmtId="176" fontId="18" fillId="2" borderId="8" xfId="0" applyNumberFormat="1" applyFont="1" applyFill="1" applyBorder="1" applyAlignment="1">
      <alignment horizontal="center" vertical="center" wrapText="1"/>
    </xf>
    <xf numFmtId="189" fontId="18" fillId="2" borderId="8" xfId="0" applyNumberFormat="1" applyFont="1" applyFill="1" applyBorder="1" applyAlignment="1">
      <alignment horizontal="center" vertical="center"/>
    </xf>
    <xf numFmtId="176" fontId="18" fillId="2" borderId="79" xfId="51" applyNumberFormat="1" applyFont="1" applyFill="1" applyBorder="1">
      <alignment vertical="center"/>
    </xf>
    <xf numFmtId="10" fontId="18" fillId="2" borderId="8" xfId="0" applyNumberFormat="1" applyFont="1" applyFill="1" applyBorder="1" applyAlignment="1">
      <alignment horizontal="center" vertical="center" wrapText="1"/>
    </xf>
    <xf numFmtId="0" fontId="18" fillId="2" borderId="79" xfId="0" applyFont="1" applyFill="1" applyBorder="1">
      <alignment vertical="center"/>
    </xf>
    <xf numFmtId="0" fontId="41" fillId="2" borderId="17" xfId="0" applyFont="1" applyFill="1" applyBorder="1">
      <alignment vertical="center"/>
    </xf>
    <xf numFmtId="181" fontId="27" fillId="2" borderId="80" xfId="0" applyNumberFormat="1" applyFont="1" applyFill="1" applyBorder="1" applyAlignment="1">
      <alignment horizontal="center" vertical="center"/>
    </xf>
    <xf numFmtId="0" fontId="27" fillId="2" borderId="16" xfId="0" applyFont="1" applyFill="1" applyBorder="1">
      <alignment vertical="center"/>
    </xf>
    <xf numFmtId="0" fontId="18" fillId="0" borderId="0" xfId="0" applyFont="1" applyAlignment="1" applyProtection="1">
      <alignment horizontal="center"/>
      <protection locked="0"/>
    </xf>
    <xf numFmtId="181" fontId="18" fillId="0" borderId="0" xfId="0" applyNumberFormat="1" applyFont="1" applyAlignment="1" applyProtection="1">
      <alignment horizontal="center"/>
      <protection locked="0"/>
    </xf>
    <xf numFmtId="0" fontId="93" fillId="0" borderId="0" xfId="0" applyFont="1" applyAlignment="1" applyProtection="1">
      <protection locked="0"/>
    </xf>
    <xf numFmtId="181" fontId="93" fillId="0" borderId="0" xfId="0" applyNumberFormat="1" applyFont="1" applyAlignment="1" applyProtection="1">
      <alignment horizontal="center"/>
      <protection locked="0"/>
    </xf>
    <xf numFmtId="0" fontId="27" fillId="2" borderId="44" xfId="0" applyFont="1" applyFill="1" applyBorder="1">
      <alignment vertical="center"/>
    </xf>
    <xf numFmtId="0" fontId="75" fillId="0" borderId="0" xfId="0" applyFont="1" applyAlignment="1" applyProtection="1">
      <protection locked="0"/>
    </xf>
    <xf numFmtId="181" fontId="18" fillId="3" borderId="14" xfId="0" applyNumberFormat="1" applyFont="1" applyFill="1" applyBorder="1" applyAlignment="1" applyProtection="1">
      <alignment horizontal="center" vertical="center" wrapText="1"/>
      <protection locked="0"/>
    </xf>
    <xf numFmtId="181" fontId="18" fillId="0" borderId="14" xfId="0" applyNumberFormat="1" applyFont="1" applyBorder="1" applyAlignment="1" applyProtection="1">
      <alignment horizontal="center" vertical="center"/>
      <protection locked="0"/>
    </xf>
    <xf numFmtId="183" fontId="69" fillId="2" borderId="14" xfId="0" applyNumberFormat="1" applyFont="1" applyFill="1" applyBorder="1" applyAlignment="1">
      <alignment horizontal="center" vertical="center"/>
    </xf>
    <xf numFmtId="181" fontId="18" fillId="0" borderId="15" xfId="0" applyNumberFormat="1" applyFont="1" applyBorder="1" applyAlignment="1" applyProtection="1">
      <alignment horizontal="center" vertical="center"/>
      <protection locked="0"/>
    </xf>
    <xf numFmtId="0" fontId="41" fillId="2" borderId="46" xfId="0" applyFont="1" applyFill="1" applyBorder="1">
      <alignment vertical="center"/>
    </xf>
    <xf numFmtId="0" fontId="30" fillId="0" borderId="0" xfId="0" applyFont="1" applyAlignment="1" applyProtection="1">
      <protection locked="0"/>
    </xf>
    <xf numFmtId="0" fontId="18" fillId="2" borderId="46" xfId="0" applyFont="1" applyFill="1" applyBorder="1">
      <alignment vertical="center"/>
    </xf>
    <xf numFmtId="0" fontId="30" fillId="2" borderId="46" xfId="0" applyFont="1" applyFill="1" applyBorder="1">
      <alignment vertical="center"/>
    </xf>
    <xf numFmtId="0" fontId="25" fillId="2" borderId="12" xfId="0" applyFont="1" applyFill="1" applyBorder="1">
      <alignment vertical="center"/>
    </xf>
    <xf numFmtId="0" fontId="18" fillId="2" borderId="46" xfId="0" applyFont="1" applyFill="1" applyBorder="1" applyAlignment="1">
      <alignment horizontal="left" vertical="center"/>
    </xf>
    <xf numFmtId="0" fontId="32" fillId="0" borderId="0" xfId="0" applyFont="1" applyAlignment="1" applyProtection="1">
      <protection locked="0"/>
    </xf>
    <xf numFmtId="0" fontId="45" fillId="0" borderId="0" xfId="0" applyFont="1" applyProtection="1">
      <alignment vertical="center"/>
      <protection locked="0"/>
    </xf>
    <xf numFmtId="0" fontId="20" fillId="0" borderId="0" xfId="0" applyFont="1" applyAlignment="1" applyProtection="1">
      <protection locked="0"/>
    </xf>
    <xf numFmtId="0" fontId="45" fillId="0" borderId="0" xfId="0" applyFont="1" applyAlignment="1" applyProtection="1">
      <protection locked="0"/>
    </xf>
    <xf numFmtId="0" fontId="32" fillId="0" borderId="0" xfId="0" applyFont="1" applyAlignment="1" applyProtection="1">
      <alignment vertical="center" wrapText="1"/>
      <protection locked="0"/>
    </xf>
    <xf numFmtId="0" fontId="20" fillId="0" borderId="0" xfId="0" applyFont="1" applyAlignment="1" applyProtection="1">
      <alignment vertical="center" wrapText="1"/>
      <protection locked="0"/>
    </xf>
    <xf numFmtId="0" fontId="18" fillId="2" borderId="53" xfId="0" applyFont="1" applyFill="1" applyBorder="1">
      <alignment vertical="center"/>
    </xf>
    <xf numFmtId="0" fontId="41" fillId="2" borderId="67" xfId="0" applyFont="1" applyFill="1" applyBorder="1">
      <alignment vertical="center"/>
    </xf>
    <xf numFmtId="0" fontId="41" fillId="6" borderId="0" xfId="0" applyFont="1" applyFill="1" applyAlignment="1" applyProtection="1">
      <protection locked="0"/>
    </xf>
    <xf numFmtId="0" fontId="0" fillId="0" borderId="1" xfId="0" applyBorder="1" applyAlignment="1">
      <alignment horizontal="center" vertical="center"/>
    </xf>
    <xf numFmtId="9" fontId="0" fillId="0" borderId="1" xfId="0" applyNumberFormat="1" applyBorder="1" applyAlignment="1">
      <alignment horizontal="center" vertical="center"/>
    </xf>
    <xf numFmtId="10" fontId="0" fillId="0" borderId="1" xfId="0" applyNumberFormat="1" applyBorder="1" applyAlignment="1">
      <alignment horizontal="center" vertical="center"/>
    </xf>
    <xf numFmtId="0" fontId="27" fillId="15" borderId="1" xfId="0" applyFont="1" applyFill="1" applyBorder="1" applyAlignment="1">
      <alignment horizontal="center" vertical="center"/>
    </xf>
    <xf numFmtId="178" fontId="18" fillId="2" borderId="1" xfId="0" applyNumberFormat="1" applyFont="1" applyFill="1" applyBorder="1" applyAlignment="1">
      <alignment horizontal="center" vertical="center"/>
    </xf>
    <xf numFmtId="178" fontId="23" fillId="2" borderId="3" xfId="0" applyNumberFormat="1" applyFont="1" applyFill="1" applyBorder="1" applyAlignment="1">
      <alignment horizontal="center" vertical="center"/>
    </xf>
    <xf numFmtId="178" fontId="18" fillId="8" borderId="1" xfId="0" applyNumberFormat="1" applyFont="1" applyFill="1" applyBorder="1" applyAlignment="1">
      <alignment horizontal="center" vertical="center"/>
    </xf>
    <xf numFmtId="178" fontId="23" fillId="8" borderId="14" xfId="0" applyNumberFormat="1" applyFont="1" applyFill="1" applyBorder="1" applyAlignment="1">
      <alignment horizontal="center" vertical="center"/>
    </xf>
    <xf numFmtId="49" fontId="23" fillId="2" borderId="4" xfId="0" applyNumberFormat="1" applyFont="1" applyFill="1" applyBorder="1" applyAlignment="1">
      <alignment horizontal="left" vertical="center"/>
    </xf>
    <xf numFmtId="0" fontId="73" fillId="2" borderId="41" xfId="0" applyFont="1" applyFill="1" applyBorder="1" applyAlignment="1">
      <alignment vertical="center" wrapText="1"/>
    </xf>
    <xf numFmtId="0" fontId="30" fillId="6" borderId="5" xfId="0" applyFont="1" applyFill="1" applyBorder="1" applyAlignment="1" applyProtection="1">
      <alignment horizontal="center"/>
      <protection locked="0"/>
    </xf>
    <xf numFmtId="0" fontId="18" fillId="2" borderId="0" xfId="0" applyFont="1" applyFill="1" applyAlignment="1">
      <alignment horizontal="left" vertical="center"/>
    </xf>
    <xf numFmtId="178" fontId="23" fillId="2" borderId="0" xfId="0" applyNumberFormat="1" applyFont="1" applyFill="1" applyAlignment="1">
      <alignment horizontal="center" vertical="center"/>
    </xf>
    <xf numFmtId="0" fontId="73" fillId="2" borderId="8" xfId="0" applyFont="1" applyFill="1" applyBorder="1" applyAlignment="1">
      <alignment vertical="center" wrapText="1"/>
    </xf>
    <xf numFmtId="0" fontId="73" fillId="2" borderId="35" xfId="0" applyFont="1" applyFill="1" applyBorder="1" applyAlignment="1">
      <alignment vertical="center" wrapText="1"/>
    </xf>
    <xf numFmtId="49" fontId="23" fillId="2" borderId="76" xfId="0" applyNumberFormat="1" applyFont="1" applyFill="1" applyBorder="1" applyAlignment="1">
      <alignment horizontal="left" vertical="center"/>
    </xf>
    <xf numFmtId="49" fontId="23" fillId="2" borderId="0" xfId="0" applyNumberFormat="1" applyFont="1" applyFill="1" applyAlignment="1">
      <alignment horizontal="left" vertical="center"/>
    </xf>
    <xf numFmtId="0" fontId="23" fillId="2" borderId="0" xfId="0" applyFont="1" applyFill="1" applyAlignment="1">
      <alignment horizontal="left" vertical="center"/>
    </xf>
    <xf numFmtId="0" fontId="23" fillId="2" borderId="0" xfId="0" applyFont="1" applyFill="1" applyAlignment="1">
      <alignment horizontal="center" vertical="center"/>
    </xf>
    <xf numFmtId="0" fontId="18" fillId="2" borderId="0" xfId="0" applyFont="1" applyFill="1" applyAlignment="1"/>
    <xf numFmtId="180" fontId="18" fillId="2" borderId="0" xfId="0" applyNumberFormat="1" applyFont="1" applyFill="1" applyAlignment="1">
      <alignment horizontal="center"/>
    </xf>
    <xf numFmtId="0" fontId="93" fillId="2" borderId="0" xfId="0" applyFont="1" applyFill="1" applyAlignment="1"/>
    <xf numFmtId="183" fontId="48" fillId="8" borderId="103" xfId="0" applyNumberFormat="1" applyFont="1" applyFill="1" applyBorder="1" applyAlignment="1">
      <alignment horizontal="center" vertical="center"/>
    </xf>
    <xf numFmtId="183" fontId="48" fillId="6" borderId="0" xfId="0" applyNumberFormat="1" applyFont="1" applyFill="1" applyProtection="1">
      <alignment vertical="center"/>
      <protection locked="0"/>
    </xf>
    <xf numFmtId="0" fontId="63" fillId="5" borderId="54" xfId="0" applyFont="1" applyFill="1" applyBorder="1" applyProtection="1">
      <alignment vertical="center"/>
      <protection locked="0"/>
    </xf>
    <xf numFmtId="0" fontId="94" fillId="0" borderId="11" xfId="0" applyFont="1" applyBorder="1" applyAlignment="1" applyProtection="1">
      <alignment horizontal="center" vertical="center" wrapText="1"/>
      <protection locked="0"/>
    </xf>
    <xf numFmtId="0" fontId="95" fillId="0" borderId="6" xfId="0" applyFont="1" applyBorder="1" applyAlignment="1" applyProtection="1">
      <alignment horizontal="center" vertical="center" wrapText="1"/>
      <protection locked="0"/>
    </xf>
    <xf numFmtId="49" fontId="34" fillId="2" borderId="69" xfId="0" applyNumberFormat="1" applyFont="1" applyFill="1" applyBorder="1" applyAlignment="1">
      <alignment horizontal="center" vertical="center" wrapText="1"/>
    </xf>
    <xf numFmtId="0" fontId="44" fillId="2" borderId="18" xfId="0" applyFont="1" applyFill="1" applyBorder="1" applyAlignment="1">
      <alignment horizontal="center" vertical="center" wrapText="1"/>
    </xf>
    <xf numFmtId="0" fontId="44" fillId="2" borderId="20" xfId="0" applyFont="1" applyFill="1" applyBorder="1" applyAlignment="1">
      <alignment horizontal="center" vertical="center" wrapText="1"/>
    </xf>
    <xf numFmtId="49" fontId="34" fillId="2" borderId="22" xfId="0" applyNumberFormat="1" applyFont="1" applyFill="1" applyBorder="1" applyAlignment="1">
      <alignment horizontal="center" vertical="center" wrapText="1"/>
    </xf>
    <xf numFmtId="0" fontId="96" fillId="5" borderId="11" xfId="0" applyFont="1" applyFill="1" applyBorder="1" applyAlignment="1" applyProtection="1">
      <alignment horizontal="center" vertical="center" wrapText="1"/>
      <protection locked="0"/>
    </xf>
    <xf numFmtId="0" fontId="96" fillId="5" borderId="6" xfId="0" applyFont="1" applyFill="1" applyBorder="1" applyAlignment="1" applyProtection="1">
      <alignment horizontal="center" vertical="center" wrapText="1"/>
      <protection locked="0"/>
    </xf>
    <xf numFmtId="17" fontId="32" fillId="0" borderId="64" xfId="0" applyNumberFormat="1" applyFont="1" applyBorder="1" applyAlignment="1" applyProtection="1">
      <alignment horizontal="center" vertical="center" wrapText="1"/>
      <protection locked="0"/>
    </xf>
    <xf numFmtId="0" fontId="32" fillId="0" borderId="64" xfId="0" applyFont="1" applyBorder="1" applyAlignment="1" applyProtection="1">
      <alignment horizontal="center" vertical="center" wrapText="1"/>
      <protection locked="0"/>
    </xf>
    <xf numFmtId="0" fontId="94" fillId="0" borderId="6" xfId="0" applyFont="1" applyBorder="1" applyAlignment="1" applyProtection="1">
      <alignment horizontal="center" vertical="center" wrapText="1"/>
      <protection locked="0"/>
    </xf>
    <xf numFmtId="0" fontId="30" fillId="2" borderId="0" xfId="0" applyFont="1" applyFill="1" applyAlignment="1">
      <alignment horizontal="center" vertical="center"/>
    </xf>
    <xf numFmtId="0" fontId="97" fillId="0" borderId="85" xfId="0" applyFont="1" applyBorder="1" applyAlignment="1" applyProtection="1">
      <alignment horizontal="center" vertical="center" wrapText="1"/>
      <protection locked="0"/>
    </xf>
    <xf numFmtId="0" fontId="96" fillId="0" borderId="5" xfId="0" applyFont="1" applyBorder="1" applyAlignment="1" applyProtection="1">
      <alignment horizontal="center" vertical="center" wrapText="1"/>
      <protection locked="0"/>
    </xf>
    <xf numFmtId="0" fontId="49" fillId="0" borderId="85" xfId="0" applyFont="1" applyBorder="1" applyAlignment="1" applyProtection="1">
      <alignment horizontal="center" vertical="center" wrapText="1"/>
      <protection locked="0"/>
    </xf>
    <xf numFmtId="0" fontId="6" fillId="0" borderId="0" xfId="0" applyFont="1">
      <alignment vertical="center"/>
    </xf>
    <xf numFmtId="0" fontId="69" fillId="16" borderId="10" xfId="0" applyFont="1" applyFill="1" applyBorder="1" applyAlignment="1">
      <alignment horizontal="center" vertical="center"/>
    </xf>
    <xf numFmtId="0" fontId="98" fillId="3" borderId="78" xfId="51" applyFont="1" applyFill="1" applyBorder="1" applyAlignment="1" applyProtection="1">
      <alignment horizontal="right" vertical="center"/>
      <protection locked="0"/>
    </xf>
    <xf numFmtId="178" fontId="38" fillId="2" borderId="1" xfId="51" applyNumberFormat="1" applyFont="1" applyFill="1" applyBorder="1" applyAlignment="1" applyProtection="1">
      <alignment horizontal="right" vertical="center"/>
      <protection locked="0"/>
    </xf>
    <xf numFmtId="183" fontId="41" fillId="2" borderId="39" xfId="0" applyNumberFormat="1" applyFont="1" applyFill="1" applyBorder="1" applyAlignment="1">
      <alignment horizontal="center" vertical="center"/>
    </xf>
    <xf numFmtId="0" fontId="69" fillId="0" borderId="9" xfId="0" applyFont="1" applyBorder="1" applyAlignment="1">
      <alignment horizontal="center" vertical="center"/>
    </xf>
    <xf numFmtId="10" fontId="41" fillId="16" borderId="1" xfId="51" applyNumberFormat="1" applyFont="1" applyFill="1" applyBorder="1" applyAlignment="1">
      <alignment horizontal="center" vertical="center"/>
    </xf>
    <xf numFmtId="178" fontId="41" fillId="3" borderId="1" xfId="51" applyNumberFormat="1" applyFont="1" applyFill="1" applyBorder="1" applyAlignment="1">
      <alignment horizontal="center" vertical="center"/>
    </xf>
    <xf numFmtId="178" fontId="41" fillId="2" borderId="0" xfId="0" applyNumberFormat="1" applyFont="1" applyFill="1" applyAlignment="1">
      <alignment horizontal="center" vertical="center"/>
    </xf>
    <xf numFmtId="178" fontId="18" fillId="2" borderId="0" xfId="0" applyNumberFormat="1" applyFont="1" applyFill="1" applyAlignment="1">
      <alignment horizontal="center" vertical="center"/>
    </xf>
    <xf numFmtId="178" fontId="18" fillId="2" borderId="8" xfId="0" applyNumberFormat="1" applyFont="1" applyFill="1" applyBorder="1" applyAlignment="1">
      <alignment horizontal="center" vertical="center" wrapText="1"/>
    </xf>
    <xf numFmtId="178" fontId="27" fillId="2" borderId="80" xfId="0" applyNumberFormat="1" applyFont="1" applyFill="1" applyBorder="1" applyAlignment="1">
      <alignment horizontal="center" vertical="center"/>
    </xf>
    <xf numFmtId="180" fontId="18" fillId="14" borderId="14" xfId="0" applyNumberFormat="1" applyFont="1" applyFill="1" applyBorder="1" applyAlignment="1">
      <alignment horizontal="center" vertical="center"/>
    </xf>
    <xf numFmtId="10" fontId="18" fillId="13" borderId="14" xfId="0" applyNumberFormat="1" applyFont="1" applyFill="1" applyBorder="1" applyAlignment="1">
      <alignment horizontal="center" vertical="center"/>
    </xf>
    <xf numFmtId="180" fontId="18" fillId="13" borderId="14" xfId="0" applyNumberFormat="1" applyFont="1" applyFill="1" applyBorder="1" applyAlignment="1">
      <alignment horizontal="center" vertical="center"/>
    </xf>
    <xf numFmtId="0" fontId="48" fillId="0" borderId="0" xfId="0" applyFont="1" applyAlignment="1">
      <alignment horizontal="center" vertical="center"/>
    </xf>
    <xf numFmtId="0" fontId="36" fillId="2" borderId="10" xfId="0" applyFont="1" applyFill="1" applyBorder="1" applyAlignment="1">
      <alignment horizontal="right" vertical="center"/>
    </xf>
    <xf numFmtId="0" fontId="36" fillId="2" borderId="12" xfId="0" applyFont="1" applyFill="1" applyBorder="1" applyAlignment="1">
      <alignment horizontal="center" vertical="center"/>
    </xf>
    <xf numFmtId="0" fontId="36" fillId="5" borderId="12" xfId="0" applyFont="1" applyFill="1" applyBorder="1" applyProtection="1">
      <alignment vertical="center"/>
      <protection locked="0"/>
    </xf>
    <xf numFmtId="0" fontId="38" fillId="2" borderId="3" xfId="0" applyFont="1" applyFill="1" applyBorder="1" applyAlignment="1">
      <alignment horizontal="right" vertical="center"/>
    </xf>
    <xf numFmtId="0" fontId="99" fillId="2" borderId="0" xfId="0" applyFont="1" applyFill="1" applyProtection="1">
      <alignment vertical="center"/>
      <protection locked="0"/>
    </xf>
    <xf numFmtId="49" fontId="30" fillId="5" borderId="62" xfId="0" applyNumberFormat="1" applyFont="1" applyFill="1" applyBorder="1" applyAlignment="1" applyProtection="1">
      <alignment horizontal="center" vertical="center" wrapText="1"/>
      <protection locked="0"/>
    </xf>
    <xf numFmtId="0" fontId="97" fillId="0" borderId="59" xfId="0" applyFont="1" applyBorder="1" applyAlignment="1" applyProtection="1">
      <alignment horizontal="center" vertical="center" wrapText="1"/>
      <protection locked="0"/>
    </xf>
    <xf numFmtId="178" fontId="30" fillId="0" borderId="6" xfId="0" applyNumberFormat="1" applyFont="1" applyBorder="1" applyAlignment="1" applyProtection="1">
      <alignment horizontal="center" vertical="center" wrapText="1"/>
      <protection locked="0"/>
    </xf>
    <xf numFmtId="49" fontId="34" fillId="5" borderId="11" xfId="0" applyNumberFormat="1" applyFont="1" applyFill="1" applyBorder="1" applyAlignment="1" applyProtection="1">
      <alignment horizontal="center" vertical="center" wrapText="1"/>
      <protection locked="0"/>
    </xf>
    <xf numFmtId="49" fontId="30" fillId="0" borderId="81" xfId="0" applyNumberFormat="1" applyFont="1" applyBorder="1" applyAlignment="1" applyProtection="1">
      <alignment horizontal="center" vertical="center" wrapText="1"/>
      <protection locked="0"/>
    </xf>
    <xf numFmtId="49" fontId="30" fillId="0" borderId="29" xfId="0" applyNumberFormat="1" applyFont="1" applyBorder="1" applyAlignment="1" applyProtection="1">
      <alignment horizontal="center" vertical="center" wrapText="1"/>
      <protection locked="0"/>
    </xf>
    <xf numFmtId="0" fontId="34" fillId="5" borderId="56" xfId="0" applyFont="1" applyFill="1" applyBorder="1" applyAlignment="1" applyProtection="1">
      <alignment horizontal="center" vertical="center" wrapText="1"/>
      <protection locked="0"/>
    </xf>
    <xf numFmtId="0" fontId="34" fillId="5" borderId="11" xfId="0" applyFont="1" applyFill="1" applyBorder="1" applyAlignment="1" applyProtection="1">
      <alignment horizontal="center" vertical="center" wrapText="1"/>
      <protection locked="0"/>
    </xf>
    <xf numFmtId="0" fontId="34" fillId="0" borderId="83" xfId="0" applyFont="1" applyBorder="1" applyAlignment="1">
      <alignment horizontal="center" vertical="center" wrapText="1"/>
    </xf>
    <xf numFmtId="179" fontId="38" fillId="2" borderId="0" xfId="0" applyNumberFormat="1" applyFont="1" applyFill="1" applyAlignment="1" applyProtection="1">
      <alignment horizontal="center" vertical="center"/>
      <protection locked="0"/>
    </xf>
    <xf numFmtId="180" fontId="38" fillId="2" borderId="0" xfId="0" applyNumberFormat="1" applyFont="1" applyFill="1" applyProtection="1">
      <alignment vertical="center"/>
      <protection locked="0"/>
    </xf>
    <xf numFmtId="0" fontId="38" fillId="2" borderId="0" xfId="0" applyFont="1" applyFill="1" applyAlignment="1" applyProtection="1">
      <alignment horizontal="center" vertical="center"/>
      <protection locked="0"/>
    </xf>
    <xf numFmtId="0" fontId="38" fillId="2" borderId="0" xfId="0" applyFont="1" applyFill="1" applyAlignment="1">
      <alignment horizontal="center" vertical="center"/>
    </xf>
    <xf numFmtId="179" fontId="30" fillId="2" borderId="44" xfId="0" applyNumberFormat="1" applyFont="1" applyFill="1" applyBorder="1" applyAlignment="1">
      <alignment horizontal="center" vertical="center" wrapText="1"/>
    </xf>
    <xf numFmtId="179" fontId="30" fillId="2" borderId="46" xfId="0" applyNumberFormat="1" applyFont="1" applyFill="1" applyBorder="1" applyAlignment="1">
      <alignment horizontal="center" vertical="center" wrapText="1"/>
    </xf>
    <xf numFmtId="0" fontId="30" fillId="2" borderId="46" xfId="0" applyFont="1" applyFill="1" applyBorder="1" applyAlignment="1">
      <alignment horizontal="center" vertical="center" wrapText="1"/>
    </xf>
    <xf numFmtId="0" fontId="48" fillId="0" borderId="46" xfId="0" applyFont="1" applyBorder="1" applyAlignment="1" applyProtection="1">
      <alignment horizontal="center" vertical="center" wrapText="1"/>
      <protection locked="0"/>
    </xf>
    <xf numFmtId="0" fontId="48" fillId="2" borderId="46" xfId="0" applyFont="1" applyFill="1" applyBorder="1" applyAlignment="1">
      <alignment horizontal="center" vertical="center" wrapText="1"/>
    </xf>
    <xf numFmtId="0" fontId="48" fillId="0" borderId="104" xfId="0" applyFont="1" applyBorder="1" applyAlignment="1" applyProtection="1">
      <alignment horizontal="center" vertical="center" wrapText="1"/>
      <protection locked="0"/>
    </xf>
    <xf numFmtId="0" fontId="48" fillId="2" borderId="105" xfId="0" applyFont="1" applyFill="1" applyBorder="1" applyAlignment="1">
      <alignment horizontal="center" vertical="center" wrapText="1"/>
    </xf>
    <xf numFmtId="0" fontId="48" fillId="2" borderId="106" xfId="0" applyFont="1" applyFill="1" applyBorder="1" applyAlignment="1">
      <alignment horizontal="center" vertical="center" wrapText="1"/>
    </xf>
    <xf numFmtId="0" fontId="34" fillId="0" borderId="11" xfId="0" applyFont="1" applyBorder="1" applyAlignment="1" applyProtection="1">
      <alignment horizontal="center" vertical="center" wrapText="1"/>
      <protection locked="0"/>
    </xf>
    <xf numFmtId="179" fontId="34" fillId="2" borderId="46" xfId="0" applyNumberFormat="1" applyFont="1" applyFill="1" applyBorder="1" applyAlignment="1">
      <alignment horizontal="center" vertical="center"/>
    </xf>
    <xf numFmtId="179" fontId="34" fillId="2" borderId="15" xfId="0" applyNumberFormat="1" applyFont="1" applyFill="1" applyBorder="1" applyAlignment="1">
      <alignment horizontal="center" vertical="center" wrapText="1"/>
    </xf>
    <xf numFmtId="0" fontId="34" fillId="0" borderId="87" xfId="0" applyFont="1" applyBorder="1" applyAlignment="1">
      <alignment horizontal="center" vertical="center" wrapText="1"/>
    </xf>
    <xf numFmtId="0" fontId="96" fillId="0" borderId="85" xfId="0" applyFont="1" applyBorder="1" applyAlignment="1" applyProtection="1">
      <alignment horizontal="center" vertical="center" wrapText="1"/>
      <protection locked="0"/>
    </xf>
    <xf numFmtId="0" fontId="32" fillId="2" borderId="85" xfId="0" applyFont="1" applyFill="1" applyBorder="1" applyAlignment="1">
      <alignment horizontal="center" vertical="center" wrapText="1"/>
    </xf>
    <xf numFmtId="0" fontId="32" fillId="2" borderId="85" xfId="0" applyFont="1" applyFill="1" applyBorder="1" applyAlignment="1">
      <alignment horizontal="left" vertical="center" wrapText="1"/>
    </xf>
    <xf numFmtId="0" fontId="32" fillId="2" borderId="88" xfId="0" applyFont="1" applyFill="1" applyBorder="1" applyAlignment="1">
      <alignment horizontal="center" vertical="center" wrapText="1"/>
    </xf>
    <xf numFmtId="0" fontId="32" fillId="2" borderId="1" xfId="0" applyFont="1" applyFill="1" applyBorder="1" applyAlignment="1">
      <alignment horizontal="left" vertical="center" wrapText="1"/>
    </xf>
    <xf numFmtId="0" fontId="32" fillId="2" borderId="14" xfId="0" applyFont="1" applyFill="1" applyBorder="1" applyAlignment="1">
      <alignment horizontal="center" vertical="center" wrapText="1"/>
    </xf>
    <xf numFmtId="0" fontId="32" fillId="2" borderId="83" xfId="0" applyFont="1" applyFill="1" applyBorder="1" applyAlignment="1">
      <alignment horizontal="center" vertical="center" wrapText="1"/>
    </xf>
    <xf numFmtId="0" fontId="32" fillId="2" borderId="87" xfId="0" applyFont="1" applyFill="1" applyBorder="1" applyAlignment="1">
      <alignment horizontal="center" vertical="center" wrapText="1"/>
    </xf>
    <xf numFmtId="0" fontId="100" fillId="0" borderId="0" xfId="0" applyFont="1" applyAlignment="1" applyProtection="1">
      <alignment horizontal="left" vertical="center"/>
      <protection locked="0"/>
    </xf>
    <xf numFmtId="0" fontId="50" fillId="0" borderId="0" xfId="0" applyFont="1" applyAlignment="1" applyProtection="1">
      <alignment horizontal="center" vertical="center"/>
      <protection locked="0"/>
    </xf>
    <xf numFmtId="0" fontId="101" fillId="2" borderId="19" xfId="0" applyFont="1" applyFill="1" applyBorder="1" applyAlignment="1">
      <alignment horizontal="center" vertical="center"/>
    </xf>
    <xf numFmtId="0" fontId="102" fillId="2" borderId="55" xfId="0" applyFont="1" applyFill="1" applyBorder="1" applyAlignment="1">
      <alignment horizontal="center" vertical="center"/>
    </xf>
    <xf numFmtId="0" fontId="50" fillId="2" borderId="55" xfId="0" applyFont="1" applyFill="1" applyBorder="1" applyAlignment="1">
      <alignment horizontal="center" vertical="center"/>
    </xf>
    <xf numFmtId="0" fontId="50" fillId="2" borderId="45" xfId="0" applyFont="1" applyFill="1" applyBorder="1" applyAlignment="1">
      <alignment horizontal="center" vertical="center"/>
    </xf>
    <xf numFmtId="0" fontId="102" fillId="2" borderId="65" xfId="0" applyFont="1" applyFill="1" applyBorder="1">
      <alignment vertical="center"/>
    </xf>
    <xf numFmtId="0" fontId="101" fillId="2" borderId="1" xfId="0" applyFont="1" applyFill="1" applyBorder="1" applyAlignment="1">
      <alignment horizontal="center" vertical="center"/>
    </xf>
    <xf numFmtId="0" fontId="101" fillId="2" borderId="10" xfId="0" applyFont="1" applyFill="1" applyBorder="1" applyAlignment="1">
      <alignment horizontal="center" vertical="center"/>
    </xf>
    <xf numFmtId="0" fontId="101" fillId="2" borderId="107" xfId="0" applyFont="1" applyFill="1" applyBorder="1" applyAlignment="1">
      <alignment horizontal="center" vertical="center"/>
    </xf>
    <xf numFmtId="0" fontId="101" fillId="2" borderId="14" xfId="0" applyFont="1" applyFill="1" applyBorder="1" applyAlignment="1">
      <alignment horizontal="center" vertical="center"/>
    </xf>
    <xf numFmtId="0" fontId="48" fillId="2" borderId="29" xfId="0" applyFont="1" applyFill="1" applyBorder="1" applyAlignment="1">
      <alignment horizontal="center" vertical="center"/>
    </xf>
    <xf numFmtId="0" fontId="48" fillId="0" borderId="3" xfId="0" applyFont="1" applyBorder="1" applyAlignment="1" applyProtection="1">
      <alignment horizontal="center" vertical="center"/>
      <protection locked="0"/>
    </xf>
    <xf numFmtId="0" fontId="101" fillId="0" borderId="3" xfId="0" applyFont="1" applyBorder="1" applyAlignment="1" applyProtection="1">
      <alignment horizontal="center" vertical="center"/>
      <protection locked="0"/>
    </xf>
    <xf numFmtId="0" fontId="48" fillId="0" borderId="34" xfId="0" applyFont="1" applyBorder="1" applyAlignment="1" applyProtection="1">
      <alignment horizontal="center" vertical="center"/>
      <protection locked="0"/>
    </xf>
    <xf numFmtId="0" fontId="48" fillId="0" borderId="108" xfId="0" applyFont="1" applyBorder="1" applyAlignment="1" applyProtection="1">
      <alignment horizontal="center" vertical="center"/>
      <protection locked="0"/>
    </xf>
    <xf numFmtId="0" fontId="48" fillId="0" borderId="72" xfId="0" applyFont="1" applyBorder="1" applyAlignment="1" applyProtection="1">
      <alignment horizontal="center" vertical="center"/>
      <protection locked="0"/>
    </xf>
    <xf numFmtId="0" fontId="48" fillId="2" borderId="6" xfId="0" applyFont="1" applyFill="1" applyBorder="1" applyAlignment="1">
      <alignment horizontal="center" vertical="center"/>
    </xf>
    <xf numFmtId="0" fontId="48" fillId="0" borderId="1" xfId="0" applyFont="1" applyBorder="1" applyAlignment="1" applyProtection="1">
      <alignment horizontal="center" vertical="center"/>
      <protection locked="0"/>
    </xf>
    <xf numFmtId="0" fontId="102" fillId="0" borderId="1" xfId="0" applyFont="1" applyBorder="1" applyAlignment="1" applyProtection="1">
      <alignment horizontal="center" vertical="center"/>
      <protection locked="0"/>
    </xf>
    <xf numFmtId="0" fontId="48" fillId="0" borderId="10" xfId="0" applyFont="1" applyBorder="1" applyAlignment="1" applyProtection="1">
      <alignment horizontal="center" vertical="center"/>
      <protection locked="0"/>
    </xf>
    <xf numFmtId="0" fontId="48" fillId="0" borderId="107" xfId="0" applyFont="1" applyBorder="1" applyAlignment="1" applyProtection="1">
      <alignment horizontal="center" vertical="center"/>
      <protection locked="0"/>
    </xf>
    <xf numFmtId="0" fontId="101" fillId="0" borderId="1" xfId="0" applyFont="1" applyBorder="1" applyAlignment="1" applyProtection="1">
      <alignment horizontal="center" vertical="center"/>
      <protection locked="0"/>
    </xf>
    <xf numFmtId="0" fontId="49" fillId="0" borderId="107" xfId="0" applyFont="1" applyBorder="1" applyAlignment="1" applyProtection="1">
      <alignment horizontal="center" vertical="center"/>
      <protection locked="0"/>
    </xf>
    <xf numFmtId="0" fontId="101" fillId="2" borderId="7" xfId="0" applyFont="1" applyFill="1" applyBorder="1" applyAlignment="1">
      <alignment horizontal="center" vertical="center"/>
    </xf>
    <xf numFmtId="0" fontId="48" fillId="2" borderId="8" xfId="0" applyFont="1" applyFill="1" applyBorder="1" applyAlignment="1">
      <alignment horizontal="center" vertical="center"/>
    </xf>
    <xf numFmtId="0" fontId="102" fillId="2" borderId="17" xfId="0" applyFont="1" applyFill="1" applyBorder="1" applyAlignment="1">
      <alignment horizontal="center" vertical="center"/>
    </xf>
    <xf numFmtId="0" fontId="102" fillId="2" borderId="109" xfId="0" applyFont="1" applyFill="1" applyBorder="1" applyAlignment="1">
      <alignment horizontal="left" vertical="center"/>
    </xf>
    <xf numFmtId="0" fontId="50" fillId="2" borderId="17" xfId="0" applyFont="1" applyFill="1" applyBorder="1" applyAlignment="1">
      <alignment horizontal="center" vertical="center"/>
    </xf>
    <xf numFmtId="0" fontId="50" fillId="2" borderId="67" xfId="0" applyFont="1" applyFill="1" applyBorder="1" applyAlignment="1">
      <alignment horizontal="center" vertical="center"/>
    </xf>
    <xf numFmtId="0" fontId="103" fillId="0" borderId="0" xfId="0" applyFont="1" applyAlignment="1" applyProtection="1">
      <alignment horizontal="left" vertical="center"/>
      <protection locked="0"/>
    </xf>
    <xf numFmtId="179" fontId="50" fillId="0" borderId="0" xfId="0" applyNumberFormat="1" applyFont="1" applyAlignment="1" applyProtection="1">
      <alignment horizontal="center" vertical="center"/>
      <protection locked="0"/>
    </xf>
    <xf numFmtId="0" fontId="101" fillId="2" borderId="55" xfId="0" applyFont="1" applyFill="1" applyBorder="1" applyAlignment="1">
      <alignment horizontal="center" vertical="center"/>
    </xf>
    <xf numFmtId="0" fontId="102" fillId="2" borderId="45" xfId="0" applyFont="1" applyFill="1" applyBorder="1" applyAlignment="1">
      <alignment horizontal="center" vertical="center"/>
    </xf>
    <xf numFmtId="0" fontId="102" fillId="2" borderId="89" xfId="0" applyFont="1" applyFill="1" applyBorder="1" applyAlignment="1">
      <alignment horizontal="center" vertical="center"/>
    </xf>
    <xf numFmtId="0" fontId="101" fillId="2" borderId="81" xfId="0" applyFont="1" applyFill="1" applyBorder="1" applyAlignment="1">
      <alignment horizontal="center" vertical="center"/>
    </xf>
    <xf numFmtId="189" fontId="48" fillId="2" borderId="72" xfId="0" applyNumberFormat="1" applyFont="1" applyFill="1" applyBorder="1" applyAlignment="1">
      <alignment horizontal="center" vertical="center"/>
    </xf>
    <xf numFmtId="0" fontId="101" fillId="2" borderId="11" xfId="0" applyFont="1" applyFill="1" applyBorder="1" applyAlignment="1">
      <alignment horizontal="center" vertical="center"/>
    </xf>
    <xf numFmtId="186" fontId="48" fillId="2" borderId="14" xfId="0" applyNumberFormat="1" applyFont="1" applyFill="1" applyBorder="1" applyAlignment="1">
      <alignment horizontal="center" vertical="center"/>
    </xf>
    <xf numFmtId="186" fontId="48" fillId="0" borderId="14" xfId="0" applyNumberFormat="1" applyFont="1" applyBorder="1" applyAlignment="1" applyProtection="1">
      <alignment horizontal="center" vertical="center"/>
      <protection locked="0"/>
    </xf>
    <xf numFmtId="0" fontId="101" fillId="2" borderId="110" xfId="0" applyFont="1" applyFill="1" applyBorder="1" applyAlignment="1">
      <alignment horizontal="center" vertical="center"/>
    </xf>
    <xf numFmtId="0" fontId="48" fillId="0" borderId="8" xfId="0" applyFont="1" applyBorder="1" applyAlignment="1" applyProtection="1">
      <alignment horizontal="center" vertical="center"/>
      <protection locked="0"/>
    </xf>
    <xf numFmtId="186" fontId="48" fillId="2" borderId="15" xfId="0" applyNumberFormat="1" applyFont="1" applyFill="1" applyBorder="1" applyAlignment="1">
      <alignment horizontal="center" vertical="center"/>
    </xf>
    <xf numFmtId="176" fontId="41" fillId="3" borderId="1" xfId="51" applyNumberFormat="1" applyFont="1" applyFill="1" applyBorder="1" applyAlignment="1">
      <alignment horizontal="center" vertical="center"/>
    </xf>
    <xf numFmtId="10" fontId="23" fillId="14" borderId="1" xfId="51" applyNumberFormat="1" applyFont="1" applyFill="1" applyBorder="1" applyAlignment="1">
      <alignment horizontal="center" vertical="center"/>
    </xf>
    <xf numFmtId="178" fontId="41" fillId="13" borderId="1" xfId="51" applyNumberFormat="1" applyFont="1" applyFill="1" applyBorder="1" applyAlignment="1">
      <alignment horizontal="center" vertical="center"/>
    </xf>
    <xf numFmtId="178" fontId="41" fillId="2" borderId="11" xfId="0" applyNumberFormat="1" applyFont="1" applyFill="1" applyBorder="1" applyAlignment="1">
      <alignment horizontal="center" vertical="center" wrapText="1"/>
    </xf>
    <xf numFmtId="183" fontId="27" fillId="2" borderId="80" xfId="0" applyNumberFormat="1" applyFont="1" applyFill="1" applyBorder="1" applyAlignment="1">
      <alignment horizontal="center" vertical="center"/>
    </xf>
    <xf numFmtId="185" fontId="18" fillId="0" borderId="0" xfId="0" applyNumberFormat="1" applyFont="1" applyAlignment="1" applyProtection="1">
      <alignment horizontal="center"/>
      <protection locked="0"/>
    </xf>
    <xf numFmtId="0" fontId="0" fillId="3" borderId="0" xfId="0" applyFill="1" applyAlignment="1">
      <alignment horizontal="center" vertical="center" wrapText="1"/>
    </xf>
    <xf numFmtId="0" fontId="0" fillId="0" borderId="0" xfId="0" applyFont="1" applyAlignment="1">
      <alignment horizontal="center" vertical="center" wrapText="1"/>
    </xf>
    <xf numFmtId="0" fontId="0" fillId="0" borderId="1" xfId="0" applyFont="1" applyBorder="1" applyAlignment="1">
      <alignment horizontal="center" vertical="center" wrapText="1"/>
    </xf>
    <xf numFmtId="0" fontId="0" fillId="17" borderId="1" xfId="0" applyFont="1" applyFill="1" applyBorder="1" applyAlignment="1">
      <alignment horizontal="center" vertical="center" wrapText="1"/>
    </xf>
    <xf numFmtId="0" fontId="0" fillId="17" borderId="1" xfId="0" applyFill="1" applyBorder="1" applyAlignment="1">
      <alignment horizontal="center" vertical="center" wrapText="1"/>
    </xf>
    <xf numFmtId="0" fontId="0" fillId="11" borderId="1" xfId="0" applyFont="1" applyFill="1" applyBorder="1" applyAlignment="1">
      <alignment horizontal="center" vertical="center" wrapText="1"/>
    </xf>
    <xf numFmtId="0" fontId="0" fillId="11" borderId="1" xfId="0" applyFill="1" applyBorder="1" applyAlignment="1">
      <alignment horizontal="center" vertical="center" wrapText="1"/>
    </xf>
    <xf numFmtId="0" fontId="0" fillId="13" borderId="1" xfId="0" applyFont="1" applyFill="1" applyBorder="1" applyAlignment="1">
      <alignment horizontal="center" vertical="center" wrapText="1"/>
    </xf>
    <xf numFmtId="0" fontId="0" fillId="13" borderId="1" xfId="0" applyFill="1" applyBorder="1" applyAlignment="1">
      <alignment horizontal="center" vertical="center" wrapText="1"/>
    </xf>
    <xf numFmtId="0" fontId="0" fillId="18" borderId="1" xfId="0" applyFont="1" applyFill="1" applyBorder="1" applyAlignment="1">
      <alignment horizontal="center" vertical="center" wrapText="1"/>
    </xf>
    <xf numFmtId="0" fontId="0" fillId="18" borderId="1" xfId="0" applyFill="1" applyBorder="1" applyAlignment="1">
      <alignment horizontal="center" vertical="center" wrapText="1"/>
    </xf>
    <xf numFmtId="0" fontId="0" fillId="3" borderId="1" xfId="0" applyFont="1" applyFill="1" applyBorder="1" applyAlignment="1">
      <alignment horizontal="center" vertical="center" wrapText="1"/>
    </xf>
    <xf numFmtId="0" fontId="104" fillId="18" borderId="1" xfId="0" applyFont="1" applyFill="1" applyBorder="1" applyAlignment="1">
      <alignment horizontal="center" vertical="center" wrapText="1"/>
    </xf>
    <xf numFmtId="0" fontId="105" fillId="0" borderId="1" xfId="0" applyFont="1" applyBorder="1" applyAlignment="1">
      <alignment horizontal="center" vertical="center" wrapText="1"/>
    </xf>
    <xf numFmtId="178" fontId="0" fillId="0" borderId="1" xfId="0" applyNumberFormat="1" applyBorder="1" applyAlignment="1">
      <alignment horizontal="center" vertical="center" wrapText="1"/>
    </xf>
    <xf numFmtId="186" fontId="0" fillId="0" borderId="1" xfId="0" applyNumberFormat="1" applyBorder="1" applyAlignment="1">
      <alignment horizontal="center" vertical="center" wrapText="1"/>
    </xf>
    <xf numFmtId="186" fontId="0" fillId="0" borderId="0" xfId="0" applyNumberFormat="1" applyAlignment="1">
      <alignment horizontal="center" vertical="center" wrapText="1"/>
    </xf>
    <xf numFmtId="178" fontId="0" fillId="17" borderId="1" xfId="0" applyNumberFormat="1" applyFill="1" applyBorder="1" applyAlignment="1">
      <alignment horizontal="center" vertical="center" wrapText="1"/>
    </xf>
    <xf numFmtId="0" fontId="0" fillId="17" borderId="1" xfId="0" applyFont="1" applyFill="1" applyBorder="1" applyAlignment="1">
      <alignment horizontal="center" vertical="center"/>
    </xf>
    <xf numFmtId="178" fontId="0" fillId="11" borderId="1" xfId="0" applyNumberFormat="1" applyFill="1" applyBorder="1" applyAlignment="1">
      <alignment horizontal="center" vertical="center" wrapText="1"/>
    </xf>
    <xf numFmtId="0" fontId="0" fillId="11" borderId="1" xfId="0" applyFont="1" applyFill="1" applyBorder="1" applyAlignment="1">
      <alignment horizontal="center" vertical="center"/>
    </xf>
    <xf numFmtId="178" fontId="0" fillId="13" borderId="1" xfId="0" applyNumberFormat="1" applyFill="1" applyBorder="1" applyAlignment="1">
      <alignment horizontal="center" vertical="center" wrapText="1"/>
    </xf>
    <xf numFmtId="178" fontId="0" fillId="18" borderId="1" xfId="0" applyNumberFormat="1" applyFill="1" applyBorder="1" applyAlignment="1">
      <alignment horizontal="center" vertical="center" wrapText="1"/>
    </xf>
    <xf numFmtId="0" fontId="0" fillId="18" borderId="1" xfId="0" applyFill="1" applyBorder="1" applyAlignment="1">
      <alignment horizontal="center" vertical="center"/>
    </xf>
    <xf numFmtId="178" fontId="0" fillId="3" borderId="1" xfId="0" applyNumberFormat="1" applyFill="1" applyBorder="1" applyAlignment="1">
      <alignment horizontal="center" vertical="center" wrapText="1"/>
    </xf>
    <xf numFmtId="178" fontId="104" fillId="18" borderId="1" xfId="0" applyNumberFormat="1" applyFont="1" applyFill="1" applyBorder="1" applyAlignment="1">
      <alignment horizontal="center" vertical="center" wrapText="1"/>
    </xf>
    <xf numFmtId="0" fontId="104" fillId="18" borderId="1" xfId="0" applyFont="1" applyFill="1" applyBorder="1" applyAlignment="1">
      <alignment horizontal="center" vertical="center"/>
    </xf>
    <xf numFmtId="190" fontId="0" fillId="0" borderId="1" xfId="0" applyNumberFormat="1" applyBorder="1" applyAlignment="1">
      <alignment horizontal="center" vertical="center" wrapText="1"/>
    </xf>
    <xf numFmtId="178" fontId="0" fillId="0" borderId="0" xfId="0" applyNumberFormat="1" applyAlignment="1">
      <alignment horizontal="center" vertical="center" wrapText="1"/>
    </xf>
    <xf numFmtId="0" fontId="106" fillId="2" borderId="64" xfId="0" applyFont="1" applyFill="1" applyBorder="1" applyAlignment="1">
      <alignment horizontal="left" vertical="center"/>
    </xf>
    <xf numFmtId="0" fontId="106" fillId="2" borderId="12" xfId="0" applyFont="1" applyFill="1" applyBorder="1" applyAlignment="1">
      <alignment horizontal="left" vertical="center"/>
    </xf>
    <xf numFmtId="0" fontId="106" fillId="2" borderId="11" xfId="0" applyFont="1" applyFill="1" applyBorder="1" applyAlignment="1">
      <alignment horizontal="left" vertical="center"/>
    </xf>
    <xf numFmtId="0" fontId="107" fillId="2" borderId="1" xfId="0" applyFont="1" applyFill="1" applyBorder="1" applyAlignment="1">
      <alignment horizontal="center" vertical="center"/>
    </xf>
    <xf numFmtId="0" fontId="4" fillId="2" borderId="6" xfId="0" applyFont="1" applyFill="1" applyBorder="1" applyAlignment="1">
      <alignment horizontal="left" vertical="center" wrapText="1"/>
    </xf>
    <xf numFmtId="0" fontId="3" fillId="0" borderId="1" xfId="0" applyFont="1" applyBorder="1" applyAlignment="1">
      <alignment horizontal="center" vertical="center"/>
    </xf>
    <xf numFmtId="0" fontId="8" fillId="0" borderId="1" xfId="0" applyFont="1" applyBorder="1" applyAlignment="1">
      <alignment horizontal="center" vertical="center"/>
    </xf>
    <xf numFmtId="9" fontId="3" fillId="0" borderId="1" xfId="0" applyNumberFormat="1" applyFont="1" applyBorder="1" applyAlignment="1">
      <alignment horizontal="center" vertical="center"/>
    </xf>
    <xf numFmtId="176" fontId="3" fillId="0" borderId="1" xfId="0" applyNumberFormat="1" applyFont="1" applyBorder="1" applyAlignment="1">
      <alignment horizontal="center" vertical="center"/>
    </xf>
    <xf numFmtId="0" fontId="4" fillId="0" borderId="1" xfId="0" applyFont="1" applyBorder="1" applyAlignment="1">
      <alignment horizontal="center" vertical="center"/>
    </xf>
    <xf numFmtId="0" fontId="13" fillId="0" borderId="1" xfId="0" applyFont="1" applyBorder="1" applyAlignment="1">
      <alignment horizontal="center" vertical="center"/>
    </xf>
    <xf numFmtId="9" fontId="4" fillId="0" borderId="1" xfId="0" applyNumberFormat="1" applyFont="1" applyBorder="1" applyAlignment="1">
      <alignment horizontal="center" vertical="center"/>
    </xf>
    <xf numFmtId="176" fontId="4" fillId="0" borderId="1" xfId="0" applyNumberFormat="1" applyFont="1" applyBorder="1" applyAlignment="1">
      <alignment horizontal="center" vertical="center"/>
    </xf>
    <xf numFmtId="0" fontId="64" fillId="0" borderId="1" xfId="0" applyFont="1" applyBorder="1" applyAlignment="1">
      <alignment horizontal="center" vertical="center"/>
    </xf>
    <xf numFmtId="0" fontId="0" fillId="0" borderId="1" xfId="0" applyBorder="1">
      <alignment vertical="center"/>
    </xf>
    <xf numFmtId="0" fontId="8" fillId="0" borderId="1" xfId="0" applyFont="1" applyBorder="1" applyAlignment="1">
      <alignment horizontal="center" vertical="center" wrapText="1"/>
    </xf>
    <xf numFmtId="0" fontId="64" fillId="0" borderId="1" xfId="0" applyFont="1" applyBorder="1">
      <alignment vertical="center"/>
    </xf>
    <xf numFmtId="0" fontId="4" fillId="2" borderId="1" xfId="0" applyFont="1" applyFill="1" applyBorder="1" applyAlignment="1">
      <alignment horizontal="left" vertical="center" wrapText="1"/>
    </xf>
    <xf numFmtId="9" fontId="13" fillId="0" borderId="1" xfId="0" applyNumberFormat="1" applyFont="1" applyBorder="1" applyAlignment="1">
      <alignment horizontal="center" vertical="center"/>
    </xf>
    <xf numFmtId="0" fontId="13" fillId="2" borderId="75" xfId="0" applyFont="1" applyFill="1" applyBorder="1">
      <alignment vertical="center"/>
    </xf>
    <xf numFmtId="0" fontId="13" fillId="2" borderId="54" xfId="0" applyFont="1" applyFill="1" applyBorder="1">
      <alignment vertical="center"/>
    </xf>
    <xf numFmtId="0" fontId="13" fillId="2" borderId="58" xfId="0" applyFont="1" applyFill="1" applyBorder="1">
      <alignment vertical="center"/>
    </xf>
    <xf numFmtId="9" fontId="8" fillId="0" borderId="1" xfId="0" applyNumberFormat="1" applyFont="1" applyBorder="1" applyAlignment="1">
      <alignment horizontal="center" vertical="center"/>
    </xf>
    <xf numFmtId="0" fontId="13" fillId="2" borderId="32" xfId="0" applyFont="1" applyFill="1" applyBorder="1">
      <alignment vertical="center"/>
    </xf>
    <xf numFmtId="0" fontId="13" fillId="2" borderId="17" xfId="0" applyFont="1" applyFill="1" applyBorder="1">
      <alignment vertical="center"/>
    </xf>
    <xf numFmtId="0" fontId="13" fillId="2" borderId="43" xfId="0" applyFont="1" applyFill="1" applyBorder="1">
      <alignment vertical="center"/>
    </xf>
    <xf numFmtId="0" fontId="13" fillId="0" borderId="8" xfId="0" applyFont="1" applyBorder="1" applyAlignment="1">
      <alignment horizontal="center" vertical="center"/>
    </xf>
    <xf numFmtId="9" fontId="13" fillId="0" borderId="8" xfId="0" applyNumberFormat="1" applyFont="1" applyBorder="1" applyAlignment="1">
      <alignment horizontal="center" vertical="center"/>
    </xf>
    <xf numFmtId="176" fontId="13" fillId="0" borderId="8" xfId="0" applyNumberFormat="1" applyFont="1" applyBorder="1" applyAlignment="1">
      <alignment horizontal="center" vertical="center"/>
    </xf>
    <xf numFmtId="0" fontId="13" fillId="19" borderId="1" xfId="0" applyFont="1" applyFill="1" applyBorder="1">
      <alignment vertical="center"/>
    </xf>
    <xf numFmtId="0" fontId="4" fillId="19" borderId="1" xfId="0" applyFont="1" applyFill="1" applyBorder="1" applyAlignment="1">
      <alignment horizontal="center" vertical="center"/>
    </xf>
    <xf numFmtId="0" fontId="108" fillId="0" borderId="0" xfId="0" applyFont="1">
      <alignment vertical="center"/>
    </xf>
    <xf numFmtId="0" fontId="3" fillId="0" borderId="1" xfId="0" applyFont="1" applyBorder="1" applyAlignment="1">
      <alignment horizontal="center"/>
    </xf>
    <xf numFmtId="0" fontId="3" fillId="0" borderId="1" xfId="0" applyFont="1" applyBorder="1" applyAlignment="1"/>
    <xf numFmtId="49" fontId="3" fillId="0" borderId="1" xfId="0" applyNumberFormat="1" applyFont="1" applyBorder="1" applyAlignment="1">
      <alignment horizontal="center"/>
    </xf>
    <xf numFmtId="9" fontId="3" fillId="0" borderId="1" xfId="0" applyNumberFormat="1" applyFont="1" applyBorder="1" applyAlignment="1"/>
    <xf numFmtId="0" fontId="13" fillId="19" borderId="10" xfId="0" applyFont="1" applyFill="1" applyBorder="1" applyAlignment="1">
      <alignment horizontal="left" vertical="center"/>
    </xf>
    <xf numFmtId="0" fontId="13" fillId="19" borderId="12" xfId="0" applyFont="1" applyFill="1" applyBorder="1" applyAlignment="1">
      <alignment horizontal="left" vertical="center"/>
    </xf>
    <xf numFmtId="0" fontId="13" fillId="19" borderId="11" xfId="0" applyFont="1" applyFill="1" applyBorder="1" applyAlignment="1">
      <alignment horizontal="left" vertical="center"/>
    </xf>
    <xf numFmtId="0" fontId="107" fillId="2" borderId="14" xfId="0" applyFont="1" applyFill="1" applyBorder="1" applyAlignment="1">
      <alignment horizontal="center" vertical="center"/>
    </xf>
    <xf numFmtId="176" fontId="3" fillId="0" borderId="14" xfId="0" applyNumberFormat="1" applyFont="1" applyBorder="1" applyAlignment="1">
      <alignment horizontal="center" vertical="center"/>
    </xf>
    <xf numFmtId="0" fontId="3" fillId="0" borderId="14" xfId="0" applyFont="1" applyBorder="1" applyAlignment="1">
      <alignment horizontal="center" vertical="center"/>
    </xf>
    <xf numFmtId="0" fontId="4" fillId="0" borderId="14" xfId="0" applyFont="1" applyBorder="1" applyAlignment="1">
      <alignment horizontal="center" vertical="center"/>
    </xf>
    <xf numFmtId="0" fontId="13" fillId="0" borderId="14" xfId="0" applyFont="1" applyBorder="1" applyAlignment="1">
      <alignment horizontal="center" vertical="center"/>
    </xf>
    <xf numFmtId="0" fontId="8" fillId="0" borderId="14" xfId="0" applyFont="1" applyBorder="1" applyAlignment="1">
      <alignment horizontal="center" vertical="center"/>
    </xf>
    <xf numFmtId="0" fontId="4" fillId="0" borderId="15" xfId="0" applyFont="1" applyBorder="1" applyAlignment="1">
      <alignment horizontal="center" vertical="center"/>
    </xf>
    <xf numFmtId="0" fontId="3" fillId="0" borderId="0" xfId="57" applyFont="1" applyAlignment="1">
      <alignment horizontal="left"/>
    </xf>
    <xf numFmtId="0" fontId="3" fillId="0" borderId="0" xfId="57" applyFont="1" applyAlignment="1">
      <alignment horizontal="right"/>
    </xf>
    <xf numFmtId="0" fontId="109" fillId="0" borderId="0" xfId="57" applyFont="1" applyAlignment="1">
      <alignment horizontal="left"/>
    </xf>
    <xf numFmtId="0" fontId="109" fillId="0" borderId="0" xfId="57" applyFont="1" applyAlignment="1" applyProtection="1">
      <alignment horizontal="left"/>
      <protection locked="0"/>
    </xf>
    <xf numFmtId="0" fontId="110" fillId="0" borderId="0" xfId="57" applyFont="1" applyAlignment="1" applyProtection="1">
      <alignment horizontal="left"/>
      <protection locked="0"/>
    </xf>
    <xf numFmtId="0" fontId="110" fillId="0" borderId="0" xfId="57" applyFont="1" applyAlignment="1" applyProtection="1">
      <alignment horizontal="left" vertical="center"/>
      <protection locked="0"/>
    </xf>
    <xf numFmtId="49" fontId="63" fillId="2" borderId="89" xfId="57" applyNumberFormat="1" applyFont="1" applyFill="1" applyBorder="1"/>
    <xf numFmtId="0" fontId="29" fillId="2" borderId="0" xfId="57" applyFont="1" applyFill="1" applyAlignment="1">
      <alignment horizontal="center" vertical="center"/>
    </xf>
    <xf numFmtId="0" fontId="19" fillId="2" borderId="0" xfId="57" applyFont="1" applyFill="1" applyAlignment="1">
      <alignment vertical="center"/>
    </xf>
    <xf numFmtId="49" fontId="19" fillId="2" borderId="0" xfId="57" applyNumberFormat="1" applyFont="1" applyFill="1"/>
    <xf numFmtId="49" fontId="22" fillId="2" borderId="0" xfId="57" applyNumberFormat="1" applyFont="1" applyFill="1"/>
    <xf numFmtId="0" fontId="48" fillId="0" borderId="0" xfId="57" applyFont="1" applyAlignment="1" applyProtection="1">
      <alignment horizontal="center"/>
      <protection locked="0"/>
    </xf>
    <xf numFmtId="0" fontId="22" fillId="2" borderId="1" xfId="51" applyFont="1" applyFill="1" applyBorder="1">
      <alignment vertical="center"/>
    </xf>
    <xf numFmtId="181" fontId="23" fillId="2" borderId="1" xfId="57" applyNumberFormat="1" applyFont="1" applyFill="1" applyBorder="1" applyAlignment="1">
      <alignment horizontal="right" vertical="center"/>
    </xf>
    <xf numFmtId="49" fontId="22" fillId="0" borderId="0" xfId="57" applyNumberFormat="1" applyFont="1" applyProtection="1">
      <protection locked="0"/>
    </xf>
    <xf numFmtId="0" fontId="3" fillId="0" borderId="0" xfId="57" applyFont="1" applyAlignment="1" applyProtection="1">
      <alignment horizontal="left"/>
      <protection locked="0"/>
    </xf>
    <xf numFmtId="0" fontId="22" fillId="2" borderId="9" xfId="51" applyFont="1" applyFill="1" applyBorder="1">
      <alignment vertical="center"/>
    </xf>
    <xf numFmtId="0" fontId="23" fillId="2" borderId="9" xfId="57" applyFont="1" applyFill="1" applyBorder="1" applyAlignment="1">
      <alignment horizontal="right" vertical="center"/>
    </xf>
    <xf numFmtId="0" fontId="3" fillId="2" borderId="1" xfId="57" applyFont="1" applyFill="1" applyBorder="1" applyAlignment="1">
      <alignment vertical="center"/>
    </xf>
    <xf numFmtId="0" fontId="19" fillId="0" borderId="1" xfId="57" applyFont="1" applyBorder="1" applyAlignment="1" applyProtection="1">
      <alignment horizontal="left" vertical="center"/>
      <protection locked="0"/>
    </xf>
    <xf numFmtId="0" fontId="4" fillId="2" borderId="0" xfId="51" applyFont="1" applyFill="1">
      <alignment vertical="center"/>
    </xf>
    <xf numFmtId="0" fontId="18" fillId="0" borderId="8" xfId="57" applyFont="1" applyBorder="1" applyAlignment="1" applyProtection="1">
      <alignment horizontal="left" vertical="center"/>
      <protection locked="0"/>
    </xf>
    <xf numFmtId="0" fontId="3" fillId="2" borderId="20" xfId="57" applyFont="1" applyFill="1" applyBorder="1" applyAlignment="1">
      <alignment vertical="center"/>
    </xf>
    <xf numFmtId="0" fontId="28" fillId="2" borderId="98" xfId="57" applyFont="1" applyFill="1" applyBorder="1" applyAlignment="1">
      <alignment horizontal="left" vertical="center"/>
    </xf>
    <xf numFmtId="0" fontId="28" fillId="2" borderId="99" xfId="57" applyFont="1" applyFill="1" applyBorder="1" applyAlignment="1">
      <alignment horizontal="left" vertical="center"/>
    </xf>
    <xf numFmtId="0" fontId="28" fillId="2" borderId="62" xfId="57" applyFont="1" applyFill="1" applyBorder="1" applyAlignment="1">
      <alignment horizontal="left" vertical="center"/>
    </xf>
    <xf numFmtId="0" fontId="22" fillId="0" borderId="63" xfId="57" applyFont="1" applyBorder="1" applyAlignment="1" applyProtection="1">
      <alignment horizontal="left" vertical="center"/>
      <protection locked="0"/>
    </xf>
    <xf numFmtId="0" fontId="22" fillId="2" borderId="99" xfId="57" applyFont="1" applyFill="1" applyBorder="1" applyAlignment="1">
      <alignment vertical="center"/>
    </xf>
    <xf numFmtId="0" fontId="22" fillId="2" borderId="100" xfId="57" applyFont="1" applyFill="1" applyBorder="1" applyAlignment="1">
      <alignment vertical="center"/>
    </xf>
    <xf numFmtId="0" fontId="22" fillId="0" borderId="0" xfId="57" applyFont="1" applyAlignment="1" applyProtection="1">
      <alignment vertical="center"/>
      <protection locked="0"/>
    </xf>
    <xf numFmtId="0" fontId="22" fillId="2" borderId="65" xfId="57" applyFont="1" applyFill="1" applyBorder="1" applyAlignment="1">
      <alignment horizontal="left" vertical="center"/>
    </xf>
    <xf numFmtId="0" fontId="22" fillId="2" borderId="89" xfId="57" applyFont="1" applyFill="1" applyBorder="1" applyAlignment="1">
      <alignment horizontal="left" vertical="center"/>
    </xf>
    <xf numFmtId="0" fontId="22" fillId="2" borderId="81" xfId="57" applyFont="1" applyFill="1" applyBorder="1" applyAlignment="1">
      <alignment horizontal="left" vertical="center"/>
    </xf>
    <xf numFmtId="181" fontId="22" fillId="2" borderId="34" xfId="57" applyNumberFormat="1" applyFont="1" applyFill="1" applyBorder="1" applyAlignment="1">
      <alignment horizontal="left" vertical="center"/>
    </xf>
    <xf numFmtId="10" fontId="22" fillId="2" borderId="89" xfId="57" applyNumberFormat="1" applyFont="1" applyFill="1" applyBorder="1" applyAlignment="1">
      <alignment horizontal="left" vertical="center"/>
    </xf>
    <xf numFmtId="181" fontId="22" fillId="2" borderId="66" xfId="57" applyNumberFormat="1" applyFont="1" applyFill="1" applyBorder="1" applyAlignment="1">
      <alignment horizontal="left" vertical="center"/>
    </xf>
    <xf numFmtId="181" fontId="22" fillId="0" borderId="0" xfId="57" applyNumberFormat="1" applyFont="1" applyAlignment="1" applyProtection="1">
      <alignment horizontal="left" vertical="center"/>
      <protection locked="0"/>
    </xf>
    <xf numFmtId="0" fontId="22" fillId="2" borderId="6" xfId="57" applyFont="1" applyFill="1" applyBorder="1" applyAlignment="1">
      <alignment horizontal="left" vertical="center"/>
    </xf>
    <xf numFmtId="0" fontId="22" fillId="2" borderId="10" xfId="57" applyFont="1" applyFill="1" applyBorder="1" applyAlignment="1">
      <alignment horizontal="left" vertical="center"/>
    </xf>
    <xf numFmtId="0" fontId="22" fillId="2" borderId="11" xfId="57" applyFont="1" applyFill="1" applyBorder="1" applyAlignment="1">
      <alignment horizontal="left" vertical="center"/>
    </xf>
    <xf numFmtId="181" fontId="22" fillId="2" borderId="1" xfId="57" applyNumberFormat="1" applyFont="1" applyFill="1" applyBorder="1" applyAlignment="1">
      <alignment horizontal="left" vertical="center"/>
    </xf>
    <xf numFmtId="0" fontId="22" fillId="2" borderId="1" xfId="57" applyFont="1" applyFill="1" applyBorder="1" applyAlignment="1">
      <alignment horizontal="left" vertical="center"/>
    </xf>
    <xf numFmtId="0" fontId="22" fillId="2" borderId="14" xfId="57" applyFont="1" applyFill="1" applyBorder="1" applyAlignment="1">
      <alignment horizontal="left" vertical="center"/>
    </xf>
    <xf numFmtId="0" fontId="22" fillId="0" borderId="0" xfId="57" applyFont="1" applyAlignment="1" applyProtection="1">
      <alignment horizontal="left" vertical="center"/>
      <protection locked="0"/>
    </xf>
    <xf numFmtId="9" fontId="22" fillId="0" borderId="1" xfId="57" applyNumberFormat="1" applyFont="1" applyBorder="1" applyAlignment="1" applyProtection="1">
      <alignment horizontal="left" vertical="center"/>
      <protection locked="0"/>
    </xf>
    <xf numFmtId="0" fontId="22" fillId="2" borderId="14" xfId="57" applyFont="1" applyFill="1" applyBorder="1" applyAlignment="1">
      <alignment vertical="center"/>
    </xf>
    <xf numFmtId="180" fontId="22" fillId="2" borderId="1" xfId="57" applyNumberFormat="1" applyFont="1" applyFill="1" applyBorder="1" applyAlignment="1">
      <alignment horizontal="left" vertical="center"/>
    </xf>
    <xf numFmtId="49" fontId="19" fillId="2" borderId="6" xfId="57" applyNumberFormat="1" applyFont="1" applyFill="1" applyBorder="1" applyAlignment="1">
      <alignment horizontal="left" vertical="center"/>
    </xf>
    <xf numFmtId="0" fontId="19" fillId="2" borderId="10" xfId="57" applyFont="1" applyFill="1" applyBorder="1" applyAlignment="1">
      <alignment horizontal="left" vertical="center"/>
    </xf>
    <xf numFmtId="0" fontId="19" fillId="2" borderId="11" xfId="57" applyFont="1" applyFill="1" applyBorder="1" applyAlignment="1">
      <alignment horizontal="left" vertical="center"/>
    </xf>
    <xf numFmtId="181" fontId="19" fillId="2" borderId="1" xfId="57" applyNumberFormat="1" applyFont="1" applyFill="1" applyBorder="1" applyAlignment="1">
      <alignment horizontal="left" vertical="center"/>
    </xf>
    <xf numFmtId="180" fontId="19" fillId="2" borderId="1" xfId="57" applyNumberFormat="1" applyFont="1" applyFill="1" applyBorder="1" applyAlignment="1">
      <alignment horizontal="left" vertical="center"/>
    </xf>
    <xf numFmtId="0" fontId="3" fillId="2" borderId="11" xfId="57" applyFont="1" applyFill="1" applyBorder="1" applyAlignment="1">
      <alignment horizontal="right" vertical="center"/>
    </xf>
    <xf numFmtId="183" fontId="19" fillId="0" borderId="1" xfId="57" applyNumberFormat="1" applyFont="1" applyBorder="1" applyAlignment="1" applyProtection="1">
      <alignment horizontal="left" vertical="center"/>
      <protection locked="0"/>
    </xf>
    <xf numFmtId="180" fontId="19" fillId="2" borderId="11" xfId="57" applyNumberFormat="1" applyFont="1" applyFill="1" applyBorder="1" applyAlignment="1">
      <alignment horizontal="right" vertical="center"/>
    </xf>
    <xf numFmtId="176" fontId="19" fillId="0" borderId="1" xfId="57" applyNumberFormat="1" applyFont="1" applyBorder="1" applyAlignment="1" applyProtection="1">
      <alignment horizontal="left" vertical="center"/>
      <protection locked="0"/>
    </xf>
    <xf numFmtId="181" fontId="19" fillId="0" borderId="1" xfId="57" applyNumberFormat="1" applyFont="1" applyBorder="1" applyAlignment="1" applyProtection="1">
      <alignment horizontal="left" vertical="center"/>
      <protection locked="0"/>
    </xf>
    <xf numFmtId="180" fontId="19" fillId="0" borderId="1" xfId="57" applyNumberFormat="1" applyFont="1" applyBorder="1" applyAlignment="1" applyProtection="1">
      <alignment horizontal="left" vertical="center"/>
      <protection locked="0"/>
    </xf>
    <xf numFmtId="0" fontId="22" fillId="2" borderId="7" xfId="57" applyFont="1" applyFill="1" applyBorder="1" applyAlignment="1">
      <alignment horizontal="left" vertical="center"/>
    </xf>
    <xf numFmtId="0" fontId="22" fillId="2" borderId="42" xfId="57" applyFont="1" applyFill="1" applyBorder="1" applyAlignment="1">
      <alignment horizontal="left" vertical="center"/>
    </xf>
    <xf numFmtId="0" fontId="22" fillId="2" borderId="110" xfId="57" applyFont="1" applyFill="1" applyBorder="1" applyAlignment="1">
      <alignment horizontal="left" vertical="center"/>
    </xf>
    <xf numFmtId="181" fontId="22" fillId="2" borderId="8" xfId="57" applyNumberFormat="1" applyFont="1" applyFill="1" applyBorder="1" applyAlignment="1">
      <alignment horizontal="left" vertical="center"/>
    </xf>
    <xf numFmtId="180" fontId="22" fillId="0" borderId="8" xfId="57" applyNumberFormat="1" applyFont="1" applyBorder="1" applyAlignment="1" applyProtection="1">
      <alignment horizontal="left" vertical="center"/>
      <protection locked="0"/>
    </xf>
    <xf numFmtId="0" fontId="22" fillId="2" borderId="15" xfId="57" applyFont="1" applyFill="1" applyBorder="1" applyAlignment="1">
      <alignment vertical="center"/>
    </xf>
    <xf numFmtId="181" fontId="22" fillId="2" borderId="89" xfId="57" applyNumberFormat="1" applyFont="1" applyFill="1" applyBorder="1" applyAlignment="1">
      <alignment horizontal="left" vertical="center"/>
    </xf>
    <xf numFmtId="180" fontId="22" fillId="0" borderId="89" xfId="57" applyNumberFormat="1" applyFont="1" applyBorder="1" applyAlignment="1" applyProtection="1">
      <alignment horizontal="left" vertical="center"/>
      <protection locked="0"/>
    </xf>
    <xf numFmtId="0" fontId="22" fillId="2" borderId="48" xfId="57" applyFont="1" applyFill="1" applyBorder="1" applyAlignment="1">
      <alignment vertical="center"/>
    </xf>
    <xf numFmtId="0" fontId="22" fillId="2" borderId="98" xfId="57" applyFont="1" applyFill="1" applyBorder="1" applyAlignment="1">
      <alignment vertical="center"/>
    </xf>
    <xf numFmtId="0" fontId="22" fillId="2" borderId="66" xfId="57" applyFont="1" applyFill="1" applyBorder="1" applyAlignment="1">
      <alignment horizontal="left" vertical="center"/>
    </xf>
    <xf numFmtId="0" fontId="22" fillId="2" borderId="111" xfId="57" applyFont="1" applyFill="1" applyBorder="1" applyAlignment="1">
      <alignment horizontal="left" vertical="center"/>
    </xf>
    <xf numFmtId="0" fontId="111" fillId="0" borderId="10" xfId="57" applyFont="1" applyBorder="1" applyAlignment="1" applyProtection="1">
      <alignment horizontal="left" vertical="center"/>
      <protection locked="0"/>
    </xf>
    <xf numFmtId="0" fontId="111" fillId="0" borderId="111" xfId="57" applyFont="1" applyBorder="1" applyAlignment="1" applyProtection="1">
      <alignment horizontal="left" vertical="center"/>
      <protection locked="0"/>
    </xf>
    <xf numFmtId="0" fontId="111" fillId="0" borderId="11" xfId="57" applyFont="1" applyBorder="1" applyAlignment="1" applyProtection="1">
      <alignment horizontal="left" vertical="center"/>
      <protection locked="0"/>
    </xf>
    <xf numFmtId="0" fontId="19" fillId="0" borderId="0" xfId="57" applyFont="1" applyAlignment="1" applyProtection="1">
      <alignment horizontal="left" vertical="center"/>
      <protection locked="0"/>
    </xf>
    <xf numFmtId="0" fontId="19" fillId="2" borderId="64" xfId="57" applyFont="1" applyFill="1" applyBorder="1" applyAlignment="1">
      <alignment horizontal="left" vertical="center"/>
    </xf>
    <xf numFmtId="0" fontId="19" fillId="2" borderId="1" xfId="57" applyFont="1" applyFill="1" applyBorder="1" applyAlignment="1">
      <alignment horizontal="left" vertical="center"/>
    </xf>
    <xf numFmtId="181" fontId="19" fillId="2" borderId="10" xfId="57" applyNumberFormat="1" applyFont="1" applyFill="1" applyBorder="1" applyAlignment="1">
      <alignment horizontal="left" vertical="center"/>
    </xf>
    <xf numFmtId="181" fontId="19" fillId="2" borderId="111" xfId="57" applyNumberFormat="1" applyFont="1" applyFill="1" applyBorder="1" applyAlignment="1">
      <alignment horizontal="left" vertical="center"/>
    </xf>
    <xf numFmtId="181" fontId="19" fillId="2" borderId="11" xfId="57" applyNumberFormat="1" applyFont="1" applyFill="1" applyBorder="1" applyAlignment="1">
      <alignment horizontal="left" vertical="center"/>
    </xf>
    <xf numFmtId="0" fontId="19" fillId="2" borderId="14" xfId="57" applyFont="1" applyFill="1" applyBorder="1" applyAlignment="1">
      <alignment horizontal="left" vertical="center"/>
    </xf>
    <xf numFmtId="0" fontId="19" fillId="0" borderId="0" xfId="57" applyFont="1" applyAlignment="1" applyProtection="1">
      <alignment horizontal="right" vertical="center"/>
      <protection locked="0"/>
    </xf>
    <xf numFmtId="0" fontId="19" fillId="2" borderId="64" xfId="57" applyFont="1" applyFill="1" applyBorder="1" applyAlignment="1">
      <alignment horizontal="right" vertical="center"/>
    </xf>
    <xf numFmtId="0" fontId="19" fillId="2" borderId="1" xfId="57" applyFont="1" applyFill="1" applyBorder="1" applyAlignment="1">
      <alignment horizontal="right" vertical="center"/>
    </xf>
    <xf numFmtId="181" fontId="19" fillId="2" borderId="10" xfId="57" applyNumberFormat="1" applyFont="1" applyFill="1" applyBorder="1" applyAlignment="1">
      <alignment horizontal="right" vertical="center"/>
    </xf>
    <xf numFmtId="180" fontId="19" fillId="0" borderId="111" xfId="57" applyNumberFormat="1" applyFont="1" applyBorder="1" applyAlignment="1" applyProtection="1">
      <alignment horizontal="right" vertical="center"/>
      <protection locked="0"/>
    </xf>
    <xf numFmtId="180" fontId="19" fillId="0" borderId="11" xfId="57" applyNumberFormat="1" applyFont="1" applyBorder="1" applyAlignment="1" applyProtection="1">
      <alignment horizontal="right" vertical="center"/>
      <protection locked="0"/>
    </xf>
    <xf numFmtId="0" fontId="19" fillId="2" borderId="14" xfId="57" applyFont="1" applyFill="1" applyBorder="1" applyAlignment="1">
      <alignment horizontal="right" vertical="center"/>
    </xf>
    <xf numFmtId="180" fontId="19" fillId="2" borderId="10" xfId="57" applyNumberFormat="1" applyFont="1" applyFill="1" applyBorder="1" applyAlignment="1">
      <alignment horizontal="right" vertical="center"/>
    </xf>
    <xf numFmtId="0" fontId="3" fillId="0" borderId="0" xfId="57" applyFont="1" applyAlignment="1" applyProtection="1">
      <alignment horizontal="right"/>
      <protection locked="0"/>
    </xf>
    <xf numFmtId="180" fontId="19" fillId="2" borderId="111" xfId="57" applyNumberFormat="1" applyFont="1" applyFill="1" applyBorder="1" applyAlignment="1">
      <alignment horizontal="right" vertical="center"/>
    </xf>
    <xf numFmtId="180" fontId="19" fillId="0" borderId="10" xfId="57" applyNumberFormat="1" applyFont="1" applyBorder="1" applyAlignment="1" applyProtection="1">
      <alignment horizontal="right" vertical="center"/>
      <protection locked="0"/>
    </xf>
    <xf numFmtId="0" fontId="19" fillId="2" borderId="111" xfId="57" applyFont="1" applyFill="1" applyBorder="1" applyAlignment="1">
      <alignment horizontal="left" vertical="center"/>
    </xf>
    <xf numFmtId="10" fontId="19" fillId="0" borderId="10" xfId="57" applyNumberFormat="1" applyFont="1" applyBorder="1" applyAlignment="1" applyProtection="1">
      <alignment horizontal="left" vertical="center"/>
      <protection locked="0"/>
    </xf>
    <xf numFmtId="10" fontId="19" fillId="0" borderId="111" xfId="57" applyNumberFormat="1" applyFont="1" applyBorder="1" applyAlignment="1" applyProtection="1">
      <alignment horizontal="left" vertical="center"/>
      <protection locked="0"/>
    </xf>
    <xf numFmtId="10" fontId="19" fillId="0" borderId="11" xfId="57" applyNumberFormat="1" applyFont="1" applyBorder="1" applyAlignment="1" applyProtection="1">
      <alignment horizontal="left" vertical="center"/>
      <protection locked="0"/>
    </xf>
    <xf numFmtId="180" fontId="19" fillId="0" borderId="10" xfId="57" applyNumberFormat="1" applyFont="1" applyBorder="1" applyAlignment="1" applyProtection="1">
      <alignment horizontal="left" vertical="center"/>
      <protection locked="0"/>
    </xf>
    <xf numFmtId="180" fontId="19" fillId="0" borderId="111" xfId="57" applyNumberFormat="1" applyFont="1" applyBorder="1" applyAlignment="1" applyProtection="1">
      <alignment horizontal="left" vertical="center"/>
      <protection locked="0"/>
    </xf>
    <xf numFmtId="180" fontId="19" fillId="0" borderId="11" xfId="57" applyNumberFormat="1" applyFont="1" applyBorder="1" applyAlignment="1" applyProtection="1">
      <alignment horizontal="left" vertical="center"/>
      <protection locked="0"/>
    </xf>
    <xf numFmtId="183" fontId="19" fillId="0" borderId="0" xfId="57" applyNumberFormat="1" applyFont="1" applyAlignment="1" applyProtection="1">
      <alignment horizontal="left" vertical="center"/>
      <protection locked="0"/>
    </xf>
    <xf numFmtId="0" fontId="19" fillId="2" borderId="8" xfId="57" applyFont="1" applyFill="1" applyBorder="1" applyAlignment="1">
      <alignment horizontal="left" vertical="center"/>
    </xf>
    <xf numFmtId="183" fontId="19" fillId="0" borderId="42" xfId="57" applyNumberFormat="1" applyFont="1" applyBorder="1" applyAlignment="1" applyProtection="1">
      <alignment horizontal="left" vertical="center"/>
      <protection locked="0"/>
    </xf>
    <xf numFmtId="183" fontId="19" fillId="0" borderId="112" xfId="57" applyNumberFormat="1" applyFont="1" applyBorder="1" applyAlignment="1" applyProtection="1">
      <alignment horizontal="left" vertical="center"/>
      <protection locked="0"/>
    </xf>
    <xf numFmtId="183" fontId="19" fillId="0" borderId="110" xfId="57" applyNumberFormat="1" applyFont="1" applyBorder="1" applyAlignment="1" applyProtection="1">
      <alignment horizontal="left" vertical="center"/>
      <protection locked="0"/>
    </xf>
    <xf numFmtId="183" fontId="19" fillId="2" borderId="14" xfId="57" applyNumberFormat="1" applyFont="1" applyFill="1" applyBorder="1" applyAlignment="1">
      <alignment horizontal="left" vertical="center"/>
    </xf>
    <xf numFmtId="0" fontId="19" fillId="0" borderId="0" xfId="57" applyFont="1" applyAlignment="1" applyProtection="1">
      <alignment horizontal="left"/>
      <protection locked="0"/>
    </xf>
    <xf numFmtId="0" fontId="19" fillId="2" borderId="6" xfId="57" applyFont="1" applyFill="1" applyBorder="1" applyAlignment="1">
      <alignment horizontal="left" vertical="center"/>
    </xf>
    <xf numFmtId="181" fontId="19" fillId="2" borderId="1" xfId="57" applyNumberFormat="1" applyFont="1" applyFill="1" applyBorder="1" applyAlignment="1">
      <alignment horizontal="left"/>
    </xf>
    <xf numFmtId="0" fontId="19" fillId="2" borderId="1" xfId="57" applyFont="1" applyFill="1" applyBorder="1" applyAlignment="1">
      <alignment horizontal="left"/>
    </xf>
    <xf numFmtId="0" fontId="19" fillId="2" borderId="14" xfId="57" applyFont="1" applyFill="1" applyBorder="1" applyAlignment="1">
      <alignment horizontal="left"/>
    </xf>
    <xf numFmtId="0" fontId="19" fillId="2" borderId="7" xfId="57" applyFont="1" applyFill="1" applyBorder="1" applyAlignment="1">
      <alignment horizontal="left" vertical="center"/>
    </xf>
    <xf numFmtId="181" fontId="19" fillId="2" borderId="8" xfId="57" applyNumberFormat="1" applyFont="1" applyFill="1" applyBorder="1" applyAlignment="1">
      <alignment horizontal="left" vertical="center"/>
    </xf>
    <xf numFmtId="0" fontId="19" fillId="2" borderId="8" xfId="57" applyFont="1" applyFill="1" applyBorder="1" applyAlignment="1">
      <alignment horizontal="left"/>
    </xf>
    <xf numFmtId="0" fontId="19" fillId="2" borderId="15" xfId="57" applyFont="1" applyFill="1" applyBorder="1" applyAlignment="1">
      <alignment horizontal="left" vertical="center"/>
    </xf>
    <xf numFmtId="0" fontId="22" fillId="3" borderId="19" xfId="57" applyFont="1" applyFill="1" applyBorder="1" applyAlignment="1" applyProtection="1">
      <alignment vertical="center"/>
      <protection locked="0"/>
    </xf>
    <xf numFmtId="0" fontId="22" fillId="3" borderId="55" xfId="57" applyFont="1" applyFill="1" applyBorder="1" applyAlignment="1" applyProtection="1">
      <alignment vertical="center"/>
      <protection locked="0"/>
    </xf>
    <xf numFmtId="0" fontId="22" fillId="20" borderId="65" xfId="57" applyFont="1" applyFill="1" applyBorder="1" applyAlignment="1" applyProtection="1">
      <alignment vertical="center"/>
      <protection locked="0"/>
    </xf>
    <xf numFmtId="0" fontId="22" fillId="20" borderId="81" xfId="57" applyFont="1" applyFill="1" applyBorder="1" applyAlignment="1" applyProtection="1">
      <alignment vertical="center"/>
      <protection locked="0"/>
    </xf>
    <xf numFmtId="0" fontId="22" fillId="0" borderId="1" xfId="57" applyFont="1" applyBorder="1" applyAlignment="1" applyProtection="1">
      <alignment horizontal="left" vertical="center"/>
      <protection locked="0"/>
    </xf>
    <xf numFmtId="0" fontId="22" fillId="2" borderId="64" xfId="57" applyFont="1" applyFill="1" applyBorder="1" applyAlignment="1" applyProtection="1">
      <alignment horizontal="left" vertical="center"/>
      <protection locked="0"/>
    </xf>
    <xf numFmtId="0" fontId="22" fillId="2" borderId="11" xfId="57" applyFont="1" applyFill="1" applyBorder="1" applyAlignment="1" applyProtection="1">
      <alignment horizontal="left" vertical="center"/>
      <protection locked="0"/>
    </xf>
    <xf numFmtId="176" fontId="69" fillId="0" borderId="1" xfId="51" applyNumberFormat="1" applyFont="1" applyBorder="1" applyAlignment="1" applyProtection="1">
      <alignment horizontal="left" vertical="center"/>
      <protection locked="0" hidden="1"/>
    </xf>
    <xf numFmtId="0" fontId="19" fillId="0" borderId="9" xfId="57" applyFont="1" applyBorder="1" applyAlignment="1" applyProtection="1">
      <alignment horizontal="left" vertical="center"/>
      <protection locked="0"/>
    </xf>
    <xf numFmtId="0" fontId="28" fillId="2" borderId="64" xfId="57" applyFont="1" applyFill="1" applyBorder="1" applyAlignment="1" applyProtection="1">
      <alignment vertical="center"/>
      <protection locked="0"/>
    </xf>
    <xf numFmtId="0" fontId="28" fillId="2" borderId="12" xfId="57" applyFont="1" applyFill="1" applyBorder="1" applyAlignment="1" applyProtection="1">
      <alignment vertical="center"/>
      <protection locked="0"/>
    </xf>
    <xf numFmtId="0" fontId="22" fillId="2" borderId="12" xfId="57" applyFont="1" applyFill="1" applyBorder="1" applyAlignment="1" applyProtection="1">
      <alignment vertical="center"/>
      <protection locked="0"/>
    </xf>
    <xf numFmtId="0" fontId="22" fillId="2" borderId="6" xfId="57" applyFont="1" applyFill="1" applyBorder="1" applyAlignment="1" applyProtection="1">
      <alignment horizontal="left" vertical="center" wrapText="1"/>
      <protection locked="0"/>
    </xf>
    <xf numFmtId="0" fontId="22" fillId="2" borderId="9" xfId="57" applyFont="1" applyFill="1" applyBorder="1" applyAlignment="1" applyProtection="1">
      <alignment horizontal="left" vertical="center" wrapText="1"/>
      <protection locked="0"/>
    </xf>
    <xf numFmtId="0" fontId="19" fillId="2" borderId="10" xfId="57" applyFont="1" applyFill="1" applyBorder="1" applyAlignment="1" applyProtection="1">
      <alignment vertical="center"/>
      <protection locked="0"/>
    </xf>
    <xf numFmtId="0" fontId="19" fillId="2" borderId="1" xfId="57" applyFont="1" applyFill="1" applyBorder="1" applyAlignment="1" applyProtection="1">
      <alignment horizontal="left" vertical="center"/>
      <protection locked="0"/>
    </xf>
    <xf numFmtId="0" fontId="22" fillId="2" borderId="35" xfId="57" applyFont="1" applyFill="1" applyBorder="1" applyAlignment="1" applyProtection="1">
      <alignment horizontal="left" vertical="center" wrapText="1"/>
      <protection locked="0"/>
    </xf>
    <xf numFmtId="0" fontId="19" fillId="0" borderId="10" xfId="57" applyFont="1" applyBorder="1" applyAlignment="1" applyProtection="1">
      <alignment vertical="center"/>
      <protection locked="0"/>
    </xf>
    <xf numFmtId="0" fontId="69" fillId="0" borderId="1" xfId="57" applyFont="1" applyBorder="1" applyAlignment="1" applyProtection="1">
      <alignment horizontal="left" vertical="center"/>
      <protection locked="0"/>
    </xf>
    <xf numFmtId="9" fontId="19" fillId="0" borderId="1" xfId="57" applyNumberFormat="1" applyFont="1" applyBorder="1" applyAlignment="1" applyProtection="1">
      <alignment horizontal="left" vertical="center"/>
      <protection locked="0"/>
    </xf>
    <xf numFmtId="0" fontId="22" fillId="2" borderId="3" xfId="57" applyFont="1" applyFill="1" applyBorder="1" applyAlignment="1" applyProtection="1">
      <alignment horizontal="left" vertical="center" wrapText="1"/>
      <protection locked="0"/>
    </xf>
    <xf numFmtId="0" fontId="22" fillId="2" borderId="10" xfId="57" applyFont="1" applyFill="1" applyBorder="1" applyAlignment="1" applyProtection="1">
      <alignment vertical="center"/>
      <protection locked="0"/>
    </xf>
    <xf numFmtId="0" fontId="28" fillId="2" borderId="1" xfId="57" applyFont="1" applyFill="1" applyBorder="1" applyAlignment="1" applyProtection="1">
      <alignment horizontal="left" vertical="center"/>
      <protection locked="0"/>
    </xf>
    <xf numFmtId="9" fontId="22" fillId="2" borderId="1" xfId="57" applyNumberFormat="1" applyFont="1" applyFill="1" applyBorder="1" applyAlignment="1" applyProtection="1">
      <alignment horizontal="left" vertical="center"/>
      <protection locked="0"/>
    </xf>
    <xf numFmtId="176" fontId="19" fillId="3" borderId="1" xfId="57" applyNumberFormat="1" applyFont="1" applyFill="1" applyBorder="1" applyAlignment="1" applyProtection="1">
      <alignment horizontal="left" vertical="center"/>
      <protection locked="0"/>
    </xf>
    <xf numFmtId="0" fontId="69" fillId="0" borderId="1" xfId="57" applyFont="1" applyBorder="1" applyAlignment="1" applyProtection="1">
      <alignment horizontal="left" vertical="center" wrapText="1"/>
      <protection locked="0"/>
    </xf>
    <xf numFmtId="0" fontId="22" fillId="2" borderId="10" xfId="57" applyFont="1" applyFill="1" applyBorder="1" applyAlignment="1" applyProtection="1">
      <alignment vertical="center" wrapText="1"/>
      <protection locked="0"/>
    </xf>
    <xf numFmtId="0" fontId="22" fillId="2" borderId="12" xfId="57" applyFont="1" applyFill="1" applyBorder="1" applyAlignment="1" applyProtection="1">
      <alignment vertical="center" wrapText="1"/>
      <protection locked="0"/>
    </xf>
    <xf numFmtId="0" fontId="22" fillId="2" borderId="11" xfId="57" applyFont="1" applyFill="1" applyBorder="1" applyAlignment="1" applyProtection="1">
      <alignment vertical="center" wrapText="1"/>
      <protection locked="0"/>
    </xf>
    <xf numFmtId="0" fontId="28" fillId="2" borderId="22" xfId="57" applyFont="1" applyFill="1" applyBorder="1" applyAlignment="1" applyProtection="1">
      <alignment horizontal="left" vertical="center"/>
      <protection locked="0"/>
    </xf>
    <xf numFmtId="0" fontId="28" fillId="2" borderId="18" xfId="57" applyFont="1" applyFill="1" applyBorder="1" applyAlignment="1" applyProtection="1">
      <alignment vertical="center"/>
      <protection locked="0"/>
    </xf>
    <xf numFmtId="0" fontId="28" fillId="2" borderId="54" xfId="57" applyFont="1" applyFill="1" applyBorder="1" applyAlignment="1" applyProtection="1">
      <alignment vertical="center"/>
      <protection locked="0"/>
    </xf>
    <xf numFmtId="0" fontId="28" fillId="2" borderId="58" xfId="57" applyFont="1" applyFill="1" applyBorder="1" applyAlignment="1" applyProtection="1">
      <alignment vertical="center"/>
      <protection locked="0"/>
    </xf>
    <xf numFmtId="0" fontId="69" fillId="2" borderId="1" xfId="57" applyFont="1" applyFill="1" applyBorder="1" applyAlignment="1" applyProtection="1">
      <alignment horizontal="left" vertical="center"/>
      <protection locked="0"/>
    </xf>
    <xf numFmtId="9" fontId="69" fillId="2" borderId="1" xfId="57" applyNumberFormat="1" applyFont="1" applyFill="1" applyBorder="1" applyAlignment="1" applyProtection="1">
      <alignment horizontal="left" vertical="center"/>
      <protection locked="0"/>
    </xf>
    <xf numFmtId="0" fontId="19" fillId="0" borderId="0" xfId="57" applyFont="1" applyAlignment="1" applyProtection="1">
      <alignment horizontal="right"/>
      <protection locked="0"/>
    </xf>
    <xf numFmtId="0" fontId="28" fillId="2" borderId="29" xfId="57" applyFont="1" applyFill="1" applyBorder="1" applyAlignment="1" applyProtection="1">
      <alignment horizontal="left" vertical="center"/>
      <protection locked="0"/>
    </xf>
    <xf numFmtId="0" fontId="28" fillId="2" borderId="34" xfId="57" applyFont="1" applyFill="1" applyBorder="1" applyAlignment="1" applyProtection="1">
      <alignment vertical="center"/>
      <protection locked="0"/>
    </xf>
    <xf numFmtId="0" fontId="28" fillId="2" borderId="89" xfId="57" applyFont="1" applyFill="1" applyBorder="1" applyAlignment="1" applyProtection="1">
      <alignment vertical="center"/>
      <protection locked="0"/>
    </xf>
    <xf numFmtId="0" fontId="28" fillId="2" borderId="81" xfId="57" applyFont="1" applyFill="1" applyBorder="1" applyAlignment="1" applyProtection="1">
      <alignment vertical="center"/>
      <protection locked="0"/>
    </xf>
    <xf numFmtId="0" fontId="28" fillId="0" borderId="1" xfId="57" applyFont="1" applyBorder="1" applyAlignment="1" applyProtection="1">
      <alignment horizontal="left" vertical="center"/>
      <protection locked="0"/>
    </xf>
    <xf numFmtId="0" fontId="4" fillId="2" borderId="76" xfId="57" applyFont="1" applyFill="1" applyBorder="1" applyAlignment="1" applyProtection="1">
      <alignment horizontal="left" vertical="center" wrapText="1"/>
      <protection locked="0"/>
    </xf>
    <xf numFmtId="0" fontId="13" fillId="2" borderId="80" xfId="57" applyFont="1" applyFill="1" applyBorder="1" applyAlignment="1" applyProtection="1">
      <alignment vertical="center"/>
      <protection locked="0"/>
    </xf>
    <xf numFmtId="0" fontId="3" fillId="2" borderId="80" xfId="57" applyFont="1" applyFill="1" applyBorder="1" applyAlignment="1" applyProtection="1">
      <alignment vertical="center"/>
      <protection locked="0"/>
    </xf>
    <xf numFmtId="0" fontId="64" fillId="0" borderId="80" xfId="57" applyBorder="1" applyAlignment="1" applyProtection="1">
      <alignment horizontal="left" vertical="center"/>
      <protection locked="0"/>
    </xf>
    <xf numFmtId="9" fontId="19" fillId="0" borderId="8" xfId="57" applyNumberFormat="1" applyFont="1" applyBorder="1" applyAlignment="1" applyProtection="1">
      <alignment horizontal="left" vertical="center"/>
      <protection locked="0"/>
    </xf>
    <xf numFmtId="0" fontId="4" fillId="2" borderId="80" xfId="57" applyFont="1" applyFill="1" applyBorder="1" applyAlignment="1" applyProtection="1">
      <alignment vertical="center"/>
      <protection locked="0"/>
    </xf>
    <xf numFmtId="0" fontId="22" fillId="3" borderId="45" xfId="57" applyFont="1" applyFill="1" applyBorder="1" applyAlignment="1" applyProtection="1">
      <alignment vertical="center"/>
      <protection locked="0"/>
    </xf>
    <xf numFmtId="0" fontId="22" fillId="0" borderId="14" xfId="57" applyFont="1" applyBorder="1" applyAlignment="1" applyProtection="1">
      <alignment horizontal="left" vertical="center"/>
      <protection locked="0"/>
    </xf>
    <xf numFmtId="0" fontId="22" fillId="2" borderId="14" xfId="57" applyFont="1" applyFill="1" applyBorder="1" applyAlignment="1" applyProtection="1">
      <alignment horizontal="left" vertical="center"/>
      <protection locked="0"/>
    </xf>
    <xf numFmtId="176" fontId="69" fillId="0" borderId="14" xfId="51" applyNumberFormat="1" applyFont="1" applyBorder="1" applyAlignment="1" applyProtection="1">
      <alignment horizontal="left" vertical="center"/>
      <protection locked="0" hidden="1"/>
    </xf>
    <xf numFmtId="176" fontId="19" fillId="2" borderId="14" xfId="57" applyNumberFormat="1" applyFont="1" applyFill="1" applyBorder="1" applyAlignment="1" applyProtection="1">
      <alignment horizontal="left" vertical="center"/>
      <protection locked="0"/>
    </xf>
    <xf numFmtId="0" fontId="19" fillId="0" borderId="57" xfId="57" applyFont="1" applyBorder="1" applyAlignment="1" applyProtection="1">
      <alignment horizontal="left" vertical="center"/>
      <protection locked="0"/>
    </xf>
    <xf numFmtId="0" fontId="19" fillId="2" borderId="57" xfId="57" applyFont="1" applyFill="1" applyBorder="1" applyAlignment="1" applyProtection="1">
      <alignment horizontal="left" vertical="center"/>
      <protection locked="0"/>
    </xf>
    <xf numFmtId="0" fontId="19" fillId="0" borderId="14" xfId="57" applyFont="1" applyBorder="1" applyAlignment="1" applyProtection="1">
      <alignment horizontal="left" vertical="center"/>
      <protection locked="0"/>
    </xf>
    <xf numFmtId="176" fontId="22" fillId="2" borderId="1" xfId="57" applyNumberFormat="1" applyFont="1" applyFill="1" applyBorder="1" applyAlignment="1" applyProtection="1">
      <alignment horizontal="left" vertical="center"/>
      <protection locked="0"/>
    </xf>
    <xf numFmtId="176" fontId="19" fillId="0" borderId="14" xfId="57" applyNumberFormat="1" applyFont="1" applyBorder="1" applyAlignment="1" applyProtection="1">
      <alignment horizontal="left" vertical="center"/>
      <protection locked="0"/>
    </xf>
    <xf numFmtId="0" fontId="28" fillId="2" borderId="14" xfId="57" applyFont="1" applyFill="1" applyBorder="1" applyAlignment="1" applyProtection="1">
      <alignment horizontal="left" vertical="center"/>
      <protection locked="0"/>
    </xf>
    <xf numFmtId="0" fontId="69" fillId="0" borderId="14" xfId="57" applyFont="1" applyBorder="1" applyAlignment="1" applyProtection="1">
      <alignment horizontal="left" vertical="center"/>
      <protection locked="0"/>
    </xf>
    <xf numFmtId="9" fontId="69" fillId="0" borderId="1" xfId="57" applyNumberFormat="1" applyFont="1" applyBorder="1" applyAlignment="1" applyProtection="1">
      <alignment horizontal="left" vertical="center"/>
      <protection locked="0"/>
    </xf>
    <xf numFmtId="9" fontId="28" fillId="0" borderId="1" xfId="57" applyNumberFormat="1" applyFont="1" applyBorder="1" applyAlignment="1" applyProtection="1">
      <alignment horizontal="left" vertical="center"/>
      <protection locked="0"/>
    </xf>
    <xf numFmtId="180" fontId="69" fillId="0" borderId="8" xfId="57" applyNumberFormat="1" applyFont="1" applyBorder="1" applyAlignment="1" applyProtection="1">
      <alignment horizontal="left" vertical="center"/>
      <protection locked="0"/>
    </xf>
    <xf numFmtId="0" fontId="107" fillId="0" borderId="86" xfId="57" applyFont="1" applyBorder="1" applyAlignment="1" applyProtection="1">
      <alignment horizontal="left" vertical="center"/>
      <protection locked="0"/>
    </xf>
    <xf numFmtId="0" fontId="22" fillId="2" borderId="1" xfId="57" applyFont="1" applyFill="1" applyBorder="1" applyAlignment="1" applyProtection="1">
      <alignment horizontal="left" vertical="center"/>
      <protection locked="0"/>
    </xf>
    <xf numFmtId="176" fontId="19" fillId="2" borderId="1" xfId="57" applyNumberFormat="1" applyFont="1" applyFill="1" applyBorder="1" applyAlignment="1" applyProtection="1">
      <alignment horizontal="left" vertical="center"/>
      <protection locked="0"/>
    </xf>
    <xf numFmtId="0" fontId="19" fillId="2" borderId="9" xfId="57" applyFont="1" applyFill="1" applyBorder="1" applyAlignment="1" applyProtection="1">
      <alignment horizontal="left" vertical="center"/>
      <protection locked="0"/>
    </xf>
    <xf numFmtId="0" fontId="22" fillId="2" borderId="10" xfId="57" applyFont="1" applyFill="1" applyBorder="1" applyAlignment="1" applyProtection="1">
      <alignment horizontal="left" vertical="center"/>
      <protection locked="0"/>
    </xf>
    <xf numFmtId="0" fontId="110" fillId="0" borderId="0" xfId="57" applyFont="1" applyAlignment="1">
      <alignment horizontal="left"/>
    </xf>
    <xf numFmtId="181" fontId="93" fillId="3" borderId="1" xfId="0" applyNumberFormat="1" applyFont="1" applyFill="1" applyBorder="1" applyAlignment="1" applyProtection="1">
      <alignment horizontal="center" vertical="center" wrapText="1"/>
      <protection locked="0"/>
    </xf>
    <xf numFmtId="10" fontId="41" fillId="3" borderId="1" xfId="51" applyNumberFormat="1" applyFont="1" applyFill="1" applyBorder="1" applyAlignment="1">
      <alignment horizontal="center" vertical="center"/>
    </xf>
    <xf numFmtId="49" fontId="48" fillId="0" borderId="0" xfId="0" applyNumberFormat="1" applyFont="1" applyProtection="1">
      <alignment vertical="center"/>
      <protection locked="0"/>
    </xf>
    <xf numFmtId="49" fontId="37" fillId="2" borderId="89" xfId="0" applyNumberFormat="1" applyFont="1" applyFill="1" applyBorder="1" applyAlignment="1"/>
    <xf numFmtId="49" fontId="36" fillId="5" borderId="91" xfId="0" applyNumberFormat="1" applyFont="1" applyFill="1" applyBorder="1" applyAlignment="1" applyProtection="1">
      <alignment horizontal="left"/>
      <protection locked="0"/>
    </xf>
    <xf numFmtId="176" fontId="36" fillId="2" borderId="89" xfId="0" applyNumberFormat="1" applyFont="1" applyFill="1" applyBorder="1" applyAlignment="1"/>
    <xf numFmtId="0" fontId="29" fillId="2" borderId="0" xfId="0" applyFont="1" applyFill="1">
      <alignment vertical="center"/>
    </xf>
    <xf numFmtId="49" fontId="38" fillId="2" borderId="1" xfId="51" applyNumberFormat="1" applyFont="1" applyFill="1" applyBorder="1">
      <alignment vertical="center"/>
    </xf>
    <xf numFmtId="49" fontId="38" fillId="2" borderId="0" xfId="0" applyNumberFormat="1" applyFont="1" applyFill="1" applyAlignment="1" applyProtection="1">
      <protection locked="0"/>
    </xf>
    <xf numFmtId="176" fontId="38" fillId="2" borderId="0" xfId="0" applyNumberFormat="1" applyFont="1" applyFill="1" applyAlignment="1"/>
    <xf numFmtId="49" fontId="52" fillId="2" borderId="1" xfId="51" applyNumberFormat="1" applyFont="1" applyFill="1" applyBorder="1">
      <alignment vertical="center"/>
    </xf>
    <xf numFmtId="0" fontId="27" fillId="2" borderId="1" xfId="0" applyFont="1" applyFill="1" applyBorder="1" applyAlignment="1">
      <alignment horizontal="right" vertical="center"/>
    </xf>
    <xf numFmtId="49" fontId="39" fillId="2" borderId="35" xfId="0" applyNumberFormat="1" applyFont="1" applyFill="1" applyBorder="1">
      <alignment vertical="center"/>
    </xf>
    <xf numFmtId="0" fontId="38" fillId="2" borderId="3" xfId="0" applyFont="1" applyFill="1" applyBorder="1">
      <alignment vertical="center"/>
    </xf>
    <xf numFmtId="49" fontId="38" fillId="2" borderId="0" xfId="51" applyNumberFormat="1" applyFont="1" applyFill="1">
      <alignment vertical="center"/>
    </xf>
    <xf numFmtId="49" fontId="18" fillId="2" borderId="69" xfId="0" applyNumberFormat="1" applyFont="1" applyFill="1" applyBorder="1" applyAlignment="1">
      <alignment horizontal="center" vertical="center"/>
    </xf>
    <xf numFmtId="0" fontId="18" fillId="2" borderId="41" xfId="0" applyFont="1" applyFill="1" applyBorder="1" applyAlignment="1">
      <alignment horizontal="center" vertical="center"/>
    </xf>
    <xf numFmtId="0" fontId="23" fillId="2" borderId="58" xfId="0" applyFont="1" applyFill="1" applyBorder="1" applyAlignment="1">
      <alignment horizontal="center" vertical="center"/>
    </xf>
    <xf numFmtId="0" fontId="18" fillId="2" borderId="58" xfId="0" applyFont="1" applyFill="1" applyBorder="1">
      <alignment vertical="center"/>
    </xf>
    <xf numFmtId="0" fontId="18" fillId="2" borderId="11" xfId="0" applyFont="1" applyFill="1" applyBorder="1" applyAlignment="1">
      <alignment horizontal="left" vertical="center"/>
    </xf>
    <xf numFmtId="0" fontId="23" fillId="2" borderId="74" xfId="0" applyFont="1" applyFill="1" applyBorder="1" applyAlignment="1">
      <alignment horizontal="center" vertical="center"/>
    </xf>
    <xf numFmtId="0" fontId="18" fillId="2" borderId="74" xfId="0" applyFont="1" applyFill="1" applyBorder="1">
      <alignment vertical="center"/>
    </xf>
    <xf numFmtId="0" fontId="61" fillId="2" borderId="0" xfId="0" applyFont="1" applyFill="1">
      <alignment vertical="center"/>
    </xf>
    <xf numFmtId="49" fontId="18" fillId="2" borderId="9" xfId="0" applyNumberFormat="1" applyFont="1" applyFill="1" applyBorder="1" applyAlignment="1">
      <alignment horizontal="left" vertical="center"/>
    </xf>
    <xf numFmtId="49" fontId="18" fillId="2" borderId="3" xfId="0" applyNumberFormat="1" applyFont="1" applyFill="1" applyBorder="1">
      <alignment vertical="center"/>
    </xf>
    <xf numFmtId="49" fontId="18" fillId="2" borderId="29" xfId="0" applyNumberFormat="1" applyFont="1" applyFill="1" applyBorder="1" applyAlignment="1">
      <alignment horizontal="left" vertical="center"/>
    </xf>
    <xf numFmtId="49" fontId="18" fillId="2" borderId="92" xfId="0" applyNumberFormat="1" applyFont="1" applyFill="1" applyBorder="1" applyAlignment="1">
      <alignment horizontal="left" vertical="center"/>
    </xf>
    <xf numFmtId="49" fontId="18" fillId="2" borderId="22" xfId="0" applyNumberFormat="1" applyFont="1" applyFill="1" applyBorder="1">
      <alignment vertical="center"/>
    </xf>
    <xf numFmtId="0" fontId="30" fillId="2" borderId="0" xfId="0" applyFont="1" applyFill="1" applyAlignment="1"/>
    <xf numFmtId="0" fontId="30" fillId="2" borderId="48" xfId="0" applyFont="1" applyFill="1" applyBorder="1" applyAlignment="1"/>
    <xf numFmtId="0" fontId="23" fillId="2" borderId="11" xfId="0" applyFont="1" applyFill="1" applyBorder="1" applyAlignment="1">
      <alignment horizontal="center" vertical="center"/>
    </xf>
    <xf numFmtId="0" fontId="30" fillId="2" borderId="9" xfId="0" applyFont="1" applyFill="1" applyBorder="1" applyAlignment="1"/>
    <xf numFmtId="0" fontId="44" fillId="2" borderId="9" xfId="0" applyFont="1" applyFill="1" applyBorder="1" applyAlignment="1"/>
    <xf numFmtId="10" fontId="23" fillId="2" borderId="57" xfId="0" applyNumberFormat="1" applyFont="1" applyFill="1" applyBorder="1" applyAlignment="1">
      <alignment horizontal="center"/>
    </xf>
    <xf numFmtId="0" fontId="30" fillId="2" borderId="10" xfId="0" applyFont="1" applyFill="1" applyBorder="1" applyAlignment="1">
      <alignment horizontal="center"/>
    </xf>
    <xf numFmtId="0" fontId="30" fillId="2" borderId="10" xfId="0" applyFont="1" applyFill="1" applyBorder="1" applyAlignment="1"/>
    <xf numFmtId="0" fontId="30" fillId="2" borderId="12" xfId="0" applyFont="1" applyFill="1" applyBorder="1" applyAlignment="1"/>
    <xf numFmtId="0" fontId="30" fillId="2" borderId="46" xfId="0" applyFont="1" applyFill="1" applyBorder="1" applyAlignment="1"/>
    <xf numFmtId="0" fontId="30" fillId="2" borderId="35" xfId="0" applyFont="1" applyFill="1" applyBorder="1" applyAlignment="1"/>
    <xf numFmtId="180" fontId="23" fillId="2" borderId="72" xfId="0" applyNumberFormat="1" applyFont="1" applyFill="1" applyBorder="1" applyAlignment="1">
      <alignment horizontal="center" vertical="center"/>
    </xf>
    <xf numFmtId="49" fontId="18" fillId="2" borderId="76" xfId="0" applyNumberFormat="1" applyFont="1" applyFill="1" applyBorder="1" applyAlignment="1">
      <alignment horizontal="left" vertical="center"/>
    </xf>
    <xf numFmtId="0" fontId="48" fillId="2" borderId="80" xfId="0" applyFont="1" applyFill="1" applyBorder="1">
      <alignment vertical="center"/>
    </xf>
    <xf numFmtId="0" fontId="30" fillId="2" borderId="80" xfId="0" applyFont="1" applyFill="1" applyBorder="1" applyAlignment="1">
      <alignment horizontal="center"/>
    </xf>
    <xf numFmtId="0" fontId="30" fillId="2" borderId="80" xfId="0" applyFont="1" applyFill="1" applyBorder="1" applyAlignment="1"/>
    <xf numFmtId="0" fontId="68" fillId="2" borderId="8" xfId="0" applyFont="1" applyFill="1" applyBorder="1" applyAlignment="1">
      <alignment horizontal="left" vertical="center"/>
    </xf>
    <xf numFmtId="49" fontId="30" fillId="6" borderId="0" xfId="0" applyNumberFormat="1" applyFont="1" applyFill="1" applyAlignment="1" applyProtection="1">
      <protection locked="0"/>
    </xf>
    <xf numFmtId="191" fontId="30" fillId="6" borderId="0" xfId="0" applyNumberFormat="1" applyFont="1" applyFill="1" applyAlignment="1" applyProtection="1">
      <alignment horizontal="center"/>
      <protection locked="0"/>
    </xf>
    <xf numFmtId="0" fontId="19" fillId="6" borderId="0" xfId="0" applyFont="1" applyFill="1" applyAlignment="1" applyProtection="1">
      <alignment horizontal="left" vertical="center"/>
      <protection locked="0"/>
    </xf>
    <xf numFmtId="0" fontId="19" fillId="6" borderId="0" xfId="0" applyFont="1" applyFill="1" applyAlignment="1" applyProtection="1">
      <alignment vertical="center" wrapText="1"/>
      <protection locked="0"/>
    </xf>
    <xf numFmtId="10" fontId="19" fillId="6" borderId="0" xfId="0" applyNumberFormat="1" applyFont="1" applyFill="1" applyAlignment="1" applyProtection="1">
      <alignment horizontal="center"/>
      <protection locked="0"/>
    </xf>
    <xf numFmtId="0" fontId="21" fillId="6" borderId="0" xfId="0" applyFont="1" applyFill="1" applyAlignment="1" applyProtection="1">
      <alignment horizontal="center"/>
      <protection locked="0"/>
    </xf>
    <xf numFmtId="49" fontId="48" fillId="6" borderId="0" xfId="0" applyNumberFormat="1" applyFont="1" applyFill="1" applyProtection="1">
      <alignment vertical="center"/>
      <protection locked="0"/>
    </xf>
    <xf numFmtId="180" fontId="23" fillId="2" borderId="9" xfId="0" applyNumberFormat="1" applyFont="1" applyFill="1" applyBorder="1" applyAlignment="1">
      <alignment horizontal="center" vertical="center"/>
    </xf>
    <xf numFmtId="0" fontId="18" fillId="2" borderId="81" xfId="0" applyFont="1" applyFill="1" applyBorder="1">
      <alignment vertical="center"/>
    </xf>
    <xf numFmtId="0" fontId="73" fillId="2" borderId="8" xfId="0" applyFont="1" applyFill="1" applyBorder="1" applyAlignment="1">
      <alignment horizontal="left" vertical="center"/>
    </xf>
    <xf numFmtId="0" fontId="112" fillId="2" borderId="0" xfId="0" applyFont="1" applyFill="1" applyAlignment="1" applyProtection="1">
      <alignment horizontal="left" vertical="center"/>
      <protection locked="0"/>
    </xf>
    <xf numFmtId="0" fontId="48" fillId="2" borderId="0" xfId="0" applyFont="1" applyFill="1" applyAlignment="1" applyProtection="1">
      <alignment horizontal="center" vertical="center"/>
      <protection locked="0"/>
    </xf>
    <xf numFmtId="0" fontId="113" fillId="2" borderId="63" xfId="0" applyFont="1" applyFill="1" applyBorder="1" applyAlignment="1">
      <alignment horizontal="left" vertical="center" wrapText="1"/>
    </xf>
    <xf numFmtId="0" fontId="113" fillId="2" borderId="100" xfId="0" applyFont="1" applyFill="1" applyBorder="1" applyAlignment="1">
      <alignment horizontal="left" vertical="center" wrapText="1"/>
    </xf>
    <xf numFmtId="0" fontId="48" fillId="6" borderId="0" xfId="0" applyFont="1" applyFill="1">
      <alignment vertical="center"/>
    </xf>
    <xf numFmtId="0" fontId="48" fillId="6" borderId="0" xfId="0" applyFont="1" applyFill="1" applyAlignment="1">
      <alignment horizontal="left" vertical="center"/>
    </xf>
    <xf numFmtId="49" fontId="114" fillId="2" borderId="59" xfId="0" applyNumberFormat="1" applyFont="1" applyFill="1" applyBorder="1" applyAlignment="1"/>
    <xf numFmtId="0" fontId="0" fillId="2" borderId="0" xfId="0" applyFill="1" applyProtection="1">
      <alignment vertical="center"/>
      <protection locked="0"/>
    </xf>
    <xf numFmtId="0" fontId="0" fillId="0" borderId="0" xfId="0" applyProtection="1">
      <alignment vertical="center"/>
      <protection locked="0"/>
    </xf>
    <xf numFmtId="0" fontId="115" fillId="2" borderId="1" xfId="0" applyFont="1" applyFill="1" applyBorder="1">
      <alignment vertical="center"/>
    </xf>
    <xf numFmtId="0" fontId="0" fillId="2" borderId="1" xfId="0" applyFill="1" applyBorder="1" applyAlignment="1">
      <alignment horizontal="right" vertical="center"/>
    </xf>
    <xf numFmtId="0" fontId="0" fillId="9" borderId="0" xfId="0" applyFill="1" applyProtection="1">
      <alignment vertical="center"/>
      <protection locked="0"/>
    </xf>
    <xf numFmtId="0" fontId="0" fillId="2" borderId="1" xfId="0" applyFill="1" applyBorder="1" applyAlignment="1">
      <alignment horizontal="center" vertical="center"/>
    </xf>
    <xf numFmtId="0" fontId="115" fillId="9" borderId="0" xfId="0" applyFont="1" applyFill="1" applyProtection="1">
      <alignment vertical="center"/>
      <protection locked="0"/>
    </xf>
    <xf numFmtId="0" fontId="115" fillId="2" borderId="1" xfId="0" applyFont="1" applyFill="1" applyBorder="1" applyAlignment="1">
      <alignment horizontal="left" vertical="center" wrapText="1"/>
    </xf>
    <xf numFmtId="0" fontId="0" fillId="2" borderId="1" xfId="0" applyFill="1" applyBorder="1">
      <alignment vertical="center"/>
    </xf>
    <xf numFmtId="0" fontId="0" fillId="5" borderId="9" xfId="0" applyFill="1" applyBorder="1" applyAlignment="1" applyProtection="1">
      <alignment horizontal="left" vertical="center"/>
      <protection locked="0"/>
    </xf>
    <xf numFmtId="0" fontId="0" fillId="5" borderId="1" xfId="0" applyFill="1" applyBorder="1" applyAlignment="1" applyProtection="1">
      <alignment horizontal="left" vertical="center"/>
      <protection locked="0"/>
    </xf>
    <xf numFmtId="0" fontId="28" fillId="0" borderId="0" xfId="60" applyFont="1" applyAlignment="1">
      <alignment horizontal="left" vertical="center"/>
    </xf>
    <xf numFmtId="0" fontId="28" fillId="0" borderId="113" xfId="60" applyFont="1" applyBorder="1" applyAlignment="1">
      <alignment horizontal="left" vertical="center"/>
    </xf>
    <xf numFmtId="0" fontId="28" fillId="21" borderId="0" xfId="60" applyFont="1" applyFill="1" applyAlignment="1">
      <alignment horizontal="left" vertical="center"/>
    </xf>
    <xf numFmtId="0" fontId="28" fillId="22" borderId="0" xfId="60" applyFont="1" applyFill="1" applyAlignment="1">
      <alignment horizontal="left" vertical="center"/>
    </xf>
    <xf numFmtId="0" fontId="116" fillId="22" borderId="0" xfId="60" applyFont="1" applyFill="1" applyAlignment="1">
      <alignment horizontal="left" vertical="center"/>
    </xf>
    <xf numFmtId="0" fontId="69" fillId="3" borderId="0" xfId="60" applyFont="1" applyFill="1" applyAlignment="1">
      <alignment horizontal="left" vertical="center"/>
    </xf>
    <xf numFmtId="0" fontId="69" fillId="0" borderId="17" xfId="60" applyFont="1" applyBorder="1" applyAlignment="1">
      <alignment horizontal="left" vertical="center"/>
    </xf>
    <xf numFmtId="0" fontId="84" fillId="0" borderId="0" xfId="60" applyFont="1" applyAlignment="1">
      <alignment horizontal="left" vertical="center"/>
    </xf>
    <xf numFmtId="0" fontId="69" fillId="0" borderId="0" xfId="60" applyFont="1" applyAlignment="1">
      <alignment horizontal="left" vertical="center"/>
    </xf>
    <xf numFmtId="0" fontId="69" fillId="0" borderId="114" xfId="60" applyFont="1" applyBorder="1" applyAlignment="1">
      <alignment horizontal="left" vertical="center"/>
    </xf>
    <xf numFmtId="0" fontId="117" fillId="0" borderId="0" xfId="60" applyFont="1" applyAlignment="1">
      <alignment horizontal="left" vertical="center"/>
    </xf>
    <xf numFmtId="0" fontId="83" fillId="2" borderId="113" xfId="50" applyFont="1" applyFill="1" applyBorder="1" applyAlignment="1">
      <alignment horizontal="left" vertical="center"/>
    </xf>
    <xf numFmtId="0" fontId="118" fillId="2" borderId="113" xfId="50" applyFont="1" applyFill="1" applyBorder="1" applyAlignment="1">
      <alignment horizontal="left" vertical="center"/>
    </xf>
    <xf numFmtId="0" fontId="28" fillId="0" borderId="115" xfId="60" applyFont="1" applyBorder="1" applyAlignment="1">
      <alignment horizontal="left" vertical="center"/>
    </xf>
    <xf numFmtId="0" fontId="5" fillId="21" borderId="0" xfId="61" applyFont="1" applyFill="1" applyAlignment="1">
      <alignment horizontal="left" vertical="center"/>
    </xf>
    <xf numFmtId="0" fontId="49" fillId="21" borderId="0" xfId="50" applyFont="1" applyFill="1" applyAlignment="1">
      <alignment horizontal="left" vertical="center"/>
    </xf>
    <xf numFmtId="0" fontId="118" fillId="21" borderId="0" xfId="50" applyFont="1" applyFill="1" applyAlignment="1">
      <alignment horizontal="left" vertical="center"/>
    </xf>
    <xf numFmtId="0" fontId="28" fillId="21" borderId="114" xfId="60" applyFont="1" applyFill="1" applyBorder="1" applyAlignment="1">
      <alignment horizontal="left" vertical="center"/>
    </xf>
    <xf numFmtId="0" fontId="49" fillId="0" borderId="0" xfId="50" applyFont="1" applyAlignment="1">
      <alignment horizontal="left" vertical="center"/>
    </xf>
    <xf numFmtId="0" fontId="118" fillId="0" borderId="0" xfId="50" applyFont="1" applyAlignment="1">
      <alignment horizontal="left" vertical="center"/>
    </xf>
    <xf numFmtId="0" fontId="28" fillId="0" borderId="114" xfId="60" applyFont="1" applyBorder="1" applyAlignment="1">
      <alignment horizontal="left" vertical="center"/>
    </xf>
    <xf numFmtId="49" fontId="19" fillId="22" borderId="1" xfId="60" applyNumberFormat="1" applyFont="1" applyFill="1" applyBorder="1" applyAlignment="1">
      <alignment horizontal="left" vertical="center" wrapText="1"/>
    </xf>
    <xf numFmtId="181" fontId="116" fillId="22" borderId="0" xfId="60" applyNumberFormat="1" applyFont="1" applyFill="1" applyAlignment="1">
      <alignment horizontal="left" vertical="center"/>
    </xf>
    <xf numFmtId="0" fontId="119" fillId="22" borderId="116" xfId="60" applyFont="1" applyFill="1" applyBorder="1" applyAlignment="1">
      <alignment horizontal="left" vertical="center" wrapText="1"/>
    </xf>
    <xf numFmtId="49" fontId="19" fillId="2" borderId="1" xfId="60" applyNumberFormat="1" applyFont="1" applyFill="1" applyBorder="1" applyAlignment="1">
      <alignment horizontal="left" vertical="center" wrapText="1"/>
    </xf>
    <xf numFmtId="181" fontId="69" fillId="0" borderId="0" xfId="60" applyNumberFormat="1" applyFont="1" applyAlignment="1">
      <alignment horizontal="left" vertical="center"/>
    </xf>
    <xf numFmtId="0" fontId="119" fillId="9" borderId="116" xfId="60" applyFont="1" applyFill="1" applyBorder="1" applyAlignment="1">
      <alignment horizontal="left" vertical="center" wrapText="1"/>
    </xf>
    <xf numFmtId="0" fontId="119" fillId="23" borderId="117" xfId="60" applyFont="1" applyFill="1" applyBorder="1" applyAlignment="1">
      <alignment horizontal="left" vertical="center" wrapText="1"/>
    </xf>
    <xf numFmtId="181" fontId="28" fillId="23" borderId="117" xfId="61" applyNumberFormat="1" applyFont="1" applyFill="1" applyBorder="1" applyAlignment="1">
      <alignment horizontal="left" vertical="center" wrapText="1"/>
    </xf>
    <xf numFmtId="181" fontId="28" fillId="23" borderId="118" xfId="61" applyNumberFormat="1" applyFont="1" applyFill="1" applyBorder="1" applyAlignment="1">
      <alignment horizontal="left" vertical="center" wrapText="1"/>
    </xf>
    <xf numFmtId="0" fontId="119" fillId="23" borderId="119" xfId="60" applyFont="1" applyFill="1" applyBorder="1" applyAlignment="1">
      <alignment horizontal="left" vertical="center" wrapText="1"/>
    </xf>
    <xf numFmtId="0" fontId="119" fillId="23" borderId="116" xfId="60" applyFont="1" applyFill="1" applyBorder="1" applyAlignment="1">
      <alignment horizontal="left" vertical="center" wrapText="1"/>
    </xf>
    <xf numFmtId="0" fontId="119" fillId="23" borderId="120" xfId="60" applyFont="1" applyFill="1" applyBorder="1" applyAlignment="1">
      <alignment horizontal="left" vertical="center" wrapText="1"/>
    </xf>
    <xf numFmtId="0" fontId="119" fillId="23" borderId="121" xfId="60" applyFont="1" applyFill="1" applyBorder="1" applyAlignment="1">
      <alignment horizontal="left" vertical="center" wrapText="1"/>
    </xf>
    <xf numFmtId="181" fontId="28" fillId="23" borderId="117" xfId="60" applyNumberFormat="1" applyFont="1" applyFill="1" applyBorder="1" applyAlignment="1">
      <alignment horizontal="left" vertical="center" wrapText="1"/>
    </xf>
    <xf numFmtId="181" fontId="28" fillId="23" borderId="118" xfId="60" applyNumberFormat="1" applyFont="1" applyFill="1" applyBorder="1" applyAlignment="1">
      <alignment horizontal="left" vertical="center" wrapText="1"/>
    </xf>
    <xf numFmtId="0" fontId="119" fillId="23" borderId="122" xfId="60" applyFont="1" applyFill="1" applyBorder="1" applyAlignment="1">
      <alignment horizontal="left" vertical="center" wrapText="1"/>
    </xf>
    <xf numFmtId="0" fontId="119" fillId="23" borderId="123" xfId="60" applyFont="1" applyFill="1" applyBorder="1" applyAlignment="1">
      <alignment horizontal="left" vertical="center" wrapText="1"/>
    </xf>
    <xf numFmtId="0" fontId="119" fillId="23" borderId="124" xfId="60" applyFont="1" applyFill="1" applyBorder="1" applyAlignment="1">
      <alignment horizontal="left" vertical="center" wrapText="1"/>
    </xf>
    <xf numFmtId="0" fontId="119" fillId="9" borderId="117" xfId="60" applyFont="1" applyFill="1" applyBorder="1" applyAlignment="1">
      <alignment horizontal="left" vertical="center" wrapText="1"/>
    </xf>
    <xf numFmtId="181" fontId="28" fillId="23" borderId="116" xfId="60" applyNumberFormat="1" applyFont="1" applyFill="1" applyBorder="1" applyAlignment="1">
      <alignment horizontal="left" vertical="center" wrapText="1"/>
    </xf>
    <xf numFmtId="181" fontId="28" fillId="23" borderId="125" xfId="60" applyNumberFormat="1" applyFont="1" applyFill="1" applyBorder="1" applyAlignment="1">
      <alignment horizontal="left" vertical="center" wrapText="1"/>
    </xf>
    <xf numFmtId="0" fontId="69" fillId="9" borderId="117" xfId="60" applyFont="1" applyFill="1" applyBorder="1" applyAlignment="1">
      <alignment horizontal="left" vertical="center" wrapText="1"/>
    </xf>
    <xf numFmtId="49" fontId="19" fillId="3" borderId="1" xfId="60" applyNumberFormat="1" applyFont="1" applyFill="1" applyBorder="1" applyAlignment="1">
      <alignment horizontal="left" vertical="center" wrapText="1"/>
    </xf>
    <xf numFmtId="181" fontId="69" fillId="3" borderId="0" xfId="60" applyNumberFormat="1" applyFont="1" applyFill="1" applyAlignment="1">
      <alignment horizontal="left" vertical="center"/>
    </xf>
    <xf numFmtId="0" fontId="69" fillId="3" borderId="116" xfId="60" applyFont="1" applyFill="1" applyBorder="1" applyAlignment="1">
      <alignment horizontal="left" vertical="center" wrapText="1"/>
    </xf>
    <xf numFmtId="0" fontId="69" fillId="23" borderId="123" xfId="60" applyFont="1" applyFill="1" applyBorder="1" applyAlignment="1">
      <alignment horizontal="left" vertical="center" wrapText="1"/>
    </xf>
    <xf numFmtId="0" fontId="69" fillId="23" borderId="124" xfId="60" applyFont="1" applyFill="1" applyBorder="1" applyAlignment="1">
      <alignment horizontal="left" vertical="center" wrapText="1"/>
    </xf>
    <xf numFmtId="0" fontId="69" fillId="23" borderId="119" xfId="60" applyFont="1" applyFill="1" applyBorder="1" applyAlignment="1">
      <alignment horizontal="left" vertical="center" wrapText="1"/>
    </xf>
    <xf numFmtId="0" fontId="69" fillId="23" borderId="122" xfId="60" applyFont="1" applyFill="1" applyBorder="1" applyAlignment="1">
      <alignment horizontal="left" vertical="center" wrapText="1"/>
    </xf>
    <xf numFmtId="181" fontId="28" fillId="23" borderId="124" xfId="60" applyNumberFormat="1" applyFont="1" applyFill="1" applyBorder="1" applyAlignment="1">
      <alignment horizontal="left" vertical="center" wrapText="1"/>
    </xf>
    <xf numFmtId="181" fontId="28" fillId="23" borderId="126" xfId="60" applyNumberFormat="1" applyFont="1" applyFill="1" applyBorder="1" applyAlignment="1">
      <alignment horizontal="left" vertical="center" wrapText="1"/>
    </xf>
    <xf numFmtId="181" fontId="69" fillId="22" borderId="0" xfId="60" applyNumberFormat="1" applyFont="1" applyFill="1" applyAlignment="1">
      <alignment horizontal="left" vertical="center"/>
    </xf>
    <xf numFmtId="181" fontId="69" fillId="0" borderId="17" xfId="60" applyNumberFormat="1" applyFont="1" applyBorder="1" applyAlignment="1">
      <alignment horizontal="left" vertical="center"/>
    </xf>
    <xf numFmtId="0" fontId="119" fillId="9" borderId="127" xfId="60" applyFont="1" applyFill="1" applyBorder="1" applyAlignment="1">
      <alignment horizontal="left" vertical="center" wrapText="1"/>
    </xf>
    <xf numFmtId="0" fontId="119" fillId="23" borderId="128" xfId="60" applyFont="1" applyFill="1" applyBorder="1" applyAlignment="1">
      <alignment horizontal="left" vertical="center" wrapText="1"/>
    </xf>
    <xf numFmtId="0" fontId="116" fillId="21" borderId="0" xfId="61" applyFont="1" applyFill="1" applyAlignment="1" applyProtection="1">
      <alignment horizontal="left" vertical="center"/>
      <protection locked="0"/>
    </xf>
    <xf numFmtId="0" fontId="28" fillId="0" borderId="0" xfId="60" applyFont="1" applyAlignment="1" applyProtection="1">
      <alignment horizontal="left" vertical="center"/>
      <protection locked="0"/>
    </xf>
    <xf numFmtId="0" fontId="116" fillId="22" borderId="0" xfId="60" applyFont="1" applyFill="1" applyAlignment="1" applyProtection="1">
      <alignment horizontal="left" vertical="center"/>
      <protection locked="0"/>
    </xf>
    <xf numFmtId="10" fontId="116" fillId="22" borderId="129" xfId="60" applyNumberFormat="1" applyFont="1" applyFill="1" applyBorder="1" applyAlignment="1">
      <alignment horizontal="left" vertical="center"/>
    </xf>
    <xf numFmtId="0" fontId="119" fillId="9" borderId="116" xfId="61" applyFont="1" applyFill="1" applyBorder="1" applyAlignment="1">
      <alignment horizontal="left" vertical="center" wrapText="1"/>
    </xf>
    <xf numFmtId="0" fontId="119" fillId="9" borderId="130" xfId="61" applyFont="1" applyFill="1" applyBorder="1" applyAlignment="1">
      <alignment horizontal="left" vertical="center" wrapText="1"/>
    </xf>
    <xf numFmtId="10" fontId="69" fillId="0" borderId="114" xfId="60" applyNumberFormat="1" applyFont="1" applyBorder="1" applyAlignment="1">
      <alignment horizontal="left" vertical="center"/>
    </xf>
    <xf numFmtId="10" fontId="69" fillId="0" borderId="0" xfId="60" applyNumberFormat="1" applyFont="1" applyAlignment="1">
      <alignment horizontal="left" vertical="center"/>
    </xf>
    <xf numFmtId="0" fontId="119" fillId="9" borderId="130" xfId="60" applyFont="1" applyFill="1" applyBorder="1" applyAlignment="1">
      <alignment horizontal="left" vertical="center" wrapText="1"/>
    </xf>
    <xf numFmtId="0" fontId="119" fillId="23" borderId="131" xfId="60" applyFont="1" applyFill="1" applyBorder="1" applyAlignment="1">
      <alignment horizontal="left" vertical="center" wrapText="1"/>
    </xf>
    <xf numFmtId="0" fontId="119" fillId="23" borderId="130" xfId="60" applyFont="1" applyFill="1" applyBorder="1" applyAlignment="1">
      <alignment horizontal="left" vertical="center" wrapText="1"/>
    </xf>
    <xf numFmtId="10" fontId="69" fillId="0" borderId="132" xfId="60" applyNumberFormat="1" applyFont="1" applyBorder="1" applyAlignment="1">
      <alignment horizontal="left" vertical="center"/>
    </xf>
    <xf numFmtId="10" fontId="69" fillId="0" borderId="54" xfId="60" applyNumberFormat="1" applyFont="1" applyBorder="1" applyAlignment="1">
      <alignment horizontal="left" vertical="center"/>
    </xf>
    <xf numFmtId="10" fontId="69" fillId="0" borderId="129" xfId="60" applyNumberFormat="1" applyFont="1" applyBorder="1" applyAlignment="1">
      <alignment horizontal="left" vertical="center"/>
    </xf>
    <xf numFmtId="10" fontId="69" fillId="0" borderId="89" xfId="60" applyNumberFormat="1" applyFont="1" applyBorder="1" applyAlignment="1">
      <alignment horizontal="left" vertical="center"/>
    </xf>
    <xf numFmtId="0" fontId="119" fillId="23" borderId="133" xfId="60" applyFont="1" applyFill="1" applyBorder="1" applyAlignment="1">
      <alignment horizontal="left" vertical="center" wrapText="1"/>
    </xf>
    <xf numFmtId="0" fontId="119" fillId="9" borderId="131" xfId="60" applyFont="1" applyFill="1" applyBorder="1" applyAlignment="1">
      <alignment horizontal="left" vertical="center" wrapText="1"/>
    </xf>
    <xf numFmtId="0" fontId="69" fillId="9" borderId="131" xfId="60" applyFont="1" applyFill="1" applyBorder="1" applyAlignment="1">
      <alignment horizontal="left" vertical="center" wrapText="1"/>
    </xf>
    <xf numFmtId="0" fontId="69" fillId="3" borderId="130" xfId="60" applyFont="1" applyFill="1" applyBorder="1" applyAlignment="1">
      <alignment horizontal="left" vertical="center" wrapText="1"/>
    </xf>
    <xf numFmtId="10" fontId="69" fillId="3" borderId="114" xfId="60" applyNumberFormat="1" applyFont="1" applyFill="1" applyBorder="1" applyAlignment="1">
      <alignment horizontal="left" vertical="center"/>
    </xf>
    <xf numFmtId="10" fontId="69" fillId="3" borderId="0" xfId="60" applyNumberFormat="1" applyFont="1" applyFill="1" applyAlignment="1">
      <alignment horizontal="left" vertical="center"/>
    </xf>
    <xf numFmtId="0" fontId="69" fillId="23" borderId="133" xfId="60" applyFont="1" applyFill="1" applyBorder="1" applyAlignment="1">
      <alignment horizontal="left" vertical="center" wrapText="1"/>
    </xf>
    <xf numFmtId="0" fontId="119" fillId="9" borderId="134" xfId="60" applyFont="1" applyFill="1" applyBorder="1" applyAlignment="1">
      <alignment horizontal="left" vertical="center" wrapText="1"/>
    </xf>
    <xf numFmtId="10" fontId="69" fillId="0" borderId="135" xfId="60" applyNumberFormat="1" applyFont="1" applyBorder="1" applyAlignment="1">
      <alignment horizontal="left" vertical="center"/>
    </xf>
    <xf numFmtId="10" fontId="69" fillId="0" borderId="17" xfId="60" applyNumberFormat="1" applyFont="1" applyBorder="1" applyAlignment="1">
      <alignment horizontal="left" vertical="center"/>
    </xf>
    <xf numFmtId="0" fontId="119" fillId="23" borderId="136" xfId="60" applyFont="1" applyFill="1" applyBorder="1" applyAlignment="1">
      <alignment horizontal="left" vertical="center" wrapText="1"/>
    </xf>
    <xf numFmtId="10" fontId="69" fillId="24" borderId="114" xfId="60" applyNumberFormat="1" applyFont="1" applyFill="1" applyBorder="1" applyAlignment="1">
      <alignment horizontal="left" vertical="center"/>
    </xf>
    <xf numFmtId="10" fontId="69" fillId="24" borderId="0" xfId="60" applyNumberFormat="1" applyFont="1" applyFill="1" applyAlignment="1">
      <alignment horizontal="left" vertical="center"/>
    </xf>
    <xf numFmtId="0" fontId="13" fillId="0" borderId="0" xfId="60" applyFont="1" applyAlignment="1">
      <alignment horizontal="left" vertical="center"/>
    </xf>
    <xf numFmtId="0" fontId="13" fillId="21" borderId="0" xfId="61" applyFont="1" applyFill="1" applyAlignment="1">
      <alignment horizontal="left" vertical="center"/>
    </xf>
    <xf numFmtId="0" fontId="69" fillId="21" borderId="0" xfId="60" applyFont="1" applyFill="1" applyAlignment="1">
      <alignment horizontal="left" vertical="center"/>
    </xf>
    <xf numFmtId="0" fontId="28" fillId="0" borderId="0" xfId="61" applyFont="1" applyAlignment="1">
      <alignment horizontal="left" vertical="center"/>
    </xf>
    <xf numFmtId="0" fontId="28" fillId="22" borderId="114" xfId="60" applyFont="1" applyFill="1" applyBorder="1" applyAlignment="1">
      <alignment horizontal="left" vertical="center"/>
    </xf>
    <xf numFmtId="0" fontId="84" fillId="3" borderId="0" xfId="61" applyFont="1" applyFill="1" applyAlignment="1">
      <alignment horizontal="left" vertical="center"/>
    </xf>
    <xf numFmtId="0" fontId="69" fillId="22" borderId="0" xfId="60" applyFont="1" applyFill="1" applyAlignment="1">
      <alignment horizontal="left" vertical="center"/>
    </xf>
    <xf numFmtId="176" fontId="69" fillId="0" borderId="0" xfId="60" applyNumberFormat="1" applyFont="1" applyAlignment="1">
      <alignment horizontal="left" vertical="center"/>
    </xf>
    <xf numFmtId="180" fontId="69" fillId="0" borderId="114" xfId="60" applyNumberFormat="1" applyFont="1" applyBorder="1" applyAlignment="1">
      <alignment horizontal="left" vertical="center"/>
    </xf>
    <xf numFmtId="180" fontId="69" fillId="0" borderId="0" xfId="60" applyNumberFormat="1" applyFont="1" applyAlignment="1">
      <alignment horizontal="left" vertical="center"/>
    </xf>
    <xf numFmtId="176" fontId="69" fillId="3" borderId="0" xfId="60" applyNumberFormat="1" applyFont="1" applyFill="1" applyAlignment="1">
      <alignment horizontal="left" vertical="center"/>
    </xf>
    <xf numFmtId="10" fontId="69" fillId="3" borderId="129" xfId="60" applyNumberFormat="1" applyFont="1" applyFill="1" applyBorder="1" applyAlignment="1">
      <alignment horizontal="left" vertical="center"/>
    </xf>
    <xf numFmtId="10" fontId="69" fillId="3" borderId="89" xfId="60" applyNumberFormat="1" applyFont="1" applyFill="1" applyBorder="1" applyAlignment="1">
      <alignment horizontal="left" vertical="center"/>
    </xf>
    <xf numFmtId="0" fontId="8" fillId="3" borderId="0" xfId="60" applyFont="1" applyFill="1" applyAlignment="1">
      <alignment horizontal="left" vertical="center"/>
    </xf>
    <xf numFmtId="14" fontId="69" fillId="0" borderId="0" xfId="60" applyNumberFormat="1" applyFont="1" applyAlignment="1">
      <alignment horizontal="left" vertical="center"/>
    </xf>
    <xf numFmtId="176" fontId="69" fillId="0" borderId="17" xfId="60" applyNumberFormat="1" applyFont="1" applyBorder="1" applyAlignment="1">
      <alignment horizontal="left" vertical="center"/>
    </xf>
    <xf numFmtId="186" fontId="69" fillId="0" borderId="0" xfId="60" applyNumberFormat="1" applyFont="1" applyAlignment="1">
      <alignment horizontal="left" vertical="center"/>
    </xf>
    <xf numFmtId="10" fontId="69" fillId="21" borderId="0" xfId="60" applyNumberFormat="1" applyFont="1" applyFill="1" applyAlignment="1">
      <alignment horizontal="left" vertical="center"/>
    </xf>
    <xf numFmtId="10" fontId="69" fillId="22" borderId="0" xfId="60" applyNumberFormat="1" applyFont="1" applyFill="1" applyAlignment="1">
      <alignment horizontal="left" vertical="center"/>
    </xf>
    <xf numFmtId="0" fontId="8" fillId="0" borderId="0" xfId="60" applyFont="1" applyAlignment="1">
      <alignment horizontal="left" vertical="center"/>
    </xf>
    <xf numFmtId="0" fontId="28" fillId="9" borderId="137" xfId="60" applyFont="1" applyFill="1" applyBorder="1" applyAlignment="1">
      <alignment horizontal="left" vertical="center" wrapText="1"/>
    </xf>
    <xf numFmtId="0" fontId="28" fillId="9" borderId="138" xfId="60" applyFont="1" applyFill="1" applyBorder="1" applyAlignment="1">
      <alignment horizontal="left" vertical="center" wrapText="1"/>
    </xf>
    <xf numFmtId="176" fontId="69" fillId="24" borderId="0" xfId="60" applyNumberFormat="1" applyFont="1" applyFill="1" applyAlignment="1">
      <alignment horizontal="left" vertical="center"/>
    </xf>
    <xf numFmtId="0" fontId="119" fillId="9" borderId="124" xfId="60" applyFont="1" applyFill="1" applyBorder="1" applyAlignment="1">
      <alignment horizontal="left" vertical="center" wrapText="1"/>
    </xf>
    <xf numFmtId="0" fontId="28" fillId="23" borderId="124" xfId="60" applyFont="1" applyFill="1" applyBorder="1" applyAlignment="1">
      <alignment horizontal="left" vertical="center" wrapText="1"/>
    </xf>
    <xf numFmtId="0" fontId="28" fillId="23" borderId="126" xfId="60" applyFont="1" applyFill="1" applyBorder="1" applyAlignment="1">
      <alignment horizontal="left" vertical="center" wrapText="1"/>
    </xf>
    <xf numFmtId="0" fontId="119" fillId="3" borderId="116" xfId="60" applyFont="1" applyFill="1" applyBorder="1" applyAlignment="1">
      <alignment horizontal="left" vertical="center" wrapText="1"/>
    </xf>
    <xf numFmtId="0" fontId="28" fillId="23" borderId="139" xfId="60" applyFont="1" applyFill="1" applyBorder="1" applyAlignment="1">
      <alignment horizontal="left" vertical="center" wrapText="1"/>
    </xf>
    <xf numFmtId="0" fontId="28" fillId="23" borderId="140" xfId="60" applyFont="1" applyFill="1" applyBorder="1" applyAlignment="1">
      <alignment horizontal="left" vertical="center" wrapText="1"/>
    </xf>
    <xf numFmtId="0" fontId="28" fillId="23" borderId="141" xfId="60" applyFont="1" applyFill="1" applyBorder="1" applyAlignment="1">
      <alignment horizontal="left" vertical="center" wrapText="1"/>
    </xf>
    <xf numFmtId="0" fontId="15" fillId="0" borderId="0" xfId="60" applyFont="1" applyAlignment="1">
      <alignment horizontal="left" vertical="center"/>
    </xf>
    <xf numFmtId="0" fontId="84" fillId="0" borderId="114" xfId="60" applyFont="1" applyBorder="1" applyAlignment="1">
      <alignment horizontal="left" vertical="center"/>
    </xf>
    <xf numFmtId="10" fontId="69" fillId="24" borderId="129" xfId="60" applyNumberFormat="1" applyFont="1" applyFill="1" applyBorder="1" applyAlignment="1">
      <alignment horizontal="left" vertical="center"/>
    </xf>
    <xf numFmtId="10" fontId="69" fillId="24" borderId="89" xfId="60" applyNumberFormat="1" applyFont="1" applyFill="1" applyBorder="1" applyAlignment="1">
      <alignment horizontal="left" vertical="center"/>
    </xf>
    <xf numFmtId="10" fontId="69" fillId="24" borderId="135" xfId="60" applyNumberFormat="1" applyFont="1" applyFill="1" applyBorder="1" applyAlignment="1">
      <alignment horizontal="left" vertical="center"/>
    </xf>
    <xf numFmtId="10" fontId="69" fillId="24" borderId="17" xfId="60" applyNumberFormat="1" applyFont="1" applyFill="1" applyBorder="1" applyAlignment="1">
      <alignment horizontal="left" vertical="center"/>
    </xf>
    <xf numFmtId="190" fontId="69" fillId="0" borderId="0" xfId="60" applyNumberFormat="1" applyFont="1" applyAlignment="1">
      <alignment horizontal="left" vertical="center"/>
    </xf>
    <xf numFmtId="190" fontId="69" fillId="0" borderId="114" xfId="60" applyNumberFormat="1" applyFont="1" applyBorder="1" applyAlignment="1">
      <alignment horizontal="left" vertical="center"/>
    </xf>
    <xf numFmtId="190" fontId="69" fillId="3" borderId="0" xfId="60" applyNumberFormat="1" applyFont="1" applyFill="1" applyAlignment="1">
      <alignment horizontal="left" vertical="center"/>
    </xf>
    <xf numFmtId="0" fontId="69" fillId="3" borderId="114" xfId="60" applyFont="1" applyFill="1" applyBorder="1" applyAlignment="1">
      <alignment horizontal="left" vertical="center"/>
    </xf>
    <xf numFmtId="190" fontId="84" fillId="0" borderId="0" xfId="60" applyNumberFormat="1" applyFont="1" applyAlignment="1">
      <alignment horizontal="left" vertical="center"/>
    </xf>
    <xf numFmtId="190" fontId="84" fillId="0" borderId="114" xfId="60" applyNumberFormat="1" applyFont="1" applyBorder="1" applyAlignment="1">
      <alignment horizontal="left" vertical="center"/>
    </xf>
    <xf numFmtId="186" fontId="69" fillId="0" borderId="17" xfId="60" applyNumberFormat="1" applyFont="1" applyBorder="1" applyAlignment="1">
      <alignment horizontal="left" vertical="center"/>
    </xf>
    <xf numFmtId="186" fontId="69" fillId="3" borderId="0" xfId="60" applyNumberFormat="1" applyFont="1" applyFill="1" applyAlignment="1">
      <alignment horizontal="left" vertical="center"/>
    </xf>
    <xf numFmtId="0" fontId="119" fillId="9" borderId="142" xfId="60" applyFont="1" applyFill="1" applyBorder="1" applyAlignment="1">
      <alignment horizontal="left" vertical="center" wrapText="1"/>
    </xf>
    <xf numFmtId="0" fontId="119" fillId="23" borderId="143" xfId="60" applyFont="1" applyFill="1" applyBorder="1" applyAlignment="1">
      <alignment horizontal="left" vertical="center" wrapText="1"/>
    </xf>
    <xf numFmtId="0" fontId="119" fillId="9" borderId="143" xfId="60" applyFont="1" applyFill="1" applyBorder="1" applyAlignment="1">
      <alignment horizontal="left" vertical="center" wrapText="1"/>
    </xf>
    <xf numFmtId="0" fontId="119" fillId="23" borderId="144" xfId="60" applyFont="1" applyFill="1" applyBorder="1" applyAlignment="1">
      <alignment horizontal="left" vertical="center" wrapText="1"/>
    </xf>
    <xf numFmtId="0" fontId="0" fillId="2" borderId="0" xfId="0" applyFill="1" applyAlignment="1">
      <alignment horizontal="center" vertical="center"/>
    </xf>
    <xf numFmtId="0" fontId="0" fillId="2" borderId="0" xfId="0" applyFill="1">
      <alignment vertical="center"/>
    </xf>
    <xf numFmtId="0" fontId="120" fillId="2" borderId="0" xfId="0" applyFont="1" applyFill="1" applyAlignment="1">
      <alignment horizontal="center" vertical="center"/>
    </xf>
    <xf numFmtId="0" fontId="121" fillId="2" borderId="40" xfId="0" applyFont="1" applyFill="1" applyBorder="1" applyAlignment="1">
      <alignment horizontal="center" vertical="center"/>
    </xf>
    <xf numFmtId="0" fontId="121" fillId="2" borderId="69" xfId="0" applyFont="1" applyFill="1" applyBorder="1" applyAlignment="1">
      <alignment vertical="center" wrapText="1"/>
    </xf>
    <xf numFmtId="0" fontId="121" fillId="2" borderId="9" xfId="0" applyFont="1" applyFill="1" applyBorder="1" applyAlignment="1">
      <alignment horizontal="center" vertical="center"/>
    </xf>
    <xf numFmtId="0" fontId="122" fillId="2" borderId="69" xfId="0" applyFont="1" applyFill="1" applyBorder="1" applyAlignment="1">
      <alignment vertical="center" wrapText="1"/>
    </xf>
    <xf numFmtId="0" fontId="122" fillId="2" borderId="5" xfId="0" applyFont="1" applyFill="1" applyBorder="1" applyAlignment="1">
      <alignment horizontal="center" vertical="center" wrapText="1"/>
    </xf>
    <xf numFmtId="10" fontId="69" fillId="0" borderId="5" xfId="0" applyNumberFormat="1" applyFont="1" applyBorder="1" applyAlignment="1">
      <alignment horizontal="center" vertical="center" wrapText="1"/>
    </xf>
    <xf numFmtId="10" fontId="69" fillId="0" borderId="13" xfId="0" applyNumberFormat="1" applyFont="1" applyBorder="1" applyAlignment="1">
      <alignment horizontal="center" vertical="center" wrapText="1"/>
    </xf>
    <xf numFmtId="0" fontId="122" fillId="2" borderId="1" xfId="0" applyFont="1" applyFill="1" applyBorder="1" applyAlignment="1">
      <alignment horizontal="center" vertical="center" wrapText="1"/>
    </xf>
    <xf numFmtId="10" fontId="69" fillId="0" borderId="1" xfId="0" applyNumberFormat="1" applyFont="1" applyBorder="1" applyAlignment="1">
      <alignment horizontal="center" vertical="center" wrapText="1"/>
    </xf>
    <xf numFmtId="10" fontId="69" fillId="0" borderId="14" xfId="0" applyNumberFormat="1" applyFont="1" applyBorder="1" applyAlignment="1">
      <alignment horizontal="center" vertical="center" wrapText="1"/>
    </xf>
    <xf numFmtId="0" fontId="122" fillId="2" borderId="3" xfId="0" applyFont="1" applyFill="1" applyBorder="1" applyAlignment="1">
      <alignment horizontal="center" vertical="center" wrapText="1"/>
    </xf>
    <xf numFmtId="0" fontId="122" fillId="2" borderId="60" xfId="0" applyFont="1" applyFill="1" applyBorder="1" applyAlignment="1">
      <alignment vertical="center" wrapText="1"/>
    </xf>
    <xf numFmtId="0" fontId="122" fillId="2" borderId="80" xfId="0" applyFont="1" applyFill="1" applyBorder="1" applyAlignment="1">
      <alignment horizontal="center" vertical="center" wrapText="1"/>
    </xf>
    <xf numFmtId="10" fontId="69"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lignment vertical="center"/>
    </xf>
    <xf numFmtId="0" fontId="122" fillId="2" borderId="8" xfId="0" applyFont="1" applyFill="1" applyBorder="1" applyAlignment="1">
      <alignment horizontal="center" vertical="center" wrapText="1"/>
    </xf>
    <xf numFmtId="10" fontId="69" fillId="0" borderId="15" xfId="0" applyNumberFormat="1" applyFont="1" applyBorder="1" applyAlignment="1">
      <alignment horizontal="center" vertical="center" wrapText="1"/>
    </xf>
    <xf numFmtId="0" fontId="122" fillId="2" borderId="9" xfId="0" applyFont="1" applyFill="1" applyBorder="1" applyAlignment="1">
      <alignment horizontal="center" vertical="center" wrapText="1"/>
    </xf>
    <xf numFmtId="10" fontId="69" fillId="0" borderId="9" xfId="0" applyNumberFormat="1" applyFont="1" applyBorder="1" applyAlignment="1">
      <alignment horizontal="center" vertical="center" wrapText="1"/>
    </xf>
    <xf numFmtId="0" fontId="122" fillId="2" borderId="103" xfId="0" applyFont="1" applyFill="1" applyBorder="1" applyAlignment="1">
      <alignment horizontal="center" vertical="center" wrapText="1"/>
    </xf>
    <xf numFmtId="10" fontId="0" fillId="0" borderId="99" xfId="0" applyNumberFormat="1" applyBorder="1">
      <alignment vertical="center"/>
    </xf>
    <xf numFmtId="10" fontId="69" fillId="0" borderId="61" xfId="0" applyNumberFormat="1" applyFont="1" applyBorder="1" applyAlignment="1">
      <alignment horizontal="center" vertical="center" wrapText="1"/>
    </xf>
    <xf numFmtId="0" fontId="122" fillId="2" borderId="68" xfId="0" applyFont="1" applyFill="1" applyBorder="1" applyAlignment="1">
      <alignment vertical="center" wrapText="1"/>
    </xf>
    <xf numFmtId="10" fontId="69" fillId="0" borderId="72" xfId="0" applyNumberFormat="1" applyFont="1" applyBorder="1" applyAlignment="1">
      <alignment horizontal="center" vertical="center" wrapText="1"/>
    </xf>
    <xf numFmtId="10" fontId="0" fillId="0" borderId="45" xfId="0" applyNumberFormat="1" applyBorder="1">
      <alignment vertical="center"/>
    </xf>
    <xf numFmtId="178" fontId="0" fillId="0" borderId="0" xfId="56" applyNumberFormat="1">
      <alignment vertical="center"/>
    </xf>
    <xf numFmtId="0" fontId="0" fillId="0" borderId="0" xfId="56">
      <alignment vertical="center"/>
    </xf>
    <xf numFmtId="178" fontId="51" fillId="0" borderId="89" xfId="56" applyNumberFormat="1" applyFont="1" applyBorder="1">
      <alignment vertical="center"/>
    </xf>
    <xf numFmtId="0" fontId="51" fillId="0" borderId="89" xfId="56" applyFont="1" applyBorder="1">
      <alignment vertical="center"/>
    </xf>
    <xf numFmtId="178" fontId="92" fillId="2" borderId="1" xfId="56" applyNumberFormat="1" applyFont="1" applyFill="1" applyBorder="1" applyAlignment="1">
      <alignment horizontal="center" vertical="center"/>
    </xf>
    <xf numFmtId="0" fontId="92" fillId="2" borderId="1" xfId="56" applyFont="1" applyFill="1" applyBorder="1" applyAlignment="1">
      <alignment horizontal="center" vertical="center"/>
    </xf>
    <xf numFmtId="0" fontId="92" fillId="2" borderId="1" xfId="56" applyFont="1" applyFill="1" applyBorder="1" applyAlignment="1">
      <alignment horizontal="center" vertical="center" wrapText="1"/>
    </xf>
    <xf numFmtId="0" fontId="123" fillId="2" borderId="1" xfId="56" applyFont="1" applyFill="1" applyBorder="1" applyAlignment="1">
      <alignment horizontal="center" vertical="center"/>
    </xf>
    <xf numFmtId="178" fontId="92" fillId="2" borderId="1" xfId="56" applyNumberFormat="1" applyFont="1" applyFill="1" applyBorder="1" applyAlignment="1">
      <alignment horizontal="center" vertical="center" wrapText="1"/>
    </xf>
    <xf numFmtId="0" fontId="92" fillId="2" borderId="35" xfId="56" applyFont="1" applyFill="1" applyBorder="1" applyAlignment="1">
      <alignment horizontal="center" vertical="center"/>
    </xf>
    <xf numFmtId="0" fontId="6" fillId="2" borderId="0" xfId="53" applyFont="1" applyFill="1">
      <alignment vertical="center"/>
    </xf>
    <xf numFmtId="0" fontId="0" fillId="2" borderId="21" xfId="53" applyFill="1" applyBorder="1">
      <alignment vertical="center"/>
    </xf>
    <xf numFmtId="0" fontId="0" fillId="2" borderId="0" xfId="53" applyFill="1" applyAlignment="1">
      <alignment horizontal="center" vertical="center"/>
    </xf>
    <xf numFmtId="0" fontId="0" fillId="2" borderId="0" xfId="53" applyFill="1">
      <alignment vertical="center"/>
    </xf>
    <xf numFmtId="0" fontId="120" fillId="2" borderId="0" xfId="53" applyFont="1" applyFill="1" applyAlignment="1">
      <alignment horizontal="center" vertical="center"/>
    </xf>
    <xf numFmtId="0" fontId="101" fillId="2" borderId="0" xfId="53" applyFont="1" applyFill="1" applyAlignment="1">
      <alignment horizontal="left" vertical="center"/>
    </xf>
    <xf numFmtId="0" fontId="121" fillId="2" borderId="4" xfId="53" applyFont="1" applyFill="1" applyBorder="1" applyAlignment="1">
      <alignment horizontal="center" vertical="center" wrapText="1"/>
    </xf>
    <xf numFmtId="0" fontId="6" fillId="2" borderId="55" xfId="53" applyFont="1" applyFill="1" applyBorder="1">
      <alignment vertical="center"/>
    </xf>
    <xf numFmtId="0" fontId="121" fillId="2" borderId="39" xfId="53" applyFont="1" applyFill="1" applyBorder="1" applyAlignment="1">
      <alignment horizontal="center" vertical="center"/>
    </xf>
    <xf numFmtId="0" fontId="6" fillId="2" borderId="21" xfId="53" applyFont="1" applyFill="1" applyBorder="1">
      <alignment vertical="center"/>
    </xf>
    <xf numFmtId="0" fontId="121" fillId="2" borderId="7" xfId="53" applyFont="1" applyFill="1" applyBorder="1" applyAlignment="1">
      <alignment horizontal="center" vertical="center" wrapText="1"/>
    </xf>
    <xf numFmtId="0" fontId="121" fillId="2" borderId="8" xfId="53" applyFont="1" applyFill="1" applyBorder="1" applyAlignment="1">
      <alignment horizontal="center" vertical="center"/>
    </xf>
    <xf numFmtId="0" fontId="121" fillId="2" borderId="42" xfId="53" applyFont="1" applyFill="1" applyBorder="1" applyAlignment="1">
      <alignment horizontal="center" vertical="center"/>
    </xf>
    <xf numFmtId="0" fontId="122" fillId="2" borderId="69" xfId="53" applyFont="1" applyFill="1" applyBorder="1" applyAlignment="1">
      <alignment vertical="center" wrapText="1"/>
    </xf>
    <xf numFmtId="0" fontId="122" fillId="2" borderId="5" xfId="53" applyFont="1" applyFill="1" applyBorder="1" applyAlignment="1">
      <alignment horizontal="center" vertical="center" wrapText="1"/>
    </xf>
    <xf numFmtId="0" fontId="122" fillId="2" borderId="39" xfId="53" applyFont="1" applyFill="1" applyBorder="1" applyAlignment="1">
      <alignment horizontal="center" vertical="center" wrapText="1"/>
    </xf>
    <xf numFmtId="0" fontId="105" fillId="2" borderId="4" xfId="53" applyFont="1" applyFill="1" applyBorder="1" applyAlignment="1">
      <alignment horizontal="center" vertical="center"/>
    </xf>
    <xf numFmtId="0" fontId="105" fillId="2" borderId="39" xfId="53" applyFont="1" applyFill="1" applyBorder="1">
      <alignment vertical="center"/>
    </xf>
    <xf numFmtId="0" fontId="122" fillId="2" borderId="1" xfId="53" applyFont="1" applyFill="1" applyBorder="1" applyAlignment="1">
      <alignment horizontal="center" vertical="center" wrapText="1"/>
    </xf>
    <xf numFmtId="0" fontId="122" fillId="2" borderId="34" xfId="53" applyFont="1" applyFill="1" applyBorder="1" applyAlignment="1">
      <alignment horizontal="center" vertical="center" wrapText="1"/>
    </xf>
    <xf numFmtId="0" fontId="105" fillId="2" borderId="6" xfId="53" applyFont="1" applyFill="1" applyBorder="1" applyAlignment="1">
      <alignment horizontal="center" vertical="center"/>
    </xf>
    <xf numFmtId="0" fontId="105" fillId="2" borderId="10" xfId="53" applyFont="1" applyFill="1" applyBorder="1">
      <alignment vertical="center"/>
    </xf>
    <xf numFmtId="0" fontId="122" fillId="2" borderId="3" xfId="53" applyFont="1" applyFill="1" applyBorder="1" applyAlignment="1">
      <alignment horizontal="center" vertical="center" wrapText="1"/>
    </xf>
    <xf numFmtId="0" fontId="122" fillId="2" borderId="80" xfId="53" applyFont="1" applyFill="1" applyBorder="1" applyAlignment="1">
      <alignment horizontal="center" vertical="center" wrapText="1"/>
    </xf>
    <xf numFmtId="0" fontId="122" fillId="2" borderId="8" xfId="53" applyFont="1" applyFill="1" applyBorder="1" applyAlignment="1">
      <alignment horizontal="center" vertical="center" wrapText="1"/>
    </xf>
    <xf numFmtId="0" fontId="101" fillId="2" borderId="42" xfId="53" applyFont="1" applyFill="1" applyBorder="1">
      <alignment vertical="center"/>
    </xf>
    <xf numFmtId="0" fontId="122" fillId="2" borderId="10" xfId="53" applyFont="1" applyFill="1" applyBorder="1" applyAlignment="1">
      <alignment horizontal="center" vertical="center" wrapText="1"/>
    </xf>
    <xf numFmtId="0" fontId="105" fillId="2" borderId="7" xfId="53" applyFont="1" applyFill="1" applyBorder="1" applyAlignment="1">
      <alignment horizontal="center" vertical="center"/>
    </xf>
    <xf numFmtId="0" fontId="105" fillId="2" borderId="42" xfId="53" applyFont="1" applyFill="1" applyBorder="1">
      <alignment vertical="center"/>
    </xf>
    <xf numFmtId="0" fontId="101" fillId="2" borderId="10" xfId="53" applyFont="1" applyFill="1" applyBorder="1">
      <alignment vertical="center"/>
    </xf>
    <xf numFmtId="0" fontId="124" fillId="2" borderId="0" xfId="53" applyFont="1" applyFill="1">
      <alignment vertical="center"/>
    </xf>
    <xf numFmtId="0" fontId="122" fillId="2" borderId="60" xfId="53" applyFont="1" applyFill="1" applyBorder="1" applyAlignment="1">
      <alignment vertical="center" wrapText="1"/>
    </xf>
    <xf numFmtId="0" fontId="125" fillId="2" borderId="0" xfId="53" applyFont="1" applyFill="1">
      <alignment vertical="center"/>
    </xf>
    <xf numFmtId="0" fontId="122" fillId="2" borderId="42" xfId="53" applyFont="1" applyFill="1" applyBorder="1" applyAlignment="1">
      <alignment horizontal="center" vertical="center" wrapText="1"/>
    </xf>
    <xf numFmtId="0" fontId="0" fillId="2" borderId="10" xfId="53" applyFill="1" applyBorder="1">
      <alignment vertical="center"/>
    </xf>
    <xf numFmtId="0" fontId="0" fillId="2" borderId="69" xfId="53" applyFill="1" applyBorder="1" applyAlignment="1">
      <alignment horizontal="center" vertical="center"/>
    </xf>
    <xf numFmtId="0" fontId="0" fillId="2" borderId="41" xfId="53" applyFill="1" applyBorder="1" applyAlignment="1">
      <alignment horizontal="center" vertical="center"/>
    </xf>
    <xf numFmtId="0" fontId="122" fillId="2" borderId="6" xfId="53" applyFont="1" applyFill="1" applyBorder="1" applyAlignment="1">
      <alignment horizontal="center" vertical="center" wrapText="1"/>
    </xf>
    <xf numFmtId="0" fontId="0" fillId="2" borderId="70" xfId="53" applyFill="1" applyBorder="1" applyAlignment="1">
      <alignment horizontal="center" vertical="center"/>
    </xf>
    <xf numFmtId="0" fontId="0" fillId="2" borderId="1" xfId="53" applyFill="1" applyBorder="1">
      <alignment vertical="center"/>
    </xf>
    <xf numFmtId="0" fontId="0" fillId="2" borderId="39" xfId="53" applyFill="1" applyBorder="1">
      <alignment vertical="center"/>
    </xf>
    <xf numFmtId="0" fontId="0" fillId="2" borderId="69" xfId="53" applyFill="1" applyBorder="1" applyAlignment="1">
      <alignment horizontal="right" vertical="center"/>
    </xf>
    <xf numFmtId="0" fontId="0" fillId="2" borderId="4" xfId="53" applyFill="1" applyBorder="1" applyAlignment="1">
      <alignment horizontal="center" vertical="center"/>
    </xf>
    <xf numFmtId="186" fontId="0" fillId="2" borderId="5" xfId="53" applyNumberFormat="1" applyFill="1" applyBorder="1" applyAlignment="1">
      <alignment horizontal="center" vertical="center"/>
    </xf>
    <xf numFmtId="186" fontId="0" fillId="2" borderId="39" xfId="53" applyNumberFormat="1" applyFill="1" applyBorder="1" applyAlignment="1">
      <alignment horizontal="center" vertical="center"/>
    </xf>
    <xf numFmtId="0" fontId="0" fillId="2" borderId="6" xfId="53" applyFill="1" applyBorder="1" applyAlignment="1">
      <alignment horizontal="center" vertical="center"/>
    </xf>
    <xf numFmtId="186" fontId="0" fillId="2" borderId="1" xfId="53" applyNumberFormat="1" applyFill="1" applyBorder="1" applyAlignment="1">
      <alignment horizontal="center" vertical="center"/>
    </xf>
    <xf numFmtId="186" fontId="0" fillId="2" borderId="10" xfId="53" applyNumberFormat="1" applyFill="1" applyBorder="1" applyAlignment="1">
      <alignment horizontal="center" vertical="center"/>
    </xf>
    <xf numFmtId="0" fontId="0" fillId="2" borderId="7" xfId="53" applyFill="1" applyBorder="1" applyAlignment="1">
      <alignment horizontal="center" vertical="center"/>
    </xf>
    <xf numFmtId="186" fontId="0" fillId="2" borderId="42" xfId="53" applyNumberFormat="1" applyFill="1" applyBorder="1" applyAlignment="1">
      <alignment horizontal="center" vertical="center"/>
    </xf>
    <xf numFmtId="186" fontId="0" fillId="2" borderId="8" xfId="53" applyNumberFormat="1" applyFill="1" applyBorder="1" applyAlignment="1">
      <alignment horizontal="center" vertical="center"/>
    </xf>
    <xf numFmtId="0" fontId="1" fillId="2" borderId="4" xfId="53" applyFont="1" applyFill="1" applyBorder="1" applyAlignment="1">
      <alignment horizontal="center" vertical="center" wrapText="1"/>
    </xf>
    <xf numFmtId="0" fontId="1" fillId="2" borderId="5" xfId="53" applyFont="1" applyFill="1" applyBorder="1" applyAlignment="1">
      <alignment horizontal="center" vertical="center" wrapText="1"/>
    </xf>
    <xf numFmtId="0" fontId="1" fillId="2" borderId="6" xfId="53" applyFont="1" applyFill="1" applyBorder="1" applyAlignment="1">
      <alignment horizontal="center" vertical="center" wrapText="1"/>
    </xf>
    <xf numFmtId="0" fontId="1" fillId="2" borderId="1" xfId="53" applyFont="1" applyFill="1" applyBorder="1" applyAlignment="1">
      <alignment horizontal="center" vertical="center" wrapText="1"/>
    </xf>
    <xf numFmtId="0" fontId="1" fillId="2" borderId="22" xfId="53" applyFont="1" applyFill="1" applyBorder="1" applyAlignment="1">
      <alignment horizontal="center" vertical="center" wrapText="1"/>
    </xf>
    <xf numFmtId="0" fontId="1" fillId="2" borderId="9" xfId="53" applyFont="1" applyFill="1" applyBorder="1" applyAlignment="1">
      <alignment horizontal="center" vertical="center" wrapText="1"/>
    </xf>
    <xf numFmtId="0" fontId="0" fillId="2" borderId="1" xfId="53" applyFill="1" applyBorder="1" applyAlignment="1">
      <alignment horizontal="center" vertical="center"/>
    </xf>
    <xf numFmtId="0" fontId="1" fillId="2" borderId="1" xfId="0" applyFont="1" applyFill="1" applyBorder="1" applyAlignment="1">
      <alignment horizontal="center" vertical="center" wrapText="1"/>
    </xf>
    <xf numFmtId="0" fontId="55" fillId="2" borderId="89" xfId="53" applyFont="1" applyFill="1" applyBorder="1">
      <alignment vertical="center"/>
    </xf>
    <xf numFmtId="0" fontId="55" fillId="2" borderId="0" xfId="53" applyFont="1" applyFill="1">
      <alignment vertical="center"/>
    </xf>
    <xf numFmtId="0" fontId="1" fillId="2" borderId="10" xfId="53" applyFont="1" applyFill="1" applyBorder="1" applyAlignment="1">
      <alignment horizontal="center" vertical="center" wrapText="1"/>
    </xf>
    <xf numFmtId="0" fontId="1" fillId="2" borderId="11" xfId="53" applyFont="1" applyFill="1" applyBorder="1" applyAlignment="1">
      <alignment horizontal="center" vertical="center" wrapText="1"/>
    </xf>
    <xf numFmtId="0" fontId="1" fillId="2" borderId="0" xfId="53" applyFont="1" applyFill="1" applyAlignment="1">
      <alignment horizontal="center" vertical="center" wrapText="1"/>
    </xf>
    <xf numFmtId="0" fontId="1" fillId="2" borderId="1" xfId="53" applyFont="1" applyFill="1" applyBorder="1" applyAlignment="1">
      <alignment horizontal="center" vertical="center"/>
    </xf>
    <xf numFmtId="0" fontId="1" fillId="2" borderId="10" xfId="53" applyFont="1" applyFill="1" applyBorder="1" applyAlignment="1">
      <alignment horizontal="left" vertical="center"/>
    </xf>
    <xf numFmtId="0" fontId="1" fillId="2" borderId="11" xfId="53" applyFont="1" applyFill="1" applyBorder="1" applyAlignment="1">
      <alignment horizontal="left" vertical="center"/>
    </xf>
    <xf numFmtId="0" fontId="1" fillId="2" borderId="0" xfId="53" applyFont="1" applyFill="1">
      <alignment vertical="center"/>
    </xf>
    <xf numFmtId="0" fontId="1" fillId="2" borderId="0" xfId="53" applyFont="1" applyFill="1" applyAlignment="1">
      <alignment horizontal="center" vertical="center"/>
    </xf>
    <xf numFmtId="0" fontId="1" fillId="2" borderId="54" xfId="53" applyFont="1" applyFill="1" applyBorder="1">
      <alignment vertical="center"/>
    </xf>
    <xf numFmtId="0" fontId="1" fillId="2" borderId="34" xfId="53" applyFont="1" applyFill="1" applyBorder="1" applyAlignment="1">
      <alignment vertical="center" wrapText="1"/>
    </xf>
    <xf numFmtId="0" fontId="1" fillId="2" borderId="3" xfId="53" applyFont="1" applyFill="1" applyBorder="1" applyAlignment="1">
      <alignment vertical="center" wrapText="1"/>
    </xf>
    <xf numFmtId="0" fontId="1" fillId="2" borderId="81" xfId="53" applyFont="1" applyFill="1" applyBorder="1" applyAlignment="1">
      <alignment vertical="center" wrapText="1"/>
    </xf>
    <xf numFmtId="0" fontId="1" fillId="2" borderId="3" xfId="53" applyFont="1" applyFill="1" applyBorder="1" applyAlignment="1">
      <alignment horizontal="center" vertical="center"/>
    </xf>
    <xf numFmtId="9" fontId="1" fillId="2" borderId="1" xfId="53" applyNumberFormat="1" applyFont="1" applyFill="1" applyBorder="1" applyAlignment="1">
      <alignment horizontal="center" vertical="center"/>
    </xf>
    <xf numFmtId="186" fontId="0" fillId="2" borderId="13" xfId="53" applyNumberFormat="1" applyFill="1" applyBorder="1" applyAlignment="1">
      <alignment horizontal="center" vertical="center"/>
    </xf>
    <xf numFmtId="186" fontId="0" fillId="2" borderId="14" xfId="53" applyNumberFormat="1" applyFill="1" applyBorder="1" applyAlignment="1">
      <alignment horizontal="center" vertical="center"/>
    </xf>
    <xf numFmtId="186" fontId="0" fillId="2" borderId="15" xfId="53" applyNumberFormat="1" applyFill="1" applyBorder="1" applyAlignment="1">
      <alignment horizontal="center" vertical="center"/>
    </xf>
    <xf numFmtId="0" fontId="1" fillId="2" borderId="13" xfId="53" applyFont="1" applyFill="1" applyBorder="1" applyAlignment="1">
      <alignment horizontal="center" vertical="center" wrapText="1"/>
    </xf>
    <xf numFmtId="0" fontId="1" fillId="2" borderId="14" xfId="53" applyFont="1" applyFill="1" applyBorder="1" applyAlignment="1">
      <alignment horizontal="center" vertical="center" wrapText="1"/>
    </xf>
    <xf numFmtId="0" fontId="1" fillId="2" borderId="57" xfId="53" applyFont="1" applyFill="1" applyBorder="1" applyAlignment="1">
      <alignment horizontal="center" vertical="center" wrapText="1"/>
    </xf>
    <xf numFmtId="0" fontId="55" fillId="2" borderId="0" xfId="53" applyFont="1" applyFill="1" applyAlignment="1">
      <alignment horizontal="center" vertical="center"/>
    </xf>
    <xf numFmtId="0" fontId="50" fillId="0" borderId="0" xfId="53" applyFont="1" applyAlignment="1">
      <alignment vertical="center" wrapText="1"/>
    </xf>
    <xf numFmtId="0" fontId="92" fillId="6" borderId="0" xfId="53" applyFont="1" applyFill="1" applyAlignment="1">
      <alignment vertical="center" wrapText="1"/>
    </xf>
    <xf numFmtId="0" fontId="92" fillId="0" borderId="0" xfId="53" applyFont="1" applyAlignment="1">
      <alignment horizontal="center" vertical="center" wrapText="1"/>
    </xf>
    <xf numFmtId="0" fontId="92" fillId="0" borderId="0" xfId="53" applyFont="1" applyAlignment="1">
      <alignment horizontal="left" vertical="center" wrapText="1"/>
    </xf>
    <xf numFmtId="0" fontId="92" fillId="0" borderId="0" xfId="53" applyFont="1" applyAlignment="1">
      <alignment vertical="center" wrapText="1"/>
    </xf>
    <xf numFmtId="0" fontId="92" fillId="6" borderId="0" xfId="53" applyFont="1" applyFill="1" applyAlignment="1">
      <alignment horizontal="center" vertical="center" wrapText="1"/>
    </xf>
    <xf numFmtId="0" fontId="126" fillId="2" borderId="59" xfId="53" applyFont="1" applyFill="1" applyBorder="1">
      <alignment vertical="center"/>
    </xf>
    <xf numFmtId="0" fontId="51" fillId="2" borderId="78" xfId="53" applyFont="1" applyFill="1" applyBorder="1">
      <alignment vertical="center"/>
    </xf>
    <xf numFmtId="0" fontId="51" fillId="2" borderId="1" xfId="53" applyFont="1" applyFill="1" applyBorder="1">
      <alignment vertical="center"/>
    </xf>
    <xf numFmtId="0" fontId="92" fillId="2" borderId="1" xfId="53" applyFont="1" applyFill="1" applyBorder="1" applyAlignment="1">
      <alignment vertical="center" wrapText="1"/>
    </xf>
    <xf numFmtId="0" fontId="92" fillId="0" borderId="1" xfId="53" applyFont="1" applyBorder="1" applyAlignment="1" applyProtection="1">
      <alignment vertical="center" wrapText="1"/>
      <protection locked="0"/>
    </xf>
    <xf numFmtId="0" fontId="92" fillId="2" borderId="0" xfId="53" applyFont="1" applyFill="1" applyAlignment="1">
      <alignment vertical="center" wrapText="1"/>
    </xf>
    <xf numFmtId="0" fontId="38" fillId="2" borderId="9" xfId="53" applyFont="1" applyFill="1" applyBorder="1" applyAlignment="1">
      <alignment horizontal="right" vertical="center"/>
    </xf>
    <xf numFmtId="0" fontId="51" fillId="2" borderId="10" xfId="53" applyFont="1" applyFill="1" applyBorder="1">
      <alignment vertical="center"/>
    </xf>
    <xf numFmtId="0" fontId="92" fillId="2" borderId="1" xfId="53" applyFont="1" applyFill="1" applyBorder="1" applyAlignment="1">
      <alignment horizontal="left" vertical="center" wrapText="1"/>
    </xf>
    <xf numFmtId="0" fontId="92" fillId="3" borderId="1" xfId="53" applyFont="1" applyFill="1" applyBorder="1" applyAlignment="1" applyProtection="1">
      <alignment horizontal="center" vertical="center" wrapText="1"/>
      <protection locked="0"/>
    </xf>
    <xf numFmtId="0" fontId="92" fillId="2" borderId="1" xfId="53" applyFont="1" applyFill="1" applyBorder="1" applyAlignment="1">
      <alignment horizontal="center" vertical="center" wrapText="1"/>
    </xf>
    <xf numFmtId="0" fontId="51" fillId="2" borderId="9" xfId="53" applyFont="1" applyFill="1" applyBorder="1">
      <alignment vertical="center"/>
    </xf>
    <xf numFmtId="0" fontId="92" fillId="3" borderId="1" xfId="53" applyFont="1" applyFill="1" applyBorder="1" applyAlignment="1" applyProtection="1">
      <alignment vertical="center" wrapText="1"/>
      <protection locked="0"/>
    </xf>
    <xf numFmtId="0" fontId="92" fillId="3" borderId="1" xfId="0" applyFont="1" applyFill="1" applyBorder="1" applyAlignment="1" applyProtection="1">
      <alignment horizontal="left" vertical="center"/>
      <protection locked="0"/>
    </xf>
    <xf numFmtId="178" fontId="34" fillId="2" borderId="1" xfId="53" applyNumberFormat="1" applyFont="1" applyFill="1" applyBorder="1" applyAlignment="1">
      <alignment horizontal="center" vertical="center" wrapText="1"/>
    </xf>
    <xf numFmtId="0" fontId="51" fillId="2" borderId="10" xfId="53" applyFont="1" applyFill="1" applyBorder="1" applyAlignment="1">
      <alignment vertical="center" wrapText="1"/>
    </xf>
    <xf numFmtId="0" fontId="38" fillId="2" borderId="1" xfId="53" applyFont="1" applyFill="1" applyBorder="1" applyAlignment="1">
      <alignment horizontal="right" vertical="center" wrapText="1"/>
    </xf>
    <xf numFmtId="0" fontId="51" fillId="2" borderId="1" xfId="53" applyFont="1" applyFill="1" applyBorder="1" applyAlignment="1">
      <alignment vertical="center" wrapText="1"/>
    </xf>
    <xf numFmtId="0" fontId="51" fillId="2" borderId="12" xfId="53" applyFont="1" applyFill="1" applyBorder="1" applyAlignment="1">
      <alignment vertical="center" wrapText="1"/>
    </xf>
    <xf numFmtId="49" fontId="127" fillId="2" borderId="9" xfId="0" applyNumberFormat="1" applyFont="1" applyFill="1" applyBorder="1" applyAlignment="1">
      <alignment horizontal="left" vertical="center" wrapText="1"/>
    </xf>
    <xf numFmtId="0" fontId="52" fillId="2" borderId="9" xfId="53" applyFont="1" applyFill="1" applyBorder="1" applyAlignment="1">
      <alignment horizontal="left" vertical="center" wrapText="1"/>
    </xf>
    <xf numFmtId="0" fontId="39" fillId="2" borderId="54" xfId="53" applyFont="1" applyFill="1" applyBorder="1" applyAlignment="1">
      <alignment horizontal="center" vertical="center"/>
    </xf>
    <xf numFmtId="0" fontId="128" fillId="2" borderId="54" xfId="53" applyFont="1" applyFill="1" applyBorder="1" applyAlignment="1">
      <alignment horizontal="center" vertical="center"/>
    </xf>
    <xf numFmtId="0" fontId="52" fillId="2" borderId="54" xfId="53" applyFont="1" applyFill="1" applyBorder="1" applyAlignment="1">
      <alignment vertical="center" wrapText="1"/>
    </xf>
    <xf numFmtId="0" fontId="50" fillId="2" borderId="54" xfId="53" applyFont="1" applyFill="1" applyBorder="1" applyAlignment="1">
      <alignment vertical="center" wrapText="1"/>
    </xf>
    <xf numFmtId="49" fontId="129" fillId="2" borderId="60" xfId="0" applyNumberFormat="1" applyFont="1" applyFill="1" applyBorder="1" applyAlignment="1">
      <alignment horizontal="center" vertical="center" wrapText="1"/>
    </xf>
    <xf numFmtId="0" fontId="57" fillId="2" borderId="99" xfId="53" applyFont="1" applyFill="1" applyBorder="1" applyAlignment="1">
      <alignment horizontal="left" vertical="center" wrapText="1"/>
    </xf>
    <xf numFmtId="0" fontId="22" fillId="2" borderId="63" xfId="53" applyFont="1" applyFill="1" applyBorder="1" applyAlignment="1">
      <alignment horizontal="center" vertical="center"/>
    </xf>
    <xf numFmtId="0" fontId="130" fillId="2" borderId="63" xfId="53" applyFont="1" applyFill="1" applyBorder="1">
      <alignment vertical="center"/>
    </xf>
    <xf numFmtId="0" fontId="57" fillId="2" borderId="99" xfId="53" applyFont="1" applyFill="1" applyBorder="1" applyAlignment="1">
      <alignment horizontal="center" vertical="center" wrapText="1"/>
    </xf>
    <xf numFmtId="0" fontId="92" fillId="2" borderId="99" xfId="53" applyFont="1" applyFill="1" applyBorder="1" applyAlignment="1">
      <alignment vertical="center" wrapText="1"/>
    </xf>
    <xf numFmtId="49" fontId="65" fillId="2" borderId="69" xfId="0" applyNumberFormat="1" applyFont="1" applyFill="1" applyBorder="1" applyAlignment="1">
      <alignment horizontal="center" vertical="center" wrapText="1"/>
    </xf>
    <xf numFmtId="0" fontId="57" fillId="2" borderId="5" xfId="53" applyFont="1" applyFill="1" applyBorder="1" applyAlignment="1">
      <alignment horizontal="left" vertical="center" wrapText="1"/>
    </xf>
    <xf numFmtId="0" fontId="22" fillId="2" borderId="39" xfId="53" applyFont="1" applyFill="1" applyBorder="1" applyAlignment="1">
      <alignment horizontal="center" vertical="center" wrapText="1"/>
    </xf>
    <xf numFmtId="0" fontId="92" fillId="2" borderId="5" xfId="53" applyFont="1" applyFill="1" applyBorder="1" applyAlignment="1">
      <alignment horizontal="center" vertical="center" wrapText="1"/>
    </xf>
    <xf numFmtId="0" fontId="19" fillId="0" borderId="5" xfId="53" applyFont="1" applyBorder="1" applyAlignment="1" applyProtection="1">
      <alignment horizontal="center" vertical="center" wrapText="1"/>
      <protection locked="0"/>
    </xf>
    <xf numFmtId="0" fontId="92" fillId="2" borderId="55" xfId="53" applyFont="1" applyFill="1" applyBorder="1" applyAlignment="1">
      <alignment horizontal="center" vertical="center" wrapText="1"/>
    </xf>
    <xf numFmtId="0" fontId="92" fillId="2" borderId="55" xfId="53" applyFont="1" applyFill="1" applyBorder="1" applyAlignment="1">
      <alignment vertical="center" wrapText="1"/>
    </xf>
    <xf numFmtId="49" fontId="65" fillId="2" borderId="68" xfId="0" applyNumberFormat="1" applyFont="1" applyFill="1" applyBorder="1" applyAlignment="1">
      <alignment horizontal="center" vertical="center" wrapText="1"/>
    </xf>
    <xf numFmtId="0" fontId="19" fillId="3" borderId="1" xfId="53" applyFont="1" applyFill="1" applyBorder="1" applyAlignment="1" applyProtection="1">
      <alignment horizontal="center" vertical="center" wrapText="1"/>
      <protection locked="0"/>
    </xf>
    <xf numFmtId="0" fontId="19" fillId="2" borderId="3" xfId="53" applyFont="1" applyFill="1" applyBorder="1" applyAlignment="1">
      <alignment horizontal="center" vertical="center" wrapText="1"/>
    </xf>
    <xf numFmtId="0" fontId="19" fillId="2" borderId="34" xfId="53" applyFont="1" applyFill="1" applyBorder="1" applyAlignment="1">
      <alignment horizontal="center" vertical="center" wrapText="1"/>
    </xf>
    <xf numFmtId="0" fontId="92" fillId="2" borderId="10" xfId="53" applyFont="1" applyFill="1" applyBorder="1">
      <alignment vertical="center"/>
    </xf>
    <xf numFmtId="0" fontId="92" fillId="2" borderId="12" xfId="53" applyFont="1" applyFill="1" applyBorder="1" applyAlignment="1">
      <alignment vertical="center" wrapText="1"/>
    </xf>
    <xf numFmtId="9" fontId="19" fillId="2" borderId="1" xfId="53" applyNumberFormat="1" applyFont="1" applyFill="1" applyBorder="1" applyAlignment="1">
      <alignment horizontal="center" vertical="center" wrapText="1"/>
    </xf>
    <xf numFmtId="0" fontId="19" fillId="2" borderId="1" xfId="53" applyFont="1" applyFill="1" applyBorder="1" applyAlignment="1">
      <alignment horizontal="center" vertical="center" wrapText="1"/>
    </xf>
    <xf numFmtId="0" fontId="92" fillId="2" borderId="9" xfId="53" applyFont="1" applyFill="1" applyBorder="1" applyAlignment="1">
      <alignment horizontal="left" vertical="center" wrapText="1"/>
    </xf>
    <xf numFmtId="0" fontId="19" fillId="2" borderId="9" xfId="53" applyFont="1" applyFill="1" applyBorder="1" applyAlignment="1">
      <alignment horizontal="center" vertical="center" wrapText="1"/>
    </xf>
    <xf numFmtId="0" fontId="92" fillId="2" borderId="18" xfId="53" applyFont="1" applyFill="1" applyBorder="1">
      <alignment vertical="center"/>
    </xf>
    <xf numFmtId="0" fontId="92" fillId="2" borderId="54" xfId="53" applyFont="1" applyFill="1" applyBorder="1" applyAlignment="1">
      <alignment vertical="center" wrapText="1"/>
    </xf>
    <xf numFmtId="0" fontId="57" fillId="2" borderId="41" xfId="53" applyFont="1" applyFill="1" applyBorder="1" applyAlignment="1">
      <alignment horizontal="left" vertical="center" wrapText="1"/>
    </xf>
    <xf numFmtId="0" fontId="92" fillId="2" borderId="39" xfId="53" applyFont="1" applyFill="1" applyBorder="1">
      <alignment vertical="center"/>
    </xf>
    <xf numFmtId="0" fontId="92" fillId="2" borderId="78" xfId="53" applyFont="1" applyFill="1" applyBorder="1" applyAlignment="1">
      <alignment horizontal="center" vertical="center" wrapText="1"/>
    </xf>
    <xf numFmtId="0" fontId="92" fillId="2" borderId="78" xfId="53" applyFont="1" applyFill="1" applyBorder="1" applyAlignment="1">
      <alignment vertical="center" wrapText="1"/>
    </xf>
    <xf numFmtId="49" fontId="83" fillId="2" borderId="21" xfId="0" applyNumberFormat="1" applyFont="1" applyFill="1" applyBorder="1" applyAlignment="1">
      <alignment horizontal="center" vertical="center" wrapText="1"/>
    </xf>
    <xf numFmtId="0" fontId="122" fillId="2" borderId="9" xfId="53" applyFont="1" applyFill="1" applyBorder="1" applyAlignment="1">
      <alignment horizontal="left" vertical="center" wrapText="1"/>
    </xf>
    <xf numFmtId="0" fontId="122" fillId="2" borderId="11" xfId="53" applyFont="1" applyFill="1" applyBorder="1" applyAlignment="1">
      <alignment horizontal="center" vertical="center" wrapText="1"/>
    </xf>
    <xf numFmtId="0" fontId="68" fillId="2" borderId="3" xfId="53" applyFont="1" applyFill="1" applyBorder="1" applyAlignment="1">
      <alignment horizontal="center" vertical="center" wrapText="1"/>
    </xf>
    <xf numFmtId="0" fontId="92" fillId="0" borderId="1" xfId="53" applyFont="1" applyBorder="1" applyAlignment="1" applyProtection="1">
      <alignment horizontal="center" vertical="center"/>
      <protection locked="0"/>
    </xf>
    <xf numFmtId="0" fontId="92" fillId="0" borderId="1" xfId="53" applyFont="1" applyBorder="1" applyAlignment="1" applyProtection="1">
      <alignment horizontal="center" vertical="center" wrapText="1"/>
      <protection locked="0"/>
    </xf>
    <xf numFmtId="0" fontId="122" fillId="2" borderId="3" xfId="53" applyFont="1" applyFill="1" applyBorder="1" applyAlignment="1">
      <alignment horizontal="left" vertical="center" wrapText="1"/>
    </xf>
    <xf numFmtId="0" fontId="122" fillId="3" borderId="11" xfId="53" applyFont="1" applyFill="1" applyBorder="1" applyAlignment="1" applyProtection="1">
      <alignment horizontal="center" vertical="center" wrapText="1"/>
      <protection locked="0"/>
    </xf>
    <xf numFmtId="0" fontId="122" fillId="3" borderId="1" xfId="53" applyFont="1" applyFill="1" applyBorder="1" applyAlignment="1" applyProtection="1">
      <alignment horizontal="center" vertical="center" wrapText="1"/>
      <protection locked="0"/>
    </xf>
    <xf numFmtId="0" fontId="122" fillId="3" borderId="3" xfId="53" applyFont="1" applyFill="1" applyBorder="1" applyAlignment="1" applyProtection="1">
      <alignment horizontal="center" vertical="center" wrapText="1"/>
      <protection locked="0"/>
    </xf>
    <xf numFmtId="0" fontId="131" fillId="2" borderId="34" xfId="53" applyFont="1" applyFill="1" applyBorder="1">
      <alignment vertical="center"/>
    </xf>
    <xf numFmtId="49" fontId="83" fillId="2" borderId="68" xfId="0" applyNumberFormat="1" applyFont="1" applyFill="1" applyBorder="1" applyAlignment="1">
      <alignment horizontal="center" vertical="center" wrapText="1"/>
    </xf>
    <xf numFmtId="0" fontId="122" fillId="2" borderId="35" xfId="53" applyFont="1" applyFill="1" applyBorder="1" applyAlignment="1">
      <alignment horizontal="left" vertical="center" wrapText="1"/>
    </xf>
    <xf numFmtId="0" fontId="19" fillId="0" borderId="9" xfId="53" applyFont="1" applyBorder="1" applyAlignment="1" applyProtection="1">
      <alignment horizontal="center" vertical="center" wrapText="1"/>
      <protection locked="0"/>
    </xf>
    <xf numFmtId="0" fontId="22" fillId="2" borderId="5" xfId="53" applyFont="1" applyFill="1" applyBorder="1" applyAlignment="1">
      <alignment horizontal="center" vertical="center" wrapText="1"/>
    </xf>
    <xf numFmtId="0" fontId="92" fillId="2" borderId="40" xfId="53" applyFont="1" applyFill="1" applyBorder="1" applyAlignment="1">
      <alignment horizontal="center" vertical="center" wrapText="1"/>
    </xf>
    <xf numFmtId="0" fontId="92" fillId="2" borderId="71" xfId="53" applyFont="1" applyFill="1" applyBorder="1" applyAlignment="1">
      <alignment horizontal="center" vertical="center" wrapText="1"/>
    </xf>
    <xf numFmtId="0" fontId="92" fillId="3" borderId="5" xfId="53" applyFont="1" applyFill="1" applyBorder="1" applyAlignment="1" applyProtection="1">
      <alignment horizontal="center" vertical="center" wrapText="1"/>
      <protection locked="0"/>
    </xf>
    <xf numFmtId="49" fontId="65" fillId="2" borderId="76" xfId="0" applyNumberFormat="1" applyFont="1" applyFill="1" applyBorder="1" applyAlignment="1">
      <alignment horizontal="center" vertical="center" wrapText="1"/>
    </xf>
    <xf numFmtId="0" fontId="92" fillId="2" borderId="8" xfId="53" applyFont="1" applyFill="1" applyBorder="1" applyAlignment="1">
      <alignment horizontal="left" vertical="center"/>
    </xf>
    <xf numFmtId="0" fontId="19" fillId="2" borderId="80" xfId="53" applyFont="1" applyFill="1" applyBorder="1" applyAlignment="1">
      <alignment horizontal="center" vertical="center" wrapText="1"/>
    </xf>
    <xf numFmtId="0" fontId="92" fillId="2" borderId="8" xfId="0" applyFont="1" applyFill="1" applyBorder="1" applyAlignment="1">
      <alignment horizontal="center" vertical="center" wrapText="1"/>
    </xf>
    <xf numFmtId="0" fontId="92" fillId="2" borderId="8" xfId="53" applyFont="1" applyFill="1" applyBorder="1" applyAlignment="1">
      <alignment horizontal="center" vertical="center" wrapText="1"/>
    </xf>
    <xf numFmtId="0" fontId="92" fillId="3" borderId="8" xfId="53" applyFont="1" applyFill="1" applyBorder="1" applyAlignment="1" applyProtection="1">
      <alignment horizontal="right" vertical="center" wrapText="1"/>
      <protection locked="0"/>
    </xf>
    <xf numFmtId="0" fontId="19" fillId="2" borderId="8" xfId="53" applyFont="1" applyFill="1" applyBorder="1" applyAlignment="1">
      <alignment horizontal="center" vertical="center" wrapText="1"/>
    </xf>
    <xf numFmtId="49" fontId="127" fillId="2" borderId="68" xfId="0" applyNumberFormat="1" applyFont="1" applyFill="1" applyBorder="1" applyAlignment="1">
      <alignment horizontal="left" vertical="center" wrapText="1"/>
    </xf>
    <xf numFmtId="0" fontId="52" fillId="2" borderId="35" xfId="53" applyFont="1" applyFill="1" applyBorder="1" applyAlignment="1">
      <alignment horizontal="left" vertical="center" wrapText="1"/>
    </xf>
    <xf numFmtId="0" fontId="39" fillId="2" borderId="20" xfId="53" applyFont="1" applyFill="1" applyBorder="1" applyAlignment="1">
      <alignment horizontal="center" vertical="center" wrapText="1"/>
    </xf>
    <xf numFmtId="0" fontId="92" fillId="2" borderId="20" xfId="53" applyFont="1" applyFill="1" applyBorder="1">
      <alignment vertical="center"/>
    </xf>
    <xf numFmtId="0" fontId="52" fillId="2" borderId="0" xfId="53" applyFont="1" applyFill="1" applyAlignment="1">
      <alignment horizontal="center" vertical="center" wrapText="1"/>
    </xf>
    <xf numFmtId="0" fontId="92" fillId="2" borderId="0" xfId="53" applyFont="1" applyFill="1">
      <alignment vertical="center"/>
    </xf>
    <xf numFmtId="0" fontId="50" fillId="2" borderId="0" xfId="53" applyFont="1" applyFill="1" applyAlignment="1">
      <alignment vertical="center" wrapText="1"/>
    </xf>
    <xf numFmtId="49" fontId="127" fillId="2" borderId="60" xfId="0" applyNumberFormat="1" applyFont="1" applyFill="1" applyBorder="1" applyAlignment="1">
      <alignment horizontal="left" vertical="center" wrapText="1"/>
    </xf>
    <xf numFmtId="0" fontId="52" fillId="2" borderId="103" xfId="53" applyFont="1" applyFill="1" applyBorder="1" applyAlignment="1">
      <alignment horizontal="left" vertical="center" wrapText="1"/>
    </xf>
    <xf numFmtId="189" fontId="39" fillId="2" borderId="103" xfId="53" applyNumberFormat="1" applyFont="1" applyFill="1" applyBorder="1" applyAlignment="1">
      <alignment horizontal="center" vertical="center" wrapText="1"/>
    </xf>
    <xf numFmtId="0" fontId="50" fillId="2" borderId="103" xfId="53" applyFont="1" applyFill="1" applyBorder="1" applyAlignment="1">
      <alignment horizontal="center" vertical="center" wrapText="1"/>
    </xf>
    <xf numFmtId="14" fontId="34" fillId="2" borderId="103" xfId="53" applyNumberFormat="1" applyFont="1" applyFill="1" applyBorder="1" applyAlignment="1">
      <alignment horizontal="center" vertical="center" wrapText="1"/>
    </xf>
    <xf numFmtId="14" fontId="34" fillId="2" borderId="99" xfId="53" applyNumberFormat="1" applyFont="1" applyFill="1" applyBorder="1" applyAlignment="1">
      <alignment horizontal="center" vertical="center" wrapText="1"/>
    </xf>
    <xf numFmtId="0" fontId="50" fillId="3" borderId="103" xfId="53" applyFont="1" applyFill="1" applyBorder="1" applyAlignment="1" applyProtection="1">
      <alignment horizontal="center" vertical="center" wrapText="1"/>
      <protection locked="0"/>
    </xf>
    <xf numFmtId="0" fontId="52" fillId="2" borderId="80" xfId="53" applyFont="1" applyFill="1" applyBorder="1" applyAlignment="1">
      <alignment horizontal="left" vertical="center" wrapText="1"/>
    </xf>
    <xf numFmtId="189" fontId="39" fillId="2" borderId="80" xfId="53" applyNumberFormat="1" applyFont="1" applyFill="1" applyBorder="1" applyAlignment="1">
      <alignment horizontal="center" vertical="center" wrapText="1"/>
    </xf>
    <xf numFmtId="0" fontId="92" fillId="2" borderId="80" xfId="53" applyFont="1" applyFill="1" applyBorder="1" applyAlignment="1">
      <alignment horizontal="center" vertical="center" wrapText="1"/>
    </xf>
    <xf numFmtId="10" fontId="19" fillId="2" borderId="80" xfId="53" applyNumberFormat="1" applyFont="1" applyFill="1" applyBorder="1" applyAlignment="1">
      <alignment horizontal="center" vertical="center" wrapText="1"/>
    </xf>
    <xf numFmtId="180" fontId="69" fillId="2" borderId="80" xfId="53" applyNumberFormat="1" applyFont="1" applyFill="1" applyBorder="1" applyAlignment="1">
      <alignment horizontal="center" vertical="center" wrapText="1"/>
    </xf>
    <xf numFmtId="49" fontId="127" fillId="2" borderId="4" xfId="0" applyNumberFormat="1" applyFont="1" applyFill="1" applyBorder="1" applyAlignment="1">
      <alignment horizontal="left" vertical="center" wrapText="1"/>
    </xf>
    <xf numFmtId="0" fontId="52" fillId="3" borderId="3" xfId="53" applyFont="1" applyFill="1" applyBorder="1" applyAlignment="1" applyProtection="1">
      <alignment horizontal="left" vertical="center" wrapText="1"/>
      <protection locked="0"/>
    </xf>
    <xf numFmtId="0" fontId="34" fillId="2" borderId="3" xfId="53" applyFont="1" applyFill="1" applyBorder="1" applyAlignment="1">
      <alignment horizontal="center" vertical="center" wrapText="1"/>
    </xf>
    <xf numFmtId="49" fontId="132" fillId="2" borderId="22" xfId="0" applyNumberFormat="1" applyFont="1" applyFill="1" applyBorder="1" applyAlignment="1">
      <alignment horizontal="center" vertical="center" wrapText="1"/>
    </xf>
    <xf numFmtId="0" fontId="50" fillId="2" borderId="1" xfId="53" applyFont="1" applyFill="1" applyBorder="1" applyAlignment="1">
      <alignment horizontal="left" vertical="center" wrapText="1"/>
    </xf>
    <xf numFmtId="0" fontId="34" fillId="2" borderId="1" xfId="53" applyFont="1" applyFill="1" applyBorder="1" applyAlignment="1">
      <alignment horizontal="center" vertical="center" wrapText="1"/>
    </xf>
    <xf numFmtId="0" fontId="39" fillId="2" borderId="3" xfId="53" applyFont="1" applyFill="1" applyBorder="1" applyAlignment="1">
      <alignment horizontal="center" vertical="center" wrapText="1"/>
    </xf>
    <xf numFmtId="0" fontId="19" fillId="2" borderId="0" xfId="53" applyFont="1" applyFill="1" applyAlignment="1">
      <alignment vertical="center" wrapText="1"/>
    </xf>
    <xf numFmtId="189" fontId="19" fillId="2" borderId="35" xfId="53" applyNumberFormat="1" applyFont="1" applyFill="1" applyBorder="1" applyAlignment="1">
      <alignment horizontal="center" vertical="center" wrapText="1"/>
    </xf>
    <xf numFmtId="189" fontId="19" fillId="2" borderId="20" xfId="53" applyNumberFormat="1" applyFont="1" applyFill="1" applyBorder="1" applyAlignment="1">
      <alignment horizontal="center" vertical="center" wrapText="1"/>
    </xf>
    <xf numFmtId="0" fontId="19" fillId="2" borderId="11" xfId="53" applyFont="1" applyFill="1" applyBorder="1" applyAlignment="1">
      <alignment vertical="center" wrapText="1"/>
    </xf>
    <xf numFmtId="49" fontId="127" fillId="2" borderId="69" xfId="0" applyNumberFormat="1" applyFont="1" applyFill="1" applyBorder="1" applyAlignment="1">
      <alignment horizontal="left" vertical="center" wrapText="1"/>
    </xf>
    <xf numFmtId="189" fontId="39" fillId="2" borderId="9" xfId="53" applyNumberFormat="1" applyFont="1" applyFill="1" applyBorder="1" applyAlignment="1">
      <alignment horizontal="center" vertical="center" wrapText="1"/>
    </xf>
    <xf numFmtId="0" fontId="19" fillId="2" borderId="54" xfId="53" applyFont="1" applyFill="1" applyBorder="1">
      <alignment vertical="center"/>
    </xf>
    <xf numFmtId="0" fontId="34" fillId="2" borderId="9" xfId="53" applyFont="1" applyFill="1" applyBorder="1" applyAlignment="1">
      <alignment vertical="center" wrapText="1"/>
    </xf>
    <xf numFmtId="0" fontId="52" fillId="2" borderId="39" xfId="53" applyFont="1" applyFill="1" applyBorder="1" applyAlignment="1">
      <alignment horizontal="left" vertical="center" wrapText="1"/>
    </xf>
    <xf numFmtId="0" fontId="57" fillId="2" borderId="78" xfId="53" applyFont="1" applyFill="1" applyBorder="1" applyAlignment="1">
      <alignment horizontal="center" vertical="center" wrapText="1"/>
    </xf>
    <xf numFmtId="0" fontId="57" fillId="2" borderId="55" xfId="53" applyFont="1" applyFill="1" applyBorder="1" applyAlignment="1">
      <alignment vertical="center" wrapText="1"/>
    </xf>
    <xf numFmtId="0" fontId="52" fillId="2" borderId="68" xfId="53" applyFont="1" applyFill="1" applyBorder="1" applyAlignment="1">
      <alignment horizontal="center" vertical="center" wrapText="1"/>
    </xf>
    <xf numFmtId="0" fontId="22" fillId="8" borderId="1" xfId="53" applyFont="1" applyFill="1" applyBorder="1" applyAlignment="1">
      <alignment horizontal="center" vertical="center" wrapText="1"/>
    </xf>
    <xf numFmtId="0" fontId="92" fillId="2" borderId="20" xfId="53" applyFont="1" applyFill="1" applyBorder="1" applyAlignment="1">
      <alignment vertical="center" wrapText="1"/>
    </xf>
    <xf numFmtId="0" fontId="57" fillId="2" borderId="0" xfId="53" applyFont="1" applyFill="1" applyAlignment="1">
      <alignment vertical="center" wrapText="1"/>
    </xf>
    <xf numFmtId="0" fontId="50" fillId="2" borderId="0" xfId="53" applyFont="1" applyFill="1" applyAlignment="1">
      <alignment horizontal="left" vertical="center" wrapText="1"/>
    </xf>
    <xf numFmtId="0" fontId="22" fillId="2" borderId="35" xfId="53" applyFont="1" applyFill="1" applyBorder="1" applyAlignment="1">
      <alignment horizontal="center" vertical="center" wrapText="1"/>
    </xf>
    <xf numFmtId="0" fontId="92" fillId="2" borderId="16" xfId="53" applyFont="1" applyFill="1" applyBorder="1" applyAlignment="1">
      <alignment vertical="center" wrapText="1"/>
    </xf>
    <xf numFmtId="0" fontId="92" fillId="2" borderId="17" xfId="53" applyFont="1" applyFill="1" applyBorder="1" applyAlignment="1">
      <alignment vertical="center" wrapText="1"/>
    </xf>
    <xf numFmtId="0" fontId="57" fillId="2" borderId="17" xfId="53" applyFont="1" applyFill="1" applyBorder="1" applyAlignment="1">
      <alignment vertical="center" wrapText="1"/>
    </xf>
    <xf numFmtId="0" fontId="52" fillId="2" borderId="69" xfId="53" applyFont="1" applyFill="1" applyBorder="1" applyAlignment="1">
      <alignment horizontal="center" vertical="center" wrapText="1"/>
    </xf>
    <xf numFmtId="0" fontId="57" fillId="2" borderId="56" xfId="53" applyFont="1" applyFill="1" applyBorder="1" applyAlignment="1">
      <alignment vertical="center" wrapText="1"/>
    </xf>
    <xf numFmtId="0" fontId="52" fillId="2" borderId="5" xfId="53" applyFont="1" applyFill="1" applyBorder="1" applyAlignment="1">
      <alignment horizontal="center" vertical="center" wrapText="1"/>
    </xf>
    <xf numFmtId="0" fontId="52" fillId="2" borderId="39" xfId="53" applyFont="1" applyFill="1" applyBorder="1" applyAlignment="1">
      <alignment horizontal="center" vertical="center" wrapText="1"/>
    </xf>
    <xf numFmtId="0" fontId="57" fillId="2" borderId="39" xfId="53" applyFont="1" applyFill="1" applyBorder="1" applyAlignment="1">
      <alignment vertical="center" wrapText="1"/>
    </xf>
    <xf numFmtId="0" fontId="92" fillId="2" borderId="68" xfId="53" applyFont="1" applyFill="1" applyBorder="1" applyAlignment="1">
      <alignment horizontal="center" vertical="center" wrapText="1"/>
    </xf>
    <xf numFmtId="0" fontId="92" fillId="2" borderId="11" xfId="53" applyFont="1" applyFill="1" applyBorder="1" applyAlignment="1">
      <alignment horizontal="left" vertical="center" wrapText="1"/>
    </xf>
    <xf numFmtId="0" fontId="22" fillId="2" borderId="1" xfId="53" applyFont="1" applyFill="1" applyBorder="1" applyAlignment="1">
      <alignment horizontal="center" vertical="center" wrapText="1"/>
    </xf>
    <xf numFmtId="0" fontId="69" fillId="2" borderId="1" xfId="53" applyFont="1" applyFill="1" applyBorder="1" applyAlignment="1">
      <alignment horizontal="center" vertical="center"/>
    </xf>
    <xf numFmtId="0" fontId="122" fillId="2" borderId="10" xfId="53" applyFont="1" applyFill="1" applyBorder="1">
      <alignment vertical="center"/>
    </xf>
    <xf numFmtId="0" fontId="122" fillId="2" borderId="12" xfId="53" applyFont="1" applyFill="1" applyBorder="1">
      <alignment vertical="center"/>
    </xf>
    <xf numFmtId="0" fontId="57" fillId="2" borderId="76" xfId="53" applyFont="1" applyFill="1" applyBorder="1" applyAlignment="1">
      <alignment vertical="center" wrapText="1"/>
    </xf>
    <xf numFmtId="0" fontId="92" fillId="2" borderId="110" xfId="53" applyFont="1" applyFill="1" applyBorder="1" applyAlignment="1">
      <alignment horizontal="left" vertical="center" wrapText="1"/>
    </xf>
    <xf numFmtId="0" fontId="92" fillId="0" borderId="8" xfId="53" applyFont="1" applyBorder="1" applyAlignment="1" applyProtection="1">
      <alignment vertical="center" wrapText="1"/>
      <protection locked="0"/>
    </xf>
    <xf numFmtId="0" fontId="92" fillId="2" borderId="8" xfId="53" applyFont="1" applyFill="1" applyBorder="1">
      <alignment vertical="center"/>
    </xf>
    <xf numFmtId="0" fontId="92" fillId="2" borderId="79" xfId="53" applyFont="1" applyFill="1" applyBorder="1" applyAlignment="1">
      <alignment vertical="center" wrapText="1"/>
    </xf>
    <xf numFmtId="0" fontId="57" fillId="2" borderId="69" xfId="53" applyFont="1" applyFill="1" applyBorder="1" applyAlignment="1">
      <alignment vertical="center" wrapText="1"/>
    </xf>
    <xf numFmtId="0" fontId="57" fillId="2" borderId="71" xfId="53" applyFont="1" applyFill="1" applyBorder="1" applyAlignment="1">
      <alignment horizontal="left" vertical="center" wrapText="1"/>
    </xf>
    <xf numFmtId="0" fontId="92" fillId="2" borderId="78" xfId="53" applyFont="1" applyFill="1" applyBorder="1">
      <alignment vertical="center"/>
    </xf>
    <xf numFmtId="0" fontId="57" fillId="2" borderId="81" xfId="53" applyFont="1" applyFill="1" applyBorder="1" applyAlignment="1">
      <alignment vertical="center" wrapText="1"/>
    </xf>
    <xf numFmtId="0" fontId="52" fillId="2" borderId="11" xfId="53" applyFont="1" applyFill="1" applyBorder="1" applyAlignment="1">
      <alignment horizontal="center" vertical="center" wrapText="1"/>
    </xf>
    <xf numFmtId="0" fontId="52" fillId="2" borderId="1" xfId="53" applyFont="1" applyFill="1" applyBorder="1" applyAlignment="1">
      <alignment horizontal="center" vertical="center" wrapText="1"/>
    </xf>
    <xf numFmtId="0" fontId="52" fillId="2" borderId="3" xfId="53" applyFont="1" applyFill="1" applyBorder="1" applyAlignment="1">
      <alignment horizontal="center" vertical="center" wrapText="1"/>
    </xf>
    <xf numFmtId="0" fontId="133" fillId="2" borderId="9" xfId="0" applyFont="1" applyFill="1" applyBorder="1" applyAlignment="1">
      <alignment vertical="center" wrapText="1"/>
    </xf>
    <xf numFmtId="0" fontId="122" fillId="2" borderId="81" xfId="53" applyFont="1" applyFill="1" applyBorder="1" applyAlignment="1">
      <alignment horizontal="center" vertical="center" wrapText="1"/>
    </xf>
    <xf numFmtId="0" fontId="19" fillId="0" borderId="1" xfId="53" applyFont="1" applyBorder="1" applyAlignment="1" applyProtection="1">
      <alignment vertical="center" wrapText="1"/>
      <protection locked="0"/>
    </xf>
    <xf numFmtId="0" fontId="133" fillId="2" borderId="35" xfId="0" applyFont="1" applyFill="1" applyBorder="1" applyAlignment="1">
      <alignment vertical="center" wrapText="1"/>
    </xf>
    <xf numFmtId="0" fontId="133" fillId="2" borderId="3" xfId="0" applyFont="1" applyFill="1" applyBorder="1" applyAlignment="1">
      <alignment vertical="center" wrapText="1"/>
    </xf>
    <xf numFmtId="0" fontId="57" fillId="2" borderId="68" xfId="53" applyFont="1" applyFill="1" applyBorder="1" applyAlignment="1">
      <alignment vertical="center" wrapText="1"/>
    </xf>
    <xf numFmtId="0" fontId="122" fillId="2" borderId="110" xfId="53" applyFont="1" applyFill="1" applyBorder="1" applyAlignment="1">
      <alignment horizontal="center" vertical="center" wrapText="1"/>
    </xf>
    <xf numFmtId="0" fontId="19" fillId="0" borderId="8" xfId="53" applyFont="1" applyBorder="1" applyAlignment="1" applyProtection="1">
      <alignment vertical="center" wrapText="1"/>
      <protection locked="0"/>
    </xf>
    <xf numFmtId="0" fontId="22" fillId="2" borderId="8" xfId="53" applyFont="1" applyFill="1" applyBorder="1" applyAlignment="1">
      <alignment horizontal="center" vertical="center" wrapText="1"/>
    </xf>
    <xf numFmtId="0" fontId="92" fillId="6" borderId="0" xfId="53" applyFont="1" applyFill="1" applyAlignment="1" applyProtection="1">
      <alignment vertical="center" wrapText="1"/>
      <protection locked="0"/>
    </xf>
    <xf numFmtId="0" fontId="3" fillId="2" borderId="1" xfId="0" applyFont="1" applyFill="1" applyBorder="1" applyAlignment="1">
      <alignment vertical="center" wrapText="1"/>
    </xf>
    <xf numFmtId="0" fontId="19" fillId="2" borderId="1" xfId="0" applyFont="1" applyFill="1" applyBorder="1" applyAlignment="1">
      <alignment horizontal="center" vertical="center" wrapText="1"/>
    </xf>
    <xf numFmtId="180" fontId="69" fillId="2" borderId="1" xfId="0" applyNumberFormat="1" applyFont="1" applyFill="1" applyBorder="1" applyAlignment="1">
      <alignment horizontal="center" vertical="center" wrapText="1"/>
    </xf>
    <xf numFmtId="0" fontId="19" fillId="0" borderId="1" xfId="0" applyFont="1" applyBorder="1" applyAlignment="1" applyProtection="1">
      <alignment horizontal="center" vertical="center" wrapText="1"/>
      <protection locked="0"/>
    </xf>
    <xf numFmtId="0" fontId="92" fillId="6" borderId="0" xfId="53" applyFont="1" applyFill="1" applyAlignment="1" applyProtection="1">
      <alignment horizontal="left" vertical="center" wrapText="1"/>
      <protection locked="0"/>
    </xf>
    <xf numFmtId="0" fontId="7" fillId="2" borderId="0" xfId="53" applyFont="1" applyFill="1">
      <alignment vertical="center"/>
    </xf>
    <xf numFmtId="0" fontId="0" fillId="2" borderId="0" xfId="53" applyFill="1" applyAlignment="1">
      <alignment horizontal="center" vertical="center" wrapText="1"/>
    </xf>
    <xf numFmtId="0" fontId="83" fillId="2" borderId="0" xfId="53" applyFont="1" applyFill="1">
      <alignment vertical="center"/>
    </xf>
    <xf numFmtId="0" fontId="49" fillId="2" borderId="0" xfId="53" applyFont="1" applyFill="1">
      <alignment vertical="center"/>
    </xf>
    <xf numFmtId="0" fontId="49" fillId="2" borderId="0" xfId="53" applyFont="1" applyFill="1" applyAlignment="1">
      <alignment horizontal="center" vertical="center"/>
    </xf>
    <xf numFmtId="0" fontId="7" fillId="2" borderId="59" xfId="53" applyFont="1" applyFill="1" applyBorder="1">
      <alignment vertical="center"/>
    </xf>
    <xf numFmtId="0" fontId="6" fillId="2" borderId="55" xfId="53" applyFont="1" applyFill="1" applyBorder="1" applyAlignment="1">
      <alignment horizontal="center" vertical="center" wrapText="1"/>
    </xf>
    <xf numFmtId="0" fontId="83" fillId="2" borderId="55" xfId="53" applyFont="1" applyFill="1" applyBorder="1">
      <alignment vertical="center"/>
    </xf>
    <xf numFmtId="0" fontId="134" fillId="2" borderId="78" xfId="53" applyFont="1" applyFill="1" applyBorder="1">
      <alignment vertical="center"/>
    </xf>
    <xf numFmtId="0" fontId="134" fillId="2" borderId="44" xfId="53" applyFont="1" applyFill="1" applyBorder="1" applyAlignment="1">
      <alignment horizontal="center" vertical="center"/>
    </xf>
    <xf numFmtId="0" fontId="135" fillId="2" borderId="1" xfId="53" applyFont="1" applyFill="1" applyBorder="1" applyAlignment="1">
      <alignment horizontal="center" vertical="center" wrapText="1"/>
    </xf>
    <xf numFmtId="0" fontId="69" fillId="2" borderId="1" xfId="53" applyFont="1" applyFill="1" applyBorder="1" applyAlignment="1">
      <alignment horizontal="center" vertical="center" wrapText="1"/>
    </xf>
    <xf numFmtId="0" fontId="19" fillId="2" borderId="14" xfId="53" applyFont="1" applyFill="1" applyBorder="1" applyAlignment="1">
      <alignment horizontal="center" vertical="center" wrapText="1"/>
    </xf>
    <xf numFmtId="0" fontId="15" fillId="2" borderId="20" xfId="0" applyFont="1" applyFill="1" applyBorder="1" applyAlignment="1">
      <alignment horizontal="center" vertical="center" wrapText="1"/>
    </xf>
    <xf numFmtId="0" fontId="15" fillId="2" borderId="1" xfId="0" applyFont="1" applyFill="1" applyBorder="1" applyAlignment="1">
      <alignment horizontal="center" vertical="center" wrapText="1"/>
    </xf>
    <xf numFmtId="49" fontId="1" fillId="2" borderId="1" xfId="53" applyNumberFormat="1" applyFont="1" applyFill="1" applyBorder="1" applyAlignment="1">
      <alignment horizontal="center" vertical="center" wrapText="1"/>
    </xf>
    <xf numFmtId="0" fontId="135" fillId="3" borderId="1" xfId="53" applyFont="1" applyFill="1" applyBorder="1" applyAlignment="1" applyProtection="1">
      <alignment horizontal="center" vertical="center" wrapText="1"/>
      <protection locked="0"/>
    </xf>
    <xf numFmtId="10" fontId="69" fillId="2" borderId="1" xfId="53" applyNumberFormat="1" applyFont="1" applyFill="1" applyBorder="1" applyAlignment="1">
      <alignment horizontal="center" vertical="center" wrapText="1"/>
    </xf>
    <xf numFmtId="10" fontId="19" fillId="2" borderId="57" xfId="53" applyNumberFormat="1" applyFont="1" applyFill="1" applyBorder="1" applyAlignment="1">
      <alignment horizontal="center" vertical="center" wrapText="1"/>
    </xf>
    <xf numFmtId="10" fontId="3" fillId="2" borderId="0" xfId="53" applyNumberFormat="1" applyFont="1" applyFill="1" applyAlignment="1">
      <alignment horizontal="center" vertical="center" wrapText="1"/>
    </xf>
    <xf numFmtId="10" fontId="49" fillId="0" borderId="1" xfId="53" applyNumberFormat="1" applyFont="1" applyBorder="1" applyAlignment="1" applyProtection="1">
      <alignment horizontal="center" vertical="center"/>
      <protection locked="0"/>
    </xf>
    <xf numFmtId="10" fontId="49" fillId="2" borderId="1" xfId="53" applyNumberFormat="1" applyFont="1" applyFill="1" applyBorder="1" applyAlignment="1">
      <alignment horizontal="center" vertical="center"/>
    </xf>
    <xf numFmtId="10" fontId="19" fillId="2" borderId="73" xfId="53" applyNumberFormat="1" applyFont="1" applyFill="1" applyBorder="1" applyAlignment="1">
      <alignment vertical="center" wrapText="1"/>
    </xf>
    <xf numFmtId="0" fontId="136" fillId="0" borderId="1" xfId="0" applyFont="1" applyBorder="1" applyAlignment="1" applyProtection="1">
      <alignment horizontal="center" vertical="center" wrapText="1"/>
      <protection locked="0"/>
    </xf>
    <xf numFmtId="0" fontId="136" fillId="0" borderId="9" xfId="0" applyFont="1" applyBorder="1" applyAlignment="1" applyProtection="1">
      <alignment horizontal="center" vertical="center" wrapText="1"/>
      <protection locked="0"/>
    </xf>
    <xf numFmtId="0" fontId="1" fillId="2" borderId="64" xfId="53" applyFont="1" applyFill="1" applyBorder="1" applyAlignment="1">
      <alignment horizontal="center" vertical="center" wrapText="1"/>
    </xf>
    <xf numFmtId="0" fontId="1" fillId="2" borderId="7" xfId="53" applyFont="1" applyFill="1" applyBorder="1" applyAlignment="1">
      <alignment horizontal="center" vertical="center" wrapText="1"/>
    </xf>
    <xf numFmtId="49" fontId="1" fillId="2" borderId="80" xfId="53" applyNumberFormat="1" applyFont="1" applyFill="1" applyBorder="1" applyAlignment="1">
      <alignment horizontal="center" vertical="center" wrapText="1"/>
    </xf>
    <xf numFmtId="10" fontId="19" fillId="2" borderId="86" xfId="53" applyNumberFormat="1" applyFont="1" applyFill="1" applyBorder="1" applyAlignment="1">
      <alignment vertical="center" wrapText="1"/>
    </xf>
    <xf numFmtId="0" fontId="137" fillId="2" borderId="78" xfId="53" applyFont="1" applyFill="1" applyBorder="1">
      <alignment vertical="center"/>
    </xf>
    <xf numFmtId="187" fontId="49" fillId="2" borderId="1" xfId="53" applyNumberFormat="1" applyFont="1" applyFill="1" applyBorder="1" applyAlignment="1">
      <alignment horizontal="center" vertical="center"/>
    </xf>
    <xf numFmtId="0" fontId="92" fillId="2" borderId="0" xfId="53" applyFont="1" applyFill="1" applyAlignment="1" applyProtection="1">
      <alignment vertical="center" wrapText="1"/>
      <protection locked="0"/>
    </xf>
    <xf numFmtId="0" fontId="49" fillId="2" borderId="4" xfId="0" applyFont="1" applyFill="1" applyBorder="1" applyAlignment="1">
      <alignment horizontal="center" vertical="center"/>
    </xf>
    <xf numFmtId="0" fontId="49" fillId="2" borderId="39" xfId="0" applyFont="1" applyFill="1" applyBorder="1">
      <alignment vertical="center"/>
    </xf>
    <xf numFmtId="10" fontId="19" fillId="2" borderId="13" xfId="53" applyNumberFormat="1" applyFont="1" applyFill="1" applyBorder="1" applyAlignment="1">
      <alignment vertical="center" wrapText="1"/>
    </xf>
    <xf numFmtId="0" fontId="49" fillId="2" borderId="6" xfId="0" applyFont="1" applyFill="1" applyBorder="1" applyAlignment="1">
      <alignment horizontal="center" vertical="center"/>
    </xf>
    <xf numFmtId="0" fontId="49" fillId="2" borderId="10" xfId="0" applyFont="1" applyFill="1" applyBorder="1">
      <alignment vertical="center"/>
    </xf>
    <xf numFmtId="10" fontId="19" fillId="2" borderId="14" xfId="53" applyNumberFormat="1" applyFont="1" applyFill="1" applyBorder="1" applyAlignment="1">
      <alignment vertical="center" wrapText="1"/>
    </xf>
    <xf numFmtId="176" fontId="34" fillId="0" borderId="1" xfId="53" applyNumberFormat="1" applyFont="1" applyBorder="1" applyAlignment="1" applyProtection="1">
      <alignment horizontal="center" vertical="center" wrapText="1"/>
      <protection locked="0"/>
    </xf>
    <xf numFmtId="0" fontId="51" fillId="2" borderId="11" xfId="53" applyFont="1" applyFill="1" applyBorder="1" applyAlignment="1">
      <alignment vertical="center" wrapText="1"/>
    </xf>
    <xf numFmtId="0" fontId="51" fillId="2" borderId="0" xfId="53" applyFont="1" applyFill="1" applyAlignment="1" applyProtection="1">
      <alignment vertical="center" wrapText="1"/>
      <protection locked="0"/>
    </xf>
    <xf numFmtId="0" fontId="50" fillId="2" borderId="58" xfId="53" applyFont="1" applyFill="1" applyBorder="1" applyAlignment="1">
      <alignment vertical="center" wrapText="1"/>
    </xf>
    <xf numFmtId="0" fontId="50" fillId="2" borderId="0" xfId="53" applyFont="1" applyFill="1" applyAlignment="1" applyProtection="1">
      <alignment vertical="center" wrapText="1"/>
      <protection locked="0"/>
    </xf>
    <xf numFmtId="0" fontId="50" fillId="2" borderId="0" xfId="53" applyFont="1" applyFill="1" applyProtection="1">
      <alignment vertical="center"/>
      <protection locked="0"/>
    </xf>
    <xf numFmtId="0" fontId="92" fillId="2" borderId="100" xfId="53" applyFont="1" applyFill="1" applyBorder="1" applyAlignment="1">
      <alignment vertical="center" wrapText="1"/>
    </xf>
    <xf numFmtId="0" fontId="92" fillId="2" borderId="0" xfId="53" applyFont="1" applyFill="1" applyProtection="1">
      <alignment vertical="center"/>
      <protection locked="0"/>
    </xf>
    <xf numFmtId="0" fontId="92" fillId="2" borderId="45" xfId="53" applyFont="1" applyFill="1" applyBorder="1" applyAlignment="1">
      <alignment vertical="center" wrapText="1"/>
    </xf>
    <xf numFmtId="0" fontId="92" fillId="2" borderId="46" xfId="53" applyFont="1" applyFill="1" applyBorder="1" applyAlignment="1">
      <alignment vertical="center" wrapText="1"/>
    </xf>
    <xf numFmtId="0" fontId="92" fillId="2" borderId="47" xfId="53" applyFont="1" applyFill="1" applyBorder="1" applyAlignment="1">
      <alignment vertical="center" wrapText="1"/>
    </xf>
    <xf numFmtId="0" fontId="92" fillId="2" borderId="44" xfId="53" applyFont="1" applyFill="1" applyBorder="1" applyAlignment="1">
      <alignment vertical="center" wrapText="1"/>
    </xf>
    <xf numFmtId="0" fontId="49" fillId="2" borderId="7" xfId="0" applyFont="1" applyFill="1" applyBorder="1" applyAlignment="1">
      <alignment horizontal="center" vertical="center"/>
    </xf>
    <xf numFmtId="0" fontId="49" fillId="2" borderId="42" xfId="0" applyFont="1" applyFill="1" applyBorder="1">
      <alignment vertical="center"/>
    </xf>
    <xf numFmtId="10" fontId="19" fillId="2" borderId="15" xfId="53" applyNumberFormat="1" applyFont="1" applyFill="1" applyBorder="1" applyAlignment="1">
      <alignment vertical="center" wrapText="1"/>
    </xf>
    <xf numFmtId="0" fontId="92" fillId="0" borderId="14" xfId="53" applyFont="1" applyBorder="1" applyAlignment="1" applyProtection="1">
      <alignment horizontal="center" vertical="center" wrapText="1"/>
      <protection locked="0"/>
    </xf>
    <xf numFmtId="0" fontId="92" fillId="2" borderId="0" xfId="53" applyFont="1" applyFill="1" applyAlignment="1" applyProtection="1">
      <alignment horizontal="center" vertical="center" wrapText="1"/>
      <protection locked="0"/>
    </xf>
    <xf numFmtId="0" fontId="130" fillId="2" borderId="89" xfId="53" applyFont="1" applyFill="1" applyBorder="1">
      <alignment vertical="center"/>
    </xf>
    <xf numFmtId="0" fontId="130" fillId="2" borderId="66" xfId="53" applyFont="1" applyFill="1" applyBorder="1">
      <alignment vertical="center"/>
    </xf>
    <xf numFmtId="0" fontId="130" fillId="2" borderId="0" xfId="53" applyFont="1" applyFill="1" applyProtection="1">
      <alignment vertical="center"/>
      <protection locked="0"/>
    </xf>
    <xf numFmtId="0" fontId="19" fillId="0" borderId="57" xfId="53" applyFont="1" applyBorder="1" applyAlignment="1" applyProtection="1">
      <alignment horizontal="center" vertical="center" wrapText="1"/>
      <protection locked="0"/>
    </xf>
    <xf numFmtId="0" fontId="19" fillId="2" borderId="0" xfId="53" applyFont="1" applyFill="1" applyAlignment="1" applyProtection="1">
      <alignment horizontal="center" vertical="center" wrapText="1"/>
      <protection locked="0"/>
    </xf>
    <xf numFmtId="0" fontId="92" fillId="3" borderId="13" xfId="53" applyFont="1" applyFill="1" applyBorder="1" applyAlignment="1" applyProtection="1">
      <alignment horizontal="center" vertical="center" wrapText="1"/>
      <protection locked="0"/>
    </xf>
    <xf numFmtId="0" fontId="19" fillId="2" borderId="15" xfId="53" applyFont="1" applyFill="1" applyBorder="1" applyAlignment="1">
      <alignment horizontal="center" vertical="center" wrapText="1"/>
    </xf>
    <xf numFmtId="0" fontId="50" fillId="2" borderId="48" xfId="53" applyFont="1" applyFill="1" applyBorder="1" applyAlignment="1">
      <alignment vertical="center" wrapText="1"/>
    </xf>
    <xf numFmtId="10" fontId="34" fillId="2" borderId="103" xfId="53" applyNumberFormat="1" applyFont="1" applyFill="1" applyBorder="1" applyAlignment="1">
      <alignment horizontal="center" vertical="center" wrapText="1"/>
    </xf>
    <xf numFmtId="0" fontId="50" fillId="2" borderId="100" xfId="53" applyFont="1" applyFill="1" applyBorder="1" applyAlignment="1">
      <alignment vertical="center" wrapText="1"/>
    </xf>
    <xf numFmtId="0" fontId="132" fillId="2" borderId="4" xfId="0" applyFont="1" applyFill="1" applyBorder="1" applyAlignment="1">
      <alignment vertical="center" wrapText="1"/>
    </xf>
    <xf numFmtId="0" fontId="48" fillId="2" borderId="13" xfId="0" applyFont="1" applyFill="1" applyBorder="1" applyAlignment="1">
      <alignment horizontal="center" vertical="center" wrapText="1"/>
    </xf>
    <xf numFmtId="0" fontId="92" fillId="2" borderId="19" xfId="53" applyFont="1" applyFill="1" applyBorder="1" applyAlignment="1">
      <alignment horizontal="center" vertical="center" wrapText="1"/>
    </xf>
    <xf numFmtId="0" fontId="69" fillId="2" borderId="70" xfId="53" applyFont="1" applyFill="1" applyBorder="1" applyAlignment="1">
      <alignment horizontal="center" vertical="center" wrapText="1"/>
    </xf>
    <xf numFmtId="0" fontId="19" fillId="2" borderId="16" xfId="53" applyFont="1" applyFill="1" applyBorder="1" applyAlignment="1">
      <alignment horizontal="center" vertical="center" wrapText="1"/>
    </xf>
    <xf numFmtId="0" fontId="19" fillId="2" borderId="86" xfId="53" applyFont="1" applyFill="1" applyBorder="1" applyAlignment="1">
      <alignment horizontal="center" vertical="center" wrapText="1"/>
    </xf>
    <xf numFmtId="0" fontId="132" fillId="2" borderId="7" xfId="0" applyFont="1" applyFill="1" applyBorder="1" applyAlignment="1">
      <alignment vertical="center" wrapText="1"/>
    </xf>
    <xf numFmtId="0" fontId="48" fillId="2" borderId="42" xfId="0" applyFont="1" applyFill="1" applyBorder="1" applyAlignment="1">
      <alignment horizontal="center" vertical="center" wrapText="1"/>
    </xf>
    <xf numFmtId="0" fontId="96" fillId="2" borderId="19" xfId="53" applyFont="1" applyFill="1" applyBorder="1" applyAlignment="1" applyProtection="1">
      <alignment horizontal="center" vertical="center" wrapText="1"/>
      <protection locked="0"/>
    </xf>
    <xf numFmtId="0" fontId="96" fillId="2" borderId="5" xfId="53" applyFont="1" applyFill="1" applyBorder="1" applyAlignment="1" applyProtection="1">
      <alignment vertical="center" wrapText="1"/>
      <protection locked="0"/>
    </xf>
    <xf numFmtId="0" fontId="96" fillId="2" borderId="45" xfId="53" applyFont="1" applyFill="1" applyBorder="1" applyProtection="1">
      <alignment vertical="center"/>
      <protection locked="0"/>
    </xf>
    <xf numFmtId="0" fontId="50" fillId="2" borderId="3" xfId="53" applyFont="1" applyFill="1" applyBorder="1" applyAlignment="1">
      <alignment vertical="center" wrapText="1"/>
    </xf>
    <xf numFmtId="0" fontId="50" fillId="2" borderId="6" xfId="53" applyFont="1" applyFill="1" applyBorder="1" applyAlignment="1">
      <alignment horizontal="center" vertical="center" wrapText="1"/>
    </xf>
    <xf numFmtId="10" fontId="34" fillId="0" borderId="11" xfId="53" applyNumberFormat="1" applyFont="1" applyBorder="1" applyAlignment="1" applyProtection="1">
      <alignment horizontal="center" vertical="center" wrapText="1"/>
      <protection locked="0"/>
    </xf>
    <xf numFmtId="10" fontId="19" fillId="2" borderId="14" xfId="53" applyNumberFormat="1" applyFont="1" applyFill="1" applyBorder="1" applyAlignment="1">
      <alignment horizontal="center" vertical="center" wrapText="1"/>
    </xf>
    <xf numFmtId="0" fontId="34" fillId="2" borderId="0" xfId="53" applyFont="1" applyFill="1" applyAlignment="1" applyProtection="1">
      <alignment horizontal="center" vertical="center" wrapText="1"/>
      <protection locked="0"/>
    </xf>
    <xf numFmtId="0" fontId="34" fillId="2" borderId="1" xfId="53" applyFont="1" applyFill="1" applyBorder="1" applyAlignment="1">
      <alignment vertical="center" wrapText="1"/>
    </xf>
    <xf numFmtId="0" fontId="34" fillId="2" borderId="0" xfId="53" applyFont="1" applyFill="1" applyAlignment="1" applyProtection="1">
      <alignment vertical="center" wrapText="1"/>
      <protection locked="0"/>
    </xf>
    <xf numFmtId="10" fontId="34" fillId="0" borderId="1" xfId="53" applyNumberFormat="1" applyFont="1" applyBorder="1" applyAlignment="1" applyProtection="1">
      <alignment horizontal="center" vertical="center" wrapText="1"/>
      <protection locked="0"/>
    </xf>
    <xf numFmtId="0" fontId="96" fillId="2" borderId="7" xfId="53" applyFont="1" applyFill="1" applyBorder="1" applyAlignment="1" applyProtection="1">
      <alignment horizontal="center" vertical="center" wrapText="1"/>
      <protection locked="0"/>
    </xf>
    <xf numFmtId="0" fontId="34" fillId="2" borderId="8" xfId="53" applyFont="1" applyFill="1" applyBorder="1" applyAlignment="1" applyProtection="1">
      <alignment vertical="center" wrapText="1"/>
      <protection locked="0"/>
    </xf>
    <xf numFmtId="10" fontId="19" fillId="2" borderId="86" xfId="53" applyNumberFormat="1" applyFont="1" applyFill="1" applyBorder="1" applyAlignment="1">
      <alignment horizontal="center" vertical="center" wrapText="1"/>
    </xf>
    <xf numFmtId="0" fontId="92" fillId="2" borderId="48" xfId="53" applyFont="1" applyFill="1" applyBorder="1" applyAlignment="1">
      <alignment vertical="center" wrapText="1"/>
    </xf>
    <xf numFmtId="0" fontId="92" fillId="2" borderId="4" xfId="53" applyFont="1" applyFill="1" applyBorder="1" applyAlignment="1">
      <alignment horizontal="center" vertical="center" wrapText="1"/>
    </xf>
    <xf numFmtId="0" fontId="92" fillId="2" borderId="13" xfId="53" applyFont="1" applyFill="1" applyBorder="1" applyAlignment="1">
      <alignment horizontal="center" vertical="center" wrapText="1"/>
    </xf>
    <xf numFmtId="0" fontId="92" fillId="2" borderId="67" xfId="53" applyFont="1" applyFill="1" applyBorder="1" applyAlignment="1">
      <alignment vertical="center" wrapText="1"/>
    </xf>
    <xf numFmtId="0" fontId="92" fillId="2" borderId="6" xfId="53" applyFont="1" applyFill="1" applyBorder="1" applyAlignment="1">
      <alignment horizontal="center" vertical="center" wrapText="1"/>
    </xf>
    <xf numFmtId="9" fontId="19" fillId="2" borderId="14" xfId="53" applyNumberFormat="1" applyFont="1" applyFill="1" applyBorder="1" applyAlignment="1">
      <alignment horizontal="center" vertical="center" wrapText="1"/>
    </xf>
    <xf numFmtId="9" fontId="92" fillId="2" borderId="7" xfId="53" applyNumberFormat="1" applyFont="1" applyFill="1" applyBorder="1" applyAlignment="1">
      <alignment horizontal="center" vertical="center" wrapText="1"/>
    </xf>
    <xf numFmtId="10" fontId="19" fillId="2" borderId="8" xfId="53" applyNumberFormat="1" applyFont="1" applyFill="1" applyBorder="1" applyAlignment="1">
      <alignment horizontal="center" vertical="center" wrapText="1"/>
    </xf>
    <xf numFmtId="10" fontId="19" fillId="2" borderId="15" xfId="53" applyNumberFormat="1" applyFont="1" applyFill="1" applyBorder="1" applyAlignment="1">
      <alignment horizontal="center" vertical="center" wrapText="1"/>
    </xf>
    <xf numFmtId="0" fontId="122" fillId="2" borderId="46" xfId="53" applyFont="1" applyFill="1" applyBorder="1">
      <alignment vertical="center"/>
    </xf>
    <xf numFmtId="0" fontId="122" fillId="2" borderId="0" xfId="53" applyFont="1" applyFill="1" applyProtection="1">
      <alignment vertical="center"/>
      <protection locked="0"/>
    </xf>
    <xf numFmtId="0" fontId="92" fillId="2" borderId="53" xfId="53" applyFont="1" applyFill="1" applyBorder="1" applyAlignment="1">
      <alignment vertical="center" wrapText="1"/>
    </xf>
    <xf numFmtId="0" fontId="92" fillId="2" borderId="56" xfId="53" applyFont="1" applyFill="1" applyBorder="1">
      <alignment vertical="center"/>
    </xf>
    <xf numFmtId="0" fontId="92" fillId="2" borderId="72" xfId="53" applyFont="1" applyFill="1" applyBorder="1">
      <alignment vertical="center"/>
    </xf>
    <xf numFmtId="0" fontId="92" fillId="2" borderId="48" xfId="53" applyFont="1" applyFill="1" applyBorder="1" applyAlignment="1">
      <alignment horizontal="center" vertical="center" wrapText="1"/>
    </xf>
    <xf numFmtId="0" fontId="19" fillId="2" borderId="19" xfId="53" applyFont="1" applyFill="1" applyBorder="1">
      <alignment vertical="center"/>
    </xf>
    <xf numFmtId="0" fontId="19" fillId="2" borderId="45" xfId="53" applyFont="1" applyFill="1" applyBorder="1" applyAlignment="1">
      <alignment vertical="center" wrapText="1"/>
    </xf>
    <xf numFmtId="0" fontId="19" fillId="2" borderId="6" xfId="53" applyFont="1" applyFill="1" applyBorder="1">
      <alignment vertical="center"/>
    </xf>
    <xf numFmtId="9" fontId="19" fillId="2" borderId="14" xfId="53" applyNumberFormat="1" applyFont="1" applyFill="1" applyBorder="1" applyAlignment="1">
      <alignment horizontal="center" vertical="center"/>
    </xf>
    <xf numFmtId="0" fontId="92" fillId="2" borderId="67" xfId="53" applyFont="1" applyFill="1" applyBorder="1" applyAlignment="1">
      <alignment horizontal="center" vertical="center" wrapText="1"/>
    </xf>
    <xf numFmtId="0" fontId="19" fillId="2" borderId="7" xfId="53" applyFont="1" applyFill="1" applyBorder="1" applyAlignment="1">
      <alignment vertical="center" wrapText="1"/>
    </xf>
    <xf numFmtId="9" fontId="19" fillId="2" borderId="15" xfId="53" applyNumberFormat="1" applyFont="1" applyFill="1" applyBorder="1" applyAlignment="1">
      <alignment horizontal="center" vertical="center" wrapText="1"/>
    </xf>
    <xf numFmtId="0" fontId="30" fillId="2" borderId="1" xfId="53" applyFont="1" applyFill="1" applyBorder="1" applyAlignment="1">
      <alignment horizontal="center" vertical="center" wrapText="1"/>
    </xf>
    <xf numFmtId="9" fontId="69" fillId="2" borderId="1" xfId="53" applyNumberFormat="1" applyFont="1" applyFill="1" applyBorder="1" applyAlignment="1">
      <alignment horizontal="center" vertical="center" wrapText="1"/>
    </xf>
    <xf numFmtId="10" fontId="34" fillId="2" borderId="1" xfId="53" applyNumberFormat="1" applyFont="1" applyFill="1" applyBorder="1" applyAlignment="1">
      <alignment horizontal="center" vertical="center" wrapText="1"/>
    </xf>
    <xf numFmtId="9" fontId="69" fillId="2" borderId="8" xfId="53" applyNumberFormat="1" applyFont="1" applyFill="1" applyBorder="1" applyAlignment="1">
      <alignment horizontal="center" vertical="center" wrapText="1"/>
    </xf>
    <xf numFmtId="0" fontId="102" fillId="2" borderId="1" xfId="53" applyFont="1" applyFill="1" applyBorder="1" applyAlignment="1">
      <alignment horizontal="center" vertical="center" wrapText="1"/>
    </xf>
    <xf numFmtId="0" fontId="48" fillId="2" borderId="1" xfId="53" applyFont="1" applyFill="1" applyBorder="1" applyAlignment="1">
      <alignment horizontal="center" vertical="center" wrapText="1"/>
    </xf>
    <xf numFmtId="0" fontId="48" fillId="0" borderId="1" xfId="53" applyFont="1" applyBorder="1" applyAlignment="1" applyProtection="1">
      <alignment horizontal="center" vertical="center" wrapText="1"/>
      <protection locked="0"/>
    </xf>
    <xf numFmtId="0" fontId="19" fillId="2" borderId="11" xfId="53" applyFont="1" applyFill="1" applyBorder="1" applyAlignment="1" applyProtection="1">
      <alignment horizontal="center" vertical="center" wrapText="1"/>
      <protection locked="0"/>
    </xf>
    <xf numFmtId="0" fontId="19" fillId="2" borderId="1" xfId="53" applyFont="1" applyFill="1" applyBorder="1" applyAlignment="1" applyProtection="1">
      <alignment horizontal="center" vertical="center" wrapText="1"/>
      <protection locked="0"/>
    </xf>
    <xf numFmtId="0" fontId="92" fillId="2" borderId="12" xfId="53" applyFont="1" applyFill="1" applyBorder="1" applyAlignment="1" applyProtection="1">
      <alignment horizontal="right" vertical="center" wrapText="1"/>
      <protection locked="0"/>
    </xf>
    <xf numFmtId="0" fontId="19" fillId="2" borderId="11" xfId="53" applyFont="1" applyFill="1" applyBorder="1" applyAlignment="1" applyProtection="1">
      <alignment horizontal="right" vertical="center" wrapText="1"/>
      <protection locked="0"/>
    </xf>
    <xf numFmtId="181" fontId="69" fillId="2" borderId="1" xfId="53" applyNumberFormat="1" applyFont="1" applyFill="1" applyBorder="1" applyAlignment="1">
      <alignment horizontal="center" vertical="center"/>
    </xf>
    <xf numFmtId="0" fontId="69" fillId="2" borderId="1" xfId="53" applyFont="1" applyFill="1" applyBorder="1" applyAlignment="1">
      <alignment vertical="center" wrapText="1"/>
    </xf>
    <xf numFmtId="0" fontId="19" fillId="2" borderId="0" xfId="53" applyFont="1" applyFill="1" applyAlignment="1" applyProtection="1">
      <alignment vertical="center" wrapText="1"/>
      <protection locked="0"/>
    </xf>
    <xf numFmtId="10" fontId="19" fillId="2" borderId="0" xfId="53" applyNumberFormat="1" applyFont="1" applyFill="1" applyAlignment="1" applyProtection="1">
      <alignment horizontal="center" vertical="center" wrapText="1"/>
      <protection locked="0"/>
    </xf>
    <xf numFmtId="0" fontId="92" fillId="6" borderId="0" xfId="53" applyFont="1" applyFill="1" applyAlignment="1" applyProtection="1">
      <alignment horizontal="center" vertical="center" wrapText="1"/>
      <protection locked="0"/>
    </xf>
    <xf numFmtId="0" fontId="50" fillId="2" borderId="0" xfId="53" applyFont="1" applyFill="1" applyAlignment="1" applyProtection="1">
      <alignment horizontal="center" vertical="center" wrapText="1"/>
      <protection locked="0"/>
    </xf>
    <xf numFmtId="0" fontId="50" fillId="6" borderId="0" xfId="53" applyFont="1" applyFill="1" applyAlignment="1">
      <alignment horizontal="center" vertical="center" wrapText="1"/>
    </xf>
    <xf numFmtId="178" fontId="19" fillId="2" borderId="1" xfId="53" applyNumberFormat="1" applyFont="1" applyFill="1" applyBorder="1" applyAlignment="1" applyProtection="1">
      <alignment horizontal="center" vertical="center" wrapText="1"/>
      <protection locked="0"/>
    </xf>
    <xf numFmtId="0" fontId="19" fillId="6" borderId="0" xfId="53" applyFont="1" applyFill="1" applyAlignment="1">
      <alignment horizontal="center" vertical="center" wrapText="1"/>
    </xf>
    <xf numFmtId="176" fontId="84" fillId="0" borderId="1" xfId="53" applyNumberFormat="1" applyFont="1" applyBorder="1" applyAlignment="1" applyProtection="1">
      <alignment horizontal="center" vertical="center"/>
      <protection locked="0"/>
    </xf>
    <xf numFmtId="176" fontId="84" fillId="2" borderId="1" xfId="53" applyNumberFormat="1" applyFont="1" applyFill="1" applyBorder="1" applyAlignment="1">
      <alignment horizontal="center" vertical="center"/>
    </xf>
    <xf numFmtId="189" fontId="84" fillId="2" borderId="1" xfId="53" applyNumberFormat="1" applyFont="1" applyFill="1" applyBorder="1" applyAlignment="1">
      <alignment horizontal="center" vertical="center" wrapText="1"/>
    </xf>
    <xf numFmtId="0" fontId="50" fillId="6" borderId="0" xfId="53" applyFont="1" applyFill="1" applyAlignment="1">
      <alignment vertical="center" wrapText="1"/>
    </xf>
    <xf numFmtId="10" fontId="92" fillId="6" borderId="0" xfId="53" applyNumberFormat="1" applyFont="1" applyFill="1" applyAlignment="1">
      <alignment horizontal="center" vertical="center" wrapText="1"/>
    </xf>
    <xf numFmtId="10" fontId="92" fillId="0" borderId="0" xfId="53" applyNumberFormat="1" applyFont="1" applyAlignment="1">
      <alignment horizontal="center" vertical="center" wrapText="1"/>
    </xf>
    <xf numFmtId="0" fontId="50" fillId="0" borderId="0" xfId="53" applyFont="1" applyAlignment="1">
      <alignment horizontal="center" vertical="center" wrapText="1"/>
    </xf>
    <xf numFmtId="0" fontId="19" fillId="0" borderId="0" xfId="53" applyFont="1" applyAlignment="1">
      <alignment horizontal="center" vertical="center" wrapText="1"/>
    </xf>
    <xf numFmtId="49" fontId="1" fillId="2" borderId="8" xfId="53" applyNumberFormat="1" applyFont="1" applyFill="1" applyBorder="1" applyAlignment="1">
      <alignment horizontal="center" vertical="center" wrapText="1"/>
    </xf>
    <xf numFmtId="0" fontId="135" fillId="3" borderId="1" xfId="0" applyFont="1" applyFill="1" applyBorder="1" applyAlignment="1" applyProtection="1">
      <alignment horizontal="center" vertical="center" wrapText="1"/>
      <protection locked="0"/>
    </xf>
    <xf numFmtId="10" fontId="49" fillId="0" borderId="1" xfId="0" applyNumberFormat="1" applyFont="1" applyBorder="1" applyAlignment="1" applyProtection="1">
      <alignment horizontal="center" vertical="center"/>
      <protection locked="0"/>
    </xf>
    <xf numFmtId="10" fontId="49" fillId="2" borderId="1" xfId="0" applyNumberFormat="1" applyFont="1" applyFill="1" applyBorder="1" applyAlignment="1">
      <alignment horizontal="center" vertical="center"/>
    </xf>
    <xf numFmtId="10" fontId="19" fillId="2" borderId="73" xfId="53" applyNumberFormat="1" applyFont="1" applyFill="1" applyBorder="1" applyAlignment="1">
      <alignment horizontal="center" vertical="center" wrapText="1"/>
    </xf>
    <xf numFmtId="10" fontId="3" fillId="2" borderId="0" xfId="53" applyNumberFormat="1" applyFont="1" applyFill="1" applyAlignment="1">
      <alignment vertical="center" wrapText="1"/>
    </xf>
    <xf numFmtId="0" fontId="1" fillId="0" borderId="8" xfId="53" applyFont="1" applyBorder="1" applyAlignment="1" applyProtection="1">
      <alignment horizontal="center" vertical="center" wrapText="1"/>
      <protection locked="0"/>
    </xf>
    <xf numFmtId="0" fontId="1" fillId="2" borderId="8" xfId="53" applyFont="1" applyFill="1" applyBorder="1" applyAlignment="1">
      <alignment horizontal="center" vertical="center" wrapText="1"/>
    </xf>
    <xf numFmtId="0" fontId="1" fillId="2" borderId="10" xfId="53" applyFont="1" applyFill="1" applyBorder="1">
      <alignment vertical="center"/>
    </xf>
    <xf numFmtId="0" fontId="1" fillId="2" borderId="12" xfId="53" applyFont="1" applyFill="1" applyBorder="1">
      <alignment vertical="center"/>
    </xf>
    <xf numFmtId="0" fontId="1" fillId="2" borderId="9" xfId="53" applyFont="1" applyFill="1" applyBorder="1" applyAlignment="1">
      <alignment horizontal="center" vertical="center"/>
    </xf>
    <xf numFmtId="181" fontId="1" fillId="2" borderId="1" xfId="53" applyNumberFormat="1" applyFont="1" applyFill="1" applyBorder="1" applyAlignment="1">
      <alignment horizontal="center" vertical="center"/>
    </xf>
    <xf numFmtId="189" fontId="1" fillId="2" borderId="1" xfId="53" applyNumberFormat="1" applyFont="1" applyFill="1" applyBorder="1" applyAlignment="1">
      <alignment horizontal="center" vertical="center"/>
    </xf>
    <xf numFmtId="0" fontId="1" fillId="2" borderId="35" xfId="53" applyFont="1" applyFill="1" applyBorder="1" applyAlignment="1">
      <alignment horizontal="center" vertical="center"/>
    </xf>
    <xf numFmtId="176" fontId="138" fillId="2" borderId="1" xfId="53" applyNumberFormat="1" applyFont="1" applyFill="1" applyBorder="1" applyAlignment="1">
      <alignment horizontal="center" vertical="center"/>
    </xf>
    <xf numFmtId="189" fontId="138" fillId="2" borderId="1" xfId="53" applyNumberFormat="1" applyFont="1" applyFill="1" applyBorder="1" applyAlignment="1">
      <alignment horizontal="center" vertical="center" wrapText="1"/>
    </xf>
    <xf numFmtId="181" fontId="1" fillId="2" borderId="3" xfId="53" applyNumberFormat="1" applyFont="1" applyFill="1" applyBorder="1" applyAlignment="1">
      <alignment horizontal="center" vertical="center" wrapText="1"/>
    </xf>
    <xf numFmtId="178" fontId="138" fillId="2" borderId="1" xfId="53" applyNumberFormat="1" applyFont="1" applyFill="1" applyBorder="1" applyAlignment="1">
      <alignment horizontal="center" vertical="center"/>
    </xf>
    <xf numFmtId="0" fontId="1" fillId="2" borderId="3" xfId="53" applyFont="1" applyFill="1" applyBorder="1" applyAlignment="1">
      <alignment horizontal="center" vertical="center" wrapText="1"/>
    </xf>
    <xf numFmtId="0" fontId="1" fillId="2" borderId="0" xfId="53" applyFont="1" applyFill="1" applyAlignment="1">
      <alignment horizontal="left" vertical="center"/>
    </xf>
    <xf numFmtId="0" fontId="19" fillId="2" borderId="35" xfId="56" applyFont="1" applyFill="1" applyBorder="1" applyAlignment="1">
      <alignment horizontal="center" vertical="center" wrapText="1"/>
    </xf>
    <xf numFmtId="178" fontId="84" fillId="2" borderId="35" xfId="56" applyNumberFormat="1" applyFont="1" applyFill="1" applyBorder="1" applyAlignment="1">
      <alignment horizontal="center" vertical="center" wrapText="1"/>
    </xf>
    <xf numFmtId="0" fontId="19" fillId="2" borderId="41" xfId="56" applyFont="1" applyFill="1" applyBorder="1" applyAlignment="1">
      <alignment horizontal="center" vertical="center" wrapText="1"/>
    </xf>
    <xf numFmtId="0" fontId="84" fillId="2" borderId="55" xfId="56" applyFont="1" applyFill="1" applyBorder="1" applyAlignment="1">
      <alignment horizontal="center" vertical="center" wrapText="1"/>
    </xf>
    <xf numFmtId="0" fontId="65" fillId="2" borderId="1" xfId="56" applyFont="1" applyFill="1" applyBorder="1" applyAlignment="1">
      <alignment horizontal="center" vertical="center" wrapText="1"/>
    </xf>
    <xf numFmtId="0" fontId="113" fillId="2" borderId="1" xfId="56" applyFont="1" applyFill="1" applyBorder="1" applyAlignment="1">
      <alignment horizontal="center" vertical="center"/>
    </xf>
    <xf numFmtId="0" fontId="19" fillId="2" borderId="19" xfId="56" applyFont="1" applyFill="1" applyBorder="1" applyAlignment="1">
      <alignment vertical="center" wrapText="1"/>
    </xf>
    <xf numFmtId="0" fontId="92" fillId="2" borderId="5" xfId="56" applyFont="1" applyFill="1" applyBorder="1" applyAlignment="1">
      <alignment horizontal="center" vertical="center"/>
    </xf>
    <xf numFmtId="0" fontId="92" fillId="2" borderId="3" xfId="56" applyFont="1" applyFill="1" applyBorder="1" applyAlignment="1">
      <alignment horizontal="center" vertical="center"/>
    </xf>
    <xf numFmtId="0" fontId="92" fillId="2" borderId="3" xfId="56" applyFont="1" applyFill="1" applyBorder="1" applyAlignment="1">
      <alignment horizontal="center" vertical="center" wrapText="1"/>
    </xf>
    <xf numFmtId="0" fontId="19" fillId="2" borderId="6" xfId="56" applyFont="1" applyFill="1" applyBorder="1" applyAlignment="1">
      <alignment horizontal="center" vertical="center" wrapText="1"/>
    </xf>
    <xf numFmtId="0" fontId="84" fillId="2" borderId="1" xfId="56" applyFont="1" applyFill="1" applyBorder="1" applyAlignment="1">
      <alignment horizontal="center" vertical="center" wrapText="1"/>
    </xf>
    <xf numFmtId="0" fontId="65" fillId="2" borderId="6" xfId="56" applyFont="1" applyFill="1" applyBorder="1" applyAlignment="1">
      <alignment horizontal="center" vertical="center" wrapText="1"/>
    </xf>
    <xf numFmtId="0" fontId="19" fillId="2" borderId="7" xfId="56" applyFont="1" applyFill="1" applyBorder="1" applyAlignment="1">
      <alignment horizontal="center" vertical="center" wrapText="1"/>
    </xf>
    <xf numFmtId="0" fontId="84" fillId="2" borderId="8" xfId="56" applyFont="1" applyFill="1" applyBorder="1" applyAlignment="1">
      <alignment horizontal="center" vertical="center" wrapText="1"/>
    </xf>
    <xf numFmtId="0" fontId="92" fillId="0" borderId="0" xfId="53" applyFont="1" applyAlignment="1" applyProtection="1">
      <alignment vertical="center" wrapText="1"/>
      <protection locked="0"/>
    </xf>
    <xf numFmtId="0" fontId="1" fillId="2" borderId="11" xfId="53" applyFont="1" applyFill="1" applyBorder="1">
      <alignment vertical="center"/>
    </xf>
    <xf numFmtId="0" fontId="92" fillId="2" borderId="41" xfId="56" applyFont="1" applyFill="1" applyBorder="1" applyAlignment="1">
      <alignment horizontal="center" vertical="center"/>
    </xf>
    <xf numFmtId="0" fontId="92" fillId="2" borderId="70" xfId="56" applyFont="1" applyFill="1" applyBorder="1" applyAlignment="1">
      <alignment horizontal="center" vertical="center"/>
    </xf>
    <xf numFmtId="0" fontId="84" fillId="2" borderId="14" xfId="56" applyFont="1" applyFill="1" applyBorder="1" applyAlignment="1">
      <alignment horizontal="center" vertical="center" wrapText="1"/>
    </xf>
    <xf numFmtId="0" fontId="84" fillId="2" borderId="15" xfId="56" applyFont="1" applyFill="1" applyBorder="1" applyAlignment="1">
      <alignment horizontal="center" vertical="center" wrapText="1"/>
    </xf>
    <xf numFmtId="0" fontId="92" fillId="0" borderId="0" xfId="53" applyFont="1" applyAlignment="1" applyProtection="1">
      <alignment horizontal="center" vertical="center" wrapText="1"/>
      <protection locked="0"/>
    </xf>
    <xf numFmtId="0" fontId="139" fillId="0" borderId="0" xfId="0" applyFont="1" applyAlignment="1">
      <alignment horizontal="center" vertical="center"/>
    </xf>
    <xf numFmtId="0" fontId="140" fillId="2" borderId="54" xfId="0" applyFont="1" applyFill="1" applyBorder="1">
      <alignment vertical="center"/>
    </xf>
    <xf numFmtId="0" fontId="141" fillId="2" borderId="54" xfId="0" applyFont="1" applyFill="1" applyBorder="1">
      <alignment vertical="center"/>
    </xf>
    <xf numFmtId="176" fontId="38" fillId="2" borderId="1" xfId="0" applyNumberFormat="1" applyFont="1" applyFill="1" applyBorder="1" applyAlignment="1">
      <alignment horizontal="right" vertical="center"/>
    </xf>
    <xf numFmtId="0" fontId="36" fillId="9" borderId="0" xfId="0" applyFont="1" applyFill="1" applyProtection="1">
      <alignment vertical="center"/>
      <protection locked="0"/>
    </xf>
    <xf numFmtId="0" fontId="37" fillId="9" borderId="0" xfId="0" applyFont="1" applyFill="1" applyProtection="1">
      <alignment vertical="center"/>
      <protection locked="0"/>
    </xf>
    <xf numFmtId="0" fontId="51" fillId="2" borderId="9" xfId="51" applyFont="1" applyFill="1" applyBorder="1">
      <alignment vertical="center"/>
    </xf>
    <xf numFmtId="0" fontId="38" fillId="2" borderId="9" xfId="0" applyFont="1" applyFill="1" applyBorder="1">
      <alignment vertical="center"/>
    </xf>
    <xf numFmtId="0" fontId="30" fillId="5" borderId="59" xfId="0" applyFont="1" applyFill="1" applyBorder="1" applyAlignment="1" applyProtection="1">
      <alignment horizontal="center" vertical="center" wrapText="1"/>
      <protection locked="0"/>
    </xf>
    <xf numFmtId="0" fontId="34" fillId="0" borderId="6" xfId="0" applyFont="1" applyBorder="1" applyAlignment="1" applyProtection="1">
      <alignment horizontal="center" vertical="center" wrapText="1"/>
      <protection locked="0"/>
    </xf>
    <xf numFmtId="0" fontId="30" fillId="5" borderId="65" xfId="0" applyFont="1" applyFill="1" applyBorder="1" applyAlignment="1" applyProtection="1">
      <alignment horizontal="center" vertical="center" wrapText="1"/>
      <protection locked="0"/>
    </xf>
    <xf numFmtId="0" fontId="30" fillId="5" borderId="89" xfId="0" applyFont="1" applyFill="1" applyBorder="1" applyAlignment="1" applyProtection="1">
      <alignment horizontal="center" vertical="center" wrapText="1"/>
      <protection locked="0"/>
    </xf>
    <xf numFmtId="0" fontId="34" fillId="2" borderId="68" xfId="0" applyFont="1" applyFill="1" applyBorder="1" applyAlignment="1">
      <alignment horizontal="center" vertical="center" wrapText="1"/>
    </xf>
    <xf numFmtId="0" fontId="34" fillId="2" borderId="64" xfId="0" applyFont="1" applyFill="1" applyBorder="1" applyAlignment="1">
      <alignment horizontal="center" vertical="center" wrapText="1"/>
    </xf>
    <xf numFmtId="0" fontId="34" fillId="2" borderId="21" xfId="0" applyFont="1" applyFill="1" applyBorder="1" applyAlignment="1">
      <alignment horizontal="center" vertical="center"/>
    </xf>
    <xf numFmtId="0" fontId="34" fillId="0" borderId="10" xfId="0" applyFont="1" applyBorder="1" applyAlignment="1" applyProtection="1">
      <alignment horizontal="center" vertical="center"/>
      <protection locked="0"/>
    </xf>
    <xf numFmtId="0" fontId="45" fillId="2" borderId="32" xfId="0" applyFont="1" applyFill="1" applyBorder="1" applyAlignment="1">
      <alignment vertical="center" textRotation="255" wrapText="1"/>
    </xf>
    <xf numFmtId="0" fontId="32" fillId="0" borderId="42" xfId="0" applyFont="1" applyBorder="1" applyAlignment="1" applyProtection="1">
      <alignment horizontal="center" vertical="center"/>
      <protection locked="0"/>
    </xf>
    <xf numFmtId="0" fontId="34" fillId="0" borderId="7" xfId="0" applyFont="1" applyBorder="1" applyAlignment="1" applyProtection="1">
      <alignment horizontal="center" vertical="center" wrapText="1"/>
      <protection locked="0"/>
    </xf>
    <xf numFmtId="0" fontId="30" fillId="2" borderId="15" xfId="0" applyFont="1" applyFill="1" applyBorder="1" applyAlignment="1">
      <alignment horizontal="center" vertical="center" wrapText="1"/>
    </xf>
    <xf numFmtId="0" fontId="34" fillId="0" borderId="110" xfId="0" applyFont="1" applyBorder="1" applyAlignment="1" applyProtection="1">
      <alignment horizontal="center" vertical="center" wrapText="1"/>
      <protection locked="0"/>
    </xf>
    <xf numFmtId="0" fontId="34" fillId="0" borderId="4" xfId="0" applyFont="1" applyBorder="1" applyAlignment="1" applyProtection="1">
      <alignment horizontal="center" vertical="center" wrapText="1"/>
      <protection locked="0"/>
    </xf>
    <xf numFmtId="9" fontId="30" fillId="5" borderId="64" xfId="0" applyNumberFormat="1" applyFont="1" applyFill="1" applyBorder="1" applyAlignment="1" applyProtection="1">
      <alignment horizontal="center" vertical="center" wrapText="1"/>
      <protection locked="0"/>
    </xf>
    <xf numFmtId="0" fontId="32" fillId="0" borderId="77" xfId="0" applyFont="1" applyBorder="1" applyAlignment="1" applyProtection="1">
      <alignment horizontal="center" vertical="center" wrapText="1"/>
      <protection locked="0"/>
    </xf>
    <xf numFmtId="49" fontId="39" fillId="5" borderId="13" xfId="0" applyNumberFormat="1" applyFont="1" applyFill="1" applyBorder="1" applyProtection="1">
      <alignment vertical="center"/>
      <protection locked="0"/>
    </xf>
    <xf numFmtId="0" fontId="39" fillId="2" borderId="78" xfId="0" applyFont="1" applyFill="1" applyBorder="1" applyAlignment="1">
      <alignment horizontal="right" vertical="center" wrapText="1"/>
    </xf>
    <xf numFmtId="49" fontId="39" fillId="2" borderId="53" xfId="0" applyNumberFormat="1" applyFont="1" applyFill="1" applyBorder="1">
      <alignment vertical="center"/>
    </xf>
    <xf numFmtId="181" fontId="39" fillId="2" borderId="79" xfId="0" applyNumberFormat="1" applyFont="1" applyFill="1" applyBorder="1" applyAlignment="1">
      <alignment vertical="center" wrapText="1"/>
    </xf>
    <xf numFmtId="181" fontId="39" fillId="2" borderId="77" xfId="0" applyNumberFormat="1" applyFont="1" applyFill="1" applyBorder="1" applyAlignment="1">
      <alignment vertical="center" wrapText="1"/>
    </xf>
    <xf numFmtId="181" fontId="39" fillId="2" borderId="17" xfId="0" applyNumberFormat="1" applyFont="1" applyFill="1" applyBorder="1" applyAlignment="1">
      <alignment vertical="center" wrapText="1"/>
    </xf>
    <xf numFmtId="14" fontId="34" fillId="9" borderId="0" xfId="0" applyNumberFormat="1" applyFont="1" applyFill="1" applyAlignment="1" applyProtection="1">
      <alignment horizontal="center" vertical="center"/>
      <protection locked="0"/>
    </xf>
    <xf numFmtId="14" fontId="34" fillId="2" borderId="4" xfId="0" applyNumberFormat="1" applyFont="1" applyFill="1" applyBorder="1" applyAlignment="1">
      <alignment horizontal="left" vertical="center"/>
    </xf>
    <xf numFmtId="183" fontId="34" fillId="2" borderId="5" xfId="0" applyNumberFormat="1" applyFont="1" applyFill="1" applyBorder="1" applyAlignment="1">
      <alignment horizontal="center" vertical="center"/>
    </xf>
    <xf numFmtId="0" fontId="132" fillId="3" borderId="5" xfId="0" applyFont="1" applyFill="1" applyBorder="1" applyAlignment="1" applyProtection="1">
      <alignment horizontal="center" vertical="center"/>
      <protection locked="0"/>
    </xf>
    <xf numFmtId="0" fontId="96" fillId="2" borderId="55" xfId="0" applyFont="1" applyFill="1" applyBorder="1" applyAlignment="1" applyProtection="1">
      <alignment horizontal="center" vertical="center" wrapText="1"/>
      <protection locked="0"/>
    </xf>
    <xf numFmtId="0" fontId="34" fillId="2" borderId="5" xfId="0" applyFont="1" applyFill="1" applyBorder="1" applyAlignment="1">
      <alignment horizontal="center" vertical="center"/>
    </xf>
    <xf numFmtId="0" fontId="34" fillId="2" borderId="39" xfId="0" applyFont="1" applyFill="1" applyBorder="1" applyAlignment="1">
      <alignment horizontal="center" vertical="center"/>
    </xf>
    <xf numFmtId="0" fontId="49" fillId="2" borderId="19" xfId="0" applyFont="1" applyFill="1" applyBorder="1" applyAlignment="1">
      <alignment horizontal="center" vertical="center" wrapText="1"/>
    </xf>
    <xf numFmtId="0" fontId="49" fillId="2" borderId="45" xfId="0" applyFont="1" applyFill="1" applyBorder="1" applyAlignment="1">
      <alignment horizontal="center" vertical="center" wrapText="1"/>
    </xf>
    <xf numFmtId="0" fontId="19" fillId="2" borderId="6" xfId="0" applyFont="1" applyFill="1" applyBorder="1" applyAlignment="1"/>
    <xf numFmtId="181" fontId="19" fillId="2" borderId="1" xfId="51" applyNumberFormat="1" applyFont="1" applyFill="1" applyBorder="1" applyAlignment="1">
      <alignment horizontal="center"/>
    </xf>
    <xf numFmtId="0" fontId="19" fillId="2" borderId="1" xfId="0" applyFont="1" applyFill="1" applyBorder="1" applyAlignment="1">
      <alignment horizontal="center"/>
    </xf>
    <xf numFmtId="0" fontId="139" fillId="2" borderId="1" xfId="0" applyFont="1" applyFill="1" applyBorder="1" applyAlignment="1" applyProtection="1">
      <alignment horizontal="center" vertical="center"/>
      <protection locked="0"/>
    </xf>
    <xf numFmtId="176" fontId="19" fillId="2" borderId="10" xfId="51" applyNumberFormat="1" applyFont="1" applyFill="1" applyBorder="1" applyAlignment="1">
      <alignment horizontal="center"/>
    </xf>
    <xf numFmtId="0" fontId="49" fillId="2" borderId="65" xfId="0" applyFont="1" applyFill="1" applyBorder="1" applyAlignment="1">
      <alignment horizontal="center" vertical="center" wrapText="1"/>
    </xf>
    <xf numFmtId="0" fontId="49" fillId="2" borderId="66" xfId="0" applyFont="1" applyFill="1" applyBorder="1" applyAlignment="1">
      <alignment horizontal="center" vertical="center" wrapText="1"/>
    </xf>
    <xf numFmtId="0" fontId="19" fillId="2" borderId="6" xfId="51" applyFont="1" applyFill="1" applyBorder="1" applyAlignment="1"/>
    <xf numFmtId="0" fontId="19" fillId="2" borderId="1" xfId="51" applyFont="1" applyFill="1" applyBorder="1" applyAlignment="1">
      <alignment horizontal="center"/>
    </xf>
    <xf numFmtId="9" fontId="139" fillId="3" borderId="1" xfId="0" applyNumberFormat="1" applyFont="1" applyFill="1" applyBorder="1" applyAlignment="1" applyProtection="1">
      <alignment horizontal="center" vertical="center"/>
      <protection locked="0"/>
    </xf>
    <xf numFmtId="178" fontId="19" fillId="0" borderId="1" xfId="51" applyNumberFormat="1" applyFont="1" applyBorder="1" applyAlignment="1" applyProtection="1">
      <alignment horizontal="center"/>
      <protection locked="0"/>
    </xf>
    <xf numFmtId="0" fontId="69" fillId="2" borderId="6" xfId="0" applyFont="1" applyFill="1" applyBorder="1" applyAlignment="1">
      <alignment horizontal="center" vertical="center"/>
    </xf>
    <xf numFmtId="0" fontId="69" fillId="2" borderId="14" xfId="0" applyFont="1" applyFill="1" applyBorder="1" applyAlignment="1">
      <alignment horizontal="center" vertical="center"/>
    </xf>
    <xf numFmtId="49" fontId="69" fillId="2" borderId="14" xfId="0" applyNumberFormat="1" applyFont="1" applyFill="1" applyBorder="1" applyAlignment="1">
      <alignment horizontal="center" vertical="center"/>
    </xf>
    <xf numFmtId="0" fontId="92" fillId="2" borderId="6" xfId="51" applyFont="1" applyFill="1" applyBorder="1" applyAlignment="1"/>
    <xf numFmtId="178" fontId="19" fillId="2" borderId="1" xfId="51" applyNumberFormat="1" applyFont="1" applyFill="1" applyBorder="1" applyAlignment="1">
      <alignment horizontal="center"/>
    </xf>
    <xf numFmtId="0" fontId="139" fillId="3" borderId="6" xfId="0" applyFont="1" applyFill="1" applyBorder="1" applyAlignment="1" applyProtection="1">
      <alignment horizontal="center" vertical="center"/>
      <protection locked="0"/>
    </xf>
    <xf numFmtId="0" fontId="69" fillId="2" borderId="7" xfId="0" applyFont="1" applyFill="1" applyBorder="1" applyAlignment="1">
      <alignment horizontal="center" vertical="center"/>
    </xf>
    <xf numFmtId="49" fontId="69" fillId="2" borderId="15" xfId="0" applyNumberFormat="1" applyFont="1" applyFill="1" applyBorder="1" applyAlignment="1">
      <alignment horizontal="center" vertical="center"/>
    </xf>
    <xf numFmtId="0" fontId="22" fillId="2" borderId="7" xfId="51" applyFont="1" applyFill="1" applyBorder="1" applyAlignment="1"/>
    <xf numFmtId="0" fontId="19" fillId="2" borderId="8" xfId="0" applyFont="1" applyFill="1" applyBorder="1" applyAlignment="1">
      <alignment horizontal="center"/>
    </xf>
    <xf numFmtId="176" fontId="22" fillId="2" borderId="15" xfId="0" applyNumberFormat="1" applyFont="1" applyFill="1" applyBorder="1" applyAlignment="1">
      <alignment horizontal="center"/>
    </xf>
    <xf numFmtId="0" fontId="19" fillId="2" borderId="0" xfId="0" applyFont="1" applyFill="1" applyAlignment="1" applyProtection="1">
      <protection locked="0"/>
    </xf>
    <xf numFmtId="179" fontId="141" fillId="2" borderId="54" xfId="0" applyNumberFormat="1" applyFont="1" applyFill="1" applyBorder="1" applyAlignment="1">
      <alignment horizontal="center" vertical="center"/>
    </xf>
    <xf numFmtId="179" fontId="36" fillId="9" borderId="0" xfId="0" applyNumberFormat="1" applyFont="1" applyFill="1" applyAlignment="1" applyProtection="1">
      <alignment horizontal="center" vertical="center"/>
      <protection locked="0"/>
    </xf>
    <xf numFmtId="0" fontId="75" fillId="2" borderId="11" xfId="0" applyFont="1" applyFill="1" applyBorder="1" applyAlignment="1">
      <alignment horizontal="center" vertical="center" wrapText="1"/>
    </xf>
    <xf numFmtId="0" fontId="75" fillId="0" borderId="11" xfId="0" applyFont="1" applyBorder="1" applyAlignment="1" applyProtection="1">
      <alignment horizontal="center" vertical="center" wrapText="1"/>
      <protection locked="0"/>
    </xf>
    <xf numFmtId="0" fontId="75" fillId="0" borderId="6" xfId="0" applyFont="1" applyBorder="1" applyAlignment="1" applyProtection="1">
      <alignment horizontal="center" vertical="center" wrapText="1"/>
      <protection locked="0"/>
    </xf>
    <xf numFmtId="0" fontId="75" fillId="2" borderId="6" xfId="0" applyFont="1" applyFill="1" applyBorder="1" applyAlignment="1">
      <alignment horizontal="center" vertical="center" wrapText="1"/>
    </xf>
    <xf numFmtId="0" fontId="142" fillId="2" borderId="11" xfId="0" applyFont="1" applyFill="1" applyBorder="1" applyAlignment="1">
      <alignment horizontal="center" vertical="center" wrapText="1"/>
    </xf>
    <xf numFmtId="179" fontId="34" fillId="7" borderId="11" xfId="0" applyNumberFormat="1" applyFont="1" applyFill="1" applyBorder="1" applyAlignment="1">
      <alignment horizontal="center" vertical="center"/>
    </xf>
    <xf numFmtId="183" fontId="34" fillId="2" borderId="46" xfId="0" applyNumberFormat="1" applyFont="1" applyFill="1" applyBorder="1" applyAlignment="1">
      <alignment horizontal="left" vertical="center" wrapText="1"/>
    </xf>
    <xf numFmtId="179" fontId="34" fillId="7" borderId="1" xfId="0" applyNumberFormat="1" applyFont="1" applyFill="1" applyBorder="1" applyAlignment="1">
      <alignment horizontal="center" vertical="center" wrapText="1"/>
    </xf>
    <xf numFmtId="0" fontId="83" fillId="2" borderId="11" xfId="0" applyFont="1" applyFill="1" applyBorder="1" applyAlignment="1">
      <alignment horizontal="center" vertical="center"/>
    </xf>
    <xf numFmtId="0" fontId="83" fillId="2" borderId="1" xfId="0" applyFont="1" applyFill="1" applyBorder="1" applyAlignment="1">
      <alignment horizontal="center" vertical="center"/>
    </xf>
    <xf numFmtId="0" fontId="143" fillId="2" borderId="0" xfId="0" applyFont="1" applyFill="1" applyAlignment="1" applyProtection="1">
      <alignment horizontal="left" vertical="center"/>
      <protection locked="0"/>
    </xf>
    <xf numFmtId="0" fontId="69" fillId="2" borderId="11" xfId="0" applyFont="1" applyFill="1" applyBorder="1" applyAlignment="1">
      <alignment horizontal="center" vertical="center"/>
    </xf>
    <xf numFmtId="0" fontId="69" fillId="2" borderId="1" xfId="0" applyFont="1" applyFill="1" applyBorder="1" applyAlignment="1">
      <alignment horizontal="center" vertical="center"/>
    </xf>
    <xf numFmtId="0" fontId="139" fillId="9" borderId="0" xfId="0" applyFont="1" applyFill="1" applyAlignment="1" applyProtection="1">
      <alignment horizontal="center" vertical="center"/>
      <protection locked="0"/>
    </xf>
    <xf numFmtId="0" fontId="139" fillId="2" borderId="0" xfId="0" applyFont="1" applyFill="1" applyAlignment="1" applyProtection="1">
      <alignment horizontal="center" vertical="center"/>
      <protection locked="0"/>
    </xf>
    <xf numFmtId="0" fontId="69" fillId="0" borderId="1" xfId="0" applyFont="1" applyBorder="1" applyAlignment="1" applyProtection="1">
      <alignment horizontal="center" vertical="center"/>
      <protection locked="0"/>
    </xf>
    <xf numFmtId="0" fontId="19" fillId="9" borderId="0" xfId="0" applyFont="1" applyFill="1" applyAlignment="1" applyProtection="1">
      <protection locked="0"/>
    </xf>
    <xf numFmtId="181" fontId="34" fillId="2" borderId="1" xfId="0" applyNumberFormat="1" applyFont="1" applyFill="1" applyBorder="1" applyAlignment="1">
      <alignment horizontal="center" vertical="center"/>
    </xf>
    <xf numFmtId="181" fontId="39" fillId="2" borderId="1" xfId="0" applyNumberFormat="1" applyFont="1" applyFill="1" applyBorder="1" applyAlignment="1">
      <alignment horizontal="center" vertical="center"/>
    </xf>
    <xf numFmtId="183" fontId="34" fillId="2" borderId="0" xfId="0" applyNumberFormat="1" applyFont="1" applyFill="1" applyAlignment="1">
      <alignment horizontal="center" vertical="center"/>
    </xf>
    <xf numFmtId="14" fontId="34" fillId="2" borderId="0" xfId="0" applyNumberFormat="1" applyFont="1" applyFill="1" applyAlignment="1">
      <alignment horizontal="center" vertical="center"/>
    </xf>
    <xf numFmtId="0" fontId="90" fillId="2" borderId="19" xfId="0" applyFont="1" applyFill="1" applyBorder="1">
      <alignment vertical="center"/>
    </xf>
    <xf numFmtId="0" fontId="30" fillId="2" borderId="56" xfId="0" applyFont="1" applyFill="1" applyBorder="1" applyAlignment="1">
      <alignment horizontal="center" vertical="center" wrapText="1"/>
    </xf>
    <xf numFmtId="0" fontId="90" fillId="2" borderId="6" xfId="0" applyFont="1" applyFill="1" applyBorder="1" applyAlignment="1">
      <alignment horizontal="center" vertical="center" wrapText="1"/>
    </xf>
    <xf numFmtId="176" fontId="30" fillId="0" borderId="43" xfId="0" applyNumberFormat="1" applyFont="1" applyBorder="1" applyAlignment="1" applyProtection="1">
      <alignment horizontal="center" vertical="center" wrapText="1"/>
      <protection locked="0"/>
    </xf>
    <xf numFmtId="186" fontId="30" fillId="0" borderId="80" xfId="0" applyNumberFormat="1" applyFont="1" applyBorder="1" applyAlignment="1" applyProtection="1">
      <alignment horizontal="center" vertical="center" wrapText="1"/>
      <protection locked="0"/>
    </xf>
    <xf numFmtId="0" fontId="34" fillId="0" borderId="9" xfId="0" applyFont="1" applyBorder="1" applyAlignment="1" applyProtection="1">
      <alignment horizontal="center" vertical="center" wrapText="1"/>
      <protection locked="0"/>
    </xf>
    <xf numFmtId="0" fontId="44" fillId="0" borderId="85" xfId="0" applyFont="1" applyBorder="1" applyAlignment="1" applyProtection="1">
      <alignment horizontal="center" vertical="center" wrapText="1"/>
      <protection locked="0"/>
    </xf>
    <xf numFmtId="0" fontId="32" fillId="2" borderId="80" xfId="0" applyFont="1" applyFill="1" applyBorder="1" applyAlignment="1">
      <alignment horizontal="center" vertical="center" wrapText="1"/>
    </xf>
    <xf numFmtId="49" fontId="30" fillId="2" borderId="0" xfId="0" applyNumberFormat="1" applyFont="1" applyFill="1" applyAlignment="1" applyProtection="1">
      <alignment horizontal="center" vertical="center" wrapText="1"/>
      <protection locked="0"/>
    </xf>
    <xf numFmtId="0" fontId="30"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4"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0" fillId="2" borderId="85" xfId="0" applyFont="1" applyFill="1" applyBorder="1" applyAlignment="1">
      <alignment horizontal="left" vertical="center" wrapText="1"/>
    </xf>
    <xf numFmtId="0" fontId="32" fillId="2" borderId="73" xfId="0" applyFont="1" applyFill="1" applyBorder="1" applyAlignment="1">
      <alignment horizontal="center" vertical="center" wrapText="1"/>
    </xf>
    <xf numFmtId="0" fontId="34" fillId="0" borderId="57" xfId="0" applyFont="1" applyBorder="1" applyAlignment="1" applyProtection="1">
      <alignment horizontal="center" vertical="center" wrapText="1"/>
      <protection locked="0"/>
    </xf>
    <xf numFmtId="0" fontId="49" fillId="2" borderId="5" xfId="0" applyFont="1" applyFill="1" applyBorder="1" applyAlignment="1">
      <alignment horizontal="center" vertical="center" wrapText="1"/>
    </xf>
    <xf numFmtId="0" fontId="49" fillId="2" borderId="5" xfId="0" applyFont="1" applyFill="1" applyBorder="1" applyAlignment="1">
      <alignment horizontal="left" vertical="center" wrapText="1"/>
    </xf>
    <xf numFmtId="0" fontId="49" fillId="2" borderId="13" xfId="0" applyFont="1" applyFill="1" applyBorder="1" applyAlignment="1">
      <alignment horizontal="center" vertical="center" wrapText="1"/>
    </xf>
    <xf numFmtId="176" fontId="38" fillId="2" borderId="1" xfId="51" applyNumberFormat="1" applyFont="1" applyFill="1" applyBorder="1" applyAlignment="1">
      <alignment horizontal="right" vertical="center"/>
    </xf>
    <xf numFmtId="0" fontId="27" fillId="2" borderId="59" xfId="0" applyFont="1" applyFill="1" applyBorder="1" applyAlignment="1"/>
    <xf numFmtId="0" fontId="27" fillId="2" borderId="78" xfId="0" applyFont="1" applyFill="1" applyBorder="1" applyAlignment="1"/>
    <xf numFmtId="181" fontId="41" fillId="2" borderId="39" xfId="0" applyNumberFormat="1" applyFont="1" applyFill="1" applyBorder="1" applyAlignment="1">
      <alignment horizontal="center"/>
    </xf>
    <xf numFmtId="0" fontId="27" fillId="2" borderId="78" xfId="0" applyFont="1" applyFill="1" applyBorder="1" applyAlignment="1" applyProtection="1">
      <protection locked="0"/>
    </xf>
    <xf numFmtId="0" fontId="41" fillId="2" borderId="6" xfId="0" applyFont="1" applyFill="1" applyBorder="1" applyAlignment="1">
      <alignment horizontal="center"/>
    </xf>
    <xf numFmtId="0" fontId="41" fillId="2" borderId="18" xfId="0" applyFont="1" applyFill="1" applyBorder="1" applyAlignment="1"/>
    <xf numFmtId="49" fontId="18" fillId="2" borderId="6" xfId="0" applyNumberFormat="1" applyFont="1" applyFill="1" applyBorder="1" applyAlignment="1">
      <alignment horizontal="left"/>
    </xf>
    <xf numFmtId="0" fontId="18" fillId="2" borderId="10" xfId="0" applyFont="1" applyFill="1" applyBorder="1" applyAlignment="1"/>
    <xf numFmtId="181" fontId="18" fillId="0" borderId="1" xfId="0" applyNumberFormat="1" applyFont="1" applyBorder="1" applyAlignment="1" applyProtection="1">
      <alignment horizontal="center"/>
      <protection locked="0"/>
    </xf>
    <xf numFmtId="49" fontId="18" fillId="2" borderId="7" xfId="0" applyNumberFormat="1" applyFont="1" applyFill="1" applyBorder="1" applyAlignment="1">
      <alignment horizontal="left"/>
    </xf>
    <xf numFmtId="0" fontId="18" fillId="2" borderId="42" xfId="0" applyFont="1" applyFill="1" applyBorder="1" applyAlignment="1"/>
    <xf numFmtId="181" fontId="69" fillId="0" borderId="8" xfId="0" applyNumberFormat="1" applyFont="1" applyBorder="1" applyAlignment="1" applyProtection="1">
      <alignment horizontal="center"/>
      <protection locked="0"/>
    </xf>
    <xf numFmtId="181" fontId="18" fillId="0" borderId="8" xfId="0" applyNumberFormat="1" applyFont="1" applyBorder="1" applyAlignment="1" applyProtection="1">
      <alignment horizontal="center"/>
      <protection locked="0"/>
    </xf>
    <xf numFmtId="0" fontId="27" fillId="2" borderId="65" xfId="0" applyFont="1" applyFill="1" applyBorder="1" applyAlignment="1"/>
    <xf numFmtId="0" fontId="27" fillId="2" borderId="89" xfId="0" applyFont="1" applyFill="1" applyBorder="1" applyAlignment="1"/>
    <xf numFmtId="0" fontId="41" fillId="2" borderId="10" xfId="0" applyFont="1" applyFill="1" applyBorder="1" applyAlignment="1"/>
    <xf numFmtId="181" fontId="41" fillId="2" borderId="1" xfId="0" applyNumberFormat="1" applyFont="1" applyFill="1" applyBorder="1" applyAlignment="1">
      <alignment horizontal="center"/>
    </xf>
    <xf numFmtId="0" fontId="41" fillId="2" borderId="1" xfId="0" applyFont="1" applyFill="1" applyBorder="1" applyAlignment="1">
      <alignment horizontal="center"/>
    </xf>
    <xf numFmtId="0" fontId="41" fillId="2" borderId="12" xfId="0" applyFont="1" applyFill="1" applyBorder="1" applyAlignment="1"/>
    <xf numFmtId="49" fontId="18" fillId="2" borderId="6" xfId="51" applyNumberFormat="1" applyFont="1" applyFill="1" applyBorder="1" applyAlignment="1">
      <alignment horizontal="left"/>
    </xf>
    <xf numFmtId="0" fontId="18" fillId="2" borderId="10" xfId="51" applyFont="1" applyFill="1" applyBorder="1" applyAlignment="1"/>
    <xf numFmtId="178" fontId="18" fillId="2" borderId="1" xfId="51" applyNumberFormat="1" applyFont="1" applyFill="1" applyBorder="1" applyAlignment="1">
      <alignment horizontal="center"/>
    </xf>
    <xf numFmtId="180" fontId="18" fillId="2" borderId="1" xfId="51" applyNumberFormat="1" applyFont="1" applyFill="1" applyBorder="1" applyAlignment="1">
      <alignment horizontal="center"/>
    </xf>
    <xf numFmtId="9" fontId="18" fillId="2" borderId="1" xfId="51" applyNumberFormat="1" applyFont="1" applyFill="1" applyBorder="1" applyAlignment="1">
      <alignment horizontal="center"/>
    </xf>
    <xf numFmtId="176" fontId="18" fillId="2" borderId="1" xfId="51" applyNumberFormat="1" applyFont="1" applyFill="1" applyBorder="1" applyAlignment="1">
      <alignment horizontal="center"/>
    </xf>
    <xf numFmtId="176" fontId="18" fillId="2" borderId="1" xfId="51" applyNumberFormat="1" applyFont="1" applyFill="1" applyBorder="1" applyAlignment="1"/>
    <xf numFmtId="10" fontId="18" fillId="2" borderId="1" xfId="51" applyNumberFormat="1" applyFont="1" applyFill="1" applyBorder="1" applyAlignment="1">
      <alignment horizontal="center"/>
    </xf>
    <xf numFmtId="0" fontId="18" fillId="2" borderId="12" xfId="0" applyFont="1" applyFill="1" applyBorder="1" applyAlignment="1"/>
    <xf numFmtId="49" fontId="41" fillId="2" borderId="6" xfId="51" applyNumberFormat="1" applyFont="1" applyFill="1" applyBorder="1" applyAlignment="1">
      <alignment horizontal="left"/>
    </xf>
    <xf numFmtId="0" fontId="41" fillId="2" borderId="10" xfId="51" applyFont="1" applyFill="1" applyBorder="1" applyAlignment="1"/>
    <xf numFmtId="176" fontId="41" fillId="2" borderId="1" xfId="51" applyNumberFormat="1" applyFont="1" applyFill="1" applyBorder="1" applyAlignment="1">
      <alignment horizontal="center"/>
    </xf>
    <xf numFmtId="0" fontId="41" fillId="2" borderId="1" xfId="51" applyFont="1" applyFill="1" applyBorder="1" applyAlignment="1"/>
    <xf numFmtId="0" fontId="22" fillId="2" borderId="1" xfId="51" applyFont="1" applyFill="1" applyBorder="1" applyAlignment="1">
      <alignment horizontal="left"/>
    </xf>
    <xf numFmtId="10" fontId="41" fillId="2" borderId="1" xfId="51" applyNumberFormat="1" applyFont="1" applyFill="1" applyBorder="1" applyAlignment="1">
      <alignment horizontal="center"/>
    </xf>
    <xf numFmtId="176" fontId="41" fillId="2" borderId="0" xfId="0" applyNumberFormat="1" applyFont="1" applyFill="1" applyAlignment="1">
      <alignment horizontal="center"/>
    </xf>
    <xf numFmtId="0" fontId="23" fillId="2" borderId="1" xfId="0" applyFont="1" applyFill="1" applyBorder="1" applyAlignment="1"/>
    <xf numFmtId="0" fontId="41" fillId="2" borderId="1" xfId="51" applyFont="1" applyFill="1" applyBorder="1" applyAlignment="1">
      <alignment horizontal="left"/>
    </xf>
    <xf numFmtId="189" fontId="144" fillId="2" borderId="1" xfId="0" applyNumberFormat="1" applyFont="1" applyFill="1" applyBorder="1" applyAlignment="1">
      <alignment horizontal="center" vertical="center"/>
    </xf>
    <xf numFmtId="10" fontId="144" fillId="2" borderId="1" xfId="0" applyNumberFormat="1" applyFont="1" applyFill="1" applyBorder="1" applyAlignment="1">
      <alignment horizontal="center"/>
    </xf>
    <xf numFmtId="49" fontId="41" fillId="2" borderId="22" xfId="51" applyNumberFormat="1" applyFont="1" applyFill="1" applyBorder="1" applyAlignment="1">
      <alignment horizontal="left"/>
    </xf>
    <xf numFmtId="0" fontId="41" fillId="2" borderId="9" xfId="51" applyFont="1" applyFill="1" applyBorder="1" applyAlignment="1">
      <alignment horizontal="left"/>
    </xf>
    <xf numFmtId="181" fontId="23" fillId="2" borderId="9" xfId="0" applyNumberFormat="1" applyFont="1" applyFill="1" applyBorder="1" applyAlignment="1">
      <alignment horizontal="center"/>
    </xf>
    <xf numFmtId="189" fontId="144" fillId="2" borderId="9" xfId="0" applyNumberFormat="1" applyFont="1" applyFill="1" applyBorder="1" applyAlignment="1">
      <alignment horizontal="center" vertical="center"/>
    </xf>
    <xf numFmtId="10" fontId="144" fillId="2" borderId="9" xfId="0" applyNumberFormat="1" applyFont="1" applyFill="1" applyBorder="1" applyAlignment="1">
      <alignment horizontal="center" vertical="center"/>
    </xf>
    <xf numFmtId="0" fontId="41" fillId="2" borderId="54" xfId="0" applyFont="1" applyFill="1" applyBorder="1" applyAlignment="1"/>
    <xf numFmtId="0" fontId="144" fillId="2" borderId="98" xfId="0" applyFont="1" applyFill="1" applyBorder="1">
      <alignment vertical="center"/>
    </xf>
    <xf numFmtId="0" fontId="144" fillId="2" borderId="99" xfId="0" applyFont="1" applyFill="1" applyBorder="1">
      <alignment vertical="center"/>
    </xf>
    <xf numFmtId="181" fontId="23" fillId="2" borderId="103" xfId="0" applyNumberFormat="1" applyFont="1" applyFill="1" applyBorder="1" applyAlignment="1">
      <alignment horizontal="center"/>
    </xf>
    <xf numFmtId="189" fontId="144" fillId="2" borderId="103" xfId="0" applyNumberFormat="1" applyFont="1" applyFill="1" applyBorder="1" applyAlignment="1">
      <alignment horizontal="center" vertical="center"/>
    </xf>
    <xf numFmtId="10" fontId="144" fillId="2" borderId="103" xfId="0" applyNumberFormat="1" applyFont="1" applyFill="1" applyBorder="1" applyAlignment="1">
      <alignment horizontal="center" vertical="center"/>
    </xf>
    <xf numFmtId="0" fontId="41" fillId="2" borderId="99" xfId="0" applyFont="1" applyFill="1" applyBorder="1" applyAlignment="1"/>
    <xf numFmtId="10" fontId="41" fillId="2" borderId="103" xfId="0" applyNumberFormat="1" applyFont="1" applyFill="1" applyBorder="1" applyAlignment="1">
      <alignment horizontal="center"/>
    </xf>
    <xf numFmtId="0" fontId="41" fillId="2" borderId="63" xfId="0" applyFont="1" applyFill="1" applyBorder="1" applyAlignment="1"/>
    <xf numFmtId="0" fontId="144" fillId="2" borderId="103" xfId="0" applyFont="1" applyFill="1" applyBorder="1" applyAlignment="1">
      <alignment horizontal="center" vertical="center" wrapText="1"/>
    </xf>
    <xf numFmtId="0" fontId="144" fillId="2" borderId="103" xfId="0" applyFont="1" applyFill="1" applyBorder="1" applyAlignment="1">
      <alignment vertical="center" wrapText="1"/>
    </xf>
    <xf numFmtId="10" fontId="144" fillId="2" borderId="103" xfId="0" applyNumberFormat="1" applyFont="1" applyFill="1" applyBorder="1" applyAlignment="1">
      <alignment horizontal="center" vertical="center" wrapText="1"/>
    </xf>
    <xf numFmtId="0" fontId="144" fillId="2" borderId="99" xfId="0" applyFont="1" applyFill="1" applyBorder="1" applyAlignment="1">
      <alignment vertical="center" wrapText="1"/>
    </xf>
    <xf numFmtId="0" fontId="41" fillId="2" borderId="32" xfId="0" applyFont="1" applyFill="1" applyBorder="1" applyAlignment="1"/>
    <xf numFmtId="0" fontId="41" fillId="2" borderId="43" xfId="0" applyFont="1" applyFill="1" applyBorder="1" applyAlignment="1"/>
    <xf numFmtId="181" fontId="23" fillId="2" borderId="80" xfId="0" applyNumberFormat="1" applyFont="1" applyFill="1" applyBorder="1" applyAlignment="1">
      <alignment horizontal="center"/>
    </xf>
    <xf numFmtId="0" fontId="41" fillId="2" borderId="17" xfId="0" applyFont="1" applyFill="1" applyBorder="1" applyAlignment="1"/>
    <xf numFmtId="0" fontId="90" fillId="2" borderId="16" xfId="0" applyFont="1" applyFill="1" applyBorder="1" applyAlignment="1"/>
    <xf numFmtId="0" fontId="27" fillId="2" borderId="44" xfId="0" applyFont="1" applyFill="1" applyBorder="1" applyAlignment="1" applyProtection="1">
      <protection locked="0"/>
    </xf>
    <xf numFmtId="181" fontId="18" fillId="0" borderId="14" xfId="0" applyNumberFormat="1" applyFont="1" applyBorder="1" applyAlignment="1" applyProtection="1">
      <alignment horizontal="center"/>
      <protection locked="0"/>
    </xf>
    <xf numFmtId="181" fontId="18" fillId="0" borderId="15" xfId="0" applyNumberFormat="1" applyFont="1" applyBorder="1" applyAlignment="1" applyProtection="1">
      <alignment horizontal="center"/>
      <protection locked="0"/>
    </xf>
    <xf numFmtId="0" fontId="27" fillId="2" borderId="66" xfId="0" applyFont="1" applyFill="1" applyBorder="1" applyAlignment="1"/>
    <xf numFmtId="0" fontId="41" fillId="2" borderId="46" xfId="0" applyFont="1" applyFill="1" applyBorder="1" applyAlignment="1"/>
    <xf numFmtId="0" fontId="18" fillId="2" borderId="46" xfId="0" applyFont="1" applyFill="1" applyBorder="1" applyAlignment="1"/>
    <xf numFmtId="0" fontId="32" fillId="2" borderId="0" xfId="0" applyFont="1" applyFill="1" applyAlignment="1"/>
    <xf numFmtId="0" fontId="45" fillId="2" borderId="0" xfId="0" applyFont="1" applyFill="1" applyAlignment="1"/>
    <xf numFmtId="0" fontId="41" fillId="2" borderId="47" xfId="0" applyFont="1" applyFill="1" applyBorder="1" applyAlignment="1"/>
    <xf numFmtId="0" fontId="41" fillId="2" borderId="100" xfId="0" applyFont="1" applyFill="1" applyBorder="1" applyAlignment="1"/>
    <xf numFmtId="0" fontId="45" fillId="2" borderId="99" xfId="0" applyFont="1" applyFill="1" applyBorder="1" applyAlignment="1">
      <alignment vertical="center" wrapText="1"/>
    </xf>
    <xf numFmtId="0" fontId="45" fillId="2" borderId="100" xfId="0" applyFont="1" applyFill="1" applyBorder="1" applyAlignment="1">
      <alignment vertical="center" wrapText="1"/>
    </xf>
    <xf numFmtId="0" fontId="41" fillId="2" borderId="67" xfId="0" applyFont="1" applyFill="1" applyBorder="1" applyAlignment="1"/>
    <xf numFmtId="0" fontId="64" fillId="0" borderId="0" xfId="0" applyFont="1" applyAlignment="1"/>
    <xf numFmtId="0" fontId="145" fillId="0" borderId="9" xfId="0" applyFont="1" applyBorder="1" applyAlignment="1">
      <alignment horizontal="center" vertical="center" wrapText="1"/>
    </xf>
    <xf numFmtId="0" fontId="145" fillId="0" borderId="10" xfId="0" applyFont="1" applyBorder="1" applyAlignment="1">
      <alignment horizontal="center" vertical="center" wrapText="1"/>
    </xf>
    <xf numFmtId="0" fontId="145" fillId="0" borderId="12" xfId="0" applyFont="1" applyBorder="1" applyAlignment="1">
      <alignment horizontal="center" vertical="center" wrapText="1"/>
    </xf>
    <xf numFmtId="0" fontId="145" fillId="0" borderId="11" xfId="0" applyFont="1" applyBorder="1" applyAlignment="1">
      <alignment horizontal="center" vertical="center" wrapText="1"/>
    </xf>
    <xf numFmtId="0" fontId="145" fillId="0" borderId="3" xfId="0" applyFont="1" applyBorder="1" applyAlignment="1">
      <alignment horizontal="center" vertical="center" wrapText="1"/>
    </xf>
    <xf numFmtId="0" fontId="145" fillId="0" borderId="1" xfId="0" applyFont="1" applyBorder="1" applyAlignment="1">
      <alignment horizontal="center" vertical="center" wrapText="1"/>
    </xf>
    <xf numFmtId="0" fontId="145" fillId="24" borderId="9" xfId="0" applyFont="1" applyFill="1" applyBorder="1" applyAlignment="1">
      <alignment horizontal="center" vertical="center" wrapText="1"/>
    </xf>
    <xf numFmtId="0" fontId="145" fillId="0" borderId="35" xfId="0" applyFont="1" applyBorder="1" applyAlignment="1">
      <alignment horizontal="center" vertical="center" wrapText="1"/>
    </xf>
    <xf numFmtId="0" fontId="145" fillId="24" borderId="35" xfId="0" applyFont="1" applyFill="1" applyBorder="1" applyAlignment="1">
      <alignment horizontal="center" vertical="center" wrapText="1"/>
    </xf>
    <xf numFmtId="0" fontId="145" fillId="24" borderId="3" xfId="0" applyFont="1" applyFill="1" applyBorder="1" applyAlignment="1">
      <alignment horizontal="center" vertical="center" wrapText="1"/>
    </xf>
    <xf numFmtId="0" fontId="145" fillId="0" borderId="9" xfId="52" applyFont="1" applyBorder="1" applyAlignment="1">
      <alignment horizontal="center" vertical="center" wrapText="1"/>
    </xf>
    <xf numFmtId="0" fontId="145" fillId="0" borderId="3" xfId="52" applyFont="1" applyBorder="1" applyAlignment="1">
      <alignment horizontal="center" vertical="center" wrapText="1"/>
    </xf>
    <xf numFmtId="0" fontId="146" fillId="0" borderId="9" xfId="0" applyFont="1" applyBorder="1" applyAlignment="1">
      <alignment horizontal="center" vertical="center" wrapText="1"/>
    </xf>
    <xf numFmtId="0" fontId="146" fillId="0" borderId="35" xfId="0" applyFont="1" applyBorder="1" applyAlignment="1">
      <alignment horizontal="center" vertical="center" wrapText="1"/>
    </xf>
    <xf numFmtId="0" fontId="146" fillId="0" borderId="3" xfId="0" applyFont="1" applyBorder="1" applyAlignment="1">
      <alignment horizontal="center" vertical="center" wrapText="1"/>
    </xf>
    <xf numFmtId="178" fontId="145" fillId="0" borderId="9" xfId="0" applyNumberFormat="1" applyFont="1" applyBorder="1" applyAlignment="1">
      <alignment horizontal="center" vertical="center" wrapText="1"/>
    </xf>
    <xf numFmtId="178" fontId="145" fillId="0" borderId="35" xfId="0" applyNumberFormat="1" applyFont="1" applyBorder="1" applyAlignment="1">
      <alignment horizontal="center" vertical="center" wrapText="1"/>
    </xf>
    <xf numFmtId="178" fontId="145" fillId="0" borderId="3" xfId="0" applyNumberFormat="1" applyFont="1" applyBorder="1" applyAlignment="1">
      <alignment horizontal="center" vertical="center" wrapText="1"/>
    </xf>
    <xf numFmtId="0" fontId="146" fillId="0" borderId="0" xfId="0" applyFont="1" applyAlignment="1">
      <alignment horizontal="center" vertical="center" wrapText="1"/>
    </xf>
    <xf numFmtId="0" fontId="146" fillId="0" borderId="1" xfId="0" applyFont="1" applyBorder="1" applyAlignment="1">
      <alignment horizontal="center" vertical="center" wrapText="1"/>
    </xf>
    <xf numFmtId="0" fontId="145" fillId="0" borderId="0" xfId="0" applyFont="1" applyAlignment="1">
      <alignment horizontal="center" vertical="center" wrapText="1"/>
    </xf>
    <xf numFmtId="0" fontId="0" fillId="0" borderId="10" xfId="0" applyFont="1" applyBorder="1" applyAlignment="1">
      <alignment horizontal="center" vertical="center" wrapText="1"/>
    </xf>
    <xf numFmtId="0" fontId="0" fillId="0" borderId="12" xfId="0" applyBorder="1" applyAlignment="1">
      <alignment horizontal="center" vertical="center" wrapText="1"/>
    </xf>
    <xf numFmtId="0" fontId="0" fillId="0" borderId="11" xfId="0" applyBorder="1" applyAlignment="1">
      <alignment horizontal="center" vertical="center" wrapText="1"/>
    </xf>
    <xf numFmtId="9" fontId="0" fillId="0" borderId="1" xfId="3" applyFont="1" applyBorder="1" applyAlignment="1">
      <alignment horizontal="center" vertical="center" wrapText="1"/>
    </xf>
    <xf numFmtId="0" fontId="0" fillId="3" borderId="10" xfId="0" applyFill="1" applyBorder="1" applyAlignment="1">
      <alignment horizontal="center" vertical="center" wrapText="1"/>
    </xf>
    <xf numFmtId="0" fontId="0" fillId="3" borderId="11" xfId="0" applyFill="1" applyBorder="1" applyAlignment="1">
      <alignment horizontal="center" vertical="center" wrapText="1"/>
    </xf>
    <xf numFmtId="0" fontId="0" fillId="0" borderId="10" xfId="0" applyBorder="1" applyAlignment="1">
      <alignment horizontal="center" vertical="center" wrapText="1"/>
    </xf>
    <xf numFmtId="0" fontId="0" fillId="0" borderId="1" xfId="0" applyBorder="1" applyAlignment="1">
      <alignment vertical="center" wrapText="1"/>
    </xf>
    <xf numFmtId="176" fontId="0" fillId="0" borderId="1" xfId="0" applyNumberFormat="1" applyBorder="1" applyAlignment="1">
      <alignment vertical="center" wrapText="1"/>
    </xf>
    <xf numFmtId="9" fontId="0" fillId="0" borderId="0" xfId="3" applyAlignment="1">
      <alignment vertical="center" wrapText="1"/>
    </xf>
    <xf numFmtId="0" fontId="34" fillId="6" borderId="0" xfId="0" applyFont="1" applyFill="1" applyAlignment="1">
      <alignment horizontal="center" vertical="center"/>
    </xf>
    <xf numFmtId="0" fontId="38" fillId="9" borderId="0" xfId="0" applyFont="1" applyFill="1" applyProtection="1">
      <alignment vertical="center"/>
      <protection locked="0"/>
    </xf>
    <xf numFmtId="0" fontId="50" fillId="9" borderId="0" xfId="0" applyFont="1" applyFill="1" applyAlignment="1" applyProtection="1">
      <alignment horizontal="center" vertical="center"/>
      <protection locked="0"/>
    </xf>
    <xf numFmtId="182" fontId="30" fillId="2" borderId="62" xfId="0" applyNumberFormat="1" applyFont="1" applyFill="1" applyBorder="1" applyAlignment="1">
      <alignment horizontal="center" vertical="center" wrapText="1"/>
    </xf>
    <xf numFmtId="0" fontId="30" fillId="5" borderId="78" xfId="0" applyFont="1" applyFill="1" applyBorder="1" applyAlignment="1" applyProtection="1">
      <alignment horizontal="center" vertical="center" wrapText="1"/>
      <protection locked="0"/>
    </xf>
    <xf numFmtId="0" fontId="41" fillId="2" borderId="46" xfId="0" applyFont="1" applyFill="1" applyBorder="1" applyAlignment="1" applyProtection="1">
      <alignment horizontal="left" vertical="center" wrapText="1"/>
      <protection locked="0"/>
    </xf>
    <xf numFmtId="0" fontId="44" fillId="0" borderId="81" xfId="0" applyFont="1" applyBorder="1" applyAlignment="1" applyProtection="1">
      <alignment horizontal="center" vertical="center" wrapText="1"/>
      <protection locked="0"/>
    </xf>
    <xf numFmtId="49" fontId="44" fillId="0" borderId="29" xfId="0" applyNumberFormat="1" applyFont="1" applyBorder="1" applyAlignment="1" applyProtection="1">
      <alignment horizontal="center" vertical="center" wrapText="1"/>
      <protection locked="0"/>
    </xf>
    <xf numFmtId="49" fontId="34" fillId="2" borderId="58" xfId="0" applyNumberFormat="1" applyFont="1" applyFill="1" applyBorder="1" applyAlignment="1">
      <alignment horizontal="center" vertical="center" wrapText="1"/>
    </xf>
    <xf numFmtId="0" fontId="30" fillId="2" borderId="9" xfId="0" applyFont="1" applyFill="1" applyBorder="1" applyAlignment="1">
      <alignment horizontal="center" vertical="center" wrapText="1"/>
    </xf>
    <xf numFmtId="0" fontId="30" fillId="2" borderId="3" xfId="0" applyFont="1" applyFill="1" applyBorder="1" applyAlignment="1">
      <alignment horizontal="center" vertical="center" wrapText="1"/>
    </xf>
    <xf numFmtId="0" fontId="34" fillId="0" borderId="14" xfId="0" applyFont="1" applyBorder="1" applyAlignment="1" applyProtection="1">
      <alignment horizontal="center" vertical="center"/>
      <protection locked="0"/>
    </xf>
    <xf numFmtId="0" fontId="32" fillId="0" borderId="15" xfId="0" applyFont="1" applyBorder="1" applyAlignment="1" applyProtection="1">
      <alignment horizontal="center" vertical="center"/>
      <protection locked="0"/>
    </xf>
    <xf numFmtId="0" fontId="34" fillId="0" borderId="58" xfId="0" applyFont="1" applyBorder="1" applyAlignment="1" applyProtection="1">
      <alignment horizontal="center" vertical="center" wrapText="1"/>
      <protection locked="0"/>
    </xf>
    <xf numFmtId="0" fontId="32" fillId="2" borderId="15" xfId="0" applyFont="1" applyFill="1" applyBorder="1" applyAlignment="1">
      <alignment horizontal="center" vertical="center" wrapText="1"/>
    </xf>
    <xf numFmtId="0" fontId="34" fillId="2" borderId="13" xfId="0" applyFont="1" applyFill="1" applyBorder="1" applyAlignment="1">
      <alignment horizontal="center" vertical="center"/>
    </xf>
    <xf numFmtId="0" fontId="96" fillId="2" borderId="4" xfId="0" applyFont="1" applyFill="1" applyBorder="1" applyAlignment="1">
      <alignment horizontal="center" vertical="center" wrapText="1"/>
    </xf>
    <xf numFmtId="0" fontId="96" fillId="2" borderId="5" xfId="0" applyFont="1" applyFill="1" applyBorder="1" applyAlignment="1">
      <alignment horizontal="center" vertical="center" wrapText="1"/>
    </xf>
    <xf numFmtId="176" fontId="19" fillId="2" borderId="14" xfId="51" applyNumberFormat="1" applyFont="1" applyFill="1" applyBorder="1" applyAlignment="1">
      <alignment horizontal="center"/>
    </xf>
    <xf numFmtId="0" fontId="96" fillId="2" borderId="6" xfId="0" applyFont="1" applyFill="1" applyBorder="1" applyAlignment="1">
      <alignment horizontal="center" vertical="center" wrapText="1"/>
    </xf>
    <xf numFmtId="0" fontId="96" fillId="2" borderId="1" xfId="0" applyFont="1" applyFill="1" applyBorder="1" applyAlignment="1">
      <alignment horizontal="center" vertical="center" wrapText="1"/>
    </xf>
    <xf numFmtId="0" fontId="8" fillId="2" borderId="6" xfId="0" applyFont="1" applyFill="1" applyBorder="1" applyAlignment="1">
      <alignment horizontal="center" vertical="center"/>
    </xf>
    <xf numFmtId="49" fontId="139" fillId="2" borderId="1" xfId="0" applyNumberFormat="1" applyFont="1" applyFill="1" applyBorder="1" applyAlignment="1">
      <alignment horizontal="center" vertical="center"/>
    </xf>
    <xf numFmtId="0" fontId="139" fillId="2" borderId="1" xfId="0" applyFont="1" applyFill="1" applyBorder="1" applyAlignment="1">
      <alignment horizontal="center" vertical="center"/>
    </xf>
    <xf numFmtId="181" fontId="39" fillId="8" borderId="1" xfId="0" applyNumberFormat="1" applyFont="1" applyFill="1" applyBorder="1" applyAlignment="1">
      <alignment horizontal="center" vertical="center"/>
    </xf>
    <xf numFmtId="0" fontId="8" fillId="2" borderId="7" xfId="0" applyFont="1" applyFill="1" applyBorder="1" applyAlignment="1">
      <alignment horizontal="center" vertical="center"/>
    </xf>
    <xf numFmtId="49" fontId="139" fillId="2" borderId="8" xfId="0" applyNumberFormat="1" applyFont="1" applyFill="1" applyBorder="1" applyAlignment="1">
      <alignment horizontal="center" vertical="center"/>
    </xf>
    <xf numFmtId="0" fontId="41" fillId="2" borderId="71" xfId="0" applyFont="1" applyFill="1" applyBorder="1">
      <alignment vertical="center"/>
    </xf>
    <xf numFmtId="0" fontId="41" fillId="3" borderId="1" xfId="0" applyFont="1" applyFill="1" applyBorder="1" applyAlignment="1" applyProtection="1">
      <alignment horizontal="center" vertical="center" wrapText="1"/>
      <protection locked="0"/>
    </xf>
    <xf numFmtId="0" fontId="41" fillId="2" borderId="76" xfId="0" applyFont="1" applyFill="1" applyBorder="1">
      <alignment vertical="center"/>
    </xf>
    <xf numFmtId="0" fontId="102" fillId="2" borderId="3" xfId="53" applyFont="1" applyFill="1" applyBorder="1" applyAlignment="1" applyProtection="1">
      <alignment horizontal="center" vertical="center" wrapText="1"/>
      <protection locked="0"/>
    </xf>
    <xf numFmtId="186" fontId="30" fillId="0" borderId="43" xfId="0" applyNumberFormat="1" applyFont="1" applyBorder="1" applyAlignment="1" applyProtection="1">
      <alignment horizontal="center" vertical="center" wrapText="1"/>
      <protection locked="0"/>
    </xf>
    <xf numFmtId="0" fontId="147" fillId="0" borderId="85" xfId="0" applyFont="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14" xfId="0" applyFont="1" applyBorder="1" applyAlignment="1" applyProtection="1">
      <alignment horizontal="center" vertical="center" wrapText="1"/>
      <protection locked="0"/>
    </xf>
    <xf numFmtId="0" fontId="34" fillId="6" borderId="0" xfId="0" applyFont="1" applyFill="1" applyAlignment="1" applyProtection="1">
      <alignment horizontal="center" vertical="center"/>
      <protection locked="0"/>
    </xf>
    <xf numFmtId="179" fontId="34" fillId="6" borderId="0" xfId="0" applyNumberFormat="1" applyFont="1" applyFill="1" applyAlignment="1" applyProtection="1">
      <alignment horizontal="center" vertical="center"/>
      <protection locked="0"/>
    </xf>
    <xf numFmtId="180" fontId="34" fillId="6" borderId="0" xfId="0" applyNumberFormat="1" applyFont="1" applyFill="1" applyAlignment="1" applyProtection="1">
      <alignment horizontal="center" vertical="center"/>
      <protection locked="0"/>
    </xf>
    <xf numFmtId="179" fontId="34" fillId="6" borderId="0" xfId="0" applyNumberFormat="1" applyFont="1" applyFill="1" applyAlignment="1">
      <alignment horizontal="center" vertical="center"/>
    </xf>
    <xf numFmtId="180" fontId="34" fillId="6" borderId="0" xfId="0" applyNumberFormat="1" applyFont="1" applyFill="1" applyAlignment="1">
      <alignment horizontal="center" vertical="center"/>
    </xf>
    <xf numFmtId="0" fontId="49" fillId="0" borderId="0" xfId="0" applyFont="1">
      <alignment vertical="center"/>
    </xf>
    <xf numFmtId="0" fontId="148" fillId="2" borderId="0" xfId="0" applyFont="1" applyFill="1">
      <alignment vertical="center"/>
    </xf>
    <xf numFmtId="0" fontId="26" fillId="2" borderId="0" xfId="0" applyFont="1" applyFill="1">
      <alignment vertical="center"/>
    </xf>
    <xf numFmtId="0" fontId="149" fillId="2" borderId="1" xfId="0" applyFont="1" applyFill="1" applyBorder="1">
      <alignment vertical="center"/>
    </xf>
    <xf numFmtId="0" fontId="149" fillId="3" borderId="1" xfId="0" applyFont="1" applyFill="1" applyBorder="1" applyAlignment="1" applyProtection="1">
      <alignment horizontal="center" vertical="center"/>
      <protection locked="0"/>
    </xf>
    <xf numFmtId="0" fontId="149" fillId="3" borderId="1" xfId="0" applyFont="1" applyFill="1" applyBorder="1" applyAlignment="1" applyProtection="1">
      <alignment horizontal="center" vertical="center" wrapText="1"/>
      <protection locked="0"/>
    </xf>
    <xf numFmtId="0" fontId="150" fillId="0" borderId="98" xfId="0" applyFont="1" applyBorder="1" applyAlignment="1" applyProtection="1">
      <alignment horizontal="center" vertical="center"/>
      <protection locked="0"/>
    </xf>
    <xf numFmtId="0" fontId="150" fillId="0" borderId="99" xfId="0" applyFont="1" applyBorder="1" applyAlignment="1" applyProtection="1">
      <alignment horizontal="center" vertical="center"/>
      <protection locked="0"/>
    </xf>
    <xf numFmtId="0" fontId="150" fillId="0" borderId="17" xfId="0" applyFont="1" applyBorder="1" applyAlignment="1" applyProtection="1">
      <alignment horizontal="center" vertical="center"/>
      <protection locked="0"/>
    </xf>
    <xf numFmtId="0" fontId="18" fillId="2" borderId="65" xfId="0" applyFont="1" applyFill="1" applyBorder="1" applyAlignment="1">
      <alignment horizontal="center" vertical="center"/>
    </xf>
    <xf numFmtId="0" fontId="30" fillId="2" borderId="9" xfId="0" applyFont="1" applyFill="1" applyBorder="1" applyAlignment="1">
      <alignment vertical="center" wrapText="1"/>
    </xf>
    <xf numFmtId="0" fontId="49" fillId="5" borderId="9" xfId="0" applyFont="1" applyFill="1" applyBorder="1" applyAlignment="1" applyProtection="1">
      <alignment horizontal="center" vertical="center"/>
      <protection locked="0"/>
    </xf>
    <xf numFmtId="0" fontId="18" fillId="2" borderId="10" xfId="0" applyFont="1" applyFill="1" applyBorder="1" applyAlignment="1">
      <alignment horizontal="center" vertical="center" wrapText="1"/>
    </xf>
    <xf numFmtId="0" fontId="30" fillId="2" borderId="1" xfId="0" applyFont="1" applyFill="1" applyBorder="1" applyAlignment="1">
      <alignment horizontal="left" vertical="center" wrapText="1"/>
    </xf>
    <xf numFmtId="0" fontId="30" fillId="0" borderId="9" xfId="0" applyFont="1" applyBorder="1" applyAlignment="1" applyProtection="1">
      <alignment horizontal="center" vertical="center"/>
      <protection locked="0"/>
    </xf>
    <xf numFmtId="0" fontId="30" fillId="0" borderId="1" xfId="0" applyFont="1" applyBorder="1" applyAlignment="1" applyProtection="1">
      <alignment horizontal="center" vertical="center"/>
      <protection locked="0"/>
    </xf>
    <xf numFmtId="0" fontId="18" fillId="2" borderId="12" xfId="0" applyFont="1" applyFill="1" applyBorder="1" applyAlignment="1">
      <alignment vertical="center" wrapText="1"/>
    </xf>
    <xf numFmtId="0" fontId="30" fillId="0" borderId="35" xfId="0" applyFont="1" applyBorder="1" applyAlignment="1" applyProtection="1">
      <alignment horizontal="center" vertical="center"/>
      <protection locked="0"/>
    </xf>
    <xf numFmtId="0" fontId="30" fillId="0" borderId="3" xfId="0" applyFont="1" applyBorder="1" applyAlignment="1" applyProtection="1">
      <alignment horizontal="center" vertical="center"/>
      <protection locked="0"/>
    </xf>
    <xf numFmtId="0" fontId="41" fillId="2" borderId="10" xfId="0" applyFont="1" applyFill="1" applyBorder="1" applyAlignment="1">
      <alignment horizontal="right" vertical="center"/>
    </xf>
    <xf numFmtId="0" fontId="30" fillId="2" borderId="11" xfId="0" applyFont="1" applyFill="1" applyBorder="1">
      <alignment vertical="center"/>
    </xf>
    <xf numFmtId="0" fontId="30" fillId="2" borderId="3" xfId="0" applyFont="1" applyFill="1" applyBorder="1" applyAlignment="1">
      <alignment horizontal="center" vertical="center"/>
    </xf>
    <xf numFmtId="0" fontId="41" fillId="2" borderId="20" xfId="0" applyFont="1" applyFill="1" applyBorder="1" applyAlignment="1">
      <alignment horizontal="right" vertical="center"/>
    </xf>
    <xf numFmtId="0" fontId="30" fillId="2" borderId="0" xfId="0" applyFont="1" applyFill="1">
      <alignment vertical="center"/>
    </xf>
    <xf numFmtId="178" fontId="30" fillId="2" borderId="9" xfId="0" applyNumberFormat="1" applyFont="1" applyFill="1" applyBorder="1" applyAlignment="1">
      <alignment horizontal="center" vertical="center"/>
    </xf>
    <xf numFmtId="0" fontId="15" fillId="2" borderId="20" xfId="0" applyFont="1" applyFill="1" applyBorder="1" applyAlignment="1">
      <alignment horizontal="left" vertical="center" wrapText="1"/>
    </xf>
    <xf numFmtId="0" fontId="15" fillId="2" borderId="0" xfId="0" applyFont="1" applyFill="1" applyAlignment="1">
      <alignment horizontal="left" vertical="center" wrapText="1"/>
    </xf>
    <xf numFmtId="0" fontId="41" fillId="2" borderId="19" xfId="0" applyFont="1" applyFill="1" applyBorder="1">
      <alignment vertical="center"/>
    </xf>
    <xf numFmtId="0" fontId="30" fillId="2" borderId="5" xfId="0" applyFont="1" applyFill="1" applyBorder="1">
      <alignment vertical="center"/>
    </xf>
    <xf numFmtId="0" fontId="49" fillId="2" borderId="5" xfId="0" applyFont="1" applyFill="1" applyBorder="1" applyAlignment="1">
      <alignment horizontal="center" vertical="center"/>
    </xf>
    <xf numFmtId="0" fontId="49" fillId="2" borderId="39" xfId="0" applyFont="1" applyFill="1" applyBorder="1" applyAlignment="1">
      <alignment horizontal="center" vertical="center"/>
    </xf>
    <xf numFmtId="0" fontId="30" fillId="2" borderId="40" xfId="0" applyFont="1" applyFill="1" applyBorder="1" applyAlignment="1">
      <alignment horizontal="right" vertical="center"/>
    </xf>
    <xf numFmtId="0" fontId="18" fillId="2" borderId="45" xfId="0" applyFont="1" applyFill="1" applyBorder="1">
      <alignment vertical="center"/>
    </xf>
    <xf numFmtId="0" fontId="41" fillId="2" borderId="21" xfId="0" applyFont="1" applyFill="1" applyBorder="1">
      <alignment vertical="center"/>
    </xf>
    <xf numFmtId="0" fontId="30" fillId="2" borderId="1" xfId="0" applyFont="1" applyFill="1" applyBorder="1">
      <alignment vertical="center"/>
    </xf>
    <xf numFmtId="0" fontId="49" fillId="2" borderId="1" xfId="0" applyFont="1" applyFill="1" applyBorder="1" applyAlignment="1">
      <alignment horizontal="center" vertical="center"/>
    </xf>
    <xf numFmtId="0" fontId="49" fillId="2" borderId="10" xfId="0" applyFont="1" applyFill="1" applyBorder="1" applyAlignment="1">
      <alignment horizontal="center" vertical="center"/>
    </xf>
    <xf numFmtId="0" fontId="30" fillId="2" borderId="10" xfId="0" applyFont="1" applyFill="1" applyBorder="1" applyAlignment="1">
      <alignment horizontal="right" vertical="center"/>
    </xf>
    <xf numFmtId="0" fontId="30" fillId="2" borderId="9" xfId="0" applyFont="1" applyFill="1" applyBorder="1">
      <alignment vertical="center"/>
    </xf>
    <xf numFmtId="0" fontId="30" fillId="2" borderId="9" xfId="0" applyFont="1" applyFill="1" applyBorder="1" applyAlignment="1">
      <alignment horizontal="center" vertical="center"/>
    </xf>
    <xf numFmtId="0" fontId="30" fillId="2" borderId="18" xfId="0" applyFont="1" applyFill="1" applyBorder="1" applyAlignment="1">
      <alignment horizontal="center" vertical="center"/>
    </xf>
    <xf numFmtId="0" fontId="30" fillId="2" borderId="12" xfId="0" applyFont="1" applyFill="1" applyBorder="1" applyAlignment="1">
      <alignment horizontal="right" vertical="center"/>
    </xf>
    <xf numFmtId="0" fontId="41" fillId="2" borderId="10" xfId="0" applyFont="1" applyFill="1" applyBorder="1" applyAlignment="1">
      <alignment horizontal="left" vertical="center"/>
    </xf>
    <xf numFmtId="180" fontId="151" fillId="2" borderId="12" xfId="0" applyNumberFormat="1" applyFont="1" applyFill="1" applyBorder="1" applyAlignment="1">
      <alignment horizontal="center" vertical="center"/>
    </xf>
    <xf numFmtId="0" fontId="30" fillId="2" borderId="80" xfId="0" applyFont="1" applyFill="1" applyBorder="1">
      <alignment vertical="center"/>
    </xf>
    <xf numFmtId="0" fontId="18" fillId="2" borderId="79" xfId="0" applyFont="1" applyFill="1" applyBorder="1" applyAlignment="1">
      <alignment horizontal="right" vertical="center"/>
    </xf>
    <xf numFmtId="0" fontId="18" fillId="2" borderId="53" xfId="0" applyFont="1" applyFill="1" applyBorder="1" applyAlignment="1">
      <alignment horizontal="left" vertical="center"/>
    </xf>
    <xf numFmtId="0" fontId="41" fillId="2" borderId="69" xfId="0" applyFont="1" applyFill="1" applyBorder="1" applyAlignment="1">
      <alignment horizontal="left" vertical="center" wrapText="1"/>
    </xf>
    <xf numFmtId="0" fontId="30" fillId="2" borderId="39" xfId="0" applyFont="1" applyFill="1" applyBorder="1" applyAlignment="1">
      <alignment horizontal="right" vertical="center"/>
    </xf>
    <xf numFmtId="0" fontId="30" fillId="2" borderId="44" xfId="0" applyFont="1" applyFill="1" applyBorder="1" applyAlignment="1">
      <alignment horizontal="center" vertical="center"/>
    </xf>
    <xf numFmtId="0" fontId="41" fillId="2" borderId="29" xfId="0" applyFont="1" applyFill="1" applyBorder="1" applyAlignment="1">
      <alignment horizontal="left" vertical="center" wrapText="1"/>
    </xf>
    <xf numFmtId="0" fontId="30" fillId="3" borderId="1" xfId="0" applyFont="1" applyFill="1" applyBorder="1" applyProtection="1">
      <alignment vertical="center"/>
      <protection locked="0"/>
    </xf>
    <xf numFmtId="0" fontId="30" fillId="2" borderId="34" xfId="0" applyFont="1" applyFill="1" applyBorder="1" applyAlignment="1">
      <alignment horizontal="right" vertical="center"/>
    </xf>
    <xf numFmtId="0" fontId="30" fillId="2" borderId="46" xfId="0" applyFont="1" applyFill="1" applyBorder="1" applyAlignment="1">
      <alignment horizontal="center" vertical="center"/>
    </xf>
    <xf numFmtId="0" fontId="150" fillId="0" borderId="6" xfId="0" applyFont="1" applyBorder="1" applyAlignment="1" applyProtection="1">
      <alignment horizontal="center" vertical="center"/>
      <protection locked="0"/>
    </xf>
    <xf numFmtId="0" fontId="150" fillId="0" borderId="1" xfId="0" applyFont="1" applyBorder="1" applyAlignment="1" applyProtection="1">
      <alignment horizontal="center" vertical="center"/>
      <protection locked="0"/>
    </xf>
    <xf numFmtId="0" fontId="150" fillId="0" borderId="14" xfId="0" applyFont="1" applyBorder="1" applyAlignment="1" applyProtection="1">
      <alignment horizontal="center" vertical="center"/>
      <protection locked="0"/>
    </xf>
    <xf numFmtId="0" fontId="150" fillId="0" borderId="7" xfId="0" applyFont="1" applyBorder="1" applyAlignment="1">
      <alignment horizontal="center" vertical="center"/>
    </xf>
    <xf numFmtId="0" fontId="150" fillId="0" borderId="8" xfId="0" applyFont="1" applyBorder="1" applyAlignment="1" applyProtection="1">
      <alignment horizontal="center" vertical="center"/>
      <protection locked="0"/>
    </xf>
    <xf numFmtId="0" fontId="150" fillId="0" borderId="15" xfId="0" applyFont="1" applyBorder="1" applyAlignment="1" applyProtection="1">
      <alignment horizontal="center" vertical="center"/>
      <protection locked="0"/>
    </xf>
    <xf numFmtId="0" fontId="15" fillId="2" borderId="0" xfId="0" applyFont="1" applyFill="1" applyAlignment="1">
      <alignment horizontal="left" vertical="center"/>
    </xf>
    <xf numFmtId="0" fontId="14" fillId="2" borderId="145" xfId="0" applyFont="1" applyFill="1" applyBorder="1" applyAlignment="1">
      <alignment horizontal="center" vertical="center"/>
    </xf>
    <xf numFmtId="0" fontId="41" fillId="2" borderId="3" xfId="0" applyFont="1" applyFill="1" applyBorder="1">
      <alignment vertical="center"/>
    </xf>
    <xf numFmtId="0" fontId="23" fillId="2" borderId="66" xfId="0" applyFont="1" applyFill="1" applyBorder="1">
      <alignment vertical="center"/>
    </xf>
    <xf numFmtId="0" fontId="152" fillId="2" borderId="21" xfId="0" applyFont="1" applyFill="1" applyBorder="1">
      <alignment vertical="center"/>
    </xf>
    <xf numFmtId="0" fontId="41" fillId="2" borderId="1" xfId="0" applyFont="1" applyFill="1" applyBorder="1">
      <alignment vertical="center"/>
    </xf>
    <xf numFmtId="0" fontId="23" fillId="2" borderId="46" xfId="0" applyFont="1" applyFill="1" applyBorder="1">
      <alignment vertical="center"/>
    </xf>
    <xf numFmtId="0" fontId="30" fillId="2" borderId="56" xfId="0" applyFont="1" applyFill="1" applyBorder="1" applyAlignment="1">
      <alignment horizontal="left" vertical="center"/>
    </xf>
    <xf numFmtId="0" fontId="41" fillId="0" borderId="13" xfId="0" applyFont="1" applyBorder="1" applyAlignment="1" applyProtection="1">
      <alignment horizontal="center" vertical="center"/>
      <protection locked="0"/>
    </xf>
    <xf numFmtId="0" fontId="18" fillId="3" borderId="99" xfId="0" applyFont="1" applyFill="1" applyBorder="1" applyProtection="1">
      <alignment vertical="center"/>
      <protection locked="0"/>
    </xf>
    <xf numFmtId="0" fontId="153" fillId="2" borderId="21" xfId="0" applyFont="1" applyFill="1" applyBorder="1" applyAlignment="1">
      <alignment horizontal="right" vertical="center"/>
    </xf>
    <xf numFmtId="0" fontId="41" fillId="2" borderId="9" xfId="0" applyFont="1" applyFill="1" applyBorder="1">
      <alignment vertical="center"/>
    </xf>
    <xf numFmtId="0" fontId="41" fillId="2" borderId="68" xfId="0" applyFont="1" applyFill="1" applyBorder="1" applyAlignment="1">
      <alignment horizontal="left" vertical="center" wrapText="1"/>
    </xf>
    <xf numFmtId="0" fontId="30" fillId="2" borderId="11" xfId="0" applyFont="1" applyFill="1" applyBorder="1" applyAlignment="1">
      <alignment horizontal="left" vertical="center"/>
    </xf>
    <xf numFmtId="0" fontId="41" fillId="0" borderId="14" xfId="0" applyFont="1" applyBorder="1" applyAlignment="1" applyProtection="1">
      <alignment horizontal="center" vertical="center"/>
      <protection locked="0"/>
    </xf>
    <xf numFmtId="0" fontId="41" fillId="2" borderId="35" xfId="0" applyFont="1" applyFill="1" applyBorder="1">
      <alignment vertical="center"/>
    </xf>
    <xf numFmtId="0" fontId="23" fillId="2" borderId="54" xfId="0" applyFont="1" applyFill="1" applyBorder="1" applyAlignment="1">
      <alignment horizontal="right" vertical="center"/>
    </xf>
    <xf numFmtId="0" fontId="23" fillId="2" borderId="47" xfId="0" applyFont="1" applyFill="1" applyBorder="1" applyAlignment="1">
      <alignment horizontal="left" vertical="center"/>
    </xf>
    <xf numFmtId="0" fontId="41" fillId="2" borderId="76" xfId="0" applyFont="1" applyFill="1" applyBorder="1" applyAlignment="1">
      <alignment horizontal="left" vertical="center" wrapText="1"/>
    </xf>
    <xf numFmtId="0" fontId="30" fillId="2" borderId="110" xfId="0" applyFont="1" applyFill="1" applyBorder="1" applyAlignment="1">
      <alignment horizontal="left" vertical="center"/>
    </xf>
    <xf numFmtId="0" fontId="41" fillId="0" borderId="8" xfId="0" applyFont="1" applyBorder="1" applyAlignment="1" applyProtection="1">
      <alignment horizontal="center" vertical="center"/>
      <protection locked="0"/>
    </xf>
    <xf numFmtId="0" fontId="30" fillId="0" borderId="100" xfId="0" applyFont="1" applyBorder="1" applyProtection="1">
      <alignment vertical="center"/>
      <protection locked="0"/>
    </xf>
    <xf numFmtId="0" fontId="41" fillId="2" borderId="91" xfId="0" applyFont="1" applyFill="1" applyBorder="1">
      <alignment vertical="center"/>
    </xf>
    <xf numFmtId="0" fontId="150" fillId="0" borderId="4" xfId="0" applyFont="1" applyBorder="1" applyAlignment="1" applyProtection="1">
      <alignment horizontal="center" vertical="center"/>
      <protection locked="0"/>
    </xf>
    <xf numFmtId="0" fontId="150" fillId="0" borderId="5" xfId="0" applyFont="1" applyBorder="1" applyAlignment="1" applyProtection="1">
      <alignment horizontal="center" vertical="center"/>
      <protection locked="0"/>
    </xf>
    <xf numFmtId="0" fontId="150" fillId="0" borderId="13" xfId="0" applyFont="1" applyBorder="1" applyAlignment="1" applyProtection="1">
      <alignment horizontal="center" vertical="center"/>
      <protection locked="0"/>
    </xf>
    <xf numFmtId="0" fontId="18" fillId="2" borderId="106" xfId="0" applyFont="1" applyFill="1" applyBorder="1">
      <alignment vertical="center"/>
    </xf>
    <xf numFmtId="0" fontId="18" fillId="2" borderId="102" xfId="0" applyFont="1" applyFill="1" applyBorder="1">
      <alignment vertical="center"/>
    </xf>
    <xf numFmtId="0" fontId="150" fillId="0" borderId="7" xfId="0" applyFont="1" applyBorder="1" applyAlignment="1" applyProtection="1">
      <alignment horizontal="center" vertical="center"/>
      <protection locked="0"/>
    </xf>
    <xf numFmtId="0" fontId="154" fillId="2" borderId="0" xfId="0" applyFont="1" applyFill="1">
      <alignment vertical="center"/>
    </xf>
    <xf numFmtId="0" fontId="27" fillId="2" borderId="19" xfId="0" applyFont="1" applyFill="1" applyBorder="1" applyAlignment="1">
      <alignment horizontal="center" vertical="center"/>
    </xf>
    <xf numFmtId="0" fontId="27" fillId="2" borderId="71" xfId="0" applyFont="1" applyFill="1" applyBorder="1" applyAlignment="1">
      <alignment horizontal="center" vertical="center"/>
    </xf>
    <xf numFmtId="0" fontId="56" fillId="2" borderId="40" xfId="0" applyFont="1" applyFill="1" applyBorder="1" applyAlignment="1">
      <alignment horizontal="center" vertical="center" wrapText="1"/>
    </xf>
    <xf numFmtId="0" fontId="27" fillId="2" borderId="5" xfId="0" applyFont="1" applyFill="1" applyBorder="1" applyAlignment="1">
      <alignment horizontal="center" vertical="center"/>
    </xf>
    <xf numFmtId="0" fontId="27" fillId="2" borderId="13" xfId="0" applyFont="1" applyFill="1" applyBorder="1" applyAlignment="1">
      <alignment horizontal="center" vertical="center"/>
    </xf>
    <xf numFmtId="0" fontId="41" fillId="2" borderId="6" xfId="0" applyFont="1" applyFill="1" applyBorder="1" applyAlignment="1">
      <alignment horizontal="left" vertical="center"/>
    </xf>
    <xf numFmtId="0" fontId="41" fillId="2" borderId="1" xfId="0" applyFont="1" applyFill="1" applyBorder="1" applyAlignment="1">
      <alignment horizontal="left" vertical="center"/>
    </xf>
    <xf numFmtId="0" fontId="23" fillId="2" borderId="1" xfId="0" applyFont="1" applyFill="1" applyBorder="1" applyAlignment="1">
      <alignment horizontal="right" vertical="center"/>
    </xf>
    <xf numFmtId="0" fontId="23" fillId="2" borderId="14" xfId="0" applyFont="1" applyFill="1" applyBorder="1" applyAlignment="1">
      <alignment horizontal="right" vertical="center"/>
    </xf>
    <xf numFmtId="0" fontId="41" fillId="3" borderId="12" xfId="0" applyFont="1" applyFill="1" applyBorder="1">
      <alignment vertical="center"/>
    </xf>
    <xf numFmtId="0" fontId="41" fillId="3" borderId="11" xfId="0" applyFont="1" applyFill="1" applyBorder="1">
      <alignment vertical="center"/>
    </xf>
    <xf numFmtId="0" fontId="18" fillId="3" borderId="0" xfId="0" applyFont="1" applyFill="1" applyProtection="1">
      <alignment vertical="center"/>
      <protection locked="0"/>
    </xf>
    <xf numFmtId="0" fontId="41" fillId="2" borderId="64" xfId="0" applyFont="1" applyFill="1" applyBorder="1" applyAlignment="1">
      <alignment horizontal="left" vertical="center"/>
    </xf>
    <xf numFmtId="0" fontId="41" fillId="2" borderId="11" xfId="0" applyFont="1" applyFill="1" applyBorder="1" applyAlignment="1">
      <alignment horizontal="left" vertical="center"/>
    </xf>
    <xf numFmtId="0" fontId="41" fillId="2" borderId="18" xfId="0" applyFont="1" applyFill="1" applyBorder="1" applyAlignment="1">
      <alignment horizontal="right" vertical="center"/>
    </xf>
    <xf numFmtId="0" fontId="41" fillId="2" borderId="7" xfId="0" applyFont="1" applyFill="1" applyBorder="1" applyAlignment="1" applyProtection="1">
      <alignment horizontal="left" vertical="center" wrapText="1"/>
      <protection locked="0"/>
    </xf>
    <xf numFmtId="0" fontId="41" fillId="2" borderId="8" xfId="0" applyFont="1" applyFill="1" applyBorder="1" applyAlignment="1" applyProtection="1">
      <alignment horizontal="left" vertical="center" wrapText="1"/>
      <protection locked="0"/>
    </xf>
    <xf numFmtId="0" fontId="41" fillId="2" borderId="42" xfId="0" applyFont="1" applyFill="1" applyBorder="1" applyAlignment="1">
      <alignment horizontal="right" vertical="center"/>
    </xf>
    <xf numFmtId="0" fontId="155" fillId="0" borderId="20" xfId="0" applyFont="1" applyBorder="1" applyAlignment="1">
      <alignment horizontal="left" vertical="center"/>
    </xf>
    <xf numFmtId="0" fontId="156" fillId="0" borderId="0" xfId="0" applyFont="1" applyAlignment="1">
      <alignment horizontal="left" vertical="center" wrapText="1"/>
    </xf>
    <xf numFmtId="0" fontId="157" fillId="3" borderId="0" xfId="0" applyFont="1" applyFill="1" applyAlignment="1" applyProtection="1">
      <alignment horizontal="left" vertical="center" wrapText="1"/>
      <protection locked="0"/>
    </xf>
    <xf numFmtId="0" fontId="18" fillId="0" borderId="54" xfId="0" applyFont="1" applyBorder="1" applyAlignment="1" applyProtection="1">
      <alignment horizontal="center" vertical="center" wrapText="1"/>
      <protection locked="0"/>
    </xf>
    <xf numFmtId="0" fontId="18" fillId="0" borderId="54" xfId="0" applyFont="1" applyBorder="1" applyAlignment="1" applyProtection="1">
      <alignment horizontal="center" vertical="center"/>
      <protection locked="0"/>
    </xf>
    <xf numFmtId="0" fontId="18" fillId="0" borderId="20" xfId="0" applyFont="1" applyBorder="1" applyAlignment="1" applyProtection="1">
      <alignment horizontal="left" vertical="center" wrapText="1"/>
      <protection locked="0"/>
    </xf>
    <xf numFmtId="0" fontId="18" fillId="0" borderId="0" xfId="0" applyFont="1" applyAlignment="1" applyProtection="1">
      <alignment horizontal="left" vertical="center" wrapText="1"/>
      <protection locked="0"/>
    </xf>
    <xf numFmtId="0" fontId="18" fillId="0" borderId="34" xfId="0" applyFont="1" applyBorder="1" applyAlignment="1" applyProtection="1">
      <alignment horizontal="left" vertical="center" wrapText="1"/>
      <protection locked="0"/>
    </xf>
    <xf numFmtId="0" fontId="18" fillId="0" borderId="89" xfId="0" applyFont="1" applyBorder="1" applyAlignment="1" applyProtection="1">
      <alignment horizontal="left" vertical="center" wrapText="1"/>
      <protection locked="0"/>
    </xf>
    <xf numFmtId="0" fontId="18" fillId="0" borderId="89" xfId="0" applyFont="1" applyBorder="1" applyAlignment="1" applyProtection="1">
      <alignment horizontal="center" vertical="center" wrapText="1"/>
      <protection locked="0"/>
    </xf>
    <xf numFmtId="0" fontId="18" fillId="0" borderId="89" xfId="0" applyFont="1" applyBorder="1" applyAlignment="1" applyProtection="1">
      <alignment horizontal="center" vertical="center"/>
      <protection locked="0"/>
    </xf>
    <xf numFmtId="0" fontId="23" fillId="0" borderId="89" xfId="0" applyFont="1" applyBorder="1" applyAlignment="1" applyProtection="1">
      <alignment horizontal="left" vertical="center"/>
      <protection locked="0"/>
    </xf>
    <xf numFmtId="0" fontId="18" fillId="0" borderId="89" xfId="0" applyFont="1" applyBorder="1" applyProtection="1">
      <alignment vertical="center"/>
      <protection locked="0"/>
    </xf>
    <xf numFmtId="0" fontId="23" fillId="0" borderId="0" xfId="0" applyFont="1" applyAlignment="1" applyProtection="1">
      <alignment horizontal="left" vertical="center"/>
      <protection locked="0"/>
    </xf>
    <xf numFmtId="2" fontId="18" fillId="0" borderId="0" xfId="0" applyNumberFormat="1" applyFont="1" applyAlignment="1" applyProtection="1">
      <alignment vertical="center" wrapText="1"/>
      <protection locked="0"/>
    </xf>
    <xf numFmtId="0" fontId="23" fillId="0" borderId="0" xfId="0" applyFont="1" applyAlignment="1" applyProtection="1">
      <alignment vertical="center" wrapText="1"/>
      <protection locked="0"/>
    </xf>
    <xf numFmtId="0" fontId="18" fillId="0" borderId="0" xfId="0" applyFont="1" applyAlignment="1" applyProtection="1">
      <alignment vertical="center" wrapText="1"/>
      <protection locked="0"/>
    </xf>
    <xf numFmtId="0" fontId="154" fillId="2" borderId="0" xfId="0" applyFont="1" applyFill="1" applyAlignment="1">
      <alignment horizontal="left" vertical="center"/>
    </xf>
    <xf numFmtId="0" fontId="158" fillId="2" borderId="0" xfId="0" applyFont="1" applyFill="1" applyAlignment="1">
      <alignment horizontal="left" vertical="center"/>
    </xf>
    <xf numFmtId="0" fontId="159" fillId="2" borderId="0" xfId="0" applyFont="1" applyFill="1">
      <alignment vertical="center"/>
    </xf>
    <xf numFmtId="0" fontId="159" fillId="2" borderId="0" xfId="0" applyFont="1" applyFill="1" applyAlignment="1">
      <alignment horizontal="center" vertical="center"/>
    </xf>
    <xf numFmtId="0" fontId="23" fillId="2" borderId="18" xfId="0" applyFont="1" applyFill="1" applyBorder="1" applyAlignment="1">
      <alignment horizontal="left" vertical="center" wrapText="1"/>
    </xf>
    <xf numFmtId="0" fontId="23" fillId="2" borderId="54" xfId="0" applyFont="1" applyFill="1" applyBorder="1" applyAlignment="1">
      <alignment horizontal="left" vertical="center" wrapText="1"/>
    </xf>
    <xf numFmtId="0" fontId="23" fillId="2" borderId="58" xfId="0" applyFont="1" applyFill="1" applyBorder="1" applyAlignment="1">
      <alignment horizontal="left" vertical="center" wrapText="1"/>
    </xf>
    <xf numFmtId="0" fontId="18" fillId="2" borderId="54" xfId="0" applyFont="1" applyFill="1" applyBorder="1" applyAlignment="1">
      <alignment horizontal="right" vertical="center"/>
    </xf>
    <xf numFmtId="9" fontId="18" fillId="3" borderId="54" xfId="0" applyNumberFormat="1" applyFont="1" applyFill="1" applyBorder="1" applyAlignment="1" applyProtection="1">
      <alignment horizontal="center" vertical="center"/>
      <protection locked="0"/>
    </xf>
    <xf numFmtId="0" fontId="23" fillId="2" borderId="59" xfId="0" applyFont="1" applyFill="1" applyBorder="1" applyAlignment="1">
      <alignment horizontal="center" vertical="center" wrapText="1"/>
    </xf>
    <xf numFmtId="0" fontId="23" fillId="2" borderId="78" xfId="0" applyFont="1" applyFill="1" applyBorder="1" applyAlignment="1">
      <alignment horizontal="center" vertical="center" wrapText="1"/>
    </xf>
    <xf numFmtId="0" fontId="23" fillId="2" borderId="44" xfId="0" applyFont="1" applyFill="1" applyBorder="1" applyAlignment="1">
      <alignment horizontal="center" vertical="center" wrapText="1"/>
    </xf>
    <xf numFmtId="9" fontId="18" fillId="2" borderId="0" xfId="0" applyNumberFormat="1" applyFont="1" applyFill="1" applyAlignment="1">
      <alignment horizontal="center" vertical="center"/>
    </xf>
    <xf numFmtId="0" fontId="150" fillId="0" borderId="100" xfId="0" applyFont="1" applyBorder="1" applyAlignment="1" applyProtection="1">
      <alignment horizontal="center" vertical="center"/>
      <protection locked="0"/>
    </xf>
    <xf numFmtId="0" fontId="150" fillId="2" borderId="0" xfId="0" applyFont="1" applyFill="1" applyAlignment="1" applyProtection="1">
      <alignment horizontal="center" vertical="center"/>
      <protection locked="0"/>
    </xf>
    <xf numFmtId="0" fontId="18" fillId="2" borderId="11" xfId="0" applyFont="1" applyFill="1" applyBorder="1" applyAlignment="1">
      <alignment horizontal="center" vertical="center" wrapText="1"/>
    </xf>
    <xf numFmtId="0" fontId="18" fillId="2" borderId="11" xfId="0" applyFont="1" applyFill="1" applyBorder="1" applyAlignment="1">
      <alignment vertical="center" wrapText="1"/>
    </xf>
    <xf numFmtId="0" fontId="88" fillId="2" borderId="59" xfId="0" applyFont="1" applyFill="1" applyBorder="1" applyAlignment="1">
      <alignment horizontal="left" vertical="center"/>
    </xf>
    <xf numFmtId="0" fontId="18" fillId="2" borderId="78" xfId="0" applyFont="1" applyFill="1" applyBorder="1">
      <alignment vertical="center"/>
    </xf>
    <xf numFmtId="0" fontId="18" fillId="2" borderId="44" xfId="0" applyFont="1" applyFill="1" applyBorder="1">
      <alignment vertical="center"/>
    </xf>
    <xf numFmtId="0" fontId="88" fillId="2" borderId="64" xfId="0" applyFont="1" applyFill="1" applyBorder="1" applyAlignment="1">
      <alignment horizontal="left" vertical="center"/>
    </xf>
    <xf numFmtId="0" fontId="159" fillId="2" borderId="64" xfId="0" applyFont="1" applyFill="1" applyBorder="1" applyProtection="1">
      <alignment vertical="center"/>
      <protection locked="0"/>
    </xf>
    <xf numFmtId="0" fontId="18" fillId="2" borderId="12" xfId="0" applyFont="1" applyFill="1" applyBorder="1" applyProtection="1">
      <alignment vertical="center"/>
      <protection locked="0"/>
    </xf>
    <xf numFmtId="0" fontId="18" fillId="2" borderId="46" xfId="0" applyFont="1" applyFill="1" applyBorder="1" applyProtection="1">
      <alignment vertical="center"/>
      <protection locked="0"/>
    </xf>
    <xf numFmtId="0" fontId="88" fillId="2" borderId="21" xfId="0" applyFont="1" applyFill="1" applyBorder="1" applyAlignment="1">
      <alignment horizontal="left" vertical="center"/>
    </xf>
    <xf numFmtId="0" fontId="18" fillId="2" borderId="48" xfId="0" applyFont="1" applyFill="1" applyBorder="1" applyProtection="1">
      <alignment vertical="center"/>
      <protection locked="0"/>
    </xf>
    <xf numFmtId="0" fontId="18" fillId="2" borderId="100" xfId="0" applyFont="1" applyFill="1" applyBorder="1">
      <alignment vertical="center"/>
    </xf>
    <xf numFmtId="0" fontId="88" fillId="2" borderId="32" xfId="0" applyFont="1" applyFill="1" applyBorder="1" applyAlignment="1">
      <alignment horizontal="left" vertical="center"/>
    </xf>
    <xf numFmtId="0" fontId="18" fillId="2" borderId="17" xfId="0" applyFont="1" applyFill="1" applyBorder="1">
      <alignment vertical="center"/>
    </xf>
    <xf numFmtId="0" fontId="18" fillId="2" borderId="67" xfId="0" applyFont="1" applyFill="1" applyBorder="1">
      <alignment vertical="center"/>
    </xf>
    <xf numFmtId="0" fontId="160" fillId="2" borderId="91" xfId="0" applyFont="1" applyFill="1" applyBorder="1" applyAlignment="1">
      <alignment horizontal="center" vertical="center" wrapText="1"/>
    </xf>
    <xf numFmtId="0" fontId="160" fillId="2" borderId="45" xfId="0" applyFont="1" applyFill="1" applyBorder="1" applyAlignment="1">
      <alignment horizontal="center" vertical="center" wrapText="1"/>
    </xf>
    <xf numFmtId="0" fontId="84" fillId="2" borderId="0" xfId="0" applyFont="1" applyFill="1" applyAlignment="1" applyProtection="1">
      <alignment horizontal="center" vertical="center"/>
      <protection locked="0"/>
    </xf>
    <xf numFmtId="0" fontId="160" fillId="2" borderId="106" xfId="0" applyFont="1" applyFill="1" applyBorder="1" applyAlignment="1">
      <alignment horizontal="center" vertical="center" wrapText="1"/>
    </xf>
    <xf numFmtId="0" fontId="160" fillId="2" borderId="48" xfId="0" applyFont="1" applyFill="1" applyBorder="1" applyAlignment="1">
      <alignment horizontal="center" vertical="center" wrapText="1"/>
    </xf>
    <xf numFmtId="0" fontId="160" fillId="2" borderId="102" xfId="0" applyFont="1" applyFill="1" applyBorder="1" applyAlignment="1">
      <alignment horizontal="center" vertical="center" wrapText="1"/>
    </xf>
    <xf numFmtId="0" fontId="49" fillId="2" borderId="67" xfId="0" applyFont="1" applyFill="1" applyBorder="1" applyAlignment="1">
      <alignment vertical="center" wrapText="1"/>
    </xf>
    <xf numFmtId="0" fontId="160" fillId="2" borderId="101" xfId="0" applyFont="1" applyFill="1" applyBorder="1" applyAlignment="1">
      <alignment horizontal="center" vertical="center" wrapText="1"/>
    </xf>
    <xf numFmtId="0" fontId="160" fillId="2" borderId="100" xfId="0" applyFont="1" applyFill="1" applyBorder="1" applyAlignment="1">
      <alignment horizontal="center" vertical="center" wrapText="1"/>
    </xf>
    <xf numFmtId="0" fontId="161" fillId="2" borderId="100" xfId="0" applyFont="1" applyFill="1" applyBorder="1" applyAlignment="1">
      <alignment horizontal="center" vertical="center" wrapText="1"/>
    </xf>
    <xf numFmtId="0" fontId="162" fillId="2" borderId="98" xfId="0" applyFont="1" applyFill="1" applyBorder="1" applyAlignment="1">
      <alignment horizontal="center" vertical="center" wrapText="1"/>
    </xf>
    <xf numFmtId="0" fontId="162" fillId="2" borderId="99" xfId="0" applyFont="1" applyFill="1" applyBorder="1" applyAlignment="1">
      <alignment horizontal="center" vertical="center" wrapText="1"/>
    </xf>
    <xf numFmtId="0" fontId="162" fillId="2" borderId="100" xfId="0" applyFont="1" applyFill="1" applyBorder="1" applyAlignment="1">
      <alignment horizontal="center" vertical="center" wrapText="1"/>
    </xf>
    <xf numFmtId="0" fontId="163" fillId="2" borderId="67" xfId="0" applyFont="1" applyFill="1" applyBorder="1" applyAlignment="1">
      <alignment horizontal="center" vertical="center" wrapText="1"/>
    </xf>
    <xf numFmtId="0" fontId="150" fillId="2" borderId="0" xfId="0" applyFont="1" applyFill="1" applyAlignment="1">
      <alignment horizontal="center" vertical="center"/>
    </xf>
    <xf numFmtId="0" fontId="82" fillId="2" borderId="69" xfId="0" applyFont="1" applyFill="1" applyBorder="1" applyAlignment="1">
      <alignment horizontal="justify" vertical="center" wrapText="1"/>
    </xf>
    <xf numFmtId="0" fontId="82" fillId="3" borderId="41" xfId="0" applyFont="1" applyFill="1" applyBorder="1" applyAlignment="1">
      <alignment horizontal="center" vertical="center" wrapText="1"/>
    </xf>
    <xf numFmtId="0" fontId="82" fillId="2" borderId="41" xfId="0" applyFont="1" applyFill="1" applyBorder="1" applyAlignment="1">
      <alignment horizontal="center" vertical="center" wrapText="1"/>
    </xf>
    <xf numFmtId="0" fontId="82" fillId="3" borderId="5" xfId="0" applyFont="1" applyFill="1" applyBorder="1" applyAlignment="1">
      <alignment horizontal="justify" vertical="center" wrapText="1"/>
    </xf>
    <xf numFmtId="0" fontId="82" fillId="3" borderId="13" xfId="0" applyFont="1" applyFill="1" applyBorder="1" applyAlignment="1">
      <alignment horizontal="justify" vertical="center" wrapText="1"/>
    </xf>
    <xf numFmtId="0" fontId="164" fillId="2" borderId="6" xfId="0" applyFont="1" applyFill="1" applyBorder="1" applyAlignment="1">
      <alignment horizontal="center" vertical="center" wrapText="1"/>
    </xf>
    <xf numFmtId="0" fontId="164" fillId="2" borderId="1" xfId="0" applyFont="1" applyFill="1" applyBorder="1" applyAlignment="1">
      <alignment horizontal="center" vertical="center" wrapText="1"/>
    </xf>
    <xf numFmtId="178" fontId="88" fillId="2" borderId="1" xfId="0" applyNumberFormat="1" applyFont="1" applyFill="1" applyBorder="1" applyAlignment="1">
      <alignment horizontal="center" vertical="center" wrapText="1"/>
    </xf>
    <xf numFmtId="0" fontId="164" fillId="2" borderId="9" xfId="0" applyFont="1" applyFill="1" applyBorder="1" applyAlignment="1">
      <alignment horizontal="center" vertical="center" wrapText="1"/>
    </xf>
    <xf numFmtId="0" fontId="164" fillId="2" borderId="57" xfId="0" applyFont="1" applyFill="1" applyBorder="1" applyAlignment="1">
      <alignment horizontal="center" vertical="center" wrapText="1"/>
    </xf>
    <xf numFmtId="0" fontId="164" fillId="2" borderId="7" xfId="0" applyFont="1" applyFill="1" applyBorder="1" applyAlignment="1">
      <alignment horizontal="center" vertical="center" wrapText="1"/>
    </xf>
    <xf numFmtId="0" fontId="164" fillId="2" borderId="8" xfId="0" applyFont="1" applyFill="1" applyBorder="1" applyAlignment="1">
      <alignment horizontal="center" vertical="center" wrapText="1"/>
    </xf>
    <xf numFmtId="178" fontId="88" fillId="2" borderId="8" xfId="0" applyNumberFormat="1" applyFont="1" applyFill="1" applyBorder="1" applyAlignment="1">
      <alignment horizontal="center" vertical="center" wrapText="1"/>
    </xf>
    <xf numFmtId="0" fontId="18" fillId="2" borderId="80" xfId="0" applyFont="1" applyFill="1" applyBorder="1">
      <alignment vertical="center"/>
    </xf>
    <xf numFmtId="0" fontId="88" fillId="2" borderId="86" xfId="0" applyFont="1" applyFill="1" applyBorder="1" applyAlignment="1">
      <alignment horizontal="center" vertical="center" wrapText="1"/>
    </xf>
    <xf numFmtId="0" fontId="18" fillId="0" borderId="58" xfId="0" applyFont="1" applyBorder="1" applyProtection="1">
      <alignment vertical="center"/>
      <protection locked="0"/>
    </xf>
    <xf numFmtId="0" fontId="18" fillId="0" borderId="74" xfId="0" applyFont="1" applyBorder="1" applyProtection="1">
      <alignment vertical="center"/>
      <protection locked="0"/>
    </xf>
    <xf numFmtId="0" fontId="84" fillId="2" borderId="0" xfId="0" applyFont="1" applyFill="1" applyProtection="1">
      <alignment vertical="center"/>
      <protection locked="0"/>
    </xf>
    <xf numFmtId="0" fontId="18" fillId="0" borderId="81" xfId="0" applyFont="1" applyBorder="1" applyProtection="1">
      <alignment vertical="center"/>
      <protection locked="0"/>
    </xf>
    <xf numFmtId="0" fontId="18" fillId="0" borderId="89" xfId="0" applyFont="1" applyBorder="1" applyAlignment="1" applyProtection="1">
      <alignment horizontal="right" vertical="center"/>
      <protection locked="0"/>
    </xf>
    <xf numFmtId="0" fontId="159" fillId="2" borderId="0" xfId="0" applyFont="1" applyFill="1" applyAlignment="1" applyProtection="1">
      <alignment horizontal="center" vertical="center"/>
      <protection locked="0"/>
    </xf>
    <xf numFmtId="0" fontId="28" fillId="2" borderId="0" xfId="0" applyFont="1" applyFill="1" applyAlignment="1">
      <alignment horizontal="left" vertical="center"/>
    </xf>
    <xf numFmtId="0" fontId="49" fillId="2" borderId="0" xfId="0" applyFont="1" applyFill="1">
      <alignment vertical="center"/>
    </xf>
    <xf numFmtId="0" fontId="23" fillId="2" borderId="21" xfId="0" applyFont="1" applyFill="1" applyBorder="1" applyAlignment="1">
      <alignment horizontal="left" vertical="center" wrapText="1"/>
    </xf>
    <xf numFmtId="0" fontId="23" fillId="2" borderId="89" xfId="0" applyFont="1" applyFill="1" applyBorder="1" applyAlignment="1">
      <alignment horizontal="left" vertical="center" wrapText="1"/>
    </xf>
    <xf numFmtId="0" fontId="23" fillId="2" borderId="81" xfId="0" applyFont="1" applyFill="1" applyBorder="1" applyAlignment="1">
      <alignment horizontal="left" vertical="center" wrapText="1"/>
    </xf>
    <xf numFmtId="0" fontId="18" fillId="2" borderId="34" xfId="0" applyFont="1" applyFill="1" applyBorder="1" applyAlignment="1">
      <alignment horizontal="center" vertical="center"/>
    </xf>
    <xf numFmtId="0" fontId="23" fillId="2" borderId="1" xfId="0" applyFont="1" applyFill="1" applyBorder="1" applyAlignment="1">
      <alignment horizontal="left" vertical="center" wrapText="1"/>
    </xf>
    <xf numFmtId="9" fontId="18" fillId="2" borderId="14" xfId="0" applyNumberFormat="1" applyFont="1" applyFill="1" applyBorder="1" applyAlignment="1">
      <alignment horizontal="center" vertical="center"/>
    </xf>
    <xf numFmtId="0" fontId="18" fillId="2" borderId="22" xfId="0" applyFont="1" applyFill="1" applyBorder="1" applyAlignment="1">
      <alignment horizontal="left" vertical="center" wrapText="1"/>
    </xf>
    <xf numFmtId="10" fontId="18" fillId="2" borderId="3" xfId="0" applyNumberFormat="1" applyFont="1" applyFill="1" applyBorder="1" applyAlignment="1">
      <alignment horizontal="center" vertical="center"/>
    </xf>
    <xf numFmtId="0" fontId="20" fillId="0" borderId="14" xfId="0" applyFont="1" applyBorder="1" applyAlignment="1" applyProtection="1">
      <alignment vertical="center" wrapText="1"/>
      <protection locked="0"/>
    </xf>
    <xf numFmtId="0" fontId="18" fillId="3" borderId="11" xfId="0" applyFont="1" applyFill="1" applyBorder="1" applyAlignment="1" applyProtection="1">
      <alignment horizontal="center" vertical="center"/>
      <protection locked="0"/>
    </xf>
    <xf numFmtId="0" fontId="18" fillId="2" borderId="22" xfId="0" applyFont="1" applyFill="1" applyBorder="1" applyAlignment="1">
      <alignment horizontal="right" vertical="center" wrapText="1"/>
    </xf>
    <xf numFmtId="0" fontId="18" fillId="2" borderId="18" xfId="0" applyFont="1" applyFill="1" applyBorder="1">
      <alignment vertical="center"/>
    </xf>
    <xf numFmtId="0" fontId="18" fillId="2" borderId="9" xfId="0" applyFont="1" applyFill="1" applyBorder="1" applyAlignment="1">
      <alignment horizontal="center" vertical="center" wrapText="1"/>
    </xf>
    <xf numFmtId="0" fontId="18" fillId="2" borderId="74" xfId="0" applyFont="1" applyFill="1" applyBorder="1" applyAlignment="1">
      <alignment horizontal="center" vertical="center"/>
    </xf>
    <xf numFmtId="0" fontId="18" fillId="2" borderId="57" xfId="0" applyFont="1" applyFill="1" applyBorder="1" applyAlignment="1">
      <alignment horizontal="center" vertical="center"/>
    </xf>
    <xf numFmtId="0" fontId="70" fillId="8" borderId="0" xfId="0" applyFont="1" applyFill="1" applyAlignment="1">
      <alignment horizontal="left" vertical="center"/>
    </xf>
    <xf numFmtId="0" fontId="18" fillId="2" borderId="68" xfId="0" applyFont="1" applyFill="1" applyBorder="1" applyAlignment="1">
      <alignment horizontal="right" vertical="center" wrapText="1"/>
    </xf>
    <xf numFmtId="0" fontId="18" fillId="2" borderId="20" xfId="0" applyFont="1" applyFill="1" applyBorder="1">
      <alignment vertical="center"/>
    </xf>
    <xf numFmtId="0" fontId="18" fillId="2" borderId="35" xfId="0" applyFont="1" applyFill="1" applyBorder="1" applyAlignment="1">
      <alignment horizontal="center" vertical="center" wrapText="1"/>
    </xf>
    <xf numFmtId="0" fontId="18" fillId="2" borderId="73" xfId="0" applyFont="1" applyFill="1" applyBorder="1" applyAlignment="1">
      <alignment horizontal="center" vertical="center"/>
    </xf>
    <xf numFmtId="0" fontId="18" fillId="8" borderId="0" xfId="0" applyFont="1" applyFill="1" applyAlignment="1">
      <alignment horizontal="left" vertical="center"/>
    </xf>
    <xf numFmtId="0" fontId="18" fillId="2" borderId="29" xfId="0" applyFont="1" applyFill="1" applyBorder="1" applyAlignment="1">
      <alignment horizontal="right" vertical="center" wrapText="1"/>
    </xf>
    <xf numFmtId="0" fontId="18" fillId="2" borderId="34" xfId="0" applyFont="1" applyFill="1" applyBorder="1">
      <alignment vertical="center"/>
    </xf>
    <xf numFmtId="0" fontId="18" fillId="2" borderId="3" xfId="0" applyFont="1" applyFill="1" applyBorder="1" applyAlignment="1">
      <alignment horizontal="center" vertical="center" wrapText="1"/>
    </xf>
    <xf numFmtId="0" fontId="18" fillId="2" borderId="72" xfId="0" applyFont="1" applyFill="1" applyBorder="1" applyAlignment="1">
      <alignment horizontal="center" vertical="center"/>
    </xf>
    <xf numFmtId="0" fontId="18" fillId="2" borderId="6" xfId="0" applyFont="1" applyFill="1" applyBorder="1" applyAlignment="1">
      <alignment horizontal="right" vertical="center" wrapText="1"/>
    </xf>
    <xf numFmtId="10" fontId="18" fillId="2" borderId="1" xfId="0" applyNumberFormat="1" applyFont="1" applyFill="1" applyBorder="1" applyAlignment="1">
      <alignment horizontal="center" vertical="center"/>
    </xf>
    <xf numFmtId="0" fontId="18" fillId="2" borderId="14" xfId="0" applyFont="1" applyFill="1" applyBorder="1">
      <alignment vertical="center"/>
    </xf>
    <xf numFmtId="0" fontId="18" fillId="2" borderId="11" xfId="0" applyFont="1" applyFill="1" applyBorder="1" applyAlignment="1">
      <alignment horizontal="left" vertical="center" wrapText="1"/>
    </xf>
    <xf numFmtId="0" fontId="20" fillId="2" borderId="0" xfId="0" applyFont="1" applyFill="1">
      <alignment vertical="center"/>
    </xf>
    <xf numFmtId="0" fontId="18" fillId="2" borderId="6" xfId="0" applyFont="1" applyFill="1" applyBorder="1" applyAlignment="1">
      <alignment horizontal="left" vertical="center" wrapText="1"/>
    </xf>
    <xf numFmtId="0" fontId="18" fillId="2" borderId="10" xfId="0" applyFont="1" applyFill="1" applyBorder="1" applyAlignment="1">
      <alignment horizontal="right" vertical="center"/>
    </xf>
    <xf numFmtId="0" fontId="84" fillId="0" borderId="14" xfId="0" applyFont="1" applyBorder="1" applyAlignment="1" applyProtection="1">
      <alignment vertical="center" wrapText="1"/>
      <protection locked="0"/>
    </xf>
    <xf numFmtId="0" fontId="18" fillId="5" borderId="11" xfId="0" applyFont="1" applyFill="1" applyBorder="1" applyAlignment="1" applyProtection="1">
      <alignment horizontal="center" vertical="center" wrapText="1"/>
      <protection locked="0"/>
    </xf>
    <xf numFmtId="0" fontId="18" fillId="2" borderId="18" xfId="0" applyFont="1" applyFill="1" applyBorder="1" applyAlignment="1">
      <alignment horizontal="right" vertical="center"/>
    </xf>
    <xf numFmtId="0" fontId="18" fillId="2" borderId="0" xfId="0" applyFont="1" applyFill="1" applyAlignment="1">
      <alignment horizontal="center" vertical="center" wrapText="1"/>
    </xf>
    <xf numFmtId="0" fontId="18" fillId="2" borderId="7" xfId="0" applyFont="1" applyFill="1" applyBorder="1" applyAlignment="1">
      <alignment horizontal="left" vertical="center" wrapText="1"/>
    </xf>
    <xf numFmtId="0" fontId="18" fillId="2" borderId="8" xfId="0" applyFont="1" applyFill="1" applyBorder="1" applyAlignment="1">
      <alignment horizontal="left" vertical="center" wrapText="1"/>
    </xf>
    <xf numFmtId="0" fontId="18" fillId="8" borderId="42" xfId="0" applyFont="1" applyFill="1" applyBorder="1" applyAlignment="1">
      <alignment horizontal="right" vertical="center"/>
    </xf>
    <xf numFmtId="0" fontId="18" fillId="8" borderId="8" xfId="0" applyFont="1" applyFill="1" applyBorder="1" applyAlignment="1">
      <alignment horizontal="center" vertical="center" wrapText="1"/>
    </xf>
    <xf numFmtId="10" fontId="18" fillId="8" borderId="8" xfId="0" applyNumberFormat="1" applyFont="1" applyFill="1" applyBorder="1" applyAlignment="1">
      <alignment horizontal="center" vertical="center"/>
    </xf>
    <xf numFmtId="0" fontId="84" fillId="0" borderId="15" xfId="0" applyFont="1" applyBorder="1" applyAlignment="1" applyProtection="1">
      <alignment vertical="center" wrapText="1"/>
      <protection locked="0"/>
    </xf>
    <xf numFmtId="0" fontId="70" fillId="8" borderId="11" xfId="0" applyFont="1" applyFill="1" applyBorder="1" applyAlignment="1" applyProtection="1">
      <alignment horizontal="left" vertical="center" wrapText="1"/>
      <protection locked="0"/>
    </xf>
    <xf numFmtId="0" fontId="18" fillId="2" borderId="0" xfId="0" applyFont="1" applyFill="1" applyAlignment="1">
      <alignment horizontal="left" vertical="center" wrapText="1"/>
    </xf>
    <xf numFmtId="0" fontId="23" fillId="2" borderId="17" xfId="0" applyFont="1" applyFill="1" applyBorder="1" applyAlignment="1">
      <alignment horizontal="center" vertical="center"/>
    </xf>
    <xf numFmtId="0" fontId="22" fillId="2" borderId="4" xfId="0" applyFont="1" applyFill="1" applyBorder="1" applyAlignment="1">
      <alignment horizontal="center" vertical="center" wrapText="1"/>
    </xf>
    <xf numFmtId="0" fontId="22" fillId="2" borderId="5" xfId="0" applyFont="1" applyFill="1" applyBorder="1" applyAlignment="1">
      <alignment horizontal="center" vertical="center" wrapText="1"/>
    </xf>
    <xf numFmtId="0" fontId="18" fillId="2" borderId="13" xfId="0" applyFont="1" applyFill="1" applyBorder="1" applyAlignment="1">
      <alignment horizontal="left" vertical="center" wrapText="1"/>
    </xf>
    <xf numFmtId="49" fontId="23" fillId="2" borderId="6" xfId="0" applyNumberFormat="1" applyFont="1" applyFill="1" applyBorder="1" applyAlignment="1">
      <alignment horizontal="left" vertical="center" wrapText="1"/>
    </xf>
    <xf numFmtId="0" fontId="22" fillId="2" borderId="3" xfId="0" applyFont="1" applyFill="1" applyBorder="1" applyAlignment="1">
      <alignment horizontal="left" vertical="center" wrapText="1"/>
    </xf>
    <xf numFmtId="176" fontId="22" fillId="2" borderId="3" xfId="0" applyNumberFormat="1" applyFont="1" applyFill="1" applyBorder="1" applyAlignment="1">
      <alignment horizontal="center" vertical="center" wrapText="1"/>
    </xf>
    <xf numFmtId="0" fontId="22" fillId="2" borderId="3" xfId="0" applyFont="1" applyFill="1" applyBorder="1" applyAlignment="1">
      <alignment horizontal="center" vertical="center" wrapText="1"/>
    </xf>
    <xf numFmtId="0" fontId="18" fillId="2" borderId="72" xfId="0" applyFont="1" applyFill="1" applyBorder="1" applyAlignment="1">
      <alignment horizontal="left" vertical="center" wrapText="1"/>
    </xf>
    <xf numFmtId="0" fontId="19" fillId="2" borderId="1" xfId="0" applyFont="1" applyFill="1" applyBorder="1" applyAlignment="1">
      <alignment horizontal="left" vertical="center" wrapText="1"/>
    </xf>
    <xf numFmtId="176" fontId="19" fillId="2" borderId="1" xfId="0" applyNumberFormat="1" applyFont="1" applyFill="1" applyBorder="1" applyAlignment="1">
      <alignment horizontal="center" vertical="center" wrapText="1"/>
    </xf>
    <xf numFmtId="0" fontId="18" fillId="2" borderId="14" xfId="0" applyFont="1" applyFill="1" applyBorder="1" applyAlignment="1">
      <alignment horizontal="left" vertical="center" wrapText="1"/>
    </xf>
    <xf numFmtId="176" fontId="19" fillId="0" borderId="1" xfId="0" applyNumberFormat="1" applyFont="1" applyBorder="1" applyAlignment="1" applyProtection="1">
      <alignment horizontal="center" vertical="center" wrapText="1"/>
      <protection locked="0"/>
    </xf>
    <xf numFmtId="0" fontId="22" fillId="2" borderId="1" xfId="0" applyFont="1" applyFill="1" applyBorder="1" applyAlignment="1">
      <alignment horizontal="left" vertical="center" wrapText="1"/>
    </xf>
    <xf numFmtId="0" fontId="22" fillId="0" borderId="1" xfId="0" applyFont="1" applyBorder="1" applyAlignment="1" applyProtection="1">
      <alignment horizontal="center" vertical="center" wrapText="1"/>
      <protection locked="0"/>
    </xf>
    <xf numFmtId="0" fontId="22" fillId="2" borderId="1" xfId="0" applyFont="1" applyFill="1" applyBorder="1" applyAlignment="1">
      <alignment horizontal="center" vertical="center" wrapText="1"/>
    </xf>
    <xf numFmtId="0" fontId="84" fillId="2" borderId="14" xfId="0" applyFont="1" applyFill="1" applyBorder="1" applyAlignment="1">
      <alignment horizontal="left" vertical="center"/>
    </xf>
    <xf numFmtId="176" fontId="22" fillId="2" borderId="1" xfId="0" applyNumberFormat="1" applyFont="1" applyFill="1" applyBorder="1" applyAlignment="1">
      <alignment horizontal="center" vertical="center" wrapText="1"/>
    </xf>
    <xf numFmtId="49" fontId="23" fillId="2" borderId="7" xfId="0" applyNumberFormat="1" applyFont="1" applyFill="1" applyBorder="1" applyAlignment="1">
      <alignment horizontal="left" vertical="center" wrapText="1"/>
    </xf>
    <xf numFmtId="0" fontId="22" fillId="2" borderId="8" xfId="0" applyFont="1" applyFill="1" applyBorder="1" applyAlignment="1">
      <alignment horizontal="left" vertical="center" wrapText="1"/>
    </xf>
    <xf numFmtId="176" fontId="22" fillId="2" borderId="8" xfId="0" applyNumberFormat="1" applyFont="1" applyFill="1" applyBorder="1" applyAlignment="1">
      <alignment horizontal="center" vertical="center" wrapText="1"/>
    </xf>
    <xf numFmtId="10" fontId="19" fillId="2" borderId="8" xfId="0" applyNumberFormat="1" applyFont="1" applyFill="1" applyBorder="1" applyAlignment="1">
      <alignment horizontal="center" vertical="center" wrapText="1"/>
    </xf>
    <xf numFmtId="0" fontId="18" fillId="2" borderId="15" xfId="0" applyFont="1" applyFill="1" applyBorder="1" applyAlignment="1">
      <alignment horizontal="left" vertical="center"/>
    </xf>
    <xf numFmtId="49" fontId="23" fillId="2" borderId="21" xfId="0" applyNumberFormat="1" applyFont="1" applyFill="1" applyBorder="1" applyAlignment="1">
      <alignment horizontal="left" vertical="center" wrapText="1"/>
    </xf>
    <xf numFmtId="0" fontId="22" fillId="2" borderId="0" xfId="0" applyFont="1" applyFill="1" applyAlignment="1">
      <alignment horizontal="left" vertical="center" wrapText="1"/>
    </xf>
    <xf numFmtId="176" fontId="22" fillId="2" borderId="0" xfId="0" applyNumberFormat="1" applyFont="1" applyFill="1" applyAlignment="1">
      <alignment horizontal="center" vertical="center" wrapText="1"/>
    </xf>
    <xf numFmtId="10" fontId="19" fillId="2" borderId="0" xfId="0" applyNumberFormat="1" applyFont="1" applyFill="1" applyAlignment="1">
      <alignment horizontal="center" vertical="center" wrapText="1"/>
    </xf>
    <xf numFmtId="0" fontId="22" fillId="2" borderId="21" xfId="0" applyFont="1" applyFill="1" applyBorder="1" applyAlignment="1">
      <alignment horizontal="center" vertical="center" wrapText="1"/>
    </xf>
    <xf numFmtId="0" fontId="22" fillId="2" borderId="0" xfId="0" applyFont="1" applyFill="1" applyAlignment="1">
      <alignment horizontal="center" vertical="center" wrapText="1"/>
    </xf>
    <xf numFmtId="0" fontId="18" fillId="2" borderId="39" xfId="0" applyFont="1" applyFill="1" applyBorder="1" applyAlignment="1">
      <alignment horizontal="left" vertical="center" wrapText="1"/>
    </xf>
    <xf numFmtId="0" fontId="18" fillId="2" borderId="78" xfId="0" applyFont="1" applyFill="1" applyBorder="1" applyAlignment="1">
      <alignment horizontal="left" vertical="center" wrapText="1"/>
    </xf>
    <xf numFmtId="0" fontId="30" fillId="2" borderId="44" xfId="55" applyFont="1" applyFill="1" applyBorder="1" applyAlignment="1">
      <alignment horizontal="left" vertical="center" wrapText="1"/>
    </xf>
    <xf numFmtId="0" fontId="30" fillId="2" borderId="46" xfId="55" applyFont="1" applyFill="1" applyBorder="1" applyAlignment="1">
      <alignment horizontal="left" vertical="center" wrapText="1"/>
    </xf>
    <xf numFmtId="49" fontId="18" fillId="2" borderId="6" xfId="0" applyNumberFormat="1" applyFont="1" applyFill="1" applyBorder="1" applyAlignment="1">
      <alignment vertical="center" wrapText="1"/>
    </xf>
    <xf numFmtId="0" fontId="30" fillId="2" borderId="1" xfId="55" applyFont="1" applyFill="1" applyBorder="1" applyAlignment="1">
      <alignment horizontal="left" vertical="center" wrapText="1"/>
    </xf>
    <xf numFmtId="0" fontId="30" fillId="5" borderId="1" xfId="55" applyFont="1" applyFill="1" applyBorder="1" applyAlignment="1" applyProtection="1">
      <alignment horizontal="center" vertical="center" wrapText="1"/>
      <protection locked="0"/>
    </xf>
    <xf numFmtId="176" fontId="19" fillId="0" borderId="14" xfId="0" applyNumberFormat="1" applyFont="1" applyBorder="1" applyAlignment="1" applyProtection="1">
      <alignment horizontal="center" vertical="center" wrapText="1"/>
      <protection locked="0"/>
    </xf>
    <xf numFmtId="0" fontId="19" fillId="2" borderId="3" xfId="0" applyFont="1" applyFill="1" applyBorder="1" applyAlignment="1">
      <alignment horizontal="left" vertical="center" wrapText="1"/>
    </xf>
    <xf numFmtId="9" fontId="30" fillId="2" borderId="0" xfId="0" applyNumberFormat="1" applyFont="1" applyFill="1" applyAlignment="1">
      <alignment horizontal="center" vertical="center"/>
    </xf>
    <xf numFmtId="0" fontId="18" fillId="2" borderId="46" xfId="0" applyFont="1" applyFill="1" applyBorder="1" applyAlignment="1">
      <alignment horizontal="left" vertical="center" wrapText="1"/>
    </xf>
    <xf numFmtId="10" fontId="19" fillId="2" borderId="1" xfId="0" applyNumberFormat="1" applyFont="1" applyFill="1" applyBorder="1" applyAlignment="1">
      <alignment horizontal="center" vertical="center" wrapText="1"/>
    </xf>
    <xf numFmtId="0" fontId="30" fillId="2" borderId="12" xfId="0" applyFont="1" applyFill="1" applyBorder="1" applyAlignment="1">
      <alignment horizontal="left" vertical="center"/>
    </xf>
    <xf numFmtId="0" fontId="18" fillId="5" borderId="12" xfId="0" applyFont="1" applyFill="1" applyBorder="1" applyAlignment="1" applyProtection="1">
      <alignment horizontal="left" vertical="center" wrapText="1"/>
      <protection locked="0"/>
    </xf>
    <xf numFmtId="192" fontId="19" fillId="2" borderId="1" xfId="0" applyNumberFormat="1" applyFont="1" applyFill="1" applyBorder="1" applyAlignment="1">
      <alignment horizontal="center" vertical="center" wrapText="1"/>
    </xf>
    <xf numFmtId="10" fontId="23" fillId="2" borderId="10" xfId="0" applyNumberFormat="1" applyFont="1" applyFill="1" applyBorder="1" applyAlignment="1">
      <alignment horizontal="center" vertical="center" wrapText="1"/>
    </xf>
    <xf numFmtId="10" fontId="68" fillId="2" borderId="10" xfId="0" applyNumberFormat="1" applyFont="1" applyFill="1" applyBorder="1" applyAlignment="1">
      <alignment horizontal="left" vertical="center" wrapText="1"/>
    </xf>
    <xf numFmtId="10" fontId="18" fillId="2" borderId="12" xfId="0" applyNumberFormat="1" applyFont="1" applyFill="1" applyBorder="1" applyAlignment="1">
      <alignment horizontal="left" vertical="center" wrapText="1"/>
    </xf>
    <xf numFmtId="10" fontId="18" fillId="2" borderId="46" xfId="0" applyNumberFormat="1" applyFont="1" applyFill="1" applyBorder="1" applyAlignment="1">
      <alignment horizontal="left" vertical="center" wrapText="1"/>
    </xf>
    <xf numFmtId="49" fontId="25" fillId="2" borderId="6" xfId="0" applyNumberFormat="1" applyFont="1" applyFill="1" applyBorder="1" applyAlignment="1">
      <alignment vertical="center" wrapText="1"/>
    </xf>
    <xf numFmtId="180" fontId="22" fillId="2" borderId="1" xfId="0" applyNumberFormat="1" applyFont="1" applyFill="1" applyBorder="1" applyAlignment="1">
      <alignment horizontal="center" vertical="center" wrapText="1"/>
    </xf>
    <xf numFmtId="49" fontId="25" fillId="2" borderId="7" xfId="0" applyNumberFormat="1" applyFont="1" applyFill="1" applyBorder="1" applyAlignment="1">
      <alignment vertical="center" wrapText="1"/>
    </xf>
    <xf numFmtId="0" fontId="23" fillId="2" borderId="8" xfId="0" applyFont="1" applyFill="1" applyBorder="1" applyAlignment="1">
      <alignment horizontal="center" vertical="center" wrapText="1"/>
    </xf>
    <xf numFmtId="0" fontId="19" fillId="2" borderId="8" xfId="0" applyFont="1" applyFill="1" applyBorder="1" applyAlignment="1">
      <alignment horizontal="center" vertical="center" wrapText="1"/>
    </xf>
    <xf numFmtId="0" fontId="18" fillId="2" borderId="42" xfId="0" applyFont="1" applyFill="1" applyBorder="1" applyAlignment="1">
      <alignment horizontal="left" vertical="center"/>
    </xf>
    <xf numFmtId="0" fontId="18" fillId="2" borderId="79" xfId="0" applyFont="1" applyFill="1" applyBorder="1" applyAlignment="1">
      <alignment horizontal="left" vertical="center" wrapText="1"/>
    </xf>
    <xf numFmtId="0" fontId="30" fillId="2" borderId="53" xfId="55" applyFont="1" applyFill="1" applyBorder="1" applyAlignment="1">
      <alignment horizontal="left" vertical="center" wrapText="1"/>
    </xf>
    <xf numFmtId="0" fontId="49" fillId="2" borderId="0" xfId="0" applyFont="1" applyFill="1" applyAlignment="1">
      <alignment horizontal="left" vertical="center"/>
    </xf>
    <xf numFmtId="0" fontId="49" fillId="2" borderId="0" xfId="55" applyFont="1" applyFill="1" applyAlignment="1">
      <alignment horizontal="left"/>
    </xf>
    <xf numFmtId="0" fontId="18" fillId="2" borderId="44" xfId="55" applyFont="1" applyFill="1" applyBorder="1" applyAlignment="1">
      <alignment horizontal="left" vertical="center" wrapText="1"/>
    </xf>
    <xf numFmtId="0" fontId="18" fillId="2" borderId="46" xfId="55" applyFont="1" applyFill="1" applyBorder="1" applyAlignment="1">
      <alignment horizontal="left" vertical="center" wrapText="1"/>
    </xf>
    <xf numFmtId="0" fontId="19" fillId="2" borderId="10" xfId="0" applyFont="1" applyFill="1" applyBorder="1" applyAlignment="1">
      <alignment horizontal="center" vertical="center" wrapText="1"/>
    </xf>
    <xf numFmtId="10" fontId="18" fillId="2" borderId="10" xfId="0" applyNumberFormat="1" applyFont="1" applyFill="1" applyBorder="1" applyAlignment="1">
      <alignment horizontal="left" vertical="center" wrapText="1"/>
    </xf>
    <xf numFmtId="192" fontId="19" fillId="0" borderId="1" xfId="0" applyNumberFormat="1" applyFont="1" applyBorder="1" applyAlignment="1" applyProtection="1">
      <alignment horizontal="center" vertical="center" wrapText="1"/>
      <protection locked="0"/>
    </xf>
    <xf numFmtId="10" fontId="18" fillId="2" borderId="10" xfId="0" applyNumberFormat="1" applyFont="1" applyFill="1" applyBorder="1" applyAlignment="1">
      <alignment horizontal="left" vertical="center"/>
    </xf>
    <xf numFmtId="0" fontId="165" fillId="2" borderId="0" xfId="0" applyFont="1" applyFill="1" applyAlignment="1">
      <alignment horizontal="left" vertical="center"/>
    </xf>
    <xf numFmtId="10" fontId="18" fillId="5" borderId="46" xfId="0" applyNumberFormat="1" applyFont="1" applyFill="1" applyBorder="1" applyAlignment="1" applyProtection="1">
      <alignment horizontal="left" vertical="center" wrapText="1"/>
      <protection locked="0"/>
    </xf>
    <xf numFmtId="10" fontId="70" fillId="2" borderId="1" xfId="0" applyNumberFormat="1" applyFont="1" applyFill="1" applyBorder="1" applyAlignment="1">
      <alignment horizontal="left" vertical="center" wrapText="1"/>
    </xf>
    <xf numFmtId="10" fontId="18" fillId="2" borderId="1" xfId="0" applyNumberFormat="1" applyFont="1" applyFill="1" applyBorder="1" applyAlignment="1">
      <alignment horizontal="left" vertical="center" wrapText="1"/>
    </xf>
    <xf numFmtId="49" fontId="70" fillId="2" borderId="6" xfId="0" applyNumberFormat="1" applyFont="1" applyFill="1" applyBorder="1" applyAlignment="1">
      <alignment vertical="center" wrapText="1"/>
    </xf>
    <xf numFmtId="10" fontId="26" fillId="3" borderId="46" xfId="0" applyNumberFormat="1" applyFont="1" applyFill="1" applyBorder="1" applyAlignment="1" applyProtection="1">
      <alignment horizontal="left" vertical="center" wrapText="1"/>
      <protection locked="0"/>
    </xf>
    <xf numFmtId="10" fontId="23" fillId="8" borderId="10" xfId="0" applyNumberFormat="1" applyFont="1" applyFill="1" applyBorder="1" applyAlignment="1" applyProtection="1">
      <alignment horizontal="center" vertical="center" wrapText="1"/>
      <protection locked="0"/>
    </xf>
    <xf numFmtId="0" fontId="18" fillId="2" borderId="53" xfId="55" applyFont="1" applyFill="1" applyBorder="1" applyAlignment="1">
      <alignment horizontal="left" vertical="center" wrapText="1"/>
    </xf>
    <xf numFmtId="0" fontId="28" fillId="2" borderId="10" xfId="0" applyFont="1" applyFill="1" applyBorder="1" applyAlignment="1">
      <alignment horizontal="center" vertical="center" wrapText="1"/>
    </xf>
    <xf numFmtId="0" fontId="28" fillId="2" borderId="12" xfId="0" applyFont="1" applyFill="1" applyBorder="1" applyAlignment="1">
      <alignment horizontal="center" vertical="center" wrapText="1"/>
    </xf>
    <xf numFmtId="0" fontId="28" fillId="2" borderId="54" xfId="0" applyFont="1" applyFill="1" applyBorder="1" applyAlignment="1">
      <alignment horizontal="left" vertical="center" wrapText="1"/>
    </xf>
    <xf numFmtId="0" fontId="28" fillId="2" borderId="54" xfId="0" applyFont="1" applyFill="1" applyBorder="1" applyAlignment="1">
      <alignment horizontal="center" vertical="center" wrapText="1"/>
    </xf>
    <xf numFmtId="0" fontId="28" fillId="2" borderId="58" xfId="0" applyFont="1" applyFill="1" applyBorder="1" applyAlignment="1">
      <alignment horizontal="center" vertical="center" wrapText="1"/>
    </xf>
    <xf numFmtId="9" fontId="18" fillId="2" borderId="0" xfId="0" applyNumberFormat="1" applyFont="1" applyFill="1" applyAlignment="1" applyProtection="1">
      <alignment horizontal="center" vertical="center"/>
      <protection locked="0"/>
    </xf>
    <xf numFmtId="0" fontId="69" fillId="2" borderId="3" xfId="0" applyFont="1" applyFill="1" applyBorder="1" applyAlignment="1">
      <alignment horizontal="center" vertical="center" wrapText="1"/>
    </xf>
    <xf numFmtId="0" fontId="28" fillId="2" borderId="3" xfId="0" applyFont="1" applyFill="1" applyBorder="1" applyAlignment="1">
      <alignment horizontal="center" vertical="center" wrapText="1"/>
    </xf>
    <xf numFmtId="0" fontId="28" fillId="2" borderId="34" xfId="0" applyFont="1" applyFill="1" applyBorder="1" applyAlignment="1">
      <alignment horizontal="center" vertical="center" wrapText="1"/>
    </xf>
    <xf numFmtId="0" fontId="166" fillId="0" borderId="10" xfId="0" applyFont="1" applyBorder="1" applyAlignment="1" applyProtection="1">
      <alignment horizontal="center" vertical="center" wrapText="1"/>
      <protection locked="0"/>
    </xf>
    <xf numFmtId="0" fontId="166" fillId="0" borderId="12" xfId="0" applyFont="1" applyBorder="1" applyAlignment="1" applyProtection="1">
      <alignment horizontal="center" vertical="center" wrapText="1"/>
      <protection locked="0"/>
    </xf>
    <xf numFmtId="0" fontId="166" fillId="0" borderId="11" xfId="0" applyFont="1" applyBorder="1" applyAlignment="1" applyProtection="1">
      <alignment horizontal="center" vertical="center" wrapText="1"/>
      <protection locked="0"/>
    </xf>
    <xf numFmtId="10" fontId="18" fillId="8" borderId="0" xfId="0" applyNumberFormat="1" applyFont="1" applyFill="1" applyAlignment="1">
      <alignment horizontal="center" vertical="center"/>
    </xf>
    <xf numFmtId="10" fontId="18" fillId="2" borderId="0" xfId="0" applyNumberFormat="1" applyFont="1" applyFill="1" applyAlignment="1" applyProtection="1">
      <alignment horizontal="center" vertical="center"/>
      <protection locked="0"/>
    </xf>
    <xf numFmtId="0" fontId="69" fillId="2" borderId="1" xfId="0" applyFont="1" applyFill="1" applyBorder="1" applyAlignment="1">
      <alignment horizontal="center" vertical="center" wrapText="1"/>
    </xf>
    <xf numFmtId="0" fontId="28" fillId="2" borderId="1" xfId="0" applyFont="1" applyFill="1" applyBorder="1" applyAlignment="1">
      <alignment horizontal="center" vertical="center" wrapText="1"/>
    </xf>
    <xf numFmtId="193" fontId="166" fillId="2" borderId="3" xfId="0" applyNumberFormat="1" applyFont="1" applyFill="1" applyBorder="1" applyAlignment="1">
      <alignment horizontal="center" vertical="center" wrapText="1"/>
    </xf>
    <xf numFmtId="0" fontId="166" fillId="2" borderId="1" xfId="0" applyFont="1" applyFill="1" applyBorder="1" applyAlignment="1">
      <alignment horizontal="center" vertical="center" wrapText="1"/>
    </xf>
    <xf numFmtId="0" fontId="69" fillId="2" borderId="9" xfId="0" applyFont="1" applyFill="1" applyBorder="1" applyAlignment="1">
      <alignment horizontal="center" vertical="center" wrapText="1"/>
    </xf>
    <xf numFmtId="0" fontId="73" fillId="2" borderId="9" xfId="0" applyFont="1" applyFill="1" applyBorder="1" applyAlignment="1">
      <alignment horizontal="center" vertical="center" wrapText="1"/>
    </xf>
    <xf numFmtId="0" fontId="28" fillId="2" borderId="9" xfId="0" applyFont="1" applyFill="1" applyBorder="1" applyAlignment="1">
      <alignment horizontal="center" vertical="center" wrapText="1"/>
    </xf>
    <xf numFmtId="0" fontId="166" fillId="2" borderId="9" xfId="0" applyFont="1" applyFill="1" applyBorder="1" applyAlignment="1">
      <alignment horizontal="center" vertical="center" wrapText="1"/>
    </xf>
    <xf numFmtId="10" fontId="18" fillId="2" borderId="0" xfId="0" applyNumberFormat="1" applyFont="1" applyFill="1" applyAlignment="1">
      <alignment horizontal="center" vertical="center"/>
    </xf>
    <xf numFmtId="0" fontId="121" fillId="2" borderId="10" xfId="0" applyFont="1" applyFill="1" applyBorder="1" applyAlignment="1">
      <alignment horizontal="center" vertical="center" wrapText="1"/>
    </xf>
    <xf numFmtId="0" fontId="121" fillId="2" borderId="12" xfId="0" applyFont="1" applyFill="1" applyBorder="1" applyAlignment="1">
      <alignment horizontal="center" vertical="center" wrapText="1"/>
    </xf>
    <xf numFmtId="0" fontId="121" fillId="2" borderId="12" xfId="0" applyFont="1" applyFill="1" applyBorder="1" applyAlignment="1">
      <alignment horizontal="center" vertical="center"/>
    </xf>
    <xf numFmtId="0" fontId="121" fillId="2" borderId="11" xfId="0" applyFont="1" applyFill="1" applyBorder="1" applyAlignment="1">
      <alignment horizontal="center" vertical="center" wrapText="1"/>
    </xf>
    <xf numFmtId="0" fontId="121" fillId="2" borderId="3" xfId="0" applyFont="1" applyFill="1" applyBorder="1" applyAlignment="1">
      <alignment horizontal="center" vertical="center" wrapText="1"/>
    </xf>
    <xf numFmtId="0" fontId="167" fillId="2" borderId="1" xfId="0" applyFont="1" applyFill="1" applyBorder="1" applyAlignment="1">
      <alignment horizontal="center" vertical="center" wrapText="1"/>
    </xf>
    <xf numFmtId="10" fontId="167" fillId="2" borderId="1" xfId="0" applyNumberFormat="1" applyFont="1" applyFill="1" applyBorder="1" applyAlignment="1">
      <alignment horizontal="center" vertical="center"/>
    </xf>
    <xf numFmtId="9" fontId="167" fillId="2" borderId="1" xfId="0" applyNumberFormat="1" applyFont="1" applyFill="1" applyBorder="1" applyAlignment="1">
      <alignment horizontal="center" vertical="center"/>
    </xf>
    <xf numFmtId="0" fontId="167" fillId="2" borderId="9" xfId="0" applyFont="1" applyFill="1" applyBorder="1" applyAlignment="1">
      <alignment horizontal="center" vertical="center" wrapText="1"/>
    </xf>
    <xf numFmtId="9" fontId="167" fillId="2" borderId="9" xfId="0" applyNumberFormat="1" applyFont="1" applyFill="1" applyBorder="1" applyAlignment="1">
      <alignment horizontal="center" vertical="center"/>
    </xf>
    <xf numFmtId="0" fontId="68" fillId="2" borderId="10" xfId="0" applyFont="1" applyFill="1" applyBorder="1" applyAlignment="1">
      <alignment horizontal="center" vertical="center"/>
    </xf>
    <xf numFmtId="0" fontId="68" fillId="2" borderId="12" xfId="0" applyFont="1" applyFill="1" applyBorder="1" applyAlignment="1">
      <alignment horizontal="center" vertical="center"/>
    </xf>
    <xf numFmtId="0" fontId="68" fillId="2" borderId="10" xfId="0" applyFont="1" applyFill="1" applyBorder="1" applyAlignment="1">
      <alignment horizontal="left" vertical="center"/>
    </xf>
    <xf numFmtId="0" fontId="68" fillId="2" borderId="11" xfId="0" applyFont="1" applyFill="1" applyBorder="1" applyAlignment="1">
      <alignment horizontal="left" vertical="center"/>
    </xf>
    <xf numFmtId="0" fontId="70" fillId="8" borderId="0" xfId="0" applyFont="1" applyFill="1">
      <alignment vertical="center"/>
    </xf>
    <xf numFmtId="0" fontId="122" fillId="2" borderId="10" xfId="0" applyFont="1" applyFill="1" applyBorder="1" applyAlignment="1">
      <alignment horizontal="center" vertical="center" wrapText="1"/>
    </xf>
    <xf numFmtId="0" fontId="167" fillId="2" borderId="10" xfId="0" applyFont="1" applyFill="1" applyBorder="1" applyAlignment="1">
      <alignment vertical="center" wrapText="1"/>
    </xf>
    <xf numFmtId="0" fontId="167" fillId="2" borderId="12" xfId="0" applyFont="1" applyFill="1" applyBorder="1" applyAlignment="1">
      <alignment horizontal="center" vertical="center" wrapText="1"/>
    </xf>
    <xf numFmtId="0" fontId="167" fillId="2" borderId="11" xfId="0" applyFont="1" applyFill="1" applyBorder="1" applyAlignment="1">
      <alignment vertical="center" wrapText="1"/>
    </xf>
    <xf numFmtId="0" fontId="122" fillId="2" borderId="83" xfId="0" applyFont="1" applyFill="1" applyBorder="1" applyAlignment="1">
      <alignment horizontal="center" vertical="center" wrapText="1"/>
    </xf>
    <xf numFmtId="0" fontId="122" fillId="2" borderId="96" xfId="0" applyFont="1" applyFill="1" applyBorder="1" applyAlignment="1">
      <alignment horizontal="center" vertical="center" wrapText="1"/>
    </xf>
    <xf numFmtId="0" fontId="167" fillId="2" borderId="96" xfId="0" applyFont="1" applyFill="1" applyBorder="1" applyAlignment="1">
      <alignment vertical="center" wrapText="1"/>
    </xf>
    <xf numFmtId="0" fontId="167" fillId="2" borderId="97" xfId="0" applyFont="1" applyFill="1" applyBorder="1" applyAlignment="1">
      <alignment horizontal="center" vertical="center" wrapText="1"/>
    </xf>
    <xf numFmtId="0" fontId="167" fillId="2" borderId="93" xfId="0" applyFont="1" applyFill="1" applyBorder="1" applyAlignment="1">
      <alignment vertical="center" wrapText="1"/>
    </xf>
    <xf numFmtId="0" fontId="123" fillId="2" borderId="1" xfId="0" applyFont="1" applyFill="1" applyBorder="1" applyAlignment="1">
      <alignment horizontal="center" vertical="center" wrapText="1"/>
    </xf>
    <xf numFmtId="0" fontId="168" fillId="2" borderId="1" xfId="0" applyFont="1" applyFill="1" applyBorder="1" applyAlignment="1">
      <alignment horizontal="left" vertical="center" wrapText="1"/>
    </xf>
    <xf numFmtId="0" fontId="26" fillId="2" borderId="0" xfId="0" applyFont="1" applyFill="1" applyProtection="1">
      <alignment vertical="center"/>
      <protection locked="0"/>
    </xf>
    <xf numFmtId="0" fontId="18" fillId="2" borderId="0" xfId="55" applyFont="1" applyFill="1" applyAlignment="1">
      <alignment horizontal="left" vertical="center" wrapText="1"/>
    </xf>
    <xf numFmtId="0" fontId="18" fillId="2" borderId="0" xfId="55" applyFont="1" applyFill="1" applyAlignment="1" applyProtection="1">
      <alignment horizontal="left" vertical="center" wrapText="1"/>
      <protection locked="0"/>
    </xf>
    <xf numFmtId="0" fontId="49" fillId="2" borderId="0" xfId="55" applyFont="1" applyFill="1" applyAlignment="1">
      <alignment vertical="center" wrapText="1"/>
    </xf>
    <xf numFmtId="0" fontId="49" fillId="2" borderId="0" xfId="55" applyFont="1" applyFill="1" applyAlignment="1" applyProtection="1">
      <alignment vertical="center" wrapText="1"/>
      <protection locked="0"/>
    </xf>
    <xf numFmtId="0" fontId="93" fillId="2" borderId="1" xfId="0" applyFont="1" applyFill="1" applyBorder="1" applyAlignment="1">
      <alignment vertical="center" wrapText="1"/>
    </xf>
    <xf numFmtId="180" fontId="18" fillId="2" borderId="0" xfId="0" applyNumberFormat="1" applyFont="1" applyFill="1" applyAlignment="1">
      <alignment horizontal="left" vertical="center"/>
    </xf>
    <xf numFmtId="0" fontId="49" fillId="2" borderId="0" xfId="55" applyFont="1" applyFill="1"/>
    <xf numFmtId="0" fontId="49" fillId="2" borderId="0" xfId="55" applyFont="1" applyFill="1" applyProtection="1">
      <protection locked="0"/>
    </xf>
    <xf numFmtId="0" fontId="143" fillId="6" borderId="0" xfId="0" applyFont="1" applyFill="1">
      <alignment vertical="center"/>
    </xf>
    <xf numFmtId="0" fontId="124" fillId="2" borderId="0" xfId="0" applyFont="1" applyFill="1">
      <alignment vertical="center"/>
    </xf>
    <xf numFmtId="0" fontId="83" fillId="0" borderId="6" xfId="0" applyFont="1" applyBorder="1" applyProtection="1">
      <alignment vertical="center"/>
      <protection locked="0"/>
    </xf>
    <xf numFmtId="0" fontId="150" fillId="6" borderId="0" xfId="0" applyFont="1" applyFill="1">
      <alignment vertical="center"/>
    </xf>
    <xf numFmtId="0" fontId="18" fillId="6" borderId="0" xfId="0" applyFont="1" applyFill="1" applyAlignment="1" applyProtection="1">
      <alignment horizontal="right" vertical="center"/>
      <protection locked="0"/>
    </xf>
    <xf numFmtId="180" fontId="18" fillId="2" borderId="0" xfId="0" applyNumberFormat="1" applyFont="1" applyFill="1">
      <alignment vertical="center"/>
    </xf>
    <xf numFmtId="0" fontId="49" fillId="0" borderId="0" xfId="0" applyFont="1" applyProtection="1">
      <alignment vertical="center"/>
      <protection locked="0"/>
    </xf>
    <xf numFmtId="0" fontId="23" fillId="6" borderId="0" xfId="0" applyFont="1" applyFill="1" applyAlignment="1" applyProtection="1">
      <alignment horizontal="left" vertical="center"/>
      <protection locked="0"/>
    </xf>
    <xf numFmtId="2" fontId="18" fillId="6" borderId="0" xfId="0" applyNumberFormat="1" applyFont="1" applyFill="1" applyAlignment="1" applyProtection="1">
      <alignment vertical="center" wrapText="1"/>
      <protection locked="0"/>
    </xf>
    <xf numFmtId="0" fontId="23" fillId="6" borderId="0" xfId="0" applyFont="1" applyFill="1" applyAlignment="1" applyProtection="1">
      <alignment vertical="center" wrapText="1"/>
      <protection locked="0"/>
    </xf>
    <xf numFmtId="0" fontId="18"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69" fillId="2" borderId="1" xfId="67" applyFont="1" applyFill="1" applyBorder="1" applyAlignment="1">
      <alignment horizontal="left" vertical="center" wrapText="1"/>
    </xf>
    <xf numFmtId="0" fontId="169" fillId="9" borderId="0" xfId="67"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69" fillId="2" borderId="1" xfId="67" applyNumberFormat="1" applyFont="1" applyFill="1" applyBorder="1" applyAlignment="1">
      <alignment horizontal="left" vertical="center" wrapText="1"/>
    </xf>
    <xf numFmtId="0" fontId="169" fillId="0" borderId="1" xfId="67" applyFont="1" applyBorder="1" applyAlignment="1" applyProtection="1">
      <alignment horizontal="left" vertical="center" wrapText="1"/>
      <protection locked="0"/>
    </xf>
    <xf numFmtId="0" fontId="0" fillId="2" borderId="1" xfId="67" applyFill="1" applyBorder="1" applyAlignment="1">
      <alignment horizontal="left" vertical="center"/>
    </xf>
    <xf numFmtId="0" fontId="169" fillId="2" borderId="9" xfId="67" applyFont="1" applyFill="1" applyBorder="1" applyAlignment="1">
      <alignment horizontal="left" vertical="center" wrapText="1"/>
    </xf>
    <xf numFmtId="0" fontId="0" fillId="0" borderId="1" xfId="67" applyBorder="1" applyAlignment="1" applyProtection="1">
      <alignment horizontal="left" vertical="center"/>
      <protection locked="0"/>
    </xf>
    <xf numFmtId="0" fontId="169" fillId="0" borderId="9" xfId="67" applyFont="1" applyBorder="1" applyAlignment="1" applyProtection="1">
      <alignment horizontal="left" vertical="center" wrapText="1"/>
      <protection locked="0"/>
    </xf>
    <xf numFmtId="0" fontId="170" fillId="0" borderId="0" xfId="0" applyFont="1" applyAlignment="1" applyProtection="1">
      <alignment horizontal="left" vertical="center"/>
      <protection locked="0"/>
    </xf>
    <xf numFmtId="0" fontId="44" fillId="0" borderId="0" xfId="0" applyFont="1" applyAlignment="1" applyProtection="1">
      <alignment horizontal="left" vertical="center"/>
      <protection locked="0"/>
    </xf>
    <xf numFmtId="0" fontId="44" fillId="0" borderId="0" xfId="0" applyFont="1" applyAlignment="1" applyProtection="1">
      <alignment horizontal="left" vertical="center" wrapText="1"/>
      <protection locked="0"/>
    </xf>
    <xf numFmtId="0" fontId="171" fillId="2" borderId="146" xfId="0" applyFont="1" applyFill="1" applyBorder="1" applyAlignment="1">
      <alignment horizontal="left" vertical="center"/>
    </xf>
    <xf numFmtId="0" fontId="171" fillId="2" borderId="147" xfId="0" applyFont="1" applyFill="1" applyBorder="1" applyAlignment="1">
      <alignment horizontal="left" vertical="center"/>
    </xf>
    <xf numFmtId="0" fontId="172" fillId="0" borderId="147" xfId="0" applyFont="1" applyBorder="1" applyAlignment="1" applyProtection="1">
      <alignment horizontal="left" vertical="center" wrapText="1"/>
      <protection locked="0"/>
    </xf>
    <xf numFmtId="0" fontId="90" fillId="2" borderId="98" xfId="0" applyFont="1" applyFill="1" applyBorder="1" applyAlignment="1">
      <alignment horizontal="left" vertical="center" wrapText="1"/>
    </xf>
    <xf numFmtId="0" fontId="90" fillId="2" borderId="63" xfId="0" applyFont="1" applyFill="1" applyBorder="1" applyAlignment="1">
      <alignment horizontal="left" vertical="center" wrapText="1"/>
    </xf>
    <xf numFmtId="0" fontId="90" fillId="2" borderId="100" xfId="0" applyFont="1" applyFill="1" applyBorder="1" applyAlignment="1">
      <alignment horizontal="left" vertical="center"/>
    </xf>
    <xf numFmtId="0" fontId="90" fillId="2" borderId="0" xfId="0" applyFont="1" applyFill="1" applyAlignment="1">
      <alignment horizontal="left" vertical="center" wrapText="1"/>
    </xf>
    <xf numFmtId="0" fontId="44" fillId="2" borderId="99" xfId="0" applyFont="1" applyFill="1" applyBorder="1" applyAlignment="1">
      <alignment horizontal="left" vertical="center"/>
    </xf>
    <xf numFmtId="0" fontId="90" fillId="2" borderId="69" xfId="0" applyFont="1" applyFill="1" applyBorder="1" applyAlignment="1">
      <alignment horizontal="left" vertical="center" wrapText="1"/>
    </xf>
    <xf numFmtId="0" fontId="44" fillId="2" borderId="5" xfId="0" applyFont="1" applyFill="1" applyBorder="1" applyAlignment="1">
      <alignment horizontal="left" vertical="center" wrapText="1"/>
    </xf>
    <xf numFmtId="49" fontId="40" fillId="0" borderId="13" xfId="0" applyNumberFormat="1" applyFont="1" applyBorder="1" applyAlignment="1" applyProtection="1">
      <alignment horizontal="left" vertical="center" wrapText="1"/>
      <protection locked="0"/>
    </xf>
    <xf numFmtId="49" fontId="44" fillId="2" borderId="0" xfId="0" applyNumberFormat="1" applyFont="1" applyFill="1" applyAlignment="1" applyProtection="1">
      <alignment horizontal="left" vertical="center" wrapText="1"/>
      <protection locked="0"/>
    </xf>
    <xf numFmtId="0" fontId="90" fillId="2" borderId="68" xfId="0" applyFont="1" applyFill="1" applyBorder="1" applyAlignment="1">
      <alignment horizontal="left" vertical="center" wrapText="1"/>
    </xf>
    <xf numFmtId="0" fontId="44" fillId="2" borderId="81" xfId="0" applyFont="1" applyFill="1" applyBorder="1" applyAlignment="1">
      <alignment horizontal="left" vertical="center" wrapText="1"/>
    </xf>
    <xf numFmtId="0" fontId="40" fillId="0" borderId="72" xfId="0" applyFont="1" applyBorder="1" applyAlignment="1" applyProtection="1">
      <alignment horizontal="left" vertical="center" wrapText="1"/>
      <protection locked="0"/>
    </xf>
    <xf numFmtId="0" fontId="44" fillId="2" borderId="1" xfId="0" applyFont="1" applyFill="1" applyBorder="1" applyAlignment="1">
      <alignment horizontal="left" vertical="center" wrapText="1"/>
    </xf>
    <xf numFmtId="49" fontId="40" fillId="0" borderId="14" xfId="0" applyNumberFormat="1" applyFont="1" applyBorder="1" applyAlignment="1" applyProtection="1">
      <alignment horizontal="left" vertical="center" wrapText="1"/>
      <protection locked="0"/>
    </xf>
    <xf numFmtId="49" fontId="44" fillId="2" borderId="68" xfId="0" applyNumberFormat="1" applyFont="1" applyFill="1" applyBorder="1" applyAlignment="1">
      <alignment horizontal="left" vertical="center" wrapText="1"/>
    </xf>
    <xf numFmtId="0" fontId="44" fillId="2" borderId="11" xfId="0" applyFont="1" applyFill="1" applyBorder="1" applyAlignment="1">
      <alignment horizontal="left" vertical="center" wrapText="1"/>
    </xf>
    <xf numFmtId="0" fontId="40" fillId="0" borderId="14" xfId="0" applyFont="1" applyBorder="1" applyAlignment="1" applyProtection="1">
      <alignment horizontal="left" vertical="center" wrapText="1"/>
      <protection locked="0"/>
    </xf>
    <xf numFmtId="0" fontId="44" fillId="2" borderId="0" xfId="0" applyFont="1" applyFill="1" applyAlignment="1" applyProtection="1">
      <alignment horizontal="left" vertical="center" wrapText="1"/>
      <protection locked="0"/>
    </xf>
    <xf numFmtId="49" fontId="44" fillId="2" borderId="76" xfId="0" applyNumberFormat="1" applyFont="1" applyFill="1" applyBorder="1" applyAlignment="1">
      <alignment horizontal="left" vertical="center" wrapText="1"/>
    </xf>
    <xf numFmtId="0" fontId="44" fillId="2" borderId="110" xfId="0" applyFont="1" applyFill="1" applyBorder="1" applyAlignment="1">
      <alignment horizontal="left" vertical="center" wrapText="1"/>
    </xf>
    <xf numFmtId="0" fontId="40" fillId="0" borderId="15" xfId="0" applyFont="1" applyBorder="1" applyAlignment="1" applyProtection="1">
      <alignment horizontal="left" vertical="center" wrapText="1"/>
      <protection locked="0"/>
    </xf>
    <xf numFmtId="0" fontId="44" fillId="2" borderId="0" xfId="0" applyFont="1" applyFill="1" applyAlignment="1" applyProtection="1">
      <alignment horizontal="left" vertical="center"/>
      <protection locked="0"/>
    </xf>
    <xf numFmtId="0" fontId="90" fillId="2" borderId="76" xfId="0" applyFont="1" applyFill="1" applyBorder="1" applyAlignment="1">
      <alignment horizontal="left" vertical="center" wrapText="1"/>
    </xf>
    <xf numFmtId="0" fontId="44" fillId="2" borderId="8" xfId="0" applyFont="1" applyFill="1" applyBorder="1" applyAlignment="1">
      <alignment horizontal="left" vertical="center" wrapText="1"/>
    </xf>
    <xf numFmtId="0" fontId="40" fillId="0" borderId="15" xfId="0" applyFont="1" applyBorder="1" applyAlignment="1" applyProtection="1">
      <alignment horizontal="left" vertical="center"/>
      <protection locked="0"/>
    </xf>
    <xf numFmtId="0" fontId="90" fillId="2" borderId="0" xfId="0" applyFont="1" applyFill="1" applyAlignment="1" applyProtection="1">
      <alignment horizontal="left" vertical="center" wrapText="1"/>
      <protection locked="0"/>
    </xf>
    <xf numFmtId="0" fontId="171" fillId="2" borderId="0" xfId="0" applyFont="1" applyFill="1" applyAlignment="1">
      <alignment horizontal="left" vertical="center"/>
    </xf>
    <xf numFmtId="0" fontId="172" fillId="0" borderId="0" xfId="0" applyFont="1" applyAlignment="1" applyProtection="1">
      <alignment horizontal="left" vertical="center" wrapText="1"/>
      <protection locked="0"/>
    </xf>
    <xf numFmtId="0" fontId="171" fillId="2" borderId="148" xfId="0" applyFont="1" applyFill="1" applyBorder="1" applyAlignment="1">
      <alignment horizontal="left" vertical="center"/>
    </xf>
    <xf numFmtId="0" fontId="90" fillId="2" borderId="19" xfId="0" applyFont="1" applyFill="1" applyBorder="1" applyAlignment="1">
      <alignment horizontal="left" vertical="center" wrapText="1"/>
    </xf>
    <xf numFmtId="0" fontId="90" fillId="2" borderId="45" xfId="0" applyFont="1" applyFill="1" applyBorder="1" applyAlignment="1">
      <alignment horizontal="left" vertical="center" wrapText="1"/>
    </xf>
    <xf numFmtId="0" fontId="90" fillId="2" borderId="101" xfId="0" applyFont="1" applyFill="1" applyBorder="1" applyAlignment="1">
      <alignment horizontal="left" vertical="center" wrapText="1"/>
    </xf>
    <xf numFmtId="0" fontId="90" fillId="2" borderId="91" xfId="0" applyFont="1" applyFill="1" applyBorder="1" applyAlignment="1">
      <alignment horizontal="left" vertical="center" wrapText="1"/>
    </xf>
    <xf numFmtId="0" fontId="44" fillId="2" borderId="4" xfId="0" applyFont="1" applyFill="1" applyBorder="1" applyAlignment="1">
      <alignment horizontal="left" vertical="center" wrapText="1"/>
    </xf>
    <xf numFmtId="49" fontId="44" fillId="2" borderId="70" xfId="0" applyNumberFormat="1" applyFont="1" applyFill="1" applyBorder="1" applyAlignment="1">
      <alignment horizontal="left" vertical="center" wrapText="1"/>
    </xf>
    <xf numFmtId="49" fontId="90" fillId="2" borderId="91" xfId="0" applyNumberFormat="1" applyFont="1" applyFill="1" applyBorder="1" applyAlignment="1">
      <alignment horizontal="left" vertical="center" wrapText="1"/>
    </xf>
    <xf numFmtId="0" fontId="44" fillId="2" borderId="13" xfId="0" applyFont="1" applyFill="1" applyBorder="1" applyAlignment="1">
      <alignment horizontal="left" vertical="center" wrapText="1"/>
    </xf>
    <xf numFmtId="0" fontId="90" fillId="2" borderId="106" xfId="0" applyFont="1" applyFill="1" applyBorder="1" applyAlignment="1">
      <alignment horizontal="left" vertical="center" wrapText="1"/>
    </xf>
    <xf numFmtId="0" fontId="44" fillId="2" borderId="29" xfId="0" applyFont="1" applyFill="1" applyBorder="1" applyAlignment="1">
      <alignment horizontal="left" vertical="center" wrapText="1"/>
    </xf>
    <xf numFmtId="49" fontId="44" fillId="2" borderId="14" xfId="0" applyNumberFormat="1" applyFont="1" applyFill="1" applyBorder="1" applyAlignment="1">
      <alignment horizontal="left" vertical="center" wrapText="1"/>
    </xf>
    <xf numFmtId="49" fontId="90" fillId="2" borderId="106" xfId="0" applyNumberFormat="1" applyFont="1" applyFill="1" applyBorder="1" applyAlignment="1">
      <alignment horizontal="left" vertical="center" wrapText="1"/>
    </xf>
    <xf numFmtId="0" fontId="44" fillId="2" borderId="6" xfId="0" applyFont="1" applyFill="1" applyBorder="1" applyAlignment="1">
      <alignment horizontal="left" vertical="center" wrapText="1"/>
    </xf>
    <xf numFmtId="0" fontId="44" fillId="2" borderId="14" xfId="0" applyFont="1" applyFill="1" applyBorder="1" applyAlignment="1">
      <alignment horizontal="left" vertical="center" wrapText="1"/>
    </xf>
    <xf numFmtId="0" fontId="30" fillId="0" borderId="14" xfId="0" applyFont="1" applyBorder="1" applyAlignment="1" applyProtection="1">
      <alignment horizontal="left" vertical="center" wrapText="1"/>
      <protection locked="0"/>
    </xf>
    <xf numFmtId="0" fontId="30" fillId="3" borderId="14" xfId="0" applyFont="1" applyFill="1" applyBorder="1" applyAlignment="1" applyProtection="1">
      <alignment horizontal="left" vertical="center" wrapText="1"/>
      <protection locked="0"/>
    </xf>
    <xf numFmtId="49" fontId="90" fillId="2" borderId="102" xfId="0" applyNumberFormat="1" applyFont="1" applyFill="1" applyBorder="1" applyAlignment="1">
      <alignment horizontal="left" vertical="center" wrapText="1"/>
    </xf>
    <xf numFmtId="0" fontId="44" fillId="2" borderId="7" xfId="0" applyFont="1" applyFill="1" applyBorder="1" applyAlignment="1">
      <alignment horizontal="left" vertical="center" wrapText="1"/>
    </xf>
    <xf numFmtId="0" fontId="30" fillId="0" borderId="15" xfId="0" applyFont="1" applyBorder="1" applyAlignment="1" applyProtection="1">
      <alignment horizontal="left" vertical="center" wrapText="1"/>
      <protection locked="0"/>
    </xf>
    <xf numFmtId="0" fontId="90" fillId="2" borderId="102" xfId="0" applyFont="1" applyFill="1" applyBorder="1" applyAlignment="1">
      <alignment horizontal="left" vertical="center" wrapText="1"/>
    </xf>
    <xf numFmtId="0" fontId="44" fillId="2" borderId="15" xfId="0" applyFont="1" applyFill="1" applyBorder="1" applyAlignment="1">
      <alignment horizontal="left" vertical="center" wrapText="1"/>
    </xf>
    <xf numFmtId="49" fontId="44" fillId="0" borderId="0" xfId="0" applyNumberFormat="1" applyFont="1" applyAlignment="1" applyProtection="1">
      <alignment horizontal="left" vertical="center" wrapText="1"/>
      <protection locked="0"/>
    </xf>
    <xf numFmtId="0" fontId="172" fillId="0" borderId="74" xfId="0" applyFont="1" applyBorder="1" applyAlignment="1" applyProtection="1">
      <alignment horizontal="left" vertical="center" wrapText="1"/>
      <protection locked="0"/>
    </xf>
    <xf numFmtId="0" fontId="170" fillId="0" borderId="0" xfId="0" applyFont="1" applyAlignment="1" applyProtection="1">
      <alignment horizontal="left" vertical="center" wrapText="1"/>
      <protection locked="0"/>
    </xf>
    <xf numFmtId="0" fontId="172" fillId="0" borderId="149" xfId="0" applyFont="1" applyBorder="1" applyAlignment="1" applyProtection="1">
      <alignment horizontal="left" vertical="center" wrapText="1"/>
      <protection locked="0"/>
    </xf>
    <xf numFmtId="0" fontId="30" fillId="0" borderId="0" xfId="0" applyFont="1">
      <alignment vertical="center"/>
    </xf>
    <xf numFmtId="0" fontId="30" fillId="0" borderId="0" xfId="0" applyFont="1" applyAlignment="1">
      <alignment vertical="center" wrapText="1"/>
    </xf>
    <xf numFmtId="0" fontId="18" fillId="0" borderId="0" xfId="0" applyFont="1" applyAlignment="1">
      <alignment vertical="center" wrapText="1"/>
    </xf>
    <xf numFmtId="178" fontId="18" fillId="0" borderId="0" xfId="0" applyNumberFormat="1" applyFont="1">
      <alignment vertical="center"/>
    </xf>
    <xf numFmtId="0" fontId="154" fillId="2" borderId="0" xfId="0" applyFont="1" applyFill="1" applyAlignment="1">
      <alignment vertical="center" wrapText="1"/>
    </xf>
    <xf numFmtId="178" fontId="18" fillId="2" borderId="0" xfId="0" applyNumberFormat="1" applyFont="1" applyFill="1" applyProtection="1">
      <alignment vertical="center"/>
      <protection locked="0"/>
    </xf>
    <xf numFmtId="0" fontId="41" fillId="2" borderId="60" xfId="0" applyFont="1" applyFill="1" applyBorder="1" applyAlignment="1">
      <alignment vertical="center" wrapText="1"/>
    </xf>
    <xf numFmtId="14" fontId="41" fillId="2" borderId="61" xfId="0" applyNumberFormat="1" applyFont="1" applyFill="1" applyBorder="1" applyAlignment="1">
      <alignment horizontal="center" vertical="center"/>
    </xf>
    <xf numFmtId="0" fontId="30" fillId="2" borderId="0" xfId="0" applyFont="1" applyFill="1" applyProtection="1">
      <alignment vertical="center"/>
      <protection locked="0"/>
    </xf>
    <xf numFmtId="178" fontId="30" fillId="2" borderId="0" xfId="0" applyNumberFormat="1" applyFont="1" applyFill="1" applyProtection="1">
      <alignment vertical="center"/>
      <protection locked="0"/>
    </xf>
    <xf numFmtId="0" fontId="30" fillId="2" borderId="0" xfId="0" applyFont="1" applyFill="1" applyAlignment="1">
      <alignment vertical="center" wrapText="1"/>
    </xf>
    <xf numFmtId="0" fontId="41" fillId="2" borderId="91" xfId="0" applyFont="1" applyFill="1" applyBorder="1" applyAlignment="1">
      <alignment vertical="center" wrapText="1"/>
    </xf>
    <xf numFmtId="0" fontId="30" fillId="2" borderId="98" xfId="0" applyFont="1" applyFill="1" applyBorder="1">
      <alignment vertical="center"/>
    </xf>
    <xf numFmtId="0" fontId="30" fillId="2" borderId="99" xfId="0" applyFont="1" applyFill="1" applyBorder="1">
      <alignment vertical="center"/>
    </xf>
    <xf numFmtId="178" fontId="30" fillId="2" borderId="99" xfId="0" applyNumberFormat="1" applyFont="1" applyFill="1" applyBorder="1">
      <alignment vertical="center"/>
    </xf>
    <xf numFmtId="0" fontId="147" fillId="2" borderId="99" xfId="0" applyFont="1" applyFill="1" applyBorder="1">
      <alignment vertical="center"/>
    </xf>
    <xf numFmtId="0" fontId="118" fillId="2" borderId="4" xfId="51" applyFont="1" applyFill="1" applyBorder="1" applyAlignment="1">
      <alignment vertical="center" wrapText="1"/>
    </xf>
    <xf numFmtId="0" fontId="30" fillId="2" borderId="5" xfId="51" applyFont="1" applyFill="1" applyBorder="1" applyAlignment="1">
      <alignment vertical="center" wrapText="1"/>
    </xf>
    <xf numFmtId="0" fontId="30" fillId="2" borderId="39" xfId="51" applyFont="1" applyFill="1" applyBorder="1" applyAlignment="1">
      <alignment vertical="center" wrapText="1"/>
    </xf>
    <xf numFmtId="190" fontId="34" fillId="2" borderId="4" xfId="51" applyNumberFormat="1" applyFont="1" applyFill="1" applyBorder="1" applyAlignment="1">
      <alignment horizontal="center" vertical="center" wrapText="1"/>
    </xf>
    <xf numFmtId="178" fontId="30" fillId="2" borderId="5" xfId="0" applyNumberFormat="1" applyFont="1" applyFill="1" applyBorder="1" applyAlignment="1">
      <alignment horizontal="center" vertical="center" wrapText="1"/>
    </xf>
    <xf numFmtId="176" fontId="147" fillId="2" borderId="6" xfId="51" applyNumberFormat="1" applyFont="1" applyFill="1" applyBorder="1" applyAlignment="1">
      <alignment horizontal="left" vertical="center"/>
    </xf>
    <xf numFmtId="176" fontId="44" fillId="2" borderId="1" xfId="51" applyNumberFormat="1" applyFont="1" applyFill="1" applyBorder="1">
      <alignment vertical="center"/>
    </xf>
    <xf numFmtId="176" fontId="97" fillId="5" borderId="10" xfId="51" applyNumberFormat="1" applyFont="1" applyFill="1" applyBorder="1" applyProtection="1">
      <alignment vertical="center"/>
      <protection locked="0"/>
    </xf>
    <xf numFmtId="176" fontId="30" fillId="2" borderId="6" xfId="51" applyNumberFormat="1" applyFont="1" applyFill="1" applyBorder="1" applyAlignment="1">
      <alignment horizontal="center" vertical="center"/>
    </xf>
    <xf numFmtId="182" fontId="30" fillId="2" borderId="1" xfId="0" applyNumberFormat="1" applyFont="1" applyFill="1" applyBorder="1" applyAlignment="1">
      <alignment horizontal="center" vertical="center"/>
    </xf>
    <xf numFmtId="178" fontId="34" fillId="2" borderId="1" xfId="51" applyNumberFormat="1" applyFont="1" applyFill="1" applyBorder="1" applyAlignment="1">
      <alignment horizontal="center" vertical="center"/>
    </xf>
    <xf numFmtId="190" fontId="34" fillId="2" borderId="1" xfId="51" applyNumberFormat="1" applyFont="1" applyFill="1" applyBorder="1" applyAlignment="1">
      <alignment horizontal="center" vertical="center"/>
    </xf>
    <xf numFmtId="180" fontId="69" fillId="0" borderId="1" xfId="0" applyNumberFormat="1" applyFont="1" applyBorder="1" applyAlignment="1" applyProtection="1">
      <alignment horizontal="center" vertical="center"/>
      <protection locked="0"/>
    </xf>
    <xf numFmtId="176" fontId="30" fillId="5" borderId="10" xfId="51" applyNumberFormat="1" applyFont="1" applyFill="1" applyBorder="1" applyProtection="1">
      <alignment vertical="center"/>
      <protection locked="0"/>
    </xf>
    <xf numFmtId="180" fontId="30" fillId="0" borderId="1" xfId="0" applyNumberFormat="1" applyFont="1" applyBorder="1" applyAlignment="1" applyProtection="1">
      <alignment horizontal="center" vertical="center"/>
      <protection locked="0"/>
    </xf>
    <xf numFmtId="176" fontId="30" fillId="2" borderId="6" xfId="51" applyNumberFormat="1" applyFont="1" applyFill="1" applyBorder="1" applyAlignment="1">
      <alignment horizontal="left" vertical="center" wrapText="1"/>
    </xf>
    <xf numFmtId="176" fontId="30" fillId="2" borderId="1" xfId="51" applyNumberFormat="1" applyFont="1" applyFill="1" applyBorder="1">
      <alignment vertical="center"/>
    </xf>
    <xf numFmtId="176" fontId="30" fillId="2" borderId="10" xfId="51" applyNumberFormat="1" applyFont="1" applyFill="1" applyBorder="1">
      <alignment vertical="center"/>
    </xf>
    <xf numFmtId="180" fontId="32" fillId="2" borderId="1" xfId="0" applyNumberFormat="1" applyFont="1" applyFill="1" applyBorder="1" applyAlignment="1">
      <alignment horizontal="center" vertical="center"/>
    </xf>
    <xf numFmtId="176" fontId="147" fillId="2" borderId="6" xfId="51" applyNumberFormat="1" applyFont="1" applyFill="1" applyBorder="1" applyAlignment="1">
      <alignment horizontal="left" vertical="center" wrapText="1"/>
    </xf>
    <xf numFmtId="0" fontId="41" fillId="2" borderId="7" xfId="51" applyFont="1" applyFill="1" applyBorder="1" applyAlignment="1">
      <alignment vertical="center" wrapText="1"/>
    </xf>
    <xf numFmtId="0" fontId="41" fillId="2" borderId="8" xfId="51" applyFont="1" applyFill="1" applyBorder="1">
      <alignment vertical="center"/>
    </xf>
    <xf numFmtId="0" fontId="41" fillId="2" borderId="42" xfId="51" applyFont="1" applyFill="1" applyBorder="1">
      <alignment vertical="center"/>
    </xf>
    <xf numFmtId="0" fontId="41" fillId="2" borderId="7" xfId="51" applyFont="1" applyFill="1" applyBorder="1">
      <alignment vertical="center"/>
    </xf>
    <xf numFmtId="0" fontId="41" fillId="2" borderId="8" xfId="51" applyFont="1" applyFill="1" applyBorder="1" applyAlignment="1">
      <alignment horizontal="center" vertical="center"/>
    </xf>
    <xf numFmtId="180" fontId="41" fillId="2" borderId="8" xfId="51" applyNumberFormat="1" applyFont="1" applyFill="1" applyBorder="1">
      <alignment vertical="center"/>
    </xf>
    <xf numFmtId="0" fontId="23" fillId="2" borderId="0" xfId="0" applyFont="1" applyFill="1" applyAlignment="1">
      <alignment vertical="center" wrapText="1"/>
    </xf>
    <xf numFmtId="0" fontId="18" fillId="9" borderId="0" xfId="0" applyFont="1" applyFill="1" applyProtection="1">
      <alignment vertical="center"/>
      <protection locked="0"/>
    </xf>
    <xf numFmtId="178" fontId="18" fillId="9" borderId="0" xfId="0" applyNumberFormat="1" applyFont="1" applyFill="1" applyProtection="1">
      <alignment vertical="center"/>
      <protection locked="0"/>
    </xf>
    <xf numFmtId="0" fontId="30" fillId="9" borderId="0" xfId="0" applyFont="1" applyFill="1" applyProtection="1">
      <alignment vertical="center"/>
      <protection locked="0"/>
    </xf>
    <xf numFmtId="178" fontId="30" fillId="9" borderId="0" xfId="0" applyNumberFormat="1" applyFont="1" applyFill="1" applyProtection="1">
      <alignment vertical="center"/>
      <protection locked="0"/>
    </xf>
    <xf numFmtId="183" fontId="34" fillId="2" borderId="4" xfId="51" applyNumberFormat="1" applyFont="1" applyFill="1" applyBorder="1" applyAlignment="1">
      <alignment vertical="center" wrapText="1"/>
    </xf>
    <xf numFmtId="183" fontId="34" fillId="3" borderId="13" xfId="51" applyNumberFormat="1" applyFont="1" applyFill="1" applyBorder="1" applyAlignment="1" applyProtection="1">
      <alignment horizontal="center" vertical="center"/>
      <protection locked="0"/>
    </xf>
    <xf numFmtId="0" fontId="143" fillId="9" borderId="0" xfId="0" applyFont="1" applyFill="1">
      <alignment vertical="center"/>
    </xf>
    <xf numFmtId="183" fontId="34" fillId="2" borderId="6" xfId="51" applyNumberFormat="1" applyFont="1" applyFill="1" applyBorder="1" applyAlignment="1">
      <alignment vertical="center" wrapText="1"/>
    </xf>
    <xf numFmtId="183" fontId="30" fillId="0" borderId="14" xfId="51" applyNumberFormat="1" applyFont="1" applyBorder="1" applyAlignment="1" applyProtection="1">
      <alignment horizontal="center" vertical="center"/>
      <protection locked="0"/>
    </xf>
    <xf numFmtId="183" fontId="30" fillId="2" borderId="6" xfId="51" applyNumberFormat="1" applyFont="1" applyFill="1" applyBorder="1" applyAlignment="1">
      <alignment vertical="center" wrapText="1"/>
    </xf>
    <xf numFmtId="183" fontId="34" fillId="2" borderId="14" xfId="51" applyNumberFormat="1" applyFont="1" applyFill="1" applyBorder="1" applyAlignment="1">
      <alignment horizontal="center" vertical="center"/>
    </xf>
    <xf numFmtId="183" fontId="34" fillId="2" borderId="7" xfId="51" applyNumberFormat="1" applyFont="1" applyFill="1" applyBorder="1" applyAlignment="1">
      <alignment vertical="center" wrapText="1"/>
    </xf>
    <xf numFmtId="183" fontId="34" fillId="2" borderId="15" xfId="51" applyNumberFormat="1" applyFont="1" applyFill="1" applyBorder="1" applyAlignment="1">
      <alignment horizontal="center" vertical="center"/>
    </xf>
    <xf numFmtId="0" fontId="30" fillId="2" borderId="63" xfId="0" applyFont="1" applyFill="1" applyBorder="1" applyAlignment="1">
      <alignment horizontal="center" vertical="center"/>
    </xf>
    <xf numFmtId="0" fontId="30" fillId="9" borderId="61" xfId="0" applyFont="1" applyFill="1" applyBorder="1" applyAlignment="1" applyProtection="1">
      <alignment horizontal="center" vertical="center"/>
      <protection locked="0"/>
    </xf>
    <xf numFmtId="0" fontId="30" fillId="2" borderId="4" xfId="0" applyFont="1" applyFill="1" applyBorder="1" applyAlignment="1">
      <alignment vertical="center" wrapText="1"/>
    </xf>
    <xf numFmtId="0" fontId="19" fillId="0" borderId="13" xfId="51" applyFont="1" applyBorder="1" applyAlignment="1" applyProtection="1">
      <alignment horizontal="center" vertical="center"/>
      <protection locked="0"/>
    </xf>
    <xf numFmtId="0" fontId="103" fillId="9" borderId="0" xfId="0" applyFont="1" applyFill="1" applyAlignment="1">
      <alignment horizontal="left" vertical="center"/>
    </xf>
    <xf numFmtId="178" fontId="30" fillId="9" borderId="0" xfId="0" applyNumberFormat="1" applyFont="1" applyFill="1" applyAlignment="1" applyProtection="1">
      <alignment horizontal="center" vertical="center"/>
      <protection locked="0"/>
    </xf>
    <xf numFmtId="0" fontId="30" fillId="9" borderId="0" xfId="0" applyFont="1" applyFill="1" applyAlignment="1" applyProtection="1">
      <alignment horizontal="center" vertical="center"/>
      <protection locked="0"/>
    </xf>
    <xf numFmtId="0" fontId="30" fillId="2" borderId="6" xfId="0" applyFont="1" applyFill="1" applyBorder="1" applyAlignment="1">
      <alignment vertical="center" wrapText="1"/>
    </xf>
    <xf numFmtId="0" fontId="19" fillId="0" borderId="14" xfId="51" applyFont="1" applyBorder="1" applyAlignment="1" applyProtection="1">
      <alignment horizontal="center" vertical="center"/>
      <protection locked="0"/>
    </xf>
    <xf numFmtId="0" fontId="49" fillId="9" borderId="0" xfId="0" applyFont="1" applyFill="1" applyAlignment="1" applyProtection="1">
      <alignment horizontal="center" vertical="center"/>
      <protection locked="0"/>
    </xf>
    <xf numFmtId="0" fontId="30" fillId="2" borderId="7" xfId="0" applyFont="1" applyFill="1" applyBorder="1" applyAlignment="1">
      <alignment vertical="center" wrapText="1"/>
    </xf>
    <xf numFmtId="0" fontId="19" fillId="0" borderId="15" xfId="51" applyFont="1" applyBorder="1" applyAlignment="1" applyProtection="1">
      <alignment horizontal="center" vertical="center"/>
      <protection locked="0"/>
    </xf>
    <xf numFmtId="0" fontId="143" fillId="9" borderId="0" xfId="0" applyFont="1" applyFill="1" applyAlignment="1">
      <alignment horizontal="left" vertical="center"/>
    </xf>
    <xf numFmtId="0" fontId="30" fillId="2" borderId="29" xfId="0" applyFont="1" applyFill="1" applyBorder="1" applyAlignment="1">
      <alignment vertical="center" wrapText="1"/>
    </xf>
    <xf numFmtId="0" fontId="19" fillId="0" borderId="72" xfId="51" applyFont="1" applyBorder="1" applyAlignment="1" applyProtection="1">
      <alignment horizontal="center" vertical="center"/>
      <protection locked="0"/>
    </xf>
    <xf numFmtId="0" fontId="34" fillId="2" borderId="14" xfId="51" applyFont="1" applyFill="1" applyBorder="1" applyAlignment="1">
      <alignment horizontal="center" vertical="center"/>
    </xf>
    <xf numFmtId="0" fontId="49" fillId="9" borderId="0" xfId="0" applyFont="1" applyFill="1" applyAlignment="1" applyProtection="1">
      <alignment horizontal="left" vertical="center"/>
      <protection locked="0"/>
    </xf>
    <xf numFmtId="0" fontId="30" fillId="2" borderId="22" xfId="0" applyFont="1" applyFill="1" applyBorder="1" applyAlignment="1">
      <alignment vertical="center" wrapText="1"/>
    </xf>
    <xf numFmtId="0" fontId="19" fillId="0" borderId="57" xfId="51" applyFont="1" applyBorder="1" applyAlignment="1" applyProtection="1">
      <alignment horizontal="center" vertical="center"/>
      <protection locked="0"/>
    </xf>
    <xf numFmtId="180" fontId="18" fillId="0" borderId="13" xfId="0" applyNumberFormat="1" applyFont="1" applyBorder="1" applyAlignment="1" applyProtection="1">
      <alignment horizontal="center" vertical="center"/>
      <protection locked="0"/>
    </xf>
    <xf numFmtId="0" fontId="84" fillId="9" borderId="0" xfId="0" applyFont="1" applyFill="1">
      <alignment vertical="center"/>
    </xf>
    <xf numFmtId="180" fontId="18" fillId="0" borderId="14" xfId="0" applyNumberFormat="1" applyFont="1" applyBorder="1" applyAlignment="1" applyProtection="1">
      <alignment horizontal="center" vertical="center"/>
      <protection locked="0"/>
    </xf>
    <xf numFmtId="178" fontId="150" fillId="9" borderId="0" xfId="0" applyNumberFormat="1" applyFont="1" applyFill="1">
      <alignment vertical="center"/>
    </xf>
    <xf numFmtId="180" fontId="18" fillId="0" borderId="15" xfId="0" applyNumberFormat="1" applyFont="1" applyBorder="1" applyAlignment="1" applyProtection="1">
      <alignment horizontal="center" vertical="center"/>
      <protection locked="0"/>
    </xf>
    <xf numFmtId="180" fontId="18" fillId="0" borderId="72" xfId="0" applyNumberFormat="1" applyFont="1" applyBorder="1" applyAlignment="1" applyProtection="1">
      <alignment horizontal="center" vertical="center"/>
      <protection locked="0"/>
    </xf>
    <xf numFmtId="0" fontId="118" fillId="2" borderId="22" xfId="0" applyFont="1" applyFill="1" applyBorder="1" applyAlignment="1">
      <alignment vertical="center" wrapText="1"/>
    </xf>
    <xf numFmtId="0" fontId="69" fillId="9" borderId="0" xfId="0" applyFont="1" applyFill="1" applyProtection="1">
      <alignment vertical="center"/>
      <protection locked="0"/>
    </xf>
    <xf numFmtId="10" fontId="18" fillId="2" borderId="57" xfId="0" applyNumberFormat="1" applyFont="1" applyFill="1" applyBorder="1" applyAlignment="1">
      <alignment horizontal="center" vertical="center"/>
    </xf>
    <xf numFmtId="10" fontId="30" fillId="2" borderId="13" xfId="0" applyNumberFormat="1" applyFont="1" applyFill="1" applyBorder="1" applyAlignment="1">
      <alignment horizontal="center" vertical="center"/>
    </xf>
    <xf numFmtId="0" fontId="30" fillId="2" borderId="22" xfId="0" applyFont="1" applyFill="1" applyBorder="1" applyAlignment="1">
      <alignment horizontal="left" vertical="center" wrapText="1"/>
    </xf>
    <xf numFmtId="10" fontId="30" fillId="0" borderId="57" xfId="0" applyNumberFormat="1" applyFont="1" applyBorder="1" applyAlignment="1" applyProtection="1">
      <alignment horizontal="center" vertical="center"/>
      <protection locked="0"/>
    </xf>
    <xf numFmtId="180" fontId="49" fillId="9" borderId="0" xfId="0" applyNumberFormat="1" applyFont="1" applyFill="1" applyAlignment="1">
      <alignment horizontal="center" vertical="center"/>
    </xf>
    <xf numFmtId="187" fontId="30" fillId="2" borderId="57" xfId="0" applyNumberFormat="1" applyFont="1" applyFill="1" applyBorder="1" applyAlignment="1">
      <alignment horizontal="center" vertical="center"/>
    </xf>
    <xf numFmtId="0" fontId="173" fillId="2" borderId="22" xfId="0" applyFont="1" applyFill="1" applyBorder="1" applyAlignment="1">
      <alignment horizontal="right" vertical="center" wrapText="1"/>
    </xf>
    <xf numFmtId="10" fontId="30" fillId="5" borderId="57" xfId="0" applyNumberFormat="1" applyFont="1" applyFill="1" applyBorder="1" applyAlignment="1" applyProtection="1">
      <alignment horizontal="center" vertical="center"/>
      <protection locked="0"/>
    </xf>
    <xf numFmtId="0" fontId="30" fillId="2" borderId="22" xfId="0" applyFont="1" applyFill="1" applyBorder="1" applyAlignment="1">
      <alignment horizontal="right" vertical="center" wrapText="1"/>
    </xf>
    <xf numFmtId="0" fontId="150" fillId="9" borderId="0" xfId="0" applyFont="1" applyFill="1" applyAlignment="1">
      <alignment horizontal="left" vertical="center"/>
    </xf>
    <xf numFmtId="0" fontId="30" fillId="2" borderId="7" xfId="0" applyFont="1" applyFill="1" applyBorder="1" applyAlignment="1">
      <alignment horizontal="right" vertical="center" wrapText="1"/>
    </xf>
    <xf numFmtId="10" fontId="30" fillId="0" borderId="15" xfId="0" applyNumberFormat="1" applyFont="1" applyBorder="1" applyAlignment="1" applyProtection="1">
      <alignment horizontal="center" vertical="center"/>
      <protection locked="0"/>
    </xf>
    <xf numFmtId="0" fontId="30" fillId="2" borderId="68" xfId="0" applyFont="1" applyFill="1" applyBorder="1" applyAlignment="1">
      <alignment vertical="center" wrapText="1"/>
    </xf>
    <xf numFmtId="10" fontId="30" fillId="0" borderId="73" xfId="0" applyNumberFormat="1" applyFont="1" applyBorder="1" applyAlignment="1" applyProtection="1">
      <alignment horizontal="center" vertical="center"/>
      <protection locked="0"/>
    </xf>
    <xf numFmtId="0" fontId="30" fillId="2" borderId="69" xfId="0" applyFont="1" applyFill="1" applyBorder="1" applyAlignment="1">
      <alignment vertical="center" wrapText="1"/>
    </xf>
    <xf numFmtId="10" fontId="30" fillId="2" borderId="70" xfId="0" applyNumberFormat="1" applyFont="1" applyFill="1" applyBorder="1" applyAlignment="1">
      <alignment horizontal="center" vertical="center"/>
    </xf>
    <xf numFmtId="10" fontId="30" fillId="2" borderId="15" xfId="0" applyNumberFormat="1" applyFont="1" applyFill="1" applyBorder="1" applyAlignment="1">
      <alignment horizontal="center" vertical="center"/>
    </xf>
    <xf numFmtId="186" fontId="30" fillId="2" borderId="70" xfId="0" applyNumberFormat="1" applyFont="1" applyFill="1" applyBorder="1" applyAlignment="1">
      <alignment horizontal="center" vertical="center"/>
    </xf>
    <xf numFmtId="0" fontId="30" fillId="5" borderId="14" xfId="0" applyFont="1" applyFill="1" applyBorder="1" applyAlignment="1" applyProtection="1">
      <alignment horizontal="center" vertical="center"/>
      <protection locked="0"/>
    </xf>
    <xf numFmtId="0" fontId="118" fillId="9" borderId="0" xfId="0" applyFont="1" applyFill="1" applyAlignment="1" applyProtection="1">
      <alignment horizontal="center" vertical="center"/>
      <protection locked="0"/>
    </xf>
    <xf numFmtId="0" fontId="174" fillId="9" borderId="0" xfId="0" applyFont="1" applyFill="1">
      <alignment vertical="center"/>
    </xf>
    <xf numFmtId="0" fontId="118" fillId="0" borderId="6" xfId="0" applyFont="1" applyBorder="1" applyAlignment="1" applyProtection="1">
      <alignment horizontal="right" vertical="center" wrapText="1"/>
      <protection locked="0"/>
    </xf>
    <xf numFmtId="0" fontId="30" fillId="0" borderId="14" xfId="0" applyFont="1" applyBorder="1" applyAlignment="1" applyProtection="1">
      <alignment horizontal="center" vertical="center"/>
      <protection locked="0"/>
    </xf>
    <xf numFmtId="178" fontId="118" fillId="9" borderId="0" xfId="0" applyNumberFormat="1" applyFont="1" applyFill="1" applyProtection="1">
      <alignment vertical="center"/>
      <protection locked="0"/>
    </xf>
    <xf numFmtId="0" fontId="118" fillId="0" borderId="7" xfId="0" applyFont="1" applyBorder="1" applyAlignment="1" applyProtection="1">
      <alignment horizontal="right" vertical="center" wrapText="1"/>
      <protection locked="0"/>
    </xf>
    <xf numFmtId="0" fontId="30" fillId="0" borderId="15" xfId="0" applyFont="1" applyBorder="1" applyProtection="1">
      <alignment vertical="center"/>
      <protection locked="0"/>
    </xf>
    <xf numFmtId="178" fontId="18" fillId="0" borderId="0" xfId="0" applyNumberFormat="1" applyFont="1" applyProtection="1">
      <alignment vertical="center"/>
      <protection locked="0"/>
    </xf>
    <xf numFmtId="0" fontId="30" fillId="2" borderId="100" xfId="0" applyFont="1" applyFill="1" applyBorder="1">
      <alignment vertical="center"/>
    </xf>
    <xf numFmtId="0" fontId="30" fillId="2" borderId="98" xfId="0" applyFont="1" applyFill="1" applyBorder="1" applyAlignment="1">
      <alignment horizontal="center" vertical="center"/>
    </xf>
    <xf numFmtId="0" fontId="30" fillId="2" borderId="99" xfId="0" applyFont="1" applyFill="1" applyBorder="1" applyAlignment="1">
      <alignment horizontal="center" vertical="center"/>
    </xf>
    <xf numFmtId="176" fontId="30" fillId="2" borderId="4" xfId="51" applyNumberFormat="1" applyFont="1" applyFill="1" applyBorder="1" applyAlignment="1">
      <alignment horizontal="center" vertical="center" wrapText="1"/>
    </xf>
    <xf numFmtId="0" fontId="30" fillId="2" borderId="5" xfId="51" applyFont="1" applyFill="1" applyBorder="1" applyAlignment="1">
      <alignment horizontal="center" vertical="center" wrapText="1"/>
    </xf>
    <xf numFmtId="178" fontId="30" fillId="2" borderId="5" xfId="51" applyNumberFormat="1" applyFont="1" applyFill="1" applyBorder="1" applyAlignment="1">
      <alignment horizontal="center" vertical="center" wrapText="1"/>
    </xf>
    <xf numFmtId="0" fontId="30" fillId="3" borderId="5" xfId="51" applyFont="1" applyFill="1" applyBorder="1" applyAlignment="1" applyProtection="1">
      <alignment horizontal="center" vertical="center" wrapText="1"/>
      <protection locked="0"/>
    </xf>
    <xf numFmtId="0" fontId="30" fillId="2" borderId="39" xfId="51" applyFont="1" applyFill="1" applyBorder="1" applyAlignment="1">
      <alignment horizontal="center" vertical="center" wrapText="1"/>
    </xf>
    <xf numFmtId="178" fontId="30" fillId="2" borderId="6" xfId="51" applyNumberFormat="1" applyFont="1" applyFill="1" applyBorder="1" applyAlignment="1">
      <alignment horizontal="center" vertical="center"/>
    </xf>
    <xf numFmtId="0" fontId="30" fillId="2" borderId="1" xfId="51" applyFont="1" applyFill="1" applyBorder="1" applyAlignment="1">
      <alignment horizontal="center" vertical="center"/>
    </xf>
    <xf numFmtId="10" fontId="18" fillId="0" borderId="1" xfId="51" applyNumberFormat="1" applyFont="1" applyBorder="1" applyAlignment="1" applyProtection="1">
      <alignment horizontal="center" vertical="center"/>
      <protection locked="0"/>
    </xf>
    <xf numFmtId="176" fontId="18" fillId="0" borderId="1" xfId="51" applyNumberFormat="1" applyFont="1" applyBorder="1" applyAlignment="1" applyProtection="1">
      <alignment horizontal="center" vertical="center"/>
      <protection locked="0"/>
    </xf>
    <xf numFmtId="10" fontId="30" fillId="0" borderId="1" xfId="51" applyNumberFormat="1" applyFont="1" applyBorder="1" applyAlignment="1" applyProtection="1">
      <alignment horizontal="center" vertical="center"/>
      <protection locked="0"/>
    </xf>
    <xf numFmtId="176" fontId="30" fillId="0" borderId="1" xfId="51" applyNumberFormat="1" applyFont="1" applyBorder="1" applyAlignment="1" applyProtection="1">
      <alignment horizontal="center" vertical="center"/>
      <protection locked="0"/>
    </xf>
    <xf numFmtId="176" fontId="30" fillId="2" borderId="1" xfId="51" applyNumberFormat="1" applyFont="1" applyFill="1" applyBorder="1" applyAlignment="1">
      <alignment horizontal="center" vertical="center"/>
    </xf>
    <xf numFmtId="0" fontId="41" fillId="2" borderId="15" xfId="51" applyFont="1" applyFill="1" applyBorder="1">
      <alignment vertical="center"/>
    </xf>
    <xf numFmtId="183" fontId="30" fillId="2" borderId="7" xfId="0" applyNumberFormat="1" applyFont="1" applyFill="1" applyBorder="1" applyAlignment="1">
      <alignment horizontal="center" vertical="center"/>
    </xf>
    <xf numFmtId="0" fontId="30" fillId="2" borderId="8" xfId="51" applyFont="1" applyFill="1" applyBorder="1" applyAlignment="1">
      <alignment horizontal="center" vertical="center"/>
    </xf>
    <xf numFmtId="10" fontId="30" fillId="2" borderId="8" xfId="51" applyNumberFormat="1" applyFont="1" applyFill="1" applyBorder="1" applyAlignment="1">
      <alignment horizontal="center" vertical="center"/>
    </xf>
    <xf numFmtId="0" fontId="18" fillId="9" borderId="0" xfId="0" applyFont="1" applyFill="1" applyAlignment="1" applyProtection="1">
      <alignment horizontal="center" vertical="center"/>
      <protection locked="0"/>
    </xf>
    <xf numFmtId="0" fontId="70" fillId="9" borderId="0" xfId="0" applyFont="1" applyFill="1" applyAlignment="1" applyProtection="1">
      <alignment horizontal="center" vertical="center"/>
      <protection locked="0"/>
    </xf>
    <xf numFmtId="0" fontId="70" fillId="9" borderId="0" xfId="0" applyFont="1" applyFill="1" applyProtection="1">
      <alignment vertical="center"/>
      <protection locked="0"/>
    </xf>
    <xf numFmtId="178" fontId="18" fillId="9" borderId="0" xfId="0" applyNumberFormat="1" applyFont="1" applyFill="1" applyAlignment="1" applyProtection="1">
      <alignment horizontal="center" vertical="center"/>
      <protection locked="0"/>
    </xf>
    <xf numFmtId="0" fontId="93" fillId="9" borderId="0" xfId="0" applyFont="1" applyFill="1" applyProtection="1">
      <alignment vertical="center"/>
      <protection locked="0"/>
    </xf>
    <xf numFmtId="0" fontId="93" fillId="9" borderId="0" xfId="0" applyFont="1" applyFill="1" applyAlignment="1" applyProtection="1">
      <alignment horizontal="center" vertical="center"/>
      <protection locked="0"/>
    </xf>
    <xf numFmtId="9" fontId="18" fillId="9" borderId="0" xfId="3" applyFont="1" applyFill="1" applyAlignment="1" applyProtection="1">
      <alignment vertical="center"/>
      <protection locked="0"/>
    </xf>
    <xf numFmtId="0" fontId="30" fillId="2" borderId="101" xfId="0" applyFont="1" applyFill="1" applyBorder="1" applyAlignment="1">
      <alignment horizontal="center" vertical="center"/>
    </xf>
    <xf numFmtId="0" fontId="30" fillId="2" borderId="4" xfId="51" applyFont="1" applyFill="1" applyBorder="1" applyAlignment="1">
      <alignment horizontal="center" vertical="center" wrapText="1"/>
    </xf>
    <xf numFmtId="0" fontId="118" fillId="2" borderId="55" xfId="51" applyFont="1" applyFill="1" applyBorder="1" applyAlignment="1">
      <alignment horizontal="center" vertical="center" wrapText="1"/>
    </xf>
    <xf numFmtId="0" fontId="30" fillId="2" borderId="70" xfId="51" applyFont="1" applyFill="1" applyBorder="1" applyAlignment="1">
      <alignment horizontal="center" vertical="center" wrapText="1"/>
    </xf>
    <xf numFmtId="0" fontId="30" fillId="2" borderId="4" xfId="0" applyFont="1" applyFill="1" applyBorder="1" applyAlignment="1">
      <alignment horizontal="center" vertical="center" wrapText="1"/>
    </xf>
    <xf numFmtId="0" fontId="118" fillId="2" borderId="39" xfId="0" applyFont="1" applyFill="1" applyBorder="1" applyAlignment="1">
      <alignment horizontal="center" vertical="center" wrapText="1"/>
    </xf>
    <xf numFmtId="9" fontId="18" fillId="0" borderId="10" xfId="0" applyNumberFormat="1" applyFont="1" applyBorder="1" applyAlignment="1" applyProtection="1">
      <alignment horizontal="center" vertical="center"/>
      <protection locked="0"/>
    </xf>
    <xf numFmtId="178" fontId="30" fillId="2" borderId="1" xfId="0" applyNumberFormat="1" applyFont="1" applyFill="1" applyBorder="1" applyAlignment="1">
      <alignment horizontal="center" vertical="center"/>
    </xf>
    <xf numFmtId="0" fontId="30" fillId="0" borderId="14" xfId="51" applyFont="1" applyBorder="1" applyAlignment="1" applyProtection="1">
      <alignment horizontal="center" vertical="center"/>
      <protection locked="0"/>
    </xf>
    <xf numFmtId="180" fontId="30" fillId="0" borderId="1" xfId="0" applyNumberFormat="1" applyFont="1" applyBorder="1" applyProtection="1">
      <alignment vertical="center"/>
      <protection locked="0"/>
    </xf>
    <xf numFmtId="180" fontId="30" fillId="2" borderId="10" xfId="0" applyNumberFormat="1" applyFont="1" applyFill="1" applyBorder="1">
      <alignment vertical="center"/>
    </xf>
    <xf numFmtId="0" fontId="30" fillId="0" borderId="6" xfId="0" applyFont="1" applyBorder="1" applyProtection="1">
      <alignment vertical="center"/>
      <protection locked="0"/>
    </xf>
    <xf numFmtId="9" fontId="30" fillId="0" borderId="10" xfId="0" applyNumberFormat="1" applyFont="1" applyBorder="1" applyAlignment="1" applyProtection="1">
      <alignment horizontal="center" vertical="center"/>
      <protection locked="0"/>
    </xf>
    <xf numFmtId="0" fontId="30" fillId="0" borderId="6" xfId="0" applyFont="1" applyBorder="1" applyAlignment="1" applyProtection="1">
      <alignment horizontal="center" vertical="center"/>
      <protection locked="0"/>
    </xf>
    <xf numFmtId="180" fontId="30" fillId="2" borderId="10" xfId="0" applyNumberFormat="1" applyFont="1" applyFill="1" applyBorder="1" applyAlignment="1">
      <alignment horizontal="center" vertical="center"/>
    </xf>
    <xf numFmtId="9" fontId="30" fillId="2" borderId="10" xfId="0" applyNumberFormat="1" applyFont="1" applyFill="1" applyBorder="1" applyAlignment="1">
      <alignment horizontal="center" vertical="center"/>
    </xf>
    <xf numFmtId="0" fontId="30" fillId="0" borderId="14" xfId="51" applyFont="1" applyBorder="1" applyAlignment="1">
      <alignment horizontal="center" vertical="center"/>
    </xf>
    <xf numFmtId="0" fontId="30" fillId="2" borderId="6" xfId="0" applyFont="1" applyFill="1" applyBorder="1">
      <alignment vertical="center"/>
    </xf>
    <xf numFmtId="180" fontId="30" fillId="2" borderId="1" xfId="0" applyNumberFormat="1" applyFont="1" applyFill="1" applyBorder="1">
      <alignment vertical="center"/>
    </xf>
    <xf numFmtId="9" fontId="30" fillId="2" borderId="42" xfId="0" applyNumberFormat="1" applyFont="1" applyFill="1" applyBorder="1" applyAlignment="1">
      <alignment horizontal="center" vertical="center"/>
    </xf>
    <xf numFmtId="178" fontId="30" fillId="2" borderId="7" xfId="51" applyNumberFormat="1" applyFont="1" applyFill="1" applyBorder="1" applyAlignment="1">
      <alignment horizontal="center" vertical="center"/>
    </xf>
    <xf numFmtId="178" fontId="30" fillId="2" borderId="110" xfId="51" applyNumberFormat="1" applyFont="1" applyFill="1" applyBorder="1" applyAlignment="1">
      <alignment horizontal="center" vertical="center"/>
    </xf>
    <xf numFmtId="0" fontId="30" fillId="2" borderId="53" xfId="51" applyFont="1" applyFill="1" applyBorder="1" applyAlignment="1">
      <alignment horizontal="center" vertical="center"/>
    </xf>
    <xf numFmtId="0" fontId="30" fillId="2" borderId="7" xfId="0" applyFont="1" applyFill="1" applyBorder="1">
      <alignment vertical="center"/>
    </xf>
    <xf numFmtId="0" fontId="30" fillId="2" borderId="8" xfId="0" applyFont="1" applyFill="1" applyBorder="1">
      <alignment vertical="center"/>
    </xf>
    <xf numFmtId="0" fontId="30" fillId="2" borderId="42" xfId="0" applyFont="1" applyFill="1" applyBorder="1">
      <alignment vertical="center"/>
    </xf>
    <xf numFmtId="0" fontId="30" fillId="2" borderId="55" xfId="0" applyFont="1" applyFill="1" applyBorder="1">
      <alignment vertical="center"/>
    </xf>
    <xf numFmtId="0" fontId="30" fillId="2" borderId="19" xfId="0" applyFont="1" applyFill="1" applyBorder="1">
      <alignment vertical="center"/>
    </xf>
    <xf numFmtId="0" fontId="118" fillId="2" borderId="5" xfId="0" applyFont="1" applyFill="1" applyBorder="1" applyAlignment="1">
      <alignment horizontal="center" vertical="center" wrapText="1"/>
    </xf>
    <xf numFmtId="0" fontId="118" fillId="2" borderId="4" xfId="0" applyFont="1" applyFill="1" applyBorder="1" applyAlignment="1">
      <alignment horizontal="center" vertical="center" wrapText="1"/>
    </xf>
    <xf numFmtId="180" fontId="30" fillId="0" borderId="14" xfId="0" applyNumberFormat="1" applyFont="1" applyBorder="1" applyProtection="1">
      <alignment vertical="center"/>
      <protection locked="0"/>
    </xf>
    <xf numFmtId="0" fontId="30" fillId="0" borderId="11" xfId="0" applyFont="1" applyBorder="1" applyProtection="1">
      <alignment vertical="center"/>
      <protection locked="0"/>
    </xf>
    <xf numFmtId="180" fontId="30" fillId="0" borderId="10" xfId="0" applyNumberFormat="1" applyFont="1" applyBorder="1" applyProtection="1">
      <alignment vertical="center"/>
      <protection locked="0"/>
    </xf>
    <xf numFmtId="0" fontId="30" fillId="2" borderId="6" xfId="0" applyFont="1" applyFill="1" applyBorder="1" applyAlignment="1">
      <alignment horizontal="center" vertical="center"/>
    </xf>
    <xf numFmtId="0" fontId="30" fillId="0" borderId="11" xfId="0" applyFont="1" applyBorder="1" applyAlignment="1" applyProtection="1">
      <alignment horizontal="center" vertical="center"/>
      <protection locked="0"/>
    </xf>
    <xf numFmtId="180" fontId="30" fillId="2" borderId="14" xfId="0" applyNumberFormat="1" applyFont="1" applyFill="1" applyBorder="1">
      <alignment vertical="center"/>
    </xf>
    <xf numFmtId="180" fontId="30" fillId="2" borderId="1" xfId="0" applyNumberFormat="1" applyFont="1" applyFill="1" applyBorder="1" applyAlignment="1">
      <alignment horizontal="center" vertical="center"/>
    </xf>
    <xf numFmtId="0" fontId="30" fillId="2" borderId="15" xfId="0" applyFont="1" applyFill="1" applyBorder="1">
      <alignment vertical="center"/>
    </xf>
    <xf numFmtId="0" fontId="30" fillId="2" borderId="110" xfId="0" applyFont="1" applyFill="1" applyBorder="1">
      <alignment vertical="center"/>
    </xf>
    <xf numFmtId="0" fontId="30" fillId="2" borderId="45" xfId="0" applyFont="1" applyFill="1" applyBorder="1">
      <alignment vertical="center"/>
    </xf>
    <xf numFmtId="0" fontId="118" fillId="2" borderId="1" xfId="0" applyFont="1" applyFill="1" applyBorder="1" applyAlignment="1" applyProtection="1">
      <alignment horizontal="center" vertical="center" wrapText="1"/>
      <protection locked="0"/>
    </xf>
    <xf numFmtId="0" fontId="49" fillId="2" borderId="14" xfId="0" applyFont="1" applyFill="1" applyBorder="1" applyAlignment="1">
      <alignment horizontal="center" vertical="center"/>
    </xf>
    <xf numFmtId="0" fontId="30" fillId="3" borderId="11" xfId="0" applyFont="1" applyFill="1" applyBorder="1" applyAlignment="1" applyProtection="1">
      <alignment horizontal="center" vertical="center"/>
      <protection locked="0"/>
    </xf>
    <xf numFmtId="10" fontId="30" fillId="0" borderId="1" xfId="0" applyNumberFormat="1" applyFont="1" applyBorder="1" applyAlignment="1" applyProtection="1">
      <alignment horizontal="center" vertical="center"/>
      <protection locked="0"/>
    </xf>
    <xf numFmtId="187" fontId="30" fillId="0" borderId="1" xfId="0" applyNumberFormat="1" applyFont="1" applyBorder="1" applyAlignment="1" applyProtection="1">
      <alignment horizontal="center" vertical="center"/>
      <protection locked="0"/>
    </xf>
    <xf numFmtId="180" fontId="30" fillId="0" borderId="14" xfId="0" applyNumberFormat="1" applyFont="1" applyBorder="1" applyAlignment="1" applyProtection="1">
      <alignment horizontal="center" vertical="center"/>
      <protection locked="0"/>
    </xf>
    <xf numFmtId="10" fontId="30" fillId="0" borderId="10" xfId="0" applyNumberFormat="1" applyFont="1" applyBorder="1" applyAlignment="1" applyProtection="1">
      <alignment horizontal="center" vertical="center"/>
      <protection locked="0"/>
    </xf>
    <xf numFmtId="180" fontId="30" fillId="0" borderId="10" xfId="0" applyNumberFormat="1" applyFont="1" applyBorder="1" applyAlignment="1" applyProtection="1">
      <alignment horizontal="center" vertical="center"/>
      <protection locked="0"/>
    </xf>
    <xf numFmtId="10" fontId="30" fillId="2" borderId="1" xfId="0" applyNumberFormat="1" applyFont="1" applyFill="1" applyBorder="1" applyAlignment="1">
      <alignment horizontal="center" vertical="center"/>
    </xf>
    <xf numFmtId="187" fontId="30" fillId="2" borderId="1" xfId="0" applyNumberFormat="1" applyFont="1" applyFill="1" applyBorder="1" applyAlignment="1">
      <alignment horizontal="center" vertical="center"/>
    </xf>
    <xf numFmtId="180" fontId="30" fillId="2" borderId="14" xfId="0" applyNumberFormat="1" applyFont="1" applyFill="1" applyBorder="1" applyAlignment="1">
      <alignment horizontal="center" vertical="center"/>
    </xf>
    <xf numFmtId="0" fontId="30" fillId="9" borderId="0" xfId="0" applyFont="1" applyFill="1" applyAlignment="1" applyProtection="1">
      <alignment vertical="center" wrapText="1"/>
      <protection locked="0"/>
    </xf>
    <xf numFmtId="0" fontId="147" fillId="2" borderId="0" xfId="0" applyFont="1" applyFill="1" applyAlignment="1">
      <alignment vertical="center" wrapText="1"/>
    </xf>
    <xf numFmtId="0" fontId="30" fillId="0" borderId="0" xfId="0" applyFont="1" applyProtection="1">
      <alignment vertical="center"/>
      <protection locked="0"/>
    </xf>
    <xf numFmtId="0" fontId="30" fillId="0" borderId="0" xfId="0" applyFont="1" applyAlignment="1" applyProtection="1">
      <alignment vertical="center" wrapText="1"/>
      <protection locked="0"/>
    </xf>
    <xf numFmtId="183" fontId="39" fillId="2" borderId="1" xfId="51" applyNumberFormat="1" applyFont="1" applyFill="1" applyBorder="1" applyAlignment="1">
      <alignment horizontal="center" vertical="center"/>
    </xf>
    <xf numFmtId="0" fontId="41" fillId="2" borderId="9" xfId="0" applyFont="1" applyFill="1" applyBorder="1" applyAlignment="1">
      <alignment horizontal="center" vertical="center"/>
    </xf>
    <xf numFmtId="0" fontId="41" fillId="2" borderId="59" xfId="0" applyFont="1" applyFill="1" applyBorder="1" applyAlignment="1">
      <alignment horizontal="center" vertical="center"/>
    </xf>
    <xf numFmtId="0" fontId="41" fillId="2" borderId="78" xfId="0" applyFont="1" applyFill="1" applyBorder="1" applyAlignment="1">
      <alignment horizontal="center" vertical="center"/>
    </xf>
    <xf numFmtId="0" fontId="41" fillId="2" borderId="56" xfId="0" applyFont="1" applyFill="1" applyBorder="1" applyAlignment="1">
      <alignment horizontal="center" vertical="center"/>
    </xf>
    <xf numFmtId="0" fontId="41" fillId="2" borderId="5" xfId="0" applyFont="1" applyFill="1" applyBorder="1" applyAlignment="1">
      <alignment horizontal="center" vertical="center"/>
    </xf>
    <xf numFmtId="183" fontId="39" fillId="2" borderId="13" xfId="51" applyNumberFormat="1" applyFont="1" applyFill="1" applyBorder="1" applyAlignment="1">
      <alignment horizontal="center" vertical="center"/>
    </xf>
    <xf numFmtId="0" fontId="30" fillId="2" borderId="3" xfId="0" applyFont="1" applyFill="1" applyBorder="1">
      <alignment vertical="center"/>
    </xf>
    <xf numFmtId="0" fontId="30" fillId="2" borderId="22" xfId="0" applyFont="1" applyFill="1" applyBorder="1">
      <alignment vertical="center"/>
    </xf>
    <xf numFmtId="183" fontId="30" fillId="2" borderId="14" xfId="0" applyNumberFormat="1" applyFont="1" applyFill="1" applyBorder="1">
      <alignment vertical="center"/>
    </xf>
    <xf numFmtId="0" fontId="30" fillId="2" borderId="76" xfId="0" applyFont="1" applyFill="1" applyBorder="1">
      <alignment vertical="center"/>
    </xf>
    <xf numFmtId="0" fontId="30" fillId="2" borderId="59" xfId="0" applyFont="1" applyFill="1" applyBorder="1" applyAlignment="1">
      <alignment horizontal="center" vertical="center"/>
    </xf>
    <xf numFmtId="0" fontId="30" fillId="2" borderId="78" xfId="0" applyFont="1" applyFill="1" applyBorder="1" applyAlignment="1">
      <alignment horizontal="center" vertical="center"/>
    </xf>
    <xf numFmtId="0" fontId="30" fillId="2" borderId="56" xfId="0" applyFont="1" applyFill="1" applyBorder="1" applyAlignment="1">
      <alignment horizontal="center" vertical="center"/>
    </xf>
    <xf numFmtId="183" fontId="41" fillId="2" borderId="13" xfId="51" applyNumberFormat="1" applyFont="1" applyFill="1" applyBorder="1" applyAlignment="1">
      <alignment horizontal="center" vertical="center"/>
    </xf>
    <xf numFmtId="0" fontId="118" fillId="2" borderId="10" xfId="0" applyFont="1" applyFill="1" applyBorder="1">
      <alignment vertical="center"/>
    </xf>
    <xf numFmtId="0" fontId="118" fillId="2" borderId="11" xfId="0" applyFont="1" applyFill="1" applyBorder="1">
      <alignment vertical="center"/>
    </xf>
    <xf numFmtId="0" fontId="30" fillId="2" borderId="14" xfId="0" applyFont="1" applyFill="1" applyBorder="1">
      <alignment vertical="center"/>
    </xf>
    <xf numFmtId="0" fontId="30" fillId="2" borderId="68" xfId="0" applyFont="1" applyFill="1" applyBorder="1">
      <alignment vertical="center"/>
    </xf>
    <xf numFmtId="0" fontId="30" fillId="2" borderId="35" xfId="0" applyFont="1" applyFill="1" applyBorder="1">
      <alignment vertical="center"/>
    </xf>
    <xf numFmtId="0" fontId="30" fillId="0" borderId="14" xfId="0" applyFont="1" applyBorder="1" applyProtection="1">
      <alignment vertical="center"/>
      <protection locked="0"/>
    </xf>
    <xf numFmtId="0" fontId="44" fillId="2" borderId="1" xfId="0" applyFont="1" applyFill="1" applyBorder="1">
      <alignment vertical="center"/>
    </xf>
    <xf numFmtId="0" fontId="30" fillId="2" borderId="57" xfId="0" applyFont="1" applyFill="1" applyBorder="1">
      <alignment vertical="center"/>
    </xf>
    <xf numFmtId="0" fontId="41" fillId="2" borderId="59" xfId="0" applyFont="1" applyFill="1" applyBorder="1" applyAlignment="1">
      <alignment horizontal="left" vertical="center"/>
    </xf>
    <xf numFmtId="0" fontId="30" fillId="2" borderId="41" xfId="0" applyFont="1" applyFill="1" applyBorder="1">
      <alignment vertical="center"/>
    </xf>
    <xf numFmtId="0" fontId="44" fillId="2" borderId="55" xfId="0" applyFont="1" applyFill="1" applyBorder="1">
      <alignment vertical="center"/>
    </xf>
    <xf numFmtId="183" fontId="39" fillId="2" borderId="39" xfId="51" applyNumberFormat="1" applyFont="1" applyFill="1" applyBorder="1" applyAlignment="1">
      <alignment horizontal="center" vertical="center"/>
    </xf>
    <xf numFmtId="183" fontId="39" fillId="2" borderId="78" xfId="51" applyNumberFormat="1" applyFont="1" applyFill="1" applyBorder="1" applyAlignment="1">
      <alignment horizontal="center" vertical="center"/>
    </xf>
    <xf numFmtId="183" fontId="39" fillId="2" borderId="44" xfId="51" applyNumberFormat="1" applyFont="1" applyFill="1" applyBorder="1" applyAlignment="1">
      <alignment horizontal="center" vertical="center"/>
    </xf>
    <xf numFmtId="0" fontId="41" fillId="2" borderId="75" xfId="0" applyFont="1" applyFill="1" applyBorder="1" applyAlignment="1">
      <alignment horizontal="right" vertical="center"/>
    </xf>
    <xf numFmtId="183" fontId="34" fillId="2" borderId="1" xfId="51" applyNumberFormat="1" applyFont="1" applyFill="1" applyBorder="1" applyAlignment="1">
      <alignment horizontal="center" vertical="center"/>
    </xf>
    <xf numFmtId="0" fontId="30" fillId="2" borderId="81" xfId="0" applyFont="1" applyFill="1" applyBorder="1" applyAlignment="1">
      <alignment horizontal="center" vertical="center"/>
    </xf>
    <xf numFmtId="0" fontId="30" fillId="2" borderId="72" xfId="0" applyFont="1" applyFill="1" applyBorder="1" applyAlignment="1">
      <alignment horizontal="center" vertical="center"/>
    </xf>
    <xf numFmtId="0" fontId="30" fillId="2" borderId="21" xfId="0" applyFont="1" applyFill="1" applyBorder="1">
      <alignment vertical="center"/>
    </xf>
    <xf numFmtId="176" fontId="26" fillId="0" borderId="1" xfId="51" applyNumberFormat="1" applyFont="1" applyBorder="1" applyProtection="1">
      <alignment vertical="center"/>
      <protection locked="0" hidden="1"/>
    </xf>
    <xf numFmtId="183" fontId="30" fillId="2" borderId="1" xfId="0" applyNumberFormat="1" applyFont="1" applyFill="1" applyBorder="1">
      <alignment vertical="center"/>
    </xf>
    <xf numFmtId="0" fontId="18" fillId="0" borderId="11" xfId="0" applyFont="1" applyBorder="1" applyProtection="1">
      <alignment vertical="center"/>
      <protection locked="0"/>
    </xf>
    <xf numFmtId="0" fontId="18" fillId="0" borderId="14" xfId="0" applyFont="1" applyBorder="1" applyProtection="1">
      <alignment vertical="center"/>
      <protection locked="0"/>
    </xf>
    <xf numFmtId="0" fontId="30" fillId="0" borderId="57" xfId="0" applyFont="1" applyBorder="1" applyProtection="1">
      <alignment vertical="center"/>
      <protection locked="0"/>
    </xf>
    <xf numFmtId="176" fontId="30" fillId="0" borderId="1" xfId="51" applyNumberFormat="1" applyFont="1" applyBorder="1" applyProtection="1">
      <alignment vertical="center"/>
      <protection locked="0"/>
    </xf>
    <xf numFmtId="0" fontId="30" fillId="0" borderId="58" xfId="0" applyFont="1" applyBorder="1" applyProtection="1">
      <alignment vertical="center"/>
      <protection locked="0"/>
    </xf>
    <xf numFmtId="176" fontId="30" fillId="0" borderId="11" xfId="51" applyNumberFormat="1" applyFont="1" applyBorder="1" applyProtection="1">
      <alignment vertical="center"/>
      <protection locked="0"/>
    </xf>
    <xf numFmtId="183" fontId="30" fillId="2" borderId="1" xfId="0" applyNumberFormat="1" applyFont="1" applyFill="1" applyBorder="1" applyAlignment="1">
      <alignment horizontal="center" vertical="center"/>
    </xf>
    <xf numFmtId="183" fontId="30" fillId="2" borderId="7" xfId="0" applyNumberFormat="1" applyFont="1" applyFill="1" applyBorder="1">
      <alignment vertical="center"/>
    </xf>
    <xf numFmtId="0" fontId="44" fillId="2" borderId="11" xfId="0" applyFont="1" applyFill="1" applyBorder="1" applyAlignment="1">
      <alignment horizontal="left" vertical="center"/>
    </xf>
    <xf numFmtId="0" fontId="30" fillId="2" borderId="58" xfId="0" applyFont="1" applyFill="1" applyBorder="1" applyAlignment="1">
      <alignment horizontal="left" vertical="center"/>
    </xf>
    <xf numFmtId="0" fontId="30" fillId="2" borderId="32" xfId="0" applyFont="1" applyFill="1" applyBorder="1">
      <alignment vertical="center"/>
    </xf>
    <xf numFmtId="0" fontId="41" fillId="2" borderId="42" xfId="0" applyFont="1" applyFill="1" applyBorder="1">
      <alignment vertical="center"/>
    </xf>
    <xf numFmtId="0" fontId="91" fillId="2" borderId="110" xfId="0" applyFont="1" applyFill="1" applyBorder="1">
      <alignment vertical="center"/>
    </xf>
    <xf numFmtId="178" fontId="41" fillId="2" borderId="110" xfId="0" applyNumberFormat="1" applyFont="1" applyFill="1" applyBorder="1">
      <alignment vertical="center"/>
    </xf>
    <xf numFmtId="178" fontId="41" fillId="2" borderId="8" xfId="0" applyNumberFormat="1" applyFont="1" applyFill="1" applyBorder="1">
      <alignment vertical="center"/>
    </xf>
    <xf numFmtId="178" fontId="41" fillId="2" borderId="15" xfId="0" applyNumberFormat="1" applyFont="1" applyFill="1" applyBorder="1">
      <alignment vertical="center"/>
    </xf>
    <xf numFmtId="0" fontId="147" fillId="2" borderId="3" xfId="0" applyFont="1" applyFill="1" applyBorder="1">
      <alignment vertical="center"/>
    </xf>
    <xf numFmtId="0" fontId="30" fillId="2" borderId="81" xfId="0" applyFont="1" applyFill="1" applyBorder="1" applyProtection="1">
      <alignment vertical="center"/>
      <protection locked="0"/>
    </xf>
    <xf numFmtId="183" fontId="30" fillId="0" borderId="0" xfId="0" applyNumberFormat="1" applyFont="1" applyProtection="1">
      <alignment vertical="center"/>
      <protection locked="0"/>
    </xf>
    <xf numFmtId="0" fontId="41" fillId="2" borderId="11" xfId="0" applyFont="1" applyFill="1" applyBorder="1" applyAlignment="1">
      <alignment horizontal="center" vertical="center"/>
    </xf>
    <xf numFmtId="0" fontId="30" fillId="2" borderId="44" xfId="0" applyFont="1" applyFill="1" applyBorder="1" applyAlignment="1">
      <alignment horizontal="left" vertical="center"/>
    </xf>
    <xf numFmtId="0" fontId="89" fillId="2" borderId="69" xfId="0" applyFont="1" applyFill="1" applyBorder="1" applyAlignment="1">
      <alignment horizontal="center" vertical="center"/>
    </xf>
    <xf numFmtId="0" fontId="89" fillId="2" borderId="41" xfId="0" applyFont="1" applyFill="1" applyBorder="1" applyAlignment="1">
      <alignment horizontal="center" vertical="center"/>
    </xf>
    <xf numFmtId="0" fontId="89" fillId="2" borderId="70" xfId="0" applyFont="1" applyFill="1" applyBorder="1" applyAlignment="1">
      <alignment horizontal="center" vertical="center"/>
    </xf>
    <xf numFmtId="178" fontId="41" fillId="5" borderId="14" xfId="0" applyNumberFormat="1" applyFont="1" applyFill="1" applyBorder="1" applyAlignment="1" applyProtection="1">
      <alignment horizontal="center" vertical="center"/>
      <protection locked="0"/>
    </xf>
    <xf numFmtId="0" fontId="118" fillId="2" borderId="4" xfId="0" applyFont="1" applyFill="1" applyBorder="1" applyAlignment="1">
      <alignment horizontal="center" vertical="center"/>
    </xf>
    <xf numFmtId="0" fontId="118" fillId="2" borderId="5" xfId="0" applyFont="1" applyFill="1" applyBorder="1" applyAlignment="1">
      <alignment horizontal="center" vertical="center"/>
    </xf>
    <xf numFmtId="0" fontId="118" fillId="2" borderId="13" xfId="0" applyFont="1" applyFill="1" applyBorder="1" applyAlignment="1">
      <alignment horizontal="center" vertical="center"/>
    </xf>
    <xf numFmtId="178" fontId="30" fillId="2" borderId="14" xfId="0" applyNumberFormat="1" applyFont="1" applyFill="1" applyBorder="1" applyAlignment="1">
      <alignment horizontal="center" vertical="center"/>
    </xf>
    <xf numFmtId="0" fontId="118" fillId="2" borderId="6" xfId="0" applyFont="1" applyFill="1" applyBorder="1" applyAlignment="1">
      <alignment horizontal="center" vertical="center"/>
    </xf>
    <xf numFmtId="0" fontId="118" fillId="2" borderId="1" xfId="0" applyFont="1" applyFill="1" applyBorder="1" applyAlignment="1">
      <alignment horizontal="left" vertical="center"/>
    </xf>
    <xf numFmtId="0" fontId="118" fillId="2" borderId="14" xfId="0" applyFont="1" applyFill="1" applyBorder="1" applyAlignment="1">
      <alignment horizontal="center" vertical="center"/>
    </xf>
    <xf numFmtId="0" fontId="118" fillId="0" borderId="6" xfId="0" applyFont="1" applyBorder="1" applyProtection="1">
      <alignment vertical="center"/>
      <protection locked="0"/>
    </xf>
    <xf numFmtId="0" fontId="118" fillId="0" borderId="1" xfId="0" applyFont="1" applyBorder="1" applyProtection="1">
      <alignment vertical="center"/>
      <protection locked="0"/>
    </xf>
    <xf numFmtId="0" fontId="118" fillId="2" borderId="14" xfId="0" applyFont="1" applyFill="1" applyBorder="1">
      <alignment vertical="center"/>
    </xf>
    <xf numFmtId="0" fontId="118" fillId="0" borderId="22" xfId="0" applyFont="1" applyBorder="1" applyProtection="1">
      <alignment vertical="center"/>
      <protection locked="0"/>
    </xf>
    <xf numFmtId="0" fontId="118" fillId="0" borderId="9" xfId="0" applyFont="1" applyBorder="1" applyProtection="1">
      <alignment vertical="center"/>
      <protection locked="0"/>
    </xf>
    <xf numFmtId="0" fontId="118" fillId="2" borderId="57" xfId="0" applyFont="1" applyFill="1" applyBorder="1">
      <alignment vertical="center"/>
    </xf>
    <xf numFmtId="183" fontId="30" fillId="2" borderId="86" xfId="0" applyNumberFormat="1" applyFont="1" applyFill="1" applyBorder="1">
      <alignment vertical="center"/>
    </xf>
    <xf numFmtId="0" fontId="41" fillId="2" borderId="7" xfId="0" applyFont="1" applyFill="1" applyBorder="1">
      <alignment vertical="center"/>
    </xf>
    <xf numFmtId="0" fontId="41" fillId="2" borderId="8" xfId="0" applyFont="1" applyFill="1" applyBorder="1">
      <alignment vertical="center"/>
    </xf>
    <xf numFmtId="0" fontId="41" fillId="2" borderId="15" xfId="0" applyFont="1" applyFill="1" applyBorder="1">
      <alignment vertical="center"/>
    </xf>
    <xf numFmtId="0" fontId="147" fillId="2" borderId="10" xfId="0" applyFont="1" applyFill="1" applyBorder="1">
      <alignment vertical="center"/>
    </xf>
    <xf numFmtId="0" fontId="147" fillId="2" borderId="1" xfId="0" applyFont="1" applyFill="1" applyBorder="1">
      <alignment vertical="center"/>
    </xf>
    <xf numFmtId="0" fontId="30" fillId="2" borderId="1" xfId="0" applyFont="1" applyFill="1" applyBorder="1" applyAlignment="1">
      <alignment horizontal="right" vertical="center" wrapText="1"/>
    </xf>
    <xf numFmtId="183" fontId="18" fillId="0" borderId="0" xfId="0" applyNumberFormat="1" applyFont="1" applyAlignment="1" applyProtection="1">
      <alignment horizontal="center" vertical="center" wrapText="1"/>
      <protection locked="0"/>
    </xf>
    <xf numFmtId="0" fontId="32" fillId="0" borderId="0" xfId="0" applyFont="1" applyAlignment="1" applyProtection="1">
      <alignment horizontal="center" vertical="center" wrapText="1"/>
      <protection locked="0"/>
    </xf>
    <xf numFmtId="0" fontId="30" fillId="0" borderId="0" xfId="0" applyFont="1" applyAlignment="1" applyProtection="1">
      <alignment horizontal="center" vertical="center" wrapText="1"/>
      <protection locked="0"/>
    </xf>
    <xf numFmtId="0" fontId="30" fillId="2" borderId="0" xfId="0" applyFont="1" applyFill="1" applyAlignment="1">
      <alignment horizontal="center" vertical="center" wrapText="1"/>
    </xf>
    <xf numFmtId="178" fontId="18" fillId="0" borderId="1" xfId="0" applyNumberFormat="1" applyFont="1" applyBorder="1" applyAlignment="1" applyProtection="1">
      <alignment horizontal="center" vertical="center" wrapText="1"/>
      <protection locked="0"/>
    </xf>
    <xf numFmtId="178" fontId="69" fillId="2" borderId="1" xfId="0" applyNumberFormat="1" applyFont="1" applyFill="1" applyBorder="1" applyAlignment="1">
      <alignment horizontal="center" vertical="center" wrapText="1"/>
    </xf>
    <xf numFmtId="0" fontId="18" fillId="5" borderId="1" xfId="0" applyFont="1" applyFill="1" applyBorder="1" applyAlignment="1" applyProtection="1">
      <alignment horizontal="center" vertical="center" wrapText="1"/>
      <protection locked="0"/>
    </xf>
    <xf numFmtId="0" fontId="20" fillId="2" borderId="34" xfId="0" applyFont="1" applyFill="1" applyBorder="1" applyAlignment="1">
      <alignment horizontal="left" vertical="center"/>
    </xf>
    <xf numFmtId="178" fontId="18" fillId="2" borderId="0" xfId="0" applyNumberFormat="1" applyFont="1" applyFill="1" applyAlignment="1">
      <alignment horizontal="center" vertical="center" wrapText="1"/>
    </xf>
    <xf numFmtId="178" fontId="20" fillId="2" borderId="0" xfId="0" applyNumberFormat="1" applyFont="1" applyFill="1" applyAlignment="1">
      <alignment horizontal="center" vertical="center" wrapText="1"/>
    </xf>
    <xf numFmtId="183" fontId="18" fillId="2" borderId="1" xfId="0" applyNumberFormat="1" applyFont="1" applyFill="1" applyBorder="1" applyAlignment="1">
      <alignment horizontal="center" vertical="center" wrapText="1"/>
    </xf>
    <xf numFmtId="183" fontId="18" fillId="2" borderId="12" xfId="0" applyNumberFormat="1" applyFont="1" applyFill="1" applyBorder="1" applyAlignment="1">
      <alignment horizontal="center" vertical="center" wrapText="1"/>
    </xf>
    <xf numFmtId="183" fontId="18" fillId="2" borderId="11" xfId="0" applyNumberFormat="1" applyFont="1" applyFill="1" applyBorder="1" applyAlignment="1">
      <alignment horizontal="center" vertical="center" wrapText="1"/>
    </xf>
    <xf numFmtId="183" fontId="18" fillId="2" borderId="9" xfId="0" applyNumberFormat="1" applyFont="1" applyFill="1" applyBorder="1" applyAlignment="1">
      <alignment horizontal="center" vertical="center" wrapText="1"/>
    </xf>
    <xf numFmtId="0" fontId="18" fillId="2" borderId="20" xfId="0" applyFont="1" applyFill="1" applyBorder="1" applyAlignment="1">
      <alignment horizontal="center" vertical="center" wrapText="1"/>
    </xf>
    <xf numFmtId="0" fontId="18" fillId="2" borderId="18" xfId="0" applyFont="1" applyFill="1" applyBorder="1" applyAlignment="1">
      <alignment horizontal="left" vertical="center"/>
    </xf>
    <xf numFmtId="0" fontId="18" fillId="2" borderId="54" xfId="0" applyFont="1" applyFill="1" applyBorder="1" applyAlignment="1">
      <alignment horizontal="center" vertical="center" wrapText="1"/>
    </xf>
    <xf numFmtId="0" fontId="18" fillId="2" borderId="20" xfId="0" applyFont="1" applyFill="1" applyBorder="1" applyAlignment="1">
      <alignment horizontal="center" vertical="center"/>
    </xf>
    <xf numFmtId="0" fontId="18" fillId="2" borderId="18" xfId="0" applyFont="1" applyFill="1" applyBorder="1" applyAlignment="1">
      <alignment horizontal="center" vertical="center"/>
    </xf>
    <xf numFmtId="178" fontId="18" fillId="2" borderId="10" xfId="0" applyNumberFormat="1" applyFont="1" applyFill="1" applyBorder="1" applyAlignment="1">
      <alignment horizontal="left" vertical="center"/>
    </xf>
    <xf numFmtId="178" fontId="18" fillId="2" borderId="74" xfId="0" applyNumberFormat="1" applyFont="1" applyFill="1" applyBorder="1" applyAlignment="1">
      <alignment horizontal="center" vertical="center"/>
    </xf>
    <xf numFmtId="0" fontId="18" fillId="2" borderId="34" xfId="0" applyFont="1" applyFill="1" applyBorder="1" applyAlignment="1">
      <alignment horizontal="center" vertical="center" wrapText="1"/>
    </xf>
    <xf numFmtId="178" fontId="18" fillId="2" borderId="81" xfId="0" applyNumberFormat="1" applyFont="1" applyFill="1" applyBorder="1" applyAlignment="1">
      <alignment horizontal="center" vertical="center" wrapText="1"/>
    </xf>
    <xf numFmtId="0" fontId="26" fillId="0" borderId="1" xfId="0" applyFont="1" applyBorder="1" applyAlignment="1" applyProtection="1">
      <alignment horizontal="center" vertical="center" wrapText="1"/>
      <protection locked="0"/>
    </xf>
    <xf numFmtId="0" fontId="0" fillId="0" borderId="1" xfId="0" applyBorder="1" applyAlignment="1" applyProtection="1">
      <alignment horizontal="center" vertical="center" wrapText="1"/>
      <protection locked="0"/>
    </xf>
    <xf numFmtId="0" fontId="26" fillId="5" borderId="3" xfId="0" applyFont="1" applyFill="1" applyBorder="1" applyAlignment="1" applyProtection="1">
      <alignment horizontal="center" vertical="center" wrapText="1"/>
      <protection locked="0"/>
    </xf>
    <xf numFmtId="183" fontId="18" fillId="0" borderId="3" xfId="0" applyNumberFormat="1" applyFont="1" applyBorder="1" applyAlignment="1" applyProtection="1">
      <alignment horizontal="center" vertical="center" wrapText="1"/>
      <protection locked="0"/>
    </xf>
    <xf numFmtId="183" fontId="18" fillId="2" borderId="3" xfId="0" applyNumberFormat="1" applyFont="1" applyFill="1" applyBorder="1" applyAlignment="1">
      <alignment horizontal="center" vertical="center" wrapText="1"/>
    </xf>
    <xf numFmtId="183" fontId="30" fillId="2" borderId="1" xfId="0" applyNumberFormat="1" applyFont="1" applyFill="1" applyBorder="1" applyAlignment="1">
      <alignment horizontal="center" vertical="center" wrapText="1"/>
    </xf>
    <xf numFmtId="183" fontId="30" fillId="0" borderId="3" xfId="0" applyNumberFormat="1" applyFont="1" applyBorder="1" applyAlignment="1" applyProtection="1">
      <alignment horizontal="center" vertical="center" wrapText="1"/>
      <protection locked="0"/>
    </xf>
    <xf numFmtId="183" fontId="30" fillId="2" borderId="3" xfId="0" applyNumberFormat="1" applyFont="1" applyFill="1" applyBorder="1" applyAlignment="1">
      <alignment horizontal="center" vertical="center" wrapText="1"/>
    </xf>
    <xf numFmtId="183" fontId="30" fillId="2" borderId="9" xfId="0" applyNumberFormat="1" applyFont="1" applyFill="1" applyBorder="1" applyAlignment="1">
      <alignment horizontal="center" vertical="center" wrapText="1"/>
    </xf>
    <xf numFmtId="0" fontId="135" fillId="0" borderId="1" xfId="50" applyFont="1" applyBorder="1" applyAlignment="1" applyProtection="1">
      <alignment horizontal="center" vertical="center" wrapText="1"/>
      <protection locked="0"/>
    </xf>
    <xf numFmtId="0" fontId="83" fillId="0" borderId="1" xfId="50" applyFont="1" applyBorder="1" applyAlignment="1" applyProtection="1">
      <alignment horizontal="center" vertical="center" wrapText="1"/>
      <protection locked="0"/>
    </xf>
    <xf numFmtId="0" fontId="81" fillId="0" borderId="1" xfId="50" applyFont="1" applyBorder="1" applyAlignment="1" applyProtection="1">
      <alignment horizontal="center" vertical="center" wrapText="1"/>
      <protection locked="0"/>
    </xf>
    <xf numFmtId="0" fontId="18" fillId="5" borderId="3" xfId="0" applyFont="1" applyFill="1" applyBorder="1" applyAlignment="1" applyProtection="1">
      <alignment horizontal="center" vertical="center" wrapText="1"/>
      <protection locked="0"/>
    </xf>
    <xf numFmtId="0" fontId="30" fillId="3" borderId="3" xfId="0" applyFont="1" applyFill="1" applyBorder="1" applyAlignment="1" applyProtection="1">
      <alignment horizontal="center" vertical="center" wrapText="1"/>
      <protection locked="0"/>
    </xf>
    <xf numFmtId="0" fontId="20" fillId="2" borderId="12" xfId="0" applyFont="1" applyFill="1" applyBorder="1" applyAlignment="1">
      <alignment horizontal="center" vertical="center"/>
    </xf>
    <xf numFmtId="0" fontId="26" fillId="17" borderId="34" xfId="0" applyFont="1" applyFill="1" applyBorder="1" applyAlignment="1" applyProtection="1">
      <alignment horizontal="left" vertical="center"/>
      <protection locked="0"/>
    </xf>
    <xf numFmtId="0" fontId="26" fillId="5" borderId="34" xfId="0" applyFont="1" applyFill="1" applyBorder="1" applyAlignment="1" applyProtection="1">
      <alignment horizontal="left" vertical="center"/>
      <protection locked="0"/>
    </xf>
    <xf numFmtId="0" fontId="26" fillId="0" borderId="34" xfId="0" applyFont="1" applyBorder="1" applyAlignment="1" applyProtection="1">
      <alignment horizontal="left" vertical="center"/>
      <protection locked="0"/>
    </xf>
    <xf numFmtId="0" fontId="18" fillId="5" borderId="34" xfId="0" applyFont="1" applyFill="1" applyBorder="1" applyAlignment="1" applyProtection="1">
      <alignment horizontal="left" vertical="center"/>
      <protection locked="0"/>
    </xf>
    <xf numFmtId="0" fontId="26" fillId="5" borderId="10" xfId="0" applyFont="1" applyFill="1" applyBorder="1" applyAlignment="1" applyProtection="1">
      <alignment horizontal="left" vertical="center"/>
      <protection locked="0"/>
    </xf>
    <xf numFmtId="0" fontId="26" fillId="0" borderId="10" xfId="0" applyFont="1" applyBorder="1" applyAlignment="1" applyProtection="1">
      <alignment horizontal="left" vertical="center"/>
      <protection locked="0"/>
    </xf>
    <xf numFmtId="0" fontId="18" fillId="5" borderId="10" xfId="0" applyFont="1" applyFill="1" applyBorder="1" applyAlignment="1" applyProtection="1">
      <alignment horizontal="left" vertical="center"/>
      <protection locked="0"/>
    </xf>
    <xf numFmtId="0" fontId="26" fillId="0" borderId="12" xfId="0" applyFont="1" applyBorder="1" applyAlignment="1" applyProtection="1">
      <alignment horizontal="left" vertical="center"/>
      <protection locked="0"/>
    </xf>
    <xf numFmtId="0" fontId="20" fillId="0" borderId="11" xfId="0" applyFont="1" applyBorder="1" applyAlignment="1">
      <alignment horizontal="left" vertical="center"/>
    </xf>
    <xf numFmtId="0" fontId="18" fillId="0" borderId="12" xfId="0" applyFont="1" applyBorder="1" applyAlignment="1" applyProtection="1">
      <alignment horizontal="left" vertical="center"/>
      <protection locked="0"/>
    </xf>
    <xf numFmtId="0" fontId="20" fillId="2" borderId="11" xfId="0" applyFont="1" applyFill="1" applyBorder="1" applyAlignment="1">
      <alignment horizontal="left" vertical="center"/>
    </xf>
    <xf numFmtId="0" fontId="18" fillId="5" borderId="12" xfId="0" applyFont="1" applyFill="1" applyBorder="1" applyAlignment="1" applyProtection="1">
      <alignment horizontal="left" vertical="center"/>
      <protection locked="0"/>
    </xf>
    <xf numFmtId="183" fontId="26" fillId="0" borderId="1" xfId="0" applyNumberFormat="1" applyFont="1" applyBorder="1" applyAlignment="1" applyProtection="1">
      <alignment horizontal="left" vertical="center" wrapText="1"/>
      <protection locked="0"/>
    </xf>
    <xf numFmtId="183" fontId="18" fillId="0" borderId="1" xfId="0" applyNumberFormat="1" applyFont="1" applyBorder="1" applyAlignment="1" applyProtection="1">
      <alignment vertical="center" wrapText="1"/>
      <protection locked="0"/>
    </xf>
    <xf numFmtId="183" fontId="30" fillId="0" borderId="1" xfId="0" applyNumberFormat="1" applyFont="1" applyBorder="1" applyAlignment="1" applyProtection="1">
      <alignment horizontal="left" vertical="center" wrapText="1"/>
      <protection locked="0"/>
    </xf>
    <xf numFmtId="0" fontId="81" fillId="0" borderId="1" xfId="50" applyFont="1" applyBorder="1" applyAlignment="1" applyProtection="1">
      <alignment horizontal="left" vertical="center" wrapText="1"/>
      <protection locked="0"/>
    </xf>
    <xf numFmtId="183" fontId="30" fillId="0" borderId="1" xfId="0" applyNumberFormat="1" applyFont="1" applyBorder="1" applyAlignment="1" applyProtection="1">
      <alignment vertical="center" wrapText="1"/>
      <protection locked="0"/>
    </xf>
    <xf numFmtId="0" fontId="175" fillId="0" borderId="1" xfId="0" applyFont="1" applyBorder="1" applyAlignment="1" applyProtection="1">
      <alignment horizontal="left" vertical="center"/>
      <protection locked="0"/>
    </xf>
    <xf numFmtId="0" fontId="175" fillId="0" borderId="1" xfId="0" applyFont="1" applyBorder="1" applyAlignment="1" applyProtection="1">
      <alignment horizontal="center" vertical="center"/>
      <protection locked="0"/>
    </xf>
    <xf numFmtId="178" fontId="18" fillId="2" borderId="12" xfId="0" applyNumberFormat="1" applyFont="1" applyFill="1" applyBorder="1" applyAlignment="1">
      <alignment horizontal="center" vertical="center"/>
    </xf>
    <xf numFmtId="0" fontId="20" fillId="2" borderId="12" xfId="0" applyFont="1" applyFill="1" applyBorder="1" applyAlignment="1">
      <alignment horizontal="left" vertical="center"/>
    </xf>
    <xf numFmtId="178" fontId="18" fillId="2" borderId="11" xfId="0" applyNumberFormat="1" applyFont="1" applyFill="1" applyBorder="1" applyAlignment="1">
      <alignment horizontal="center" vertical="center"/>
    </xf>
    <xf numFmtId="0" fontId="20" fillId="2" borderId="54" xfId="0" applyFont="1" applyFill="1" applyBorder="1" applyAlignment="1">
      <alignment horizontal="center" vertical="center"/>
    </xf>
    <xf numFmtId="0" fontId="18" fillId="2" borderId="54" xfId="0" applyFont="1" applyFill="1" applyBorder="1" applyAlignment="1">
      <alignment horizontal="center" vertical="center"/>
    </xf>
    <xf numFmtId="0" fontId="70" fillId="2" borderId="11" xfId="0" applyFont="1" applyFill="1" applyBorder="1" applyAlignment="1">
      <alignment horizontal="right" vertical="center"/>
    </xf>
    <xf numFmtId="0" fontId="15" fillId="2" borderId="10" xfId="0" applyFont="1" applyFill="1" applyBorder="1" applyAlignment="1">
      <alignment horizontal="left" vertical="center"/>
    </xf>
    <xf numFmtId="178" fontId="18" fillId="2" borderId="3" xfId="0" applyNumberFormat="1" applyFont="1" applyFill="1" applyBorder="1" applyAlignment="1">
      <alignment horizontal="center" vertical="center" wrapText="1"/>
    </xf>
    <xf numFmtId="183" fontId="26" fillId="0" borderId="1" xfId="0" applyNumberFormat="1" applyFont="1" applyBorder="1" applyAlignment="1" applyProtection="1">
      <alignment horizontal="center" vertical="center" wrapText="1"/>
      <protection locked="0"/>
    </xf>
    <xf numFmtId="183" fontId="30" fillId="0" borderId="1" xfId="0" applyNumberFormat="1" applyFont="1" applyBorder="1" applyAlignment="1" applyProtection="1">
      <alignment horizontal="center" vertical="center" wrapText="1"/>
      <protection locked="0"/>
    </xf>
    <xf numFmtId="0" fontId="80" fillId="0" borderId="1" xfId="50" applyFont="1" applyBorder="1" applyAlignment="1" applyProtection="1">
      <alignment horizontal="center" vertical="center" wrapText="1"/>
      <protection locked="0"/>
    </xf>
    <xf numFmtId="0" fontId="176" fillId="2" borderId="11" xfId="0" applyFont="1" applyFill="1" applyBorder="1" applyAlignment="1">
      <alignment horizontal="right" vertical="center"/>
    </xf>
    <xf numFmtId="0" fontId="70" fillId="2" borderId="11" xfId="0" applyFont="1" applyFill="1" applyBorder="1" applyAlignment="1">
      <alignment horizontal="center" vertical="center"/>
    </xf>
    <xf numFmtId="0" fontId="177" fillId="2" borderId="11" xfId="0" applyFont="1" applyFill="1" applyBorder="1" applyAlignment="1">
      <alignment horizontal="right" vertical="center"/>
    </xf>
    <xf numFmtId="0" fontId="35" fillId="2" borderId="0" xfId="0" applyFont="1" applyFill="1" applyAlignment="1">
      <alignment horizontal="left" vertical="center"/>
    </xf>
    <xf numFmtId="183" fontId="18" fillId="2" borderId="10" xfId="0" applyNumberFormat="1" applyFont="1" applyFill="1" applyBorder="1" applyAlignment="1">
      <alignment horizontal="center" vertical="center" wrapText="1"/>
    </xf>
    <xf numFmtId="0" fontId="70" fillId="2" borderId="11" xfId="0" applyFont="1" applyFill="1" applyBorder="1" applyAlignment="1">
      <alignment horizontal="center" vertical="center" wrapText="1"/>
    </xf>
    <xf numFmtId="0" fontId="70" fillId="2" borderId="74" xfId="0" applyFont="1" applyFill="1" applyBorder="1" applyAlignment="1">
      <alignment horizontal="center" vertical="center"/>
    </xf>
    <xf numFmtId="0" fontId="18" fillId="2" borderId="10" xfId="0" applyFont="1" applyFill="1" applyBorder="1" applyAlignment="1" applyProtection="1">
      <alignment horizontal="left" vertical="center"/>
      <protection locked="0"/>
    </xf>
    <xf numFmtId="0" fontId="18" fillId="2" borderId="11" xfId="0" applyFont="1" applyFill="1" applyBorder="1" applyAlignment="1" applyProtection="1">
      <alignment horizontal="left" vertical="center"/>
      <protection locked="0"/>
    </xf>
    <xf numFmtId="0" fontId="18" fillId="2" borderId="81" xfId="0" applyFont="1" applyFill="1" applyBorder="1" applyAlignment="1" applyProtection="1">
      <alignment horizontal="left" vertical="center"/>
      <protection locked="0"/>
    </xf>
    <xf numFmtId="0" fontId="18" fillId="2" borderId="10" xfId="0" applyFont="1" applyFill="1" applyBorder="1" applyAlignment="1" applyProtection="1">
      <alignment horizontal="center" vertical="center"/>
      <protection locked="0"/>
    </xf>
    <xf numFmtId="0" fontId="18" fillId="2" borderId="11" xfId="0" applyFont="1" applyFill="1" applyBorder="1" applyAlignment="1" applyProtection="1">
      <alignment horizontal="center" vertical="center"/>
      <protection locked="0"/>
    </xf>
    <xf numFmtId="0" fontId="18" fillId="2" borderId="1" xfId="0" applyFont="1" applyFill="1" applyBorder="1" applyAlignment="1" applyProtection="1">
      <alignment horizontal="center" vertical="center" wrapText="1"/>
      <protection locked="0"/>
    </xf>
    <xf numFmtId="0" fontId="18" fillId="2" borderId="3" xfId="0" applyFont="1" applyFill="1" applyBorder="1" applyAlignment="1" applyProtection="1">
      <alignment horizontal="center" vertical="center" wrapText="1"/>
      <protection locked="0"/>
    </xf>
    <xf numFmtId="0" fontId="18" fillId="2" borderId="34" xfId="0" applyFont="1" applyFill="1" applyBorder="1" applyAlignment="1" applyProtection="1">
      <alignment horizontal="center" vertical="center" wrapText="1"/>
      <protection locked="0"/>
    </xf>
    <xf numFmtId="178" fontId="18" fillId="2" borderId="34" xfId="0" applyNumberFormat="1" applyFont="1" applyFill="1" applyBorder="1" applyAlignment="1">
      <alignment horizontal="center" vertical="center" wrapText="1"/>
    </xf>
    <xf numFmtId="183" fontId="26" fillId="0" borderId="3" xfId="0" applyNumberFormat="1" applyFont="1" applyBorder="1" applyAlignment="1" applyProtection="1">
      <alignment horizontal="center" vertical="center" wrapText="1"/>
      <protection locked="0"/>
    </xf>
    <xf numFmtId="0" fontId="26" fillId="0" borderId="34" xfId="0" applyFont="1" applyBorder="1" applyAlignment="1" applyProtection="1">
      <alignment horizontal="center" vertical="center" wrapText="1"/>
      <protection locked="0"/>
    </xf>
    <xf numFmtId="0" fontId="30" fillId="0" borderId="34" xfId="0" applyFont="1" applyBorder="1" applyAlignment="1" applyProtection="1">
      <alignment horizontal="center" vertical="center" wrapText="1"/>
      <protection locked="0"/>
    </xf>
    <xf numFmtId="0" fontId="18" fillId="2" borderId="18" xfId="0" applyFont="1" applyFill="1" applyBorder="1" applyAlignment="1">
      <alignment horizontal="center" vertical="center" wrapText="1"/>
    </xf>
    <xf numFmtId="0" fontId="69" fillId="2" borderId="1" xfId="0" applyFont="1" applyFill="1" applyBorder="1" applyAlignment="1" applyProtection="1">
      <alignment horizontal="left" vertical="center" wrapText="1"/>
      <protection locked="0"/>
    </xf>
    <xf numFmtId="0" fontId="70" fillId="2" borderId="1" xfId="0" applyFont="1" applyFill="1" applyBorder="1" applyAlignment="1">
      <alignment horizontal="center" vertical="center" wrapText="1"/>
    </xf>
    <xf numFmtId="0" fontId="18" fillId="7" borderId="10" xfId="0" applyFont="1" applyFill="1" applyBorder="1" applyAlignment="1" applyProtection="1">
      <alignment horizontal="center" vertical="center" wrapText="1"/>
      <protection locked="0"/>
    </xf>
    <xf numFmtId="183" fontId="18" fillId="0" borderId="1" xfId="0" applyNumberFormat="1" applyFont="1" applyBorder="1" applyAlignment="1" applyProtection="1">
      <alignment horizontal="center" vertical="center" wrapText="1"/>
      <protection locked="0"/>
    </xf>
    <xf numFmtId="183" fontId="18" fillId="2" borderId="0" xfId="0" applyNumberFormat="1" applyFont="1" applyFill="1" applyAlignment="1">
      <alignment horizontal="center" vertical="center" wrapText="1"/>
    </xf>
    <xf numFmtId="183" fontId="18" fillId="2" borderId="5" xfId="0" applyNumberFormat="1" applyFont="1" applyFill="1" applyBorder="1" applyAlignment="1">
      <alignment horizontal="center" vertical="center" wrapText="1"/>
    </xf>
    <xf numFmtId="183" fontId="18" fillId="2" borderId="6" xfId="0" applyNumberFormat="1" applyFont="1" applyFill="1" applyBorder="1" applyAlignment="1">
      <alignment horizontal="center" vertical="center" wrapText="1"/>
    </xf>
    <xf numFmtId="178" fontId="18" fillId="2" borderId="34" xfId="0" applyNumberFormat="1" applyFont="1" applyFill="1" applyBorder="1" applyAlignment="1">
      <alignment horizontal="center" vertical="center"/>
    </xf>
    <xf numFmtId="0" fontId="20" fillId="2" borderId="89" xfId="0" applyFont="1" applyFill="1" applyBorder="1" applyAlignment="1">
      <alignment horizontal="center" vertical="center"/>
    </xf>
    <xf numFmtId="0" fontId="18" fillId="2" borderId="81" xfId="0" applyFont="1" applyFill="1" applyBorder="1" applyAlignment="1">
      <alignment horizontal="center" vertical="center"/>
    </xf>
    <xf numFmtId="0" fontId="18" fillId="2" borderId="74" xfId="0" applyFont="1" applyFill="1" applyBorder="1" applyAlignment="1">
      <alignment horizontal="center" vertical="center" wrapText="1"/>
    </xf>
    <xf numFmtId="178" fontId="18" fillId="2" borderId="81" xfId="0" applyNumberFormat="1" applyFont="1" applyFill="1" applyBorder="1" applyAlignment="1">
      <alignment horizontal="center" vertical="center"/>
    </xf>
    <xf numFmtId="183" fontId="18" fillId="2" borderId="13" xfId="0" applyNumberFormat="1" applyFont="1" applyFill="1" applyBorder="1" applyAlignment="1">
      <alignment horizontal="center" vertical="center" wrapText="1"/>
    </xf>
    <xf numFmtId="183" fontId="18" fillId="2" borderId="14" xfId="0" applyNumberFormat="1" applyFont="1" applyFill="1" applyBorder="1" applyAlignment="1">
      <alignment horizontal="center" vertical="center" wrapText="1"/>
    </xf>
    <xf numFmtId="0" fontId="18" fillId="2" borderId="47" xfId="0" applyFont="1" applyFill="1" applyBorder="1" applyAlignment="1">
      <alignment horizontal="center" vertical="center" wrapText="1"/>
    </xf>
    <xf numFmtId="183" fontId="30" fillId="2" borderId="14" xfId="0" applyNumberFormat="1" applyFont="1" applyFill="1" applyBorder="1" applyAlignment="1">
      <alignment horizontal="center" vertical="center" wrapText="1"/>
    </xf>
    <xf numFmtId="0" fontId="30" fillId="0" borderId="1" xfId="0" applyFont="1" applyBorder="1" applyAlignment="1" applyProtection="1">
      <alignment vertical="center" wrapText="1"/>
      <protection locked="0"/>
    </xf>
    <xf numFmtId="183" fontId="30" fillId="0" borderId="0" xfId="0" applyNumberFormat="1" applyFont="1" applyAlignment="1" applyProtection="1">
      <alignment horizontal="center" vertical="center" wrapText="1"/>
      <protection locked="0"/>
    </xf>
    <xf numFmtId="0" fontId="32" fillId="0" borderId="0" xfId="0" applyFont="1" applyAlignment="1" applyProtection="1">
      <alignment horizontal="center" vertical="center"/>
      <protection locked="0"/>
    </xf>
    <xf numFmtId="0" fontId="149" fillId="0" borderId="1" xfId="0" applyFont="1" applyBorder="1" applyAlignment="1">
      <alignment horizontal="center" vertical="center" wrapText="1"/>
    </xf>
    <xf numFmtId="0" fontId="81" fillId="0" borderId="1" xfId="0" applyFont="1" applyBorder="1" applyAlignment="1">
      <alignment horizontal="center" vertical="center" wrapText="1"/>
    </xf>
    <xf numFmtId="0" fontId="81" fillId="0" borderId="1" xfId="0" applyFont="1" applyBorder="1" applyAlignment="1">
      <alignment vertical="center" wrapText="1"/>
    </xf>
    <xf numFmtId="0" fontId="178" fillId="0" borderId="150" xfId="0" applyFont="1" applyBorder="1" applyAlignment="1">
      <alignment vertical="center" wrapText="1"/>
    </xf>
    <xf numFmtId="0" fontId="178" fillId="0" borderId="0" xfId="0" applyFont="1" applyAlignment="1">
      <alignment vertical="center" wrapText="1"/>
    </xf>
    <xf numFmtId="0" fontId="178" fillId="0" borderId="0" xfId="0" applyFont="1" applyAlignment="1">
      <alignment horizontal="center" vertical="center" wrapText="1"/>
    </xf>
    <xf numFmtId="49" fontId="178" fillId="0" borderId="20" xfId="0" applyNumberFormat="1" applyFont="1" applyBorder="1" applyAlignment="1" applyProtection="1">
      <alignment horizontal="center" vertical="center" wrapText="1"/>
      <protection locked="0"/>
    </xf>
    <xf numFmtId="49" fontId="178" fillId="0" borderId="0" xfId="0" applyNumberFormat="1" applyFont="1" applyAlignment="1" applyProtection="1">
      <alignment horizontal="center" vertical="center" wrapText="1"/>
      <protection locked="0"/>
    </xf>
    <xf numFmtId="0" fontId="178" fillId="0" borderId="0" xfId="0" applyFont="1" applyAlignment="1" applyProtection="1">
      <alignment vertical="center" wrapText="1"/>
      <protection locked="0"/>
    </xf>
    <xf numFmtId="0" fontId="178" fillId="0" borderId="0" xfId="0" applyFont="1" applyAlignment="1" applyProtection="1">
      <alignment horizontal="center" vertical="center" wrapText="1"/>
      <protection locked="0"/>
    </xf>
    <xf numFmtId="0" fontId="178" fillId="2" borderId="60" xfId="0" applyFont="1" applyFill="1" applyBorder="1" applyAlignment="1">
      <alignment vertical="center" wrapText="1"/>
    </xf>
    <xf numFmtId="0" fontId="178" fillId="2" borderId="63" xfId="0" applyFont="1" applyFill="1" applyBorder="1" applyAlignment="1">
      <alignment vertical="center" wrapText="1"/>
    </xf>
    <xf numFmtId="0" fontId="178" fillId="2" borderId="99" xfId="0" applyFont="1" applyFill="1" applyBorder="1" applyAlignment="1">
      <alignment vertical="center" wrapText="1"/>
    </xf>
    <xf numFmtId="0" fontId="178" fillId="2" borderId="0" xfId="0" applyFont="1" applyFill="1" applyAlignment="1">
      <alignment vertical="center" wrapText="1"/>
    </xf>
    <xf numFmtId="0" fontId="178" fillId="0" borderId="0" xfId="0" applyFont="1" applyProtection="1">
      <alignment vertical="center"/>
      <protection locked="0"/>
    </xf>
    <xf numFmtId="0" fontId="178" fillId="9" borderId="0" xfId="0" applyFont="1" applyFill="1" applyAlignment="1" applyProtection="1">
      <alignment vertical="center" wrapText="1"/>
      <protection locked="0"/>
    </xf>
    <xf numFmtId="0" fontId="178" fillId="2" borderId="1" xfId="0" applyFont="1" applyFill="1" applyBorder="1" applyAlignment="1">
      <alignment horizontal="left" vertical="center"/>
    </xf>
    <xf numFmtId="14" fontId="178" fillId="0" borderId="9" xfId="0" applyNumberFormat="1" applyFont="1" applyBorder="1" applyAlignment="1" applyProtection="1">
      <alignment horizontal="left" vertical="center"/>
      <protection locked="0"/>
    </xf>
    <xf numFmtId="0" fontId="178" fillId="25" borderId="9" xfId="0" applyFont="1" applyFill="1" applyBorder="1" applyAlignment="1">
      <alignment vertical="center" wrapText="1"/>
    </xf>
    <xf numFmtId="0" fontId="178" fillId="2" borderId="83" xfId="0" applyFont="1" applyFill="1" applyBorder="1" applyAlignment="1">
      <alignment horizontal="left" vertical="center"/>
    </xf>
    <xf numFmtId="0" fontId="178" fillId="3" borderId="83" xfId="0" applyFont="1" applyFill="1" applyBorder="1" applyAlignment="1" applyProtection="1">
      <alignment vertical="center" wrapText="1"/>
      <protection locked="0"/>
    </xf>
    <xf numFmtId="0" fontId="178" fillId="2" borderId="83" xfId="0" applyFont="1" applyFill="1" applyBorder="1" applyAlignment="1">
      <alignment vertical="center" wrapText="1"/>
    </xf>
    <xf numFmtId="0" fontId="178" fillId="2" borderId="34" xfId="0" applyFont="1" applyFill="1" applyBorder="1" applyAlignment="1">
      <alignment vertical="center" wrapText="1"/>
    </xf>
    <xf numFmtId="0" fontId="178" fillId="6" borderId="10" xfId="0" applyFont="1" applyFill="1" applyBorder="1" applyProtection="1">
      <alignment vertical="center"/>
      <protection locked="0"/>
    </xf>
    <xf numFmtId="0" fontId="178" fillId="6" borderId="89" xfId="0" applyFont="1" applyFill="1" applyBorder="1" applyAlignment="1">
      <alignment vertical="center" wrapText="1"/>
    </xf>
    <xf numFmtId="0" fontId="178" fillId="6" borderId="81" xfId="0" applyFont="1" applyFill="1" applyBorder="1" applyAlignment="1">
      <alignment vertical="center" wrapText="1"/>
    </xf>
    <xf numFmtId="0" fontId="178" fillId="2" borderId="9" xfId="0" applyFont="1" applyFill="1" applyBorder="1" applyAlignment="1">
      <alignment vertical="center" wrapText="1"/>
    </xf>
    <xf numFmtId="0" fontId="178" fillId="6" borderId="12" xfId="0" applyFont="1" applyFill="1" applyBorder="1" applyAlignment="1">
      <alignment vertical="center" wrapText="1"/>
    </xf>
    <xf numFmtId="0" fontId="178" fillId="6" borderId="58" xfId="0" applyFont="1" applyFill="1" applyBorder="1" applyAlignment="1">
      <alignment vertical="center" wrapText="1"/>
    </xf>
    <xf numFmtId="0" fontId="178" fillId="2" borderId="18" xfId="0" applyFont="1" applyFill="1" applyBorder="1" applyAlignment="1">
      <alignment vertical="center" wrapText="1"/>
    </xf>
    <xf numFmtId="0" fontId="178" fillId="25" borderId="18" xfId="0" applyFont="1" applyFill="1" applyBorder="1" applyAlignment="1">
      <alignment vertical="center" wrapText="1"/>
    </xf>
    <xf numFmtId="0" fontId="178" fillId="3" borderId="10" xfId="0" applyFont="1" applyFill="1" applyBorder="1" applyAlignment="1" applyProtection="1">
      <alignment horizontal="left" vertical="center" wrapText="1"/>
      <protection locked="0"/>
    </xf>
    <xf numFmtId="0" fontId="178" fillId="3" borderId="12" xfId="0" applyFont="1" applyFill="1" applyBorder="1" applyAlignment="1">
      <alignment vertical="center" wrapText="1"/>
    </xf>
    <xf numFmtId="0" fontId="178" fillId="25" borderId="9" xfId="0" applyFont="1" applyFill="1" applyBorder="1" applyAlignment="1">
      <alignment horizontal="center" vertical="center" wrapText="1"/>
    </xf>
    <xf numFmtId="0" fontId="178" fillId="3" borderId="10" xfId="0" applyFont="1" applyFill="1" applyBorder="1" applyAlignment="1" applyProtection="1">
      <alignment vertical="center" wrapText="1"/>
      <protection locked="0"/>
    </xf>
    <xf numFmtId="0" fontId="178" fillId="3" borderId="11" xfId="0" applyFont="1" applyFill="1" applyBorder="1" applyAlignment="1">
      <alignment vertical="center" wrapText="1"/>
    </xf>
    <xf numFmtId="0" fontId="178" fillId="25" borderId="96" xfId="0" applyFont="1" applyFill="1" applyBorder="1" applyAlignment="1">
      <alignment vertical="center" wrapText="1"/>
    </xf>
    <xf numFmtId="0" fontId="178" fillId="3" borderId="96" xfId="0" applyFont="1" applyFill="1" applyBorder="1" applyAlignment="1" applyProtection="1">
      <alignment horizontal="left" vertical="center"/>
      <protection locked="0"/>
    </xf>
    <xf numFmtId="0" fontId="178" fillId="3" borderId="97" xfId="0" applyFont="1" applyFill="1" applyBorder="1" applyAlignment="1">
      <alignment vertical="center" wrapText="1"/>
    </xf>
    <xf numFmtId="0" fontId="178" fillId="25" borderId="151" xfId="0" applyFont="1" applyFill="1" applyBorder="1" applyAlignment="1">
      <alignment horizontal="center" vertical="center" wrapText="1"/>
    </xf>
    <xf numFmtId="0" fontId="178" fillId="3" borderId="93" xfId="0" applyFont="1" applyFill="1" applyBorder="1" applyAlignment="1">
      <alignment vertical="center" wrapText="1"/>
    </xf>
    <xf numFmtId="0" fontId="178" fillId="9" borderId="2" xfId="0" applyFont="1" applyFill="1" applyBorder="1" applyAlignment="1" applyProtection="1">
      <alignment vertical="center" wrapText="1"/>
      <protection locked="0"/>
    </xf>
    <xf numFmtId="0" fontId="178" fillId="25" borderId="34" xfId="0" applyFont="1" applyFill="1" applyBorder="1" applyAlignment="1">
      <alignment horizontal="left" vertical="center"/>
    </xf>
    <xf numFmtId="0" fontId="178" fillId="5" borderId="81" xfId="0" applyFont="1" applyFill="1" applyBorder="1" applyAlignment="1" applyProtection="1">
      <alignment horizontal="left" vertical="center" wrapText="1"/>
      <protection locked="0"/>
    </xf>
    <xf numFmtId="0" fontId="178" fillId="6" borderId="89" xfId="0" applyFont="1" applyFill="1" applyBorder="1" applyAlignment="1" applyProtection="1">
      <alignment vertical="center" wrapText="1"/>
      <protection locked="0"/>
    </xf>
    <xf numFmtId="49" fontId="178" fillId="2" borderId="3" xfId="0" applyNumberFormat="1" applyFont="1" applyFill="1" applyBorder="1" applyAlignment="1">
      <alignment horizontal="left" vertical="center" wrapText="1"/>
    </xf>
    <xf numFmtId="49" fontId="179" fillId="0" borderId="34" xfId="0" applyNumberFormat="1" applyFont="1" applyBorder="1" applyAlignment="1" applyProtection="1">
      <alignment horizontal="left" vertical="center"/>
      <protection locked="0"/>
    </xf>
    <xf numFmtId="0" fontId="178" fillId="0" borderId="89" xfId="0" applyFont="1" applyBorder="1" applyAlignment="1">
      <alignment vertical="center" wrapText="1"/>
    </xf>
    <xf numFmtId="0" fontId="178" fillId="6" borderId="89" xfId="0" applyFont="1" applyFill="1" applyBorder="1" applyAlignment="1">
      <alignment horizontal="center" vertical="center" wrapText="1"/>
    </xf>
    <xf numFmtId="0" fontId="178" fillId="25" borderId="10" xfId="0" applyFont="1" applyFill="1" applyBorder="1">
      <alignment vertical="center"/>
    </xf>
    <xf numFmtId="0" fontId="178" fillId="5" borderId="58" xfId="0" applyFont="1" applyFill="1" applyBorder="1" applyAlignment="1" applyProtection="1">
      <alignment horizontal="left" vertical="center" wrapText="1"/>
      <protection locked="0"/>
    </xf>
    <xf numFmtId="0" fontId="178" fillId="6" borderId="12" xfId="0" applyFont="1" applyFill="1" applyBorder="1" applyAlignment="1" applyProtection="1">
      <alignment vertical="center" wrapText="1"/>
      <protection locked="0"/>
    </xf>
    <xf numFmtId="0" fontId="178" fillId="6" borderId="11" xfId="0" applyFont="1" applyFill="1" applyBorder="1" applyAlignment="1">
      <alignment vertical="center" wrapText="1"/>
    </xf>
    <xf numFmtId="0" fontId="178" fillId="2" borderId="0" xfId="0" applyFont="1" applyFill="1" applyAlignment="1" applyProtection="1">
      <alignment vertical="center" wrapText="1"/>
      <protection locked="0"/>
    </xf>
    <xf numFmtId="0" fontId="178" fillId="2" borderId="18" xfId="0" applyFont="1" applyFill="1" applyBorder="1">
      <alignment vertical="center"/>
    </xf>
    <xf numFmtId="0" fontId="179" fillId="6" borderId="10" xfId="0" applyFont="1" applyFill="1" applyBorder="1" applyAlignment="1" applyProtection="1">
      <alignment vertical="center" wrapText="1"/>
      <protection locked="0"/>
    </xf>
    <xf numFmtId="0" fontId="179" fillId="6" borderId="12" xfId="0" applyFont="1" applyFill="1" applyBorder="1" applyAlignment="1" applyProtection="1">
      <alignment vertical="center" wrapText="1"/>
      <protection locked="0"/>
    </xf>
    <xf numFmtId="0" fontId="179" fillId="6" borderId="11" xfId="0" applyFont="1" applyFill="1" applyBorder="1" applyAlignment="1" applyProtection="1">
      <alignment vertical="center" wrapText="1"/>
      <protection locked="0"/>
    </xf>
    <xf numFmtId="0" fontId="178" fillId="2" borderId="1" xfId="0" applyFont="1" applyFill="1" applyBorder="1" applyAlignment="1">
      <alignment vertical="center" wrapText="1"/>
    </xf>
    <xf numFmtId="0" fontId="179" fillId="6" borderId="10" xfId="0" applyFont="1" applyFill="1" applyBorder="1" applyProtection="1">
      <alignment vertical="center"/>
      <protection locked="0"/>
    </xf>
    <xf numFmtId="0" fontId="179" fillId="6" borderId="12" xfId="0" applyFont="1" applyFill="1" applyBorder="1" applyProtection="1">
      <alignment vertical="center"/>
      <protection locked="0"/>
    </xf>
    <xf numFmtId="0" fontId="178" fillId="2" borderId="1" xfId="0" applyFont="1" applyFill="1" applyBorder="1" applyAlignment="1">
      <alignment horizontal="left" vertical="center" wrapText="1"/>
    </xf>
    <xf numFmtId="0" fontId="178" fillId="3" borderId="12" xfId="0" applyFont="1" applyFill="1" applyBorder="1" applyAlignment="1" applyProtection="1">
      <alignment horizontal="center" vertical="center" wrapText="1"/>
      <protection locked="0"/>
    </xf>
    <xf numFmtId="0" fontId="178" fillId="2" borderId="1" xfId="0" applyFont="1" applyFill="1" applyBorder="1">
      <alignment vertical="center"/>
    </xf>
    <xf numFmtId="0" fontId="178" fillId="3" borderId="1" xfId="0" applyFont="1" applyFill="1" applyBorder="1" applyAlignment="1" applyProtection="1">
      <alignment horizontal="center" vertical="center"/>
      <protection locked="0"/>
    </xf>
    <xf numFmtId="0" fontId="178" fillId="2" borderId="12" xfId="0" applyFont="1" applyFill="1" applyBorder="1">
      <alignment vertical="center"/>
    </xf>
    <xf numFmtId="0" fontId="178" fillId="2" borderId="9" xfId="0" applyFont="1" applyFill="1" applyBorder="1" applyAlignment="1">
      <alignment horizontal="left" vertical="center"/>
    </xf>
    <xf numFmtId="49" fontId="178" fillId="2" borderId="1" xfId="0" applyNumberFormat="1" applyFont="1" applyFill="1" applyBorder="1" applyAlignment="1">
      <alignment horizontal="center" vertical="center" wrapText="1"/>
    </xf>
    <xf numFmtId="0" fontId="178" fillId="2" borderId="1" xfId="0" applyFont="1" applyFill="1" applyBorder="1" applyAlignment="1">
      <alignment horizontal="center" vertical="center" wrapText="1"/>
    </xf>
    <xf numFmtId="49" fontId="178" fillId="25" borderId="9" xfId="0" applyNumberFormat="1" applyFont="1" applyFill="1" applyBorder="1" applyAlignment="1">
      <alignment horizontal="left" vertical="center" wrapText="1"/>
    </xf>
    <xf numFmtId="0" fontId="178" fillId="3" borderId="9" xfId="0" applyFont="1" applyFill="1" applyBorder="1" applyAlignment="1" applyProtection="1">
      <alignment horizontal="center" vertical="center" wrapText="1"/>
      <protection locked="0"/>
    </xf>
    <xf numFmtId="0" fontId="178" fillId="3" borderId="1" xfId="0" applyFont="1" applyFill="1" applyBorder="1" applyAlignment="1" applyProtection="1">
      <alignment vertical="center" wrapText="1"/>
      <protection locked="0"/>
    </xf>
    <xf numFmtId="0" fontId="178" fillId="2" borderId="35" xfId="0" applyFont="1" applyFill="1" applyBorder="1" applyAlignment="1">
      <alignment horizontal="left" vertical="center"/>
    </xf>
    <xf numFmtId="0" fontId="178" fillId="5" borderId="35" xfId="0" applyFont="1" applyFill="1" applyBorder="1" applyAlignment="1">
      <alignment horizontal="left" vertical="center" wrapText="1"/>
    </xf>
    <xf numFmtId="0" fontId="178" fillId="25" borderId="89" xfId="0" applyFont="1" applyFill="1" applyBorder="1" applyAlignment="1">
      <alignment vertical="center" wrapText="1"/>
    </xf>
    <xf numFmtId="182" fontId="68" fillId="0" borderId="1" xfId="0" applyNumberFormat="1" applyFont="1" applyBorder="1" applyAlignment="1" applyProtection="1">
      <alignment horizontal="center" vertical="center" shrinkToFit="1"/>
      <protection locked="0"/>
    </xf>
    <xf numFmtId="176" fontId="178" fillId="3" borderId="1" xfId="51" applyNumberFormat="1" applyFont="1" applyFill="1" applyBorder="1" applyAlignment="1" applyProtection="1">
      <alignment horizontal="center" vertical="center"/>
      <protection locked="0"/>
    </xf>
    <xf numFmtId="176" fontId="178" fillId="13" borderId="1" xfId="51" applyNumberFormat="1" applyFont="1" applyFill="1" applyBorder="1" applyAlignment="1" applyProtection="1">
      <alignment horizontal="center" vertical="center"/>
      <protection locked="0"/>
    </xf>
    <xf numFmtId="178" fontId="178" fillId="2" borderId="9" xfId="0" applyNumberFormat="1" applyFont="1" applyFill="1" applyBorder="1" applyAlignment="1">
      <alignment horizontal="center" vertical="center" wrapText="1"/>
    </xf>
    <xf numFmtId="178" fontId="178" fillId="2" borderId="1" xfId="0" applyNumberFormat="1" applyFont="1" applyFill="1" applyBorder="1" applyAlignment="1">
      <alignment horizontal="center" vertical="center" wrapText="1"/>
    </xf>
    <xf numFmtId="0" fontId="178" fillId="2" borderId="10" xfId="0" applyFont="1" applyFill="1" applyBorder="1" applyAlignment="1">
      <alignment horizontal="right" vertical="center" wrapText="1"/>
    </xf>
    <xf numFmtId="0" fontId="178" fillId="2" borderId="12" xfId="0" applyFont="1" applyFill="1" applyBorder="1" applyAlignment="1">
      <alignment horizontal="right" vertical="center" wrapText="1"/>
    </xf>
    <xf numFmtId="0" fontId="178" fillId="2" borderId="11" xfId="0" applyFont="1" applyFill="1" applyBorder="1" applyAlignment="1">
      <alignment horizontal="right" vertical="center"/>
    </xf>
    <xf numFmtId="178" fontId="178" fillId="6" borderId="10" xfId="0" applyNumberFormat="1" applyFont="1" applyFill="1" applyBorder="1" applyAlignment="1" applyProtection="1">
      <alignment horizontal="center" vertical="center" wrapText="1"/>
      <protection locked="0"/>
    </xf>
    <xf numFmtId="178" fontId="178" fillId="6" borderId="12" xfId="0" applyNumberFormat="1" applyFont="1" applyFill="1" applyBorder="1" applyAlignment="1" applyProtection="1">
      <alignment horizontal="center" vertical="center" wrapText="1"/>
      <protection locked="0"/>
    </xf>
    <xf numFmtId="0" fontId="178" fillId="2" borderId="3" xfId="0" applyFont="1" applyFill="1" applyBorder="1" applyAlignment="1">
      <alignment horizontal="left" vertical="center"/>
    </xf>
    <xf numFmtId="0" fontId="178" fillId="2" borderId="3" xfId="0" applyFont="1" applyFill="1" applyBorder="1" applyAlignment="1">
      <alignment horizontal="center" vertical="center" wrapText="1"/>
    </xf>
    <xf numFmtId="0" fontId="178" fillId="2" borderId="3" xfId="0" applyFont="1" applyFill="1" applyBorder="1" applyAlignment="1">
      <alignment horizontal="left" vertical="center" wrapText="1"/>
    </xf>
    <xf numFmtId="49" fontId="179" fillId="6" borderId="10" xfId="0" applyNumberFormat="1" applyFont="1" applyFill="1" applyBorder="1" applyAlignment="1" applyProtection="1">
      <alignment horizontal="left" vertical="center"/>
      <protection locked="0"/>
    </xf>
    <xf numFmtId="49" fontId="179" fillId="6" borderId="12" xfId="0" applyNumberFormat="1" applyFont="1" applyFill="1" applyBorder="1" applyAlignment="1" applyProtection="1">
      <alignment horizontal="left" vertical="center"/>
      <protection locked="0"/>
    </xf>
    <xf numFmtId="0" fontId="149" fillId="3" borderId="3" xfId="0" applyFont="1" applyFill="1" applyBorder="1" applyAlignment="1" applyProtection="1">
      <alignment horizontal="left" vertical="center" wrapText="1"/>
      <protection locked="0"/>
    </xf>
    <xf numFmtId="0" fontId="178" fillId="2" borderId="9" xfId="0" applyFont="1" applyFill="1" applyBorder="1" applyAlignment="1">
      <alignment horizontal="left" vertical="center" wrapText="1"/>
    </xf>
    <xf numFmtId="0" fontId="178" fillId="2" borderId="35" xfId="0" applyFont="1" applyFill="1" applyBorder="1">
      <alignment vertical="center"/>
    </xf>
    <xf numFmtId="0" fontId="178" fillId="3" borderId="35" xfId="0" applyFont="1" applyFill="1" applyBorder="1" applyAlignment="1" applyProtection="1">
      <alignment horizontal="center" vertical="center" wrapText="1"/>
      <protection locked="0"/>
    </xf>
    <xf numFmtId="0" fontId="178" fillId="2" borderId="80" xfId="0" applyFont="1" applyFill="1" applyBorder="1" applyAlignment="1">
      <alignment horizontal="center" vertical="center" wrapText="1"/>
    </xf>
    <xf numFmtId="0" fontId="178" fillId="3" borderId="80" xfId="0" applyFont="1" applyFill="1" applyBorder="1" applyAlignment="1" applyProtection="1">
      <alignment horizontal="center" vertical="center" wrapText="1"/>
      <protection locked="0"/>
    </xf>
    <xf numFmtId="0" fontId="180" fillId="2" borderId="80" xfId="0" applyFont="1" applyFill="1" applyBorder="1" applyAlignment="1">
      <alignment vertical="center" wrapText="1"/>
    </xf>
    <xf numFmtId="0" fontId="178" fillId="3" borderId="86" xfId="0" applyFont="1" applyFill="1" applyBorder="1" applyAlignment="1" applyProtection="1">
      <alignment horizontal="center" vertical="center" wrapText="1"/>
      <protection locked="0"/>
    </xf>
    <xf numFmtId="0" fontId="178" fillId="2" borderId="9" xfId="0" applyFont="1" applyFill="1" applyBorder="1" applyAlignment="1">
      <alignment horizontal="right" vertical="center" wrapText="1"/>
    </xf>
    <xf numFmtId="0" fontId="178" fillId="2" borderId="56" xfId="0" applyFont="1" applyFill="1" applyBorder="1" applyAlignment="1">
      <alignment horizontal="center" vertical="center"/>
    </xf>
    <xf numFmtId="0" fontId="178" fillId="2" borderId="13" xfId="0" applyFont="1" applyFill="1" applyBorder="1" applyAlignment="1">
      <alignment horizontal="center" vertical="center"/>
    </xf>
    <xf numFmtId="0" fontId="178" fillId="2" borderId="59" xfId="0" applyFont="1" applyFill="1" applyBorder="1" applyAlignment="1">
      <alignment horizontal="center" vertical="center"/>
    </xf>
    <xf numFmtId="0" fontId="178" fillId="2" borderId="78" xfId="0" applyFont="1" applyFill="1" applyBorder="1" applyAlignment="1">
      <alignment horizontal="center" vertical="center"/>
    </xf>
    <xf numFmtId="0" fontId="178" fillId="2" borderId="91" xfId="0" applyFont="1" applyFill="1" applyBorder="1">
      <alignment vertical="center"/>
    </xf>
    <xf numFmtId="0" fontId="178" fillId="2" borderId="35" xfId="0" applyFont="1" applyFill="1" applyBorder="1" applyAlignment="1">
      <alignment horizontal="right" vertical="center" wrapText="1"/>
    </xf>
    <xf numFmtId="0" fontId="178" fillId="3" borderId="11" xfId="0" applyFont="1" applyFill="1" applyBorder="1" applyAlignment="1" applyProtection="1">
      <alignment horizontal="center" vertical="center" wrapText="1"/>
      <protection locked="0"/>
    </xf>
    <xf numFmtId="0" fontId="178" fillId="3" borderId="14" xfId="0" applyFont="1" applyFill="1" applyBorder="1" applyAlignment="1" applyProtection="1">
      <alignment horizontal="center" vertical="center" wrapText="1"/>
      <protection locked="0"/>
    </xf>
    <xf numFmtId="0" fontId="179" fillId="0" borderId="6" xfId="0" applyFont="1" applyBorder="1" applyAlignment="1" applyProtection="1">
      <alignment vertical="center" wrapText="1"/>
      <protection locked="0"/>
    </xf>
    <xf numFmtId="0" fontId="178" fillId="3" borderId="10" xfId="0" applyFont="1" applyFill="1" applyBorder="1" applyAlignment="1" applyProtection="1">
      <alignment horizontal="center" vertical="center" wrapText="1"/>
      <protection locked="0"/>
    </xf>
    <xf numFmtId="0" fontId="178" fillId="0" borderId="152" xfId="0" applyFont="1" applyBorder="1" applyAlignment="1" applyProtection="1">
      <alignment vertical="center" wrapText="1"/>
      <protection locked="0"/>
    </xf>
    <xf numFmtId="0" fontId="178" fillId="2" borderId="3" xfId="0" applyFont="1" applyFill="1" applyBorder="1" applyAlignment="1">
      <alignment horizontal="right" vertical="center" wrapText="1"/>
    </xf>
    <xf numFmtId="0" fontId="178" fillId="3" borderId="11" xfId="0" applyFont="1" applyFill="1" applyBorder="1" applyAlignment="1" applyProtection="1">
      <alignment horizontal="center" vertical="center" wrapText="1" shrinkToFit="1"/>
      <protection locked="0"/>
    </xf>
    <xf numFmtId="0" fontId="178" fillId="9" borderId="48" xfId="0" applyFont="1" applyFill="1" applyBorder="1" applyAlignment="1" applyProtection="1">
      <alignment vertical="center" wrapText="1"/>
      <protection locked="0"/>
    </xf>
    <xf numFmtId="0" fontId="178" fillId="2" borderId="22" xfId="0" applyFont="1" applyFill="1" applyBorder="1" applyAlignment="1">
      <alignment horizontal="right" vertical="center" wrapText="1"/>
    </xf>
    <xf numFmtId="0" fontId="178" fillId="2" borderId="11" xfId="0" applyFont="1" applyFill="1" applyBorder="1" applyAlignment="1">
      <alignment horizontal="right" vertical="center" wrapText="1"/>
    </xf>
    <xf numFmtId="182" fontId="179" fillId="0" borderId="14" xfId="0" applyNumberFormat="1" applyFont="1" applyBorder="1" applyAlignment="1" applyProtection="1">
      <alignment horizontal="left" vertical="center" shrinkToFit="1"/>
      <protection locked="0"/>
    </xf>
    <xf numFmtId="0" fontId="178" fillId="2" borderId="4" xfId="0" applyFont="1" applyFill="1" applyBorder="1" applyAlignment="1">
      <alignment horizontal="right" vertical="center" wrapText="1"/>
    </xf>
    <xf numFmtId="182" fontId="179" fillId="0" borderId="44" xfId="0" applyNumberFormat="1" applyFont="1" applyBorder="1" applyAlignment="1" applyProtection="1">
      <alignment horizontal="left" vertical="center" shrinkToFit="1"/>
      <protection locked="0"/>
    </xf>
    <xf numFmtId="0" fontId="178" fillId="2" borderId="68" xfId="0" applyFont="1" applyFill="1" applyBorder="1" applyAlignment="1">
      <alignment horizontal="left" vertical="center" wrapText="1"/>
    </xf>
    <xf numFmtId="0" fontId="179" fillId="0" borderId="14" xfId="0" applyFont="1" applyBorder="1" applyAlignment="1" applyProtection="1">
      <alignment horizontal="left" vertical="center" wrapText="1"/>
      <protection locked="0"/>
    </xf>
    <xf numFmtId="0" fontId="178" fillId="2" borderId="6" xfId="0" applyFont="1" applyFill="1" applyBorder="1" applyAlignment="1">
      <alignment horizontal="right" vertical="center" wrapText="1"/>
    </xf>
    <xf numFmtId="0" fontId="179" fillId="0" borderId="46" xfId="0" applyFont="1" applyBorder="1" applyAlignment="1" applyProtection="1">
      <alignment horizontal="left" vertical="center" wrapText="1"/>
      <protection locked="0"/>
    </xf>
    <xf numFmtId="0" fontId="178" fillId="2" borderId="153" xfId="0" applyFont="1" applyFill="1" applyBorder="1" applyAlignment="1">
      <alignment horizontal="left" vertical="center" wrapText="1"/>
    </xf>
    <xf numFmtId="0" fontId="178" fillId="2" borderId="93" xfId="0" applyFont="1" applyFill="1" applyBorder="1" applyAlignment="1">
      <alignment horizontal="right" vertical="center" wrapText="1"/>
    </xf>
    <xf numFmtId="0" fontId="179" fillId="0" borderId="87" xfId="0" applyFont="1" applyBorder="1" applyAlignment="1" applyProtection="1">
      <alignment horizontal="left" vertical="center" wrapText="1"/>
      <protection locked="0"/>
    </xf>
    <xf numFmtId="0" fontId="178" fillId="2" borderId="153" xfId="0" applyFont="1" applyFill="1" applyBorder="1" applyAlignment="1">
      <alignment horizontal="right" vertical="center" wrapText="1"/>
    </xf>
    <xf numFmtId="0" fontId="179" fillId="0" borderId="95" xfId="0" applyFont="1" applyBorder="1" applyAlignment="1" applyProtection="1">
      <alignment horizontal="left" vertical="center" wrapText="1"/>
      <protection locked="0"/>
    </xf>
    <xf numFmtId="0" fontId="178" fillId="9" borderId="154" xfId="0" applyFont="1" applyFill="1" applyBorder="1" applyAlignment="1" applyProtection="1">
      <alignment vertical="center" wrapText="1"/>
      <protection locked="0"/>
    </xf>
    <xf numFmtId="0" fontId="178" fillId="5" borderId="34" xfId="0" applyFont="1" applyFill="1" applyBorder="1" applyAlignment="1" applyProtection="1">
      <alignment horizontal="left" vertical="center" wrapText="1"/>
      <protection locked="0"/>
    </xf>
    <xf numFmtId="0" fontId="178" fillId="0" borderId="3" xfId="0" applyFont="1" applyBorder="1" applyAlignment="1" applyProtection="1">
      <alignment horizontal="left" vertical="center" wrapText="1"/>
      <protection locked="0"/>
    </xf>
    <xf numFmtId="0" fontId="178" fillId="5" borderId="10" xfId="0" applyFont="1" applyFill="1" applyBorder="1" applyProtection="1">
      <alignment vertical="center"/>
      <protection locked="0"/>
    </xf>
    <xf numFmtId="0" fontId="178" fillId="5" borderId="11" xfId="0" applyFont="1" applyFill="1" applyBorder="1">
      <alignment vertical="center"/>
    </xf>
    <xf numFmtId="0" fontId="178" fillId="0" borderId="10" xfId="0" applyFont="1" applyBorder="1" applyAlignment="1" applyProtection="1">
      <alignment horizontal="left" vertical="center" wrapText="1"/>
      <protection locked="0"/>
    </xf>
    <xf numFmtId="0" fontId="178" fillId="0" borderId="58" xfId="0" applyFont="1" applyBorder="1" applyAlignment="1" applyProtection="1">
      <alignment horizontal="left" vertical="center" wrapText="1"/>
      <protection locked="0"/>
    </xf>
    <xf numFmtId="0" fontId="178" fillId="2" borderId="10" xfId="0" applyFont="1" applyFill="1" applyBorder="1" applyAlignment="1">
      <alignment horizontal="left" vertical="center" wrapText="1"/>
    </xf>
    <xf numFmtId="0" fontId="178" fillId="6" borderId="10" xfId="0" applyFont="1" applyFill="1" applyBorder="1" applyAlignment="1" applyProtection="1">
      <alignment horizontal="left" vertical="center" wrapText="1"/>
      <protection locked="0"/>
    </xf>
    <xf numFmtId="0" fontId="178" fillId="6" borderId="12" xfId="0" applyFont="1" applyFill="1" applyBorder="1" applyAlignment="1" applyProtection="1">
      <alignment horizontal="left" vertical="center" wrapText="1"/>
      <protection locked="0"/>
    </xf>
    <xf numFmtId="0" fontId="178" fillId="2" borderId="11" xfId="0" applyFont="1" applyFill="1" applyBorder="1" applyAlignment="1">
      <alignment horizontal="left" vertical="center" wrapText="1"/>
    </xf>
    <xf numFmtId="0" fontId="178" fillId="3" borderId="1" xfId="0" applyFont="1" applyFill="1" applyBorder="1" applyAlignment="1" applyProtection="1">
      <alignment horizontal="center" vertical="center" wrapText="1"/>
      <protection locked="0"/>
    </xf>
    <xf numFmtId="0" fontId="178" fillId="6" borderId="1" xfId="0" applyFont="1" applyFill="1" applyBorder="1" applyAlignment="1" applyProtection="1">
      <alignment vertical="center" wrapText="1"/>
      <protection locked="0"/>
    </xf>
    <xf numFmtId="0" fontId="178" fillId="0" borderId="1" xfId="0" applyFont="1" applyBorder="1" applyAlignment="1" applyProtection="1">
      <alignment vertical="center" wrapText="1"/>
      <protection locked="0"/>
    </xf>
    <xf numFmtId="0" fontId="178" fillId="2" borderId="10" xfId="0" applyFont="1" applyFill="1" applyBorder="1" applyAlignment="1">
      <alignment vertical="center" wrapText="1"/>
    </xf>
    <xf numFmtId="14" fontId="178" fillId="0" borderId="34" xfId="0" applyNumberFormat="1" applyFont="1" applyBorder="1" applyAlignment="1" applyProtection="1">
      <alignment vertical="center" wrapText="1"/>
      <protection locked="0"/>
    </xf>
    <xf numFmtId="0" fontId="178" fillId="2" borderId="81" xfId="0" applyFont="1" applyFill="1" applyBorder="1" applyAlignment="1">
      <alignment vertical="center" wrapText="1"/>
    </xf>
    <xf numFmtId="0" fontId="178" fillId="2" borderId="35" xfId="0" applyFont="1" applyFill="1" applyBorder="1" applyAlignment="1">
      <alignment horizontal="left" vertical="center" wrapText="1"/>
    </xf>
    <xf numFmtId="186" fontId="178" fillId="2" borderId="0" xfId="0" applyNumberFormat="1" applyFont="1" applyFill="1" applyAlignment="1">
      <alignment vertical="center" wrapText="1"/>
    </xf>
    <xf numFmtId="0" fontId="178" fillId="2" borderId="74" xfId="0" applyFont="1" applyFill="1" applyBorder="1">
      <alignment vertical="center"/>
    </xf>
    <xf numFmtId="0" fontId="178" fillId="2" borderId="34" xfId="0" applyFont="1" applyFill="1" applyBorder="1" applyAlignment="1">
      <alignment horizontal="left" vertical="center" wrapText="1"/>
    </xf>
    <xf numFmtId="0" fontId="178" fillId="2" borderId="10" xfId="0" applyFont="1" applyFill="1" applyBorder="1">
      <alignment vertical="center"/>
    </xf>
    <xf numFmtId="0" fontId="178" fillId="2" borderId="11" xfId="0" applyFont="1" applyFill="1" applyBorder="1" applyAlignment="1">
      <alignment vertical="center" wrapText="1"/>
    </xf>
    <xf numFmtId="0" fontId="102" fillId="3" borderId="1" xfId="0" applyFont="1" applyFill="1" applyBorder="1" applyAlignment="1" applyProtection="1">
      <alignment horizontal="center" vertical="center" wrapText="1"/>
      <protection locked="0"/>
    </xf>
    <xf numFmtId="0" fontId="178" fillId="2" borderId="11" xfId="0" applyFont="1" applyFill="1" applyBorder="1" applyAlignment="1">
      <alignment horizontal="center" vertical="center" wrapText="1"/>
    </xf>
    <xf numFmtId="0" fontId="178" fillId="2" borderId="35" xfId="0" applyFont="1" applyFill="1" applyBorder="1" applyAlignment="1">
      <alignment vertical="center" wrapText="1"/>
    </xf>
    <xf numFmtId="0" fontId="178" fillId="0" borderId="1" xfId="0" applyFont="1" applyBorder="1" applyAlignment="1" applyProtection="1">
      <alignment horizontal="center" vertical="center" wrapText="1"/>
      <protection locked="0"/>
    </xf>
    <xf numFmtId="0" fontId="178" fillId="26" borderId="3" xfId="0" applyFont="1" applyFill="1" applyBorder="1" applyAlignment="1">
      <alignment vertical="center" wrapText="1"/>
    </xf>
    <xf numFmtId="49" fontId="178" fillId="3" borderId="1" xfId="0" applyNumberFormat="1" applyFont="1" applyFill="1" applyBorder="1" applyAlignment="1" applyProtection="1">
      <alignment horizontal="center" vertical="center" wrapText="1"/>
      <protection locked="0"/>
    </xf>
    <xf numFmtId="49" fontId="178" fillId="0" borderId="1" xfId="0" applyNumberFormat="1" applyFont="1" applyBorder="1" applyAlignment="1" applyProtection="1">
      <alignment horizontal="center" vertical="center" wrapText="1"/>
      <protection locked="0"/>
    </xf>
    <xf numFmtId="0" fontId="126" fillId="2" borderId="150" xfId="0" applyFont="1" applyFill="1" applyBorder="1">
      <alignment vertical="center"/>
    </xf>
    <xf numFmtId="0" fontId="178" fillId="2" borderId="150" xfId="0" applyFont="1" applyFill="1" applyBorder="1" applyAlignment="1">
      <alignment vertical="center" wrapText="1"/>
    </xf>
    <xf numFmtId="0" fontId="178" fillId="2" borderId="150" xfId="0" applyFont="1" applyFill="1" applyBorder="1" applyAlignment="1" applyProtection="1">
      <alignment vertical="center" wrapText="1"/>
      <protection locked="0"/>
    </xf>
    <xf numFmtId="0" fontId="181" fillId="2" borderId="10" xfId="0" applyFont="1" applyFill="1" applyBorder="1">
      <alignment vertical="center"/>
    </xf>
    <xf numFmtId="0" fontId="178" fillId="2" borderId="12" xfId="0" applyFont="1" applyFill="1" applyBorder="1" applyAlignment="1">
      <alignment vertical="center" wrapText="1"/>
    </xf>
    <xf numFmtId="0" fontId="178" fillId="0" borderId="1" xfId="0" applyFont="1" applyBorder="1" applyAlignment="1">
      <alignment vertical="center" wrapText="1"/>
    </xf>
    <xf numFmtId="0" fontId="178" fillId="0" borderId="1" xfId="0" applyFont="1" applyBorder="1" applyAlignment="1">
      <alignment horizontal="center" vertical="center" wrapText="1"/>
    </xf>
    <xf numFmtId="0" fontId="178" fillId="2" borderId="100" xfId="0" applyFont="1" applyFill="1" applyBorder="1" applyAlignment="1">
      <alignment vertical="center" wrapText="1"/>
    </xf>
    <xf numFmtId="0" fontId="178" fillId="2" borderId="20" xfId="0" applyFont="1" applyFill="1" applyBorder="1" applyAlignment="1">
      <alignment horizontal="left" vertical="center"/>
    </xf>
    <xf numFmtId="49" fontId="178" fillId="2" borderId="0" xfId="0" applyNumberFormat="1" applyFont="1" applyFill="1" applyAlignment="1" applyProtection="1">
      <alignment horizontal="center" vertical="center" wrapText="1"/>
      <protection locked="0"/>
    </xf>
    <xf numFmtId="0" fontId="178" fillId="2" borderId="0" xfId="0" applyFont="1" applyFill="1" applyAlignment="1" applyProtection="1">
      <alignment horizontal="center" vertical="center" wrapText="1"/>
      <protection locked="0"/>
    </xf>
    <xf numFmtId="0" fontId="178" fillId="9" borderId="0" xfId="0" applyFont="1" applyFill="1" applyAlignment="1" applyProtection="1">
      <alignment horizontal="center" vertical="center" wrapText="1"/>
      <protection locked="0"/>
    </xf>
    <xf numFmtId="49" fontId="178" fillId="2" borderId="20" xfId="0" applyNumberFormat="1" applyFont="1" applyFill="1" applyBorder="1" applyAlignment="1" applyProtection="1">
      <alignment horizontal="center" vertical="center" wrapText="1"/>
      <protection locked="0"/>
    </xf>
    <xf numFmtId="0" fontId="178" fillId="2" borderId="20" xfId="0" applyFont="1" applyFill="1" applyBorder="1" applyAlignment="1" applyProtection="1">
      <alignment horizontal="center" vertical="center" wrapText="1"/>
      <protection locked="0"/>
    </xf>
    <xf numFmtId="0" fontId="178" fillId="9" borderId="2" xfId="0" applyFont="1" applyFill="1" applyBorder="1" applyAlignment="1" applyProtection="1">
      <alignment horizontal="center" vertical="center" wrapText="1"/>
      <protection locked="0"/>
    </xf>
    <xf numFmtId="0" fontId="179" fillId="6" borderId="11" xfId="0" applyFont="1" applyFill="1" applyBorder="1" applyProtection="1">
      <alignment vertical="center"/>
      <protection locked="0"/>
    </xf>
    <xf numFmtId="0" fontId="178" fillId="2" borderId="11" xfId="0" applyFont="1" applyFill="1" applyBorder="1">
      <alignment vertical="center"/>
    </xf>
    <xf numFmtId="0" fontId="178" fillId="2" borderId="20" xfId="0" applyFont="1" applyFill="1" applyBorder="1" applyAlignment="1" applyProtection="1">
      <alignment horizontal="left" vertical="center"/>
      <protection locked="0"/>
    </xf>
    <xf numFmtId="178" fontId="178" fillId="6" borderId="11" xfId="0" applyNumberFormat="1" applyFont="1" applyFill="1" applyBorder="1" applyAlignment="1" applyProtection="1">
      <alignment horizontal="center" vertical="center" wrapText="1"/>
      <protection locked="0"/>
    </xf>
    <xf numFmtId="49" fontId="179" fillId="6" borderId="11" xfId="0" applyNumberFormat="1" applyFont="1" applyFill="1" applyBorder="1" applyAlignment="1" applyProtection="1">
      <alignment horizontal="left" vertical="center"/>
      <protection locked="0"/>
    </xf>
    <xf numFmtId="0" fontId="178" fillId="2" borderId="20" xfId="0" applyFont="1" applyFill="1" applyBorder="1" applyAlignment="1">
      <alignment horizontal="center" vertical="center" wrapText="1"/>
    </xf>
    <xf numFmtId="0" fontId="178" fillId="2" borderId="0" xfId="0" applyFont="1" applyFill="1">
      <alignment vertical="center"/>
    </xf>
    <xf numFmtId="49" fontId="178" fillId="2" borderId="0" xfId="0" applyNumberFormat="1" applyFont="1" applyFill="1" applyAlignment="1">
      <alignment horizontal="center" vertical="center" wrapText="1"/>
    </xf>
    <xf numFmtId="0" fontId="178" fillId="2" borderId="20" xfId="0" applyFont="1" applyFill="1" applyBorder="1" applyAlignment="1" applyProtection="1">
      <alignment vertical="center" wrapText="1"/>
      <protection locked="0"/>
    </xf>
    <xf numFmtId="0" fontId="178" fillId="6" borderId="11" xfId="0" applyFont="1" applyFill="1" applyBorder="1" applyAlignment="1" applyProtection="1">
      <alignment horizontal="left" vertical="center" wrapText="1"/>
      <protection locked="0"/>
    </xf>
    <xf numFmtId="49" fontId="178" fillId="2" borderId="20" xfId="0" applyNumberFormat="1" applyFont="1" applyFill="1" applyBorder="1" applyAlignment="1" applyProtection="1">
      <alignment horizontal="left" vertical="center"/>
      <protection locked="0"/>
    </xf>
    <xf numFmtId="0" fontId="178" fillId="0" borderId="1" xfId="0" applyFont="1" applyBorder="1">
      <alignment vertical="center"/>
    </xf>
    <xf numFmtId="0" fontId="178" fillId="2" borderId="150" xfId="0" applyFont="1" applyFill="1" applyBorder="1" applyAlignment="1" applyProtection="1">
      <alignment horizontal="center" vertical="center" wrapText="1"/>
      <protection locked="0"/>
    </xf>
    <xf numFmtId="0" fontId="178" fillId="9" borderId="150" xfId="0" applyFont="1" applyFill="1" applyBorder="1" applyAlignment="1" applyProtection="1">
      <alignment vertical="center" wrapText="1"/>
      <protection locked="0"/>
    </xf>
    <xf numFmtId="49" fontId="178" fillId="2" borderId="155" xfId="0" applyNumberFormat="1" applyFont="1" applyFill="1" applyBorder="1" applyAlignment="1" applyProtection="1">
      <alignment horizontal="center" vertical="center" wrapText="1"/>
      <protection locked="0"/>
    </xf>
    <xf numFmtId="49" fontId="178" fillId="2" borderId="150" xfId="0" applyNumberFormat="1" applyFont="1" applyFill="1" applyBorder="1" applyAlignment="1" applyProtection="1">
      <alignment horizontal="center" vertical="center" wrapText="1"/>
      <protection locked="0"/>
    </xf>
    <xf numFmtId="0" fontId="178" fillId="2" borderId="0" xfId="0" applyFont="1" applyFill="1" applyAlignment="1">
      <alignment horizontal="center" vertical="center" wrapText="1"/>
    </xf>
    <xf numFmtId="49" fontId="178" fillId="2" borderId="10" xfId="0" applyNumberFormat="1" applyFont="1" applyFill="1" applyBorder="1" applyAlignment="1">
      <alignment horizontal="center" vertical="center" wrapText="1"/>
    </xf>
    <xf numFmtId="49" fontId="178" fillId="2" borderId="1" xfId="0" applyNumberFormat="1" applyFont="1" applyFill="1" applyBorder="1" applyAlignment="1" applyProtection="1">
      <alignment horizontal="center" vertical="center" wrapText="1"/>
      <protection locked="0"/>
    </xf>
    <xf numFmtId="0" fontId="178" fillId="2" borderId="1" xfId="0" applyFont="1" applyFill="1" applyBorder="1" applyAlignment="1" applyProtection="1">
      <alignment horizontal="center" vertical="center" wrapText="1"/>
      <protection locked="0"/>
    </xf>
    <xf numFmtId="0" fontId="178" fillId="0" borderId="10" xfId="0" applyFont="1" applyBorder="1" applyAlignment="1">
      <alignment horizontal="center" vertical="center" wrapText="1"/>
    </xf>
    <xf numFmtId="49" fontId="178" fillId="0" borderId="10" xfId="0" applyNumberFormat="1" applyFont="1" applyBorder="1" applyAlignment="1">
      <alignment vertical="center" wrapText="1"/>
    </xf>
    <xf numFmtId="194" fontId="178" fillId="2" borderId="1" xfId="0" applyNumberFormat="1" applyFont="1" applyFill="1" applyBorder="1" applyAlignment="1">
      <alignment vertical="center" wrapText="1"/>
    </xf>
    <xf numFmtId="0" fontId="178" fillId="0" borderId="150" xfId="0" applyFont="1" applyBorder="1" applyAlignment="1" applyProtection="1">
      <alignment vertical="center" wrapText="1"/>
      <protection locked="0"/>
    </xf>
    <xf numFmtId="0" fontId="178" fillId="2" borderId="1" xfId="0" applyFont="1" applyFill="1" applyBorder="1" applyAlignment="1" applyProtection="1">
      <alignment vertical="center" wrapText="1"/>
      <protection locked="0"/>
    </xf>
    <xf numFmtId="0" fontId="49" fillId="0" borderId="0" xfId="0" applyFont="1" applyAlignment="1">
      <alignment horizontal="center" vertical="center" wrapText="1"/>
    </xf>
    <xf numFmtId="0" fontId="49" fillId="0" borderId="0" xfId="0" applyFont="1" applyAlignment="1">
      <alignment horizontal="center" vertical="center"/>
    </xf>
    <xf numFmtId="0" fontId="49" fillId="2" borderId="0" xfId="0" applyFont="1" applyFill="1" applyAlignment="1">
      <alignment horizontal="center" vertical="center"/>
    </xf>
    <xf numFmtId="0" fontId="44" fillId="2" borderId="74" xfId="0" applyFont="1" applyFill="1" applyBorder="1" applyAlignment="1">
      <alignment horizontal="center" vertical="center" wrapText="1"/>
    </xf>
    <xf numFmtId="0" fontId="49" fillId="2" borderId="35" xfId="0" applyFont="1" applyFill="1" applyBorder="1" applyAlignment="1">
      <alignment horizontal="center" vertical="center" wrapText="1"/>
    </xf>
    <xf numFmtId="0" fontId="124" fillId="2" borderId="0" xfId="0" applyFont="1" applyFill="1" applyAlignment="1">
      <alignment horizontal="center" vertical="center" wrapText="1"/>
    </xf>
    <xf numFmtId="0" fontId="49" fillId="2" borderId="0" xfId="0" applyFont="1" applyFill="1" applyAlignment="1">
      <alignment horizontal="center" vertical="center" wrapText="1"/>
    </xf>
    <xf numFmtId="0" fontId="49" fillId="0" borderId="1" xfId="0" applyFont="1" applyBorder="1" applyAlignment="1" applyProtection="1">
      <alignment horizontal="center" vertical="center"/>
      <protection locked="0"/>
    </xf>
    <xf numFmtId="0" fontId="124" fillId="2" borderId="0" xfId="0" applyFont="1" applyFill="1" applyAlignment="1" applyProtection="1">
      <alignment horizontal="center" vertical="center"/>
      <protection locked="0"/>
    </xf>
    <xf numFmtId="0" fontId="49" fillId="0" borderId="0" xfId="0" applyFont="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2" borderId="0" xfId="0" applyFont="1" applyFill="1" applyAlignment="1" applyProtection="1">
      <alignment horizontal="center" vertical="center"/>
      <protection locked="0"/>
    </xf>
    <xf numFmtId="0" fontId="49" fillId="2" borderId="0" xfId="0" applyFont="1" applyFill="1" applyAlignment="1" applyProtection="1">
      <alignment horizontal="center" vertical="center"/>
      <protection locked="0"/>
    </xf>
    <xf numFmtId="0" fontId="124" fillId="0" borderId="1" xfId="0" applyFont="1" applyBorder="1" applyAlignment="1" applyProtection="1">
      <alignment horizontal="center" vertical="center"/>
      <protection locked="0"/>
    </xf>
    <xf numFmtId="0" fontId="122" fillId="2" borderId="0" xfId="0" applyFont="1" applyFill="1" applyAlignment="1">
      <alignment horizontal="left" vertical="center"/>
    </xf>
    <xf numFmtId="0" fontId="122" fillId="2" borderId="0" xfId="0" applyFont="1" applyFill="1">
      <alignment vertical="center"/>
    </xf>
    <xf numFmtId="0" fontId="122" fillId="2" borderId="0" xfId="0" applyFont="1" applyFill="1" applyAlignment="1">
      <alignment horizontal="center" vertical="center"/>
    </xf>
    <xf numFmtId="0" fontId="122" fillId="2" borderId="0" xfId="0" applyFont="1" applyFill="1" applyAlignment="1">
      <alignment horizontal="center" vertical="center" wrapText="1"/>
    </xf>
    <xf numFmtId="0" fontId="124" fillId="0" borderId="0" xfId="0" applyFont="1" applyAlignment="1">
      <alignment horizontal="center" vertical="center"/>
    </xf>
    <xf numFmtId="0" fontId="101" fillId="2" borderId="0" xfId="0" applyFont="1" applyFill="1" applyAlignment="1">
      <alignment horizontal="center" vertical="center"/>
    </xf>
    <xf numFmtId="0" fontId="44" fillId="2" borderId="0" xfId="0" applyFont="1" applyFill="1" applyAlignment="1">
      <alignment horizontal="center" vertical="center" wrapText="1"/>
    </xf>
    <xf numFmtId="0" fontId="101" fillId="2" borderId="0" xfId="0" applyFont="1" applyFill="1" applyAlignment="1">
      <alignment horizontal="center" vertical="center" wrapText="1"/>
    </xf>
    <xf numFmtId="0" fontId="83" fillId="2" borderId="0" xfId="0" applyFont="1" applyFill="1" applyAlignment="1">
      <alignment horizontal="center" vertical="center" wrapText="1"/>
    </xf>
    <xf numFmtId="0" fontId="55" fillId="0" borderId="0" xfId="58" applyFont="1" applyAlignment="1">
      <alignment horizontal="left" vertical="center"/>
    </xf>
    <xf numFmtId="0" fontId="1" fillId="0" borderId="0" xfId="58" applyFont="1" applyAlignment="1">
      <alignment horizontal="left" vertical="center"/>
    </xf>
    <xf numFmtId="0" fontId="175" fillId="0" borderId="0" xfId="58" applyFont="1" applyAlignment="1">
      <alignment horizontal="left" vertical="center"/>
    </xf>
    <xf numFmtId="0" fontId="115" fillId="0" borderId="0" xfId="58" applyFont="1" applyAlignment="1">
      <alignment horizontal="left" vertical="center"/>
    </xf>
    <xf numFmtId="14" fontId="115" fillId="0" borderId="0" xfId="58" applyNumberFormat="1" applyFont="1" applyAlignment="1">
      <alignment horizontal="left" vertical="center"/>
    </xf>
    <xf numFmtId="0" fontId="182" fillId="0" borderId="0" xfId="58" applyFont="1" applyAlignment="1">
      <alignment horizontal="left" vertical="center"/>
    </xf>
    <xf numFmtId="0" fontId="183" fillId="3" borderId="9" xfId="58" applyFont="1" applyFill="1" applyBorder="1" applyAlignment="1">
      <alignment horizontal="left" vertical="center"/>
    </xf>
    <xf numFmtId="0" fontId="184" fillId="0" borderId="1" xfId="58" applyFont="1" applyBorder="1" applyAlignment="1">
      <alignment horizontal="left" vertical="center"/>
    </xf>
    <xf numFmtId="0" fontId="184" fillId="0" borderId="10" xfId="58" applyFont="1" applyBorder="1" applyAlignment="1">
      <alignment horizontal="left" vertical="center"/>
    </xf>
    <xf numFmtId="0" fontId="183" fillId="3" borderId="156" xfId="58" applyFont="1" applyFill="1" applyBorder="1" applyAlignment="1">
      <alignment horizontal="left" vertical="center"/>
    </xf>
    <xf numFmtId="193" fontId="184" fillId="0" borderId="10" xfId="58" applyNumberFormat="1" applyFont="1" applyBorder="1" applyAlignment="1">
      <alignment horizontal="left" vertical="center"/>
    </xf>
    <xf numFmtId="0" fontId="184" fillId="0" borderId="157" xfId="58" applyFont="1" applyBorder="1" applyAlignment="1">
      <alignment horizontal="left" vertical="center"/>
    </xf>
    <xf numFmtId="182" fontId="184" fillId="0" borderId="1" xfId="58" applyNumberFormat="1" applyFont="1" applyBorder="1" applyAlignment="1">
      <alignment horizontal="left" vertical="center"/>
    </xf>
    <xf numFmtId="0" fontId="184" fillId="0" borderId="9" xfId="58" applyFont="1" applyBorder="1" applyAlignment="1">
      <alignment horizontal="left" vertical="center"/>
    </xf>
    <xf numFmtId="193" fontId="184" fillId="0" borderId="157" xfId="58" applyNumberFormat="1" applyFont="1" applyBorder="1" applyAlignment="1">
      <alignment horizontal="left" vertical="center"/>
    </xf>
    <xf numFmtId="0" fontId="183" fillId="3" borderId="10" xfId="58" applyFont="1" applyFill="1" applyBorder="1" applyAlignment="1">
      <alignment horizontal="left" vertical="center"/>
    </xf>
    <xf numFmtId="0" fontId="183" fillId="3" borderId="12" xfId="58" applyFont="1" applyFill="1" applyBorder="1" applyAlignment="1">
      <alignment horizontal="left" vertical="center"/>
    </xf>
    <xf numFmtId="0" fontId="183" fillId="0" borderId="1" xfId="58" applyFont="1" applyBorder="1" applyAlignment="1">
      <alignment horizontal="left" vertical="center"/>
    </xf>
    <xf numFmtId="0" fontId="115" fillId="0" borderId="1" xfId="58" applyFont="1" applyBorder="1" applyAlignment="1">
      <alignment horizontal="left" vertical="center"/>
    </xf>
    <xf numFmtId="182" fontId="184" fillId="0" borderId="10" xfId="58" applyNumberFormat="1" applyFont="1" applyBorder="1" applyAlignment="1">
      <alignment horizontal="left" vertical="center"/>
    </xf>
    <xf numFmtId="0" fontId="115" fillId="0" borderId="157" xfId="58" applyFont="1" applyBorder="1" applyAlignment="1">
      <alignment horizontal="left" vertical="center"/>
    </xf>
    <xf numFmtId="182" fontId="184" fillId="0" borderId="1" xfId="0" applyNumberFormat="1" applyFont="1" applyBorder="1" applyAlignment="1">
      <alignment horizontal="left" vertical="center"/>
    </xf>
    <xf numFmtId="14" fontId="115" fillId="0" borderId="10" xfId="58" applyNumberFormat="1" applyFont="1" applyBorder="1" applyAlignment="1">
      <alignment horizontal="left" vertical="center"/>
    </xf>
    <xf numFmtId="14" fontId="175" fillId="0" borderId="0" xfId="58" applyNumberFormat="1" applyFont="1" applyAlignment="1">
      <alignment horizontal="left" vertical="center"/>
    </xf>
    <xf numFmtId="14" fontId="175" fillId="0" borderId="158" xfId="58" applyNumberFormat="1" applyFont="1" applyBorder="1" applyAlignment="1">
      <alignment horizontal="left" vertical="center"/>
    </xf>
    <xf numFmtId="0" fontId="185" fillId="0" borderId="0" xfId="58" applyFont="1" applyAlignment="1">
      <alignment horizontal="left" vertical="center"/>
    </xf>
    <xf numFmtId="0" fontId="88" fillId="0" borderId="0" xfId="0" applyFont="1">
      <alignment vertical="center"/>
    </xf>
    <xf numFmtId="0" fontId="27" fillId="0" borderId="0" xfId="0" applyFont="1">
      <alignment vertical="center"/>
    </xf>
    <xf numFmtId="0" fontId="154" fillId="0" borderId="0" xfId="0" applyFont="1">
      <alignment vertical="center"/>
    </xf>
    <xf numFmtId="0" fontId="27" fillId="0" borderId="1" xfId="0" applyFont="1" applyBorder="1" applyAlignment="1">
      <alignment horizontal="center" vertical="center" wrapText="1"/>
    </xf>
    <xf numFmtId="0" fontId="49" fillId="0" borderId="0" xfId="0" applyFont="1" applyAlignment="1">
      <alignment horizontal="left" vertical="center"/>
    </xf>
    <xf numFmtId="0" fontId="27" fillId="5" borderId="1" xfId="0" applyFont="1" applyFill="1" applyBorder="1" applyAlignment="1">
      <alignment horizontal="center" vertical="center" wrapText="1"/>
    </xf>
    <xf numFmtId="0" fontId="27" fillId="2" borderId="1" xfId="0" applyFont="1" applyFill="1" applyBorder="1" applyAlignment="1">
      <alignment horizontal="center" vertical="center" wrapText="1"/>
    </xf>
    <xf numFmtId="0" fontId="186" fillId="27" borderId="1" xfId="0" applyFont="1" applyFill="1" applyBorder="1" applyAlignment="1">
      <alignment horizontal="center" vertical="center"/>
    </xf>
    <xf numFmtId="0" fontId="99" fillId="0" borderId="1" xfId="0" applyFont="1" applyBorder="1" applyAlignment="1">
      <alignment horizontal="center" vertical="center"/>
    </xf>
    <xf numFmtId="0" fontId="44" fillId="0" borderId="0" xfId="0" applyFont="1">
      <alignment vertical="center"/>
    </xf>
    <xf numFmtId="0" fontId="56" fillId="0" borderId="1" xfId="0" applyFont="1" applyBorder="1" applyAlignment="1">
      <alignment horizontal="center" vertical="center"/>
    </xf>
    <xf numFmtId="0" fontId="49" fillId="3" borderId="1" xfId="0" applyFont="1" applyFill="1" applyBorder="1" applyAlignment="1">
      <alignment horizontal="left" vertical="center"/>
    </xf>
    <xf numFmtId="0" fontId="44" fillId="0" borderId="10" xfId="0" applyFont="1" applyBorder="1" applyAlignment="1">
      <alignment horizontal="left" vertical="center"/>
    </xf>
    <xf numFmtId="0" fontId="49" fillId="0" borderId="11" xfId="0" applyFont="1" applyBorder="1" applyAlignment="1">
      <alignment horizontal="left" vertical="center"/>
    </xf>
    <xf numFmtId="0" fontId="49" fillId="0" borderId="1" xfId="0" applyFont="1" applyBorder="1" applyAlignment="1">
      <alignment horizontal="left" vertical="center"/>
    </xf>
    <xf numFmtId="0" fontId="49" fillId="0" borderId="10" xfId="0" applyFont="1" applyBorder="1" applyAlignment="1">
      <alignment horizontal="left" vertical="center"/>
    </xf>
    <xf numFmtId="0" fontId="49" fillId="14" borderId="10" xfId="0" applyFont="1" applyFill="1" applyBorder="1">
      <alignment vertical="center"/>
    </xf>
    <xf numFmtId="0" fontId="49" fillId="0" borderId="12" xfId="0" applyFont="1" applyBorder="1">
      <alignment vertical="center"/>
    </xf>
    <xf numFmtId="0" fontId="49" fillId="0" borderId="11" xfId="0" applyFont="1" applyBorder="1">
      <alignment vertical="center"/>
    </xf>
    <xf numFmtId="0" fontId="49" fillId="16" borderId="1" xfId="0" applyFont="1" applyFill="1" applyBorder="1" applyAlignment="1">
      <alignment horizontal="left" vertical="center"/>
    </xf>
    <xf numFmtId="0" fontId="49" fillId="0" borderId="9" xfId="0" applyFont="1" applyBorder="1" applyAlignment="1">
      <alignment horizontal="left" vertical="center"/>
    </xf>
    <xf numFmtId="0" fontId="44" fillId="0" borderId="1" xfId="0" applyFont="1" applyBorder="1" applyAlignment="1">
      <alignment horizontal="left" vertical="center"/>
    </xf>
    <xf numFmtId="0" fontId="49" fillId="0" borderId="35" xfId="0" applyFont="1" applyBorder="1" applyAlignment="1">
      <alignment horizontal="left" vertical="center"/>
    </xf>
    <xf numFmtId="0" fontId="124" fillId="0" borderId="9" xfId="0" applyFont="1" applyBorder="1" applyAlignment="1">
      <alignment horizontal="left" vertical="center" wrapText="1"/>
    </xf>
    <xf numFmtId="0" fontId="124" fillId="0" borderId="35" xfId="0" applyFont="1" applyBorder="1" applyAlignment="1">
      <alignment horizontal="left" vertical="center" wrapText="1"/>
    </xf>
    <xf numFmtId="0" fontId="49" fillId="0" borderId="35" xfId="0" applyFont="1" applyBorder="1">
      <alignment vertical="center"/>
    </xf>
    <xf numFmtId="0" fontId="124" fillId="0" borderId="35" xfId="0" applyFont="1" applyBorder="1">
      <alignment vertical="center"/>
    </xf>
    <xf numFmtId="0" fontId="124" fillId="0" borderId="3" xfId="0" applyFont="1" applyBorder="1" applyAlignment="1">
      <alignment horizontal="left" vertical="center" wrapText="1"/>
    </xf>
    <xf numFmtId="0" fontId="124" fillId="0" borderId="3" xfId="0" applyFont="1" applyBorder="1">
      <alignment vertical="center"/>
    </xf>
    <xf numFmtId="0" fontId="86" fillId="0" borderId="0" xfId="0" applyFont="1">
      <alignment vertical="center"/>
    </xf>
    <xf numFmtId="0" fontId="30" fillId="0" borderId="0" xfId="0" applyFont="1" applyAlignment="1">
      <alignment horizontal="left" vertical="center"/>
    </xf>
    <xf numFmtId="183" fontId="30" fillId="0" borderId="0" xfId="0" applyNumberFormat="1" applyFont="1" applyAlignment="1">
      <alignment horizontal="left" vertical="center"/>
    </xf>
    <xf numFmtId="0" fontId="187" fillId="0" borderId="0" xfId="0" applyFont="1" applyAlignment="1">
      <alignment vertical="center" wrapText="1"/>
    </xf>
    <xf numFmtId="0" fontId="187" fillId="0" borderId="0" xfId="0" applyFont="1" applyAlignment="1" applyProtection="1">
      <alignment vertical="center" wrapText="1"/>
      <protection locked="0"/>
    </xf>
    <xf numFmtId="0" fontId="179" fillId="0" borderId="0" xfId="0" applyFont="1" applyAlignment="1" applyProtection="1">
      <alignment vertical="center" wrapText="1"/>
      <protection locked="0"/>
    </xf>
    <xf numFmtId="49" fontId="179" fillId="0" borderId="0" xfId="0" applyNumberFormat="1" applyFont="1" applyAlignment="1" applyProtection="1">
      <alignment vertical="center" wrapText="1"/>
      <protection locked="0"/>
    </xf>
    <xf numFmtId="0" fontId="187" fillId="0" borderId="0" xfId="0" applyFont="1" applyAlignment="1">
      <alignment horizontal="center" vertical="center" wrapText="1"/>
    </xf>
    <xf numFmtId="0" fontId="187" fillId="0" borderId="89" xfId="0" applyFont="1" applyBorder="1" applyAlignment="1">
      <alignment vertical="center" wrapText="1"/>
    </xf>
    <xf numFmtId="0" fontId="187" fillId="0" borderId="0" xfId="0" applyFont="1" applyAlignment="1">
      <alignment horizontal="right" vertical="center" wrapText="1"/>
    </xf>
    <xf numFmtId="0" fontId="179" fillId="0" borderId="0" xfId="0" applyFont="1" applyAlignment="1">
      <alignment horizontal="center" vertical="center" wrapText="1"/>
    </xf>
    <xf numFmtId="0" fontId="187" fillId="0" borderId="0" xfId="0" applyFont="1" applyAlignment="1">
      <alignment horizontal="right" vertical="center"/>
    </xf>
    <xf numFmtId="193" fontId="188" fillId="0" borderId="0" xfId="0" applyNumberFormat="1" applyFont="1" applyAlignment="1" applyProtection="1">
      <alignment horizontal="right" vertical="center" shrinkToFit="1"/>
      <protection locked="0"/>
    </xf>
    <xf numFmtId="0" fontId="189" fillId="0" borderId="0" xfId="0" applyFont="1" applyAlignment="1">
      <alignment horizontal="center" vertical="center"/>
    </xf>
    <xf numFmtId="0" fontId="190" fillId="0" borderId="0" xfId="0" applyFont="1">
      <alignment vertical="center"/>
    </xf>
    <xf numFmtId="0" fontId="191" fillId="0" borderId="1" xfId="0" applyFont="1" applyBorder="1" applyAlignment="1" applyProtection="1">
      <alignment horizontal="center" vertical="center" wrapText="1"/>
      <protection locked="0"/>
    </xf>
    <xf numFmtId="0" fontId="190" fillId="0" borderId="1" xfId="0" applyFont="1" applyBorder="1" applyAlignment="1" applyProtection="1">
      <alignment horizontal="center" vertical="center" wrapText="1"/>
      <protection locked="0"/>
    </xf>
    <xf numFmtId="0" fontId="190" fillId="0" borderId="1" xfId="0" applyFont="1" applyBorder="1" applyAlignment="1">
      <alignment horizontal="center" vertical="center" wrapText="1"/>
    </xf>
    <xf numFmtId="0" fontId="190" fillId="0" borderId="1" xfId="0" applyFont="1" applyBorder="1" applyAlignment="1">
      <alignment horizontal="left" vertical="center" wrapText="1"/>
    </xf>
    <xf numFmtId="49" fontId="190" fillId="0" borderId="1" xfId="0" applyNumberFormat="1" applyFont="1" applyBorder="1" applyAlignment="1" applyProtection="1">
      <alignment horizontal="center" vertical="center" wrapText="1"/>
      <protection locked="0"/>
    </xf>
    <xf numFmtId="0" fontId="192" fillId="0" borderId="1" xfId="0" applyFont="1" applyBorder="1" applyAlignment="1" applyProtection="1">
      <alignment horizontal="center" vertical="center" wrapText="1"/>
      <protection locked="0"/>
    </xf>
    <xf numFmtId="0" fontId="193" fillId="0" borderId="10" xfId="0" applyFont="1" applyBorder="1" applyAlignment="1">
      <alignment horizontal="center" vertical="center" wrapText="1"/>
    </xf>
    <xf numFmtId="0" fontId="193" fillId="0" borderId="12" xfId="0" applyFont="1" applyBorder="1" applyAlignment="1">
      <alignment horizontal="center" vertical="center" wrapText="1"/>
    </xf>
    <xf numFmtId="0" fontId="190" fillId="0" borderId="0" xfId="0" applyFont="1" applyAlignment="1">
      <alignment horizontal="left" vertical="center"/>
    </xf>
    <xf numFmtId="0" fontId="194" fillId="0" borderId="0" xfId="0" applyFont="1">
      <alignment vertical="center"/>
    </xf>
    <xf numFmtId="0" fontId="194"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90" fillId="0" borderId="0" xfId="0" applyFont="1" applyAlignment="1">
      <alignment horizontal="right" vertical="center"/>
    </xf>
    <xf numFmtId="0" fontId="192" fillId="0" borderId="1" xfId="0" applyFont="1" applyBorder="1" applyAlignment="1">
      <alignment horizontal="center" vertical="center" wrapText="1"/>
    </xf>
    <xf numFmtId="0" fontId="193" fillId="0" borderId="11" xfId="0" applyFont="1" applyBorder="1" applyAlignment="1">
      <alignment horizontal="center" vertical="center" wrapText="1"/>
    </xf>
    <xf numFmtId="0" fontId="195" fillId="0" borderId="1" xfId="0" applyFont="1" applyBorder="1" applyAlignment="1">
      <alignment horizontal="center" vertical="center" wrapText="1"/>
    </xf>
    <xf numFmtId="0" fontId="101" fillId="0" borderId="0" xfId="0" applyFont="1">
      <alignment vertical="center"/>
    </xf>
    <xf numFmtId="0" fontId="196" fillId="0" borderId="0" xfId="0" applyFont="1" applyAlignment="1">
      <alignment horizontal="center" vertical="center"/>
    </xf>
    <xf numFmtId="0" fontId="197" fillId="0" borderId="0" xfId="0" applyFont="1" applyAlignment="1">
      <alignment horizontal="left" vertical="center"/>
    </xf>
    <xf numFmtId="0" fontId="189" fillId="0" borderId="0" xfId="0" applyFont="1" applyAlignment="1">
      <alignment horizontal="left" vertical="center" wrapText="1"/>
    </xf>
    <xf numFmtId="0" fontId="198" fillId="0" borderId="0" xfId="0" applyFont="1" applyAlignment="1">
      <alignment horizontal="left" vertical="center"/>
    </xf>
    <xf numFmtId="0" fontId="199" fillId="0" borderId="0" xfId="0" applyFont="1" applyAlignment="1" applyProtection="1">
      <alignment horizontal="left" vertical="center" wrapText="1"/>
      <protection locked="0"/>
    </xf>
    <xf numFmtId="182" fontId="189" fillId="0" borderId="0" xfId="0" applyNumberFormat="1" applyFont="1" applyAlignment="1">
      <alignment horizontal="left" vertical="center"/>
    </xf>
    <xf numFmtId="0" fontId="101" fillId="0" borderId="0" xfId="0" applyFont="1" applyAlignment="1">
      <alignment vertical="center" wrapText="1"/>
    </xf>
    <xf numFmtId="0" fontId="101" fillId="0" borderId="0" xfId="0" applyFont="1" applyAlignment="1">
      <alignment vertical="center" wrapText="1" shrinkToFit="1"/>
    </xf>
    <xf numFmtId="0" fontId="189" fillId="0" borderId="0" xfId="0" applyFont="1" applyAlignment="1">
      <alignment horizontal="left" vertical="top" wrapText="1"/>
    </xf>
    <xf numFmtId="0" fontId="199" fillId="0" borderId="0" xfId="0" applyFont="1" applyAlignment="1">
      <alignment horizontal="left" vertical="top" wrapText="1"/>
    </xf>
    <xf numFmtId="0" fontId="189" fillId="0" borderId="0" xfId="0" applyFont="1">
      <alignment vertical="center"/>
    </xf>
    <xf numFmtId="0" fontId="101" fillId="0" borderId="0" xfId="0" applyFont="1" applyAlignment="1">
      <alignment horizontal="left" vertical="center"/>
    </xf>
    <xf numFmtId="0" fontId="189" fillId="0" borderId="0" xfId="0" applyFont="1" applyAlignment="1" applyProtection="1">
      <alignment horizontal="left" vertical="center"/>
      <protection locked="0"/>
    </xf>
    <xf numFmtId="0" fontId="200" fillId="0" borderId="0" xfId="0" applyFont="1" applyAlignment="1" applyProtection="1">
      <alignment horizontal="left" vertical="center" wrapText="1"/>
      <protection locked="0"/>
    </xf>
    <xf numFmtId="0" fontId="201" fillId="0" borderId="0" xfId="58" applyFont="1">
      <alignment vertical="center"/>
    </xf>
    <xf numFmtId="0" fontId="0" fillId="0" borderId="0" xfId="58">
      <alignment vertical="center"/>
    </xf>
    <xf numFmtId="0" fontId="201" fillId="0" borderId="0" xfId="58" applyFont="1" applyAlignment="1">
      <alignment horizontal="left" vertical="top" wrapText="1"/>
    </xf>
    <xf numFmtId="0" fontId="201" fillId="0" borderId="0" xfId="58" applyFont="1" applyAlignment="1">
      <alignment vertical="top" wrapText="1"/>
    </xf>
    <xf numFmtId="0" fontId="175" fillId="0" borderId="2" xfId="0" applyFont="1" applyBorder="1">
      <alignment vertical="center"/>
    </xf>
    <xf numFmtId="0" fontId="175" fillId="0" borderId="90" xfId="0" applyFont="1" applyBorder="1" applyProtection="1">
      <alignment vertical="center"/>
      <protection locked="0"/>
    </xf>
    <xf numFmtId="0" fontId="175" fillId="0" borderId="0" xfId="0" applyFont="1" applyProtection="1">
      <alignment vertical="center"/>
      <protection locked="0"/>
    </xf>
    <xf numFmtId="0" fontId="175" fillId="0" borderId="90" xfId="0" applyFont="1" applyBorder="1">
      <alignment vertical="center"/>
    </xf>
    <xf numFmtId="0" fontId="175" fillId="0" borderId="0" xfId="0" applyFont="1" applyAlignment="1">
      <alignment vertical="center" wrapText="1"/>
    </xf>
    <xf numFmtId="0" fontId="175" fillId="0" borderId="0" xfId="0" applyFont="1" applyAlignment="1">
      <alignment horizontal="left" vertical="center"/>
    </xf>
    <xf numFmtId="0" fontId="175" fillId="0" borderId="0" xfId="0" applyFont="1">
      <alignment vertical="center"/>
    </xf>
    <xf numFmtId="0" fontId="175" fillId="0" borderId="83" xfId="0" applyFont="1" applyBorder="1" applyAlignment="1">
      <alignment horizontal="left" vertical="center" wrapText="1"/>
    </xf>
    <xf numFmtId="0" fontId="56" fillId="0" borderId="83" xfId="0" applyFont="1" applyBorder="1" applyAlignment="1" applyProtection="1">
      <alignment horizontal="left" vertical="center"/>
      <protection locked="0"/>
    </xf>
    <xf numFmtId="0" fontId="175" fillId="0" borderId="85" xfId="0" applyFont="1" applyBorder="1" applyAlignment="1">
      <alignment vertical="center" wrapText="1"/>
    </xf>
    <xf numFmtId="0" fontId="175" fillId="0" borderId="85" xfId="0" applyFont="1" applyBorder="1" applyAlignment="1">
      <alignment horizontal="left" vertical="center"/>
    </xf>
    <xf numFmtId="0" fontId="175" fillId="0" borderId="1" xfId="0" applyFont="1" applyBorder="1" applyAlignment="1">
      <alignment vertical="center" wrapText="1"/>
    </xf>
    <xf numFmtId="0" fontId="175" fillId="0" borderId="1" xfId="0" applyFont="1" applyBorder="1" applyAlignment="1">
      <alignment horizontal="left" vertical="center"/>
    </xf>
    <xf numFmtId="0" fontId="175" fillId="0" borderId="83" xfId="0" applyFont="1" applyBorder="1" applyAlignment="1">
      <alignment vertical="center" wrapText="1"/>
    </xf>
    <xf numFmtId="0" fontId="175" fillId="0" borderId="83" xfId="0" applyFont="1" applyBorder="1" applyAlignment="1">
      <alignment horizontal="left" vertical="center"/>
    </xf>
    <xf numFmtId="0" fontId="175" fillId="0" borderId="3" xfId="0" applyFont="1" applyBorder="1" applyAlignment="1">
      <alignment vertical="center" wrapText="1"/>
    </xf>
    <xf numFmtId="0" fontId="175" fillId="0" borderId="3" xfId="0" applyFont="1" applyBorder="1" applyAlignment="1">
      <alignment horizontal="left" vertical="center"/>
    </xf>
    <xf numFmtId="49" fontId="175" fillId="0" borderId="1" xfId="0" applyNumberFormat="1" applyFont="1" applyBorder="1" applyAlignment="1">
      <alignment horizontal="left" vertical="center"/>
    </xf>
    <xf numFmtId="0" fontId="175" fillId="0" borderId="85" xfId="0" applyFont="1" applyBorder="1">
      <alignment vertical="center"/>
    </xf>
    <xf numFmtId="0" fontId="175" fillId="0" borderId="1" xfId="0" applyFont="1" applyBorder="1">
      <alignment vertical="center"/>
    </xf>
    <xf numFmtId="49" fontId="175" fillId="0" borderId="90" xfId="0" applyNumberFormat="1" applyFont="1" applyBorder="1" applyProtection="1">
      <alignment vertical="center"/>
      <protection locked="0"/>
    </xf>
    <xf numFmtId="182" fontId="175" fillId="0" borderId="90" xfId="0" applyNumberFormat="1" applyFont="1" applyBorder="1" applyProtection="1">
      <alignment vertical="center"/>
      <protection locked="0"/>
    </xf>
    <xf numFmtId="193" fontId="175" fillId="0" borderId="83" xfId="0" applyNumberFormat="1" applyFont="1" applyBorder="1" applyAlignment="1">
      <alignment horizontal="left" vertical="center"/>
    </xf>
  </cellXfs>
  <cellStyles count="6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6" xfId="50"/>
    <cellStyle name="常规 2" xfId="51"/>
    <cellStyle name="常规 2 11 7" xfId="52"/>
    <cellStyle name="常规 2 2" xfId="53"/>
    <cellStyle name="常规 2 2 2 2 3" xfId="54"/>
    <cellStyle name="常规 3" xfId="55"/>
    <cellStyle name="常规 3 2" xfId="56"/>
    <cellStyle name="常规 4" xfId="57"/>
    <cellStyle name="常规 5" xfId="58"/>
    <cellStyle name="常规 6" xfId="59"/>
    <cellStyle name="常规 6 2" xfId="60"/>
    <cellStyle name="常规 6 2 2" xfId="61"/>
    <cellStyle name="常规 6 2 2 2" xfId="62"/>
    <cellStyle name="常规 6 2 3" xfId="63"/>
    <cellStyle name="常规 7" xfId="64"/>
    <cellStyle name="常规 8" xfId="65"/>
    <cellStyle name="常规 8 2" xfId="66"/>
    <cellStyle name="常规 9" xfId="67"/>
  </cellStyles>
  <dxfs count="15">
    <dxf>
      <font>
        <b val="1"/>
        <i val="0"/>
        <color rgb="FFFF0000"/>
      </font>
      <fill>
        <patternFill patternType="solid">
          <bgColor rgb="FFFFFF00"/>
        </patternFill>
      </fill>
    </dxf>
    <dxf>
      <font>
        <u val="single"/>
        <color rgb="FFFF0000"/>
      </font>
    </dxf>
    <dxf>
      <font>
        <color rgb="FFFF0000"/>
      </font>
    </dxf>
    <dxf>
      <font>
        <color rgb="FFFFFF00"/>
      </font>
      <fill>
        <patternFill patternType="solid">
          <bgColor rgb="FFFF0000"/>
        </patternFill>
      </fill>
    </dxf>
    <dxf>
      <font>
        <color rgb="FFFFFF00"/>
      </font>
      <fill>
        <patternFill patternType="solid">
          <bgColor rgb="FFFF0000"/>
        </patternFill>
      </fill>
    </dxf>
    <dxf>
      <font>
        <color rgb="FFFF0000"/>
      </font>
      <fill>
        <patternFill patternType="none"/>
      </fill>
    </dxf>
    <dxf>
      <font>
        <color rgb="FF9C0006"/>
      </font>
    </dxf>
    <dxf>
      <fill>
        <patternFill patternType="solid">
          <bgColor theme="0" tint="-0.249946592608417"/>
        </patternFill>
      </fill>
    </dxf>
    <dxf>
      <fill>
        <patternFill patternType="solid">
          <bgColor rgb="FFFFFF00"/>
        </patternFill>
      </fill>
    </dxf>
    <dxf>
      <fill>
        <patternFill patternType="solid">
          <bgColor theme="0"/>
        </patternFill>
      </fill>
    </dxf>
    <dxf>
      <font>
        <color rgb="FFFFFF00"/>
      </font>
      <fill>
        <patternFill patternType="solid">
          <bgColor rgb="FFFF0000"/>
        </patternFill>
      </fill>
    </dxf>
    <dxf>
      <font>
        <b val="1"/>
        <i val="0"/>
        <color rgb="FFFF0000"/>
      </font>
    </dxf>
    <dxf>
      <font>
        <b val="1"/>
        <i val="0"/>
        <color rgb="FFFF0000"/>
      </font>
    </dxf>
    <dxf>
      <fill>
        <patternFill patternType="none"/>
      </fill>
    </dxf>
    <dxf>
      <font>
        <color rgb="FFFF0000"/>
      </font>
    </dxf>
  </dxfs>
  <tableStyles count="0" defaultTableStyle="TableStyleMedium2" defaultPivotStyle="PivotStyleLight16"/>
  <colors>
    <mruColors>
      <color rgb="00FFFFFF"/>
      <color rgb="00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25.xml"/><Relationship Id="rId98" Type="http://schemas.openxmlformats.org/officeDocument/2006/relationships/externalLink" Target="externalLinks/externalLink24.xml"/><Relationship Id="rId97" Type="http://schemas.openxmlformats.org/officeDocument/2006/relationships/externalLink" Target="externalLinks/externalLink23.xml"/><Relationship Id="rId96" Type="http://schemas.openxmlformats.org/officeDocument/2006/relationships/externalLink" Target="externalLinks/externalLink22.xml"/><Relationship Id="rId95" Type="http://schemas.openxmlformats.org/officeDocument/2006/relationships/externalLink" Target="externalLinks/externalLink21.xml"/><Relationship Id="rId94" Type="http://schemas.openxmlformats.org/officeDocument/2006/relationships/externalLink" Target="externalLinks/externalLink20.xml"/><Relationship Id="rId93" Type="http://schemas.openxmlformats.org/officeDocument/2006/relationships/externalLink" Target="externalLinks/externalLink19.xml"/><Relationship Id="rId92" Type="http://schemas.openxmlformats.org/officeDocument/2006/relationships/externalLink" Target="externalLinks/externalLink18.xml"/><Relationship Id="rId91" Type="http://schemas.openxmlformats.org/officeDocument/2006/relationships/externalLink" Target="externalLinks/externalLink17.xml"/><Relationship Id="rId90" Type="http://schemas.openxmlformats.org/officeDocument/2006/relationships/externalLink" Target="externalLinks/externalLink16.xml"/><Relationship Id="rId9" Type="http://schemas.openxmlformats.org/officeDocument/2006/relationships/worksheet" Target="worksheets/sheet9.xml"/><Relationship Id="rId89" Type="http://schemas.openxmlformats.org/officeDocument/2006/relationships/externalLink" Target="externalLinks/externalLink15.xml"/><Relationship Id="rId88" Type="http://schemas.openxmlformats.org/officeDocument/2006/relationships/externalLink" Target="externalLinks/externalLink14.xml"/><Relationship Id="rId87" Type="http://schemas.openxmlformats.org/officeDocument/2006/relationships/externalLink" Target="externalLinks/externalLink13.xml"/><Relationship Id="rId86" Type="http://schemas.openxmlformats.org/officeDocument/2006/relationships/externalLink" Target="externalLinks/externalLink12.xml"/><Relationship Id="rId85" Type="http://schemas.openxmlformats.org/officeDocument/2006/relationships/externalLink" Target="externalLinks/externalLink11.xml"/><Relationship Id="rId84" Type="http://schemas.openxmlformats.org/officeDocument/2006/relationships/externalLink" Target="externalLinks/externalLink10.xml"/><Relationship Id="rId83" Type="http://schemas.openxmlformats.org/officeDocument/2006/relationships/externalLink" Target="externalLinks/externalLink9.xml"/><Relationship Id="rId82" Type="http://schemas.openxmlformats.org/officeDocument/2006/relationships/externalLink" Target="externalLinks/externalLink8.xml"/><Relationship Id="rId81" Type="http://schemas.openxmlformats.org/officeDocument/2006/relationships/externalLink" Target="externalLinks/externalLink7.xml"/><Relationship Id="rId80" Type="http://schemas.openxmlformats.org/officeDocument/2006/relationships/externalLink" Target="externalLinks/externalLink6.xml"/><Relationship Id="rId8" Type="http://schemas.openxmlformats.org/officeDocument/2006/relationships/worksheet" Target="worksheets/sheet8.xml"/><Relationship Id="rId79" Type="http://schemas.openxmlformats.org/officeDocument/2006/relationships/externalLink" Target="externalLinks/externalLink5.xml"/><Relationship Id="rId78" Type="http://schemas.openxmlformats.org/officeDocument/2006/relationships/externalLink" Target="externalLinks/externalLink4.xml"/><Relationship Id="rId77" Type="http://schemas.openxmlformats.org/officeDocument/2006/relationships/externalLink" Target="externalLinks/externalLink3.xml"/><Relationship Id="rId76" Type="http://schemas.openxmlformats.org/officeDocument/2006/relationships/externalLink" Target="externalLinks/externalLink2.xml"/><Relationship Id="rId75" Type="http://schemas.openxmlformats.org/officeDocument/2006/relationships/externalLink" Target="externalLinks/externalLink1.xml"/><Relationship Id="rId74" Type="http://schemas.openxmlformats.org/officeDocument/2006/relationships/customXml" Target="../customXml/item1.xml"/><Relationship Id="rId73" Type="http://schemas.openxmlformats.org/officeDocument/2006/relationships/worksheet" Target="worksheets/sheet73.xml"/><Relationship Id="rId72" Type="http://schemas.openxmlformats.org/officeDocument/2006/relationships/worksheet" Target="worksheets/sheet72.xml"/><Relationship Id="rId71" Type="http://schemas.openxmlformats.org/officeDocument/2006/relationships/worksheet" Target="worksheets/sheet71.xml"/><Relationship Id="rId70" Type="http://schemas.openxmlformats.org/officeDocument/2006/relationships/worksheet" Target="worksheets/sheet70.xml"/><Relationship Id="rId7" Type="http://schemas.openxmlformats.org/officeDocument/2006/relationships/worksheet" Target="worksheets/sheet7.xml"/><Relationship Id="rId69" Type="http://schemas.openxmlformats.org/officeDocument/2006/relationships/worksheet" Target="worksheets/sheet69.xml"/><Relationship Id="rId68" Type="http://schemas.openxmlformats.org/officeDocument/2006/relationships/worksheet" Target="worksheets/sheet68.xml"/><Relationship Id="rId67" Type="http://schemas.openxmlformats.org/officeDocument/2006/relationships/worksheet" Target="worksheets/sheet67.xml"/><Relationship Id="rId66" Type="http://schemas.openxmlformats.org/officeDocument/2006/relationships/worksheet" Target="worksheets/sheet66.xml"/><Relationship Id="rId65" Type="http://schemas.openxmlformats.org/officeDocument/2006/relationships/worksheet" Target="worksheets/sheet65.xml"/><Relationship Id="rId64" Type="http://schemas.openxmlformats.org/officeDocument/2006/relationships/worksheet" Target="worksheets/sheet64.xml"/><Relationship Id="rId63" Type="http://schemas.openxmlformats.org/officeDocument/2006/relationships/worksheet" Target="worksheets/sheet63.xml"/><Relationship Id="rId62" Type="http://schemas.openxmlformats.org/officeDocument/2006/relationships/worksheet" Target="worksheets/sheet62.xml"/><Relationship Id="rId61" Type="http://schemas.openxmlformats.org/officeDocument/2006/relationships/worksheet" Target="worksheets/sheet6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3" Type="http://schemas.openxmlformats.org/officeDocument/2006/relationships/sharedStrings" Target="sharedStrings.xml"/><Relationship Id="rId122" Type="http://schemas.openxmlformats.org/officeDocument/2006/relationships/styles" Target="styles.xml"/><Relationship Id="rId121" Type="http://schemas.openxmlformats.org/officeDocument/2006/relationships/theme" Target="theme/theme1.xml"/><Relationship Id="rId120" Type="http://schemas.openxmlformats.org/officeDocument/2006/relationships/externalLink" Target="externalLinks/externalLink46.xml"/><Relationship Id="rId12" Type="http://schemas.openxmlformats.org/officeDocument/2006/relationships/worksheet" Target="worksheets/sheet12.xml"/><Relationship Id="rId119" Type="http://schemas.openxmlformats.org/officeDocument/2006/relationships/externalLink" Target="externalLinks/externalLink45.xml"/><Relationship Id="rId118" Type="http://schemas.openxmlformats.org/officeDocument/2006/relationships/externalLink" Target="externalLinks/externalLink44.xml"/><Relationship Id="rId117" Type="http://schemas.openxmlformats.org/officeDocument/2006/relationships/externalLink" Target="externalLinks/externalLink43.xml"/><Relationship Id="rId116" Type="http://schemas.openxmlformats.org/officeDocument/2006/relationships/externalLink" Target="externalLinks/externalLink42.xml"/><Relationship Id="rId115" Type="http://schemas.openxmlformats.org/officeDocument/2006/relationships/externalLink" Target="externalLinks/externalLink41.xml"/><Relationship Id="rId114" Type="http://schemas.openxmlformats.org/officeDocument/2006/relationships/externalLink" Target="externalLinks/externalLink40.xml"/><Relationship Id="rId113" Type="http://schemas.openxmlformats.org/officeDocument/2006/relationships/externalLink" Target="externalLinks/externalLink39.xml"/><Relationship Id="rId112" Type="http://schemas.openxmlformats.org/officeDocument/2006/relationships/externalLink" Target="externalLinks/externalLink38.xml"/><Relationship Id="rId111" Type="http://schemas.openxmlformats.org/officeDocument/2006/relationships/externalLink" Target="externalLinks/externalLink37.xml"/><Relationship Id="rId110" Type="http://schemas.openxmlformats.org/officeDocument/2006/relationships/externalLink" Target="externalLinks/externalLink36.xml"/><Relationship Id="rId11" Type="http://schemas.openxmlformats.org/officeDocument/2006/relationships/worksheet" Target="worksheets/sheet11.xml"/><Relationship Id="rId109" Type="http://schemas.openxmlformats.org/officeDocument/2006/relationships/externalLink" Target="externalLinks/externalLink35.xml"/><Relationship Id="rId108" Type="http://schemas.openxmlformats.org/officeDocument/2006/relationships/externalLink" Target="externalLinks/externalLink34.xml"/><Relationship Id="rId107" Type="http://schemas.openxmlformats.org/officeDocument/2006/relationships/externalLink" Target="externalLinks/externalLink33.xml"/><Relationship Id="rId106" Type="http://schemas.openxmlformats.org/officeDocument/2006/relationships/externalLink" Target="externalLinks/externalLink32.xml"/><Relationship Id="rId105" Type="http://schemas.openxmlformats.org/officeDocument/2006/relationships/externalLink" Target="externalLinks/externalLink31.xml"/><Relationship Id="rId104" Type="http://schemas.openxmlformats.org/officeDocument/2006/relationships/externalLink" Target="externalLinks/externalLink30.xml"/><Relationship Id="rId103" Type="http://schemas.openxmlformats.org/officeDocument/2006/relationships/externalLink" Target="externalLinks/externalLink29.xml"/><Relationship Id="rId102" Type="http://schemas.openxmlformats.org/officeDocument/2006/relationships/externalLink" Target="externalLinks/externalLink28.xml"/><Relationship Id="rId101" Type="http://schemas.openxmlformats.org/officeDocument/2006/relationships/externalLink" Target="externalLinks/externalLink27.xml"/><Relationship Id="rId100" Type="http://schemas.openxmlformats.org/officeDocument/2006/relationships/externalLink" Target="externalLinks/externalLink26.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9" Type="http://schemas.openxmlformats.org/officeDocument/2006/relationships/image" Target="../media/image14.png"/><Relationship Id="rId8" Type="http://schemas.openxmlformats.org/officeDocument/2006/relationships/image" Target="../media/image13.png"/><Relationship Id="rId7" Type="http://schemas.openxmlformats.org/officeDocument/2006/relationships/image" Target="../media/image12.png"/><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 Id="rId3" Type="http://schemas.openxmlformats.org/officeDocument/2006/relationships/image" Target="../media/image8.png"/><Relationship Id="rId2" Type="http://schemas.openxmlformats.org/officeDocument/2006/relationships/image" Target="../media/image7.png"/><Relationship Id="rId17" Type="http://schemas.openxmlformats.org/officeDocument/2006/relationships/image" Target="../media/image22.png"/><Relationship Id="rId16" Type="http://schemas.openxmlformats.org/officeDocument/2006/relationships/image" Target="../media/image21.png"/><Relationship Id="rId15" Type="http://schemas.openxmlformats.org/officeDocument/2006/relationships/image" Target="../media/image20.png"/><Relationship Id="rId14" Type="http://schemas.openxmlformats.org/officeDocument/2006/relationships/image" Target="../media/image19.png"/><Relationship Id="rId13" Type="http://schemas.openxmlformats.org/officeDocument/2006/relationships/image" Target="../media/image18.png"/><Relationship Id="rId12" Type="http://schemas.openxmlformats.org/officeDocument/2006/relationships/image" Target="../media/image17.png"/><Relationship Id="rId11" Type="http://schemas.openxmlformats.org/officeDocument/2006/relationships/image" Target="../media/image16.png"/><Relationship Id="rId10" Type="http://schemas.openxmlformats.org/officeDocument/2006/relationships/image" Target="../media/image15.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4.xml.rels><?xml version="1.0" encoding="UTF-8" standalone="yes"?>
<Relationships xmlns="http://schemas.openxmlformats.org/package/2006/relationships"><Relationship Id="rId9" Type="http://schemas.openxmlformats.org/officeDocument/2006/relationships/image" Target="../media/image34.png"/><Relationship Id="rId8" Type="http://schemas.openxmlformats.org/officeDocument/2006/relationships/image" Target="../media/image33.png"/><Relationship Id="rId7" Type="http://schemas.openxmlformats.org/officeDocument/2006/relationships/image" Target="../media/image32.png"/><Relationship Id="rId6" Type="http://schemas.openxmlformats.org/officeDocument/2006/relationships/image" Target="../media/image31.png"/><Relationship Id="rId5" Type="http://schemas.openxmlformats.org/officeDocument/2006/relationships/image" Target="../media/image30.png"/><Relationship Id="rId4" Type="http://schemas.openxmlformats.org/officeDocument/2006/relationships/image" Target="../media/image29.png"/><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s>
</file>

<file path=xl/drawings/_rels/drawing5.xml.rels><?xml version="1.0" encoding="UTF-8" standalone="yes"?>
<Relationships xmlns="http://schemas.openxmlformats.org/package/2006/relationships"><Relationship Id="rId9" Type="http://schemas.openxmlformats.org/officeDocument/2006/relationships/image" Target="../media/image43.png"/><Relationship Id="rId8" Type="http://schemas.openxmlformats.org/officeDocument/2006/relationships/image" Target="../media/image42.png"/><Relationship Id="rId7" Type="http://schemas.openxmlformats.org/officeDocument/2006/relationships/image" Target="../media/image41.png"/><Relationship Id="rId6" Type="http://schemas.openxmlformats.org/officeDocument/2006/relationships/image" Target="../media/image40.png"/><Relationship Id="rId5" Type="http://schemas.openxmlformats.org/officeDocument/2006/relationships/image" Target="../media/image39.png"/><Relationship Id="rId4" Type="http://schemas.openxmlformats.org/officeDocument/2006/relationships/image" Target="../media/image38.png"/><Relationship Id="rId3" Type="http://schemas.openxmlformats.org/officeDocument/2006/relationships/image" Target="../media/image37.png"/><Relationship Id="rId2" Type="http://schemas.openxmlformats.org/officeDocument/2006/relationships/image" Target="../media/image36.png"/><Relationship Id="rId12" Type="http://schemas.openxmlformats.org/officeDocument/2006/relationships/image" Target="../media/image46.png"/><Relationship Id="rId11" Type="http://schemas.openxmlformats.org/officeDocument/2006/relationships/image" Target="../media/image45.png"/><Relationship Id="rId10" Type="http://schemas.openxmlformats.org/officeDocument/2006/relationships/image" Target="../media/image44.png"/><Relationship Id="rId1" Type="http://schemas.openxmlformats.org/officeDocument/2006/relationships/image" Target="../media/image35.png"/></Relationships>
</file>

<file path=xl/drawings/_rels/drawing6.xml.rels><?xml version="1.0" encoding="UTF-8" standalone="yes"?>
<Relationships xmlns="http://schemas.openxmlformats.org/package/2006/relationships"><Relationship Id="rId4" Type="http://schemas.openxmlformats.org/officeDocument/2006/relationships/image" Target="../media/image50.png"/><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7.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8.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9.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7.png"/></Relationships>
</file>

<file path=xl/drawings/_rels/drawing14.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png"/><Relationship Id="rId1" Type="http://schemas.openxmlformats.org/officeDocument/2006/relationships/image" Target="../media/image58.png"/></Relationships>
</file>

<file path=xl/drawings/_rels/drawing15.xml.rels><?xml version="1.0" encoding="UTF-8" standalone="yes"?>
<Relationships xmlns="http://schemas.openxmlformats.org/package/2006/relationships"><Relationship Id="rId3" Type="http://schemas.openxmlformats.org/officeDocument/2006/relationships/image" Target="../media/image63.png"/><Relationship Id="rId2" Type="http://schemas.openxmlformats.org/officeDocument/2006/relationships/image" Target="../media/image62.png"/><Relationship Id="rId1" Type="http://schemas.openxmlformats.org/officeDocument/2006/relationships/image" Target="../media/image6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xdr:row>
      <xdr:rowOff>0</xdr:rowOff>
    </xdr:from>
    <xdr:to>
      <xdr:col>12</xdr:col>
      <xdr:colOff>219075</xdr:colOff>
      <xdr:row>34</xdr:row>
      <xdr:rowOff>133350</xdr:rowOff>
    </xdr:to>
    <xdr:pic>
      <xdr:nvPicPr>
        <xdr:cNvPr id="7" name="图片 6"/>
        <xdr:cNvPicPr>
          <a:picLocks noChangeAspect="1"/>
        </xdr:cNvPicPr>
      </xdr:nvPicPr>
      <xdr:blipFill>
        <a:blip r:embed="rId1" cstate="print"/>
        <a:stretch>
          <a:fillRect/>
        </a:stretch>
      </xdr:blipFill>
      <xdr:spPr>
        <a:xfrm>
          <a:off x="720090" y="171450"/>
          <a:ext cx="8258175" cy="5791200"/>
        </a:xfrm>
        <a:prstGeom prst="rect">
          <a:avLst/>
        </a:prstGeom>
        <a:noFill/>
        <a:ln w="9525">
          <a:noFill/>
        </a:ln>
      </xdr:spPr>
    </xdr:pic>
    <xdr:clientData/>
  </xdr:twoCellAnchor>
  <xdr:twoCellAnchor editAs="oneCell">
    <xdr:from>
      <xdr:col>7</xdr:col>
      <xdr:colOff>400050</xdr:colOff>
      <xdr:row>2</xdr:row>
      <xdr:rowOff>47625</xdr:rowOff>
    </xdr:from>
    <xdr:to>
      <xdr:col>17</xdr:col>
      <xdr:colOff>285750</xdr:colOff>
      <xdr:row>38</xdr:row>
      <xdr:rowOff>85725</xdr:rowOff>
    </xdr:to>
    <xdr:pic>
      <xdr:nvPicPr>
        <xdr:cNvPr id="8" name="图片 7"/>
        <xdr:cNvPicPr>
          <a:picLocks noChangeAspect="1"/>
        </xdr:cNvPicPr>
      </xdr:nvPicPr>
      <xdr:blipFill>
        <a:blip r:embed="rId2" cstate="print"/>
        <a:stretch>
          <a:fillRect/>
        </a:stretch>
      </xdr:blipFill>
      <xdr:spPr>
        <a:xfrm>
          <a:off x="5558790" y="390525"/>
          <a:ext cx="7086600" cy="6210300"/>
        </a:xfrm>
        <a:prstGeom prst="rect">
          <a:avLst/>
        </a:prstGeom>
        <a:noFill/>
        <a:ln w="9525">
          <a:noFill/>
        </a:ln>
      </xdr:spPr>
    </xdr:pic>
    <xdr:clientData/>
  </xdr:twoCellAnchor>
  <xdr:twoCellAnchor editAs="oneCell">
    <xdr:from>
      <xdr:col>1</xdr:col>
      <xdr:colOff>0</xdr:colOff>
      <xdr:row>43</xdr:row>
      <xdr:rowOff>0</xdr:rowOff>
    </xdr:from>
    <xdr:to>
      <xdr:col>8</xdr:col>
      <xdr:colOff>590550</xdr:colOff>
      <xdr:row>89</xdr:row>
      <xdr:rowOff>0</xdr:rowOff>
    </xdr:to>
    <xdr:pic>
      <xdr:nvPicPr>
        <xdr:cNvPr id="9" name="图片 8"/>
        <xdr:cNvPicPr>
          <a:picLocks noChangeAspect="1"/>
        </xdr:cNvPicPr>
      </xdr:nvPicPr>
      <xdr:blipFill>
        <a:blip r:embed="rId3" cstate="print"/>
        <a:stretch>
          <a:fillRect/>
        </a:stretch>
      </xdr:blipFill>
      <xdr:spPr>
        <a:xfrm>
          <a:off x="720090" y="7372350"/>
          <a:ext cx="5749290" cy="7886700"/>
        </a:xfrm>
        <a:prstGeom prst="rect">
          <a:avLst/>
        </a:prstGeom>
        <a:noFill/>
        <a:ln w="9525">
          <a:noFill/>
        </a:ln>
      </xdr:spPr>
    </xdr:pic>
    <xdr:clientData/>
  </xdr:twoCellAnchor>
  <xdr:twoCellAnchor>
    <xdr:from>
      <xdr:col>7</xdr:col>
      <xdr:colOff>261937</xdr:colOff>
      <xdr:row>61</xdr:row>
      <xdr:rowOff>130968</xdr:rowOff>
    </xdr:from>
    <xdr:to>
      <xdr:col>7</xdr:col>
      <xdr:colOff>571500</xdr:colOff>
      <xdr:row>63</xdr:row>
      <xdr:rowOff>119062</xdr:rowOff>
    </xdr:to>
    <xdr:sp>
      <xdr:nvSpPr>
        <xdr:cNvPr id="5" name="五角星 4"/>
        <xdr:cNvSpPr/>
      </xdr:nvSpPr>
      <xdr:spPr>
        <a:xfrm>
          <a:off x="5420360" y="10589260"/>
          <a:ext cx="309880" cy="330835"/>
        </a:xfrm>
        <a:prstGeom prst="star5">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zh-CN" altLang="en-US" sz="1100"/>
        </a:p>
      </xdr:txBody>
    </xdr:sp>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xdr:row>
      <xdr:rowOff>0</xdr:rowOff>
    </xdr:from>
    <xdr:to>
      <xdr:col>12</xdr:col>
      <xdr:colOff>657225</xdr:colOff>
      <xdr:row>17</xdr:row>
      <xdr:rowOff>118745</xdr:rowOff>
    </xdr:to>
    <xdr:pic>
      <xdr:nvPicPr>
        <xdr:cNvPr id="5" name="图片 4"/>
        <xdr:cNvPicPr>
          <a:picLocks noChangeAspect="1"/>
        </xdr:cNvPicPr>
      </xdr:nvPicPr>
      <xdr:blipFill>
        <a:blip r:embed="rId1" cstate="print"/>
        <a:stretch>
          <a:fillRect/>
        </a:stretch>
      </xdr:blipFill>
      <xdr:spPr>
        <a:xfrm>
          <a:off x="685800" y="171450"/>
          <a:ext cx="8201025" cy="2861945"/>
        </a:xfrm>
        <a:prstGeom prst="rect">
          <a:avLst/>
        </a:prstGeom>
        <a:noFill/>
        <a:ln w="9525">
          <a:noFill/>
        </a:ln>
      </xdr:spPr>
    </xdr:pic>
    <xdr:clientData/>
  </xdr:twoCellAnchor>
  <xdr:twoCellAnchor editAs="oneCell">
    <xdr:from>
      <xdr:col>1</xdr:col>
      <xdr:colOff>19050</xdr:colOff>
      <xdr:row>9</xdr:row>
      <xdr:rowOff>152400</xdr:rowOff>
    </xdr:from>
    <xdr:to>
      <xdr:col>13</xdr:col>
      <xdr:colOff>22860</xdr:colOff>
      <xdr:row>18</xdr:row>
      <xdr:rowOff>9525</xdr:rowOff>
    </xdr:to>
    <xdr:pic>
      <xdr:nvPicPr>
        <xdr:cNvPr id="6" name="图片 5"/>
        <xdr:cNvPicPr>
          <a:picLocks noChangeAspect="1"/>
        </xdr:cNvPicPr>
      </xdr:nvPicPr>
      <xdr:blipFill>
        <a:blip r:embed="rId2" cstate="print"/>
        <a:stretch>
          <a:fillRect/>
        </a:stretch>
      </xdr:blipFill>
      <xdr:spPr>
        <a:xfrm>
          <a:off x="704850" y="1695450"/>
          <a:ext cx="8233410" cy="1400175"/>
        </a:xfrm>
        <a:prstGeom prst="rect">
          <a:avLst/>
        </a:prstGeom>
        <a:noFill/>
        <a:ln w="9525">
          <a:noFill/>
        </a:ln>
      </xdr:spPr>
    </xdr:pic>
    <xdr:clientData/>
  </xdr:twoCellAnchor>
  <xdr:twoCellAnchor editAs="oneCell">
    <xdr:from>
      <xdr:col>1</xdr:col>
      <xdr:colOff>37465</xdr:colOff>
      <xdr:row>18</xdr:row>
      <xdr:rowOff>106680</xdr:rowOff>
    </xdr:from>
    <xdr:to>
      <xdr:col>12</xdr:col>
      <xdr:colOff>600075</xdr:colOff>
      <xdr:row>26</xdr:row>
      <xdr:rowOff>142875</xdr:rowOff>
    </xdr:to>
    <xdr:pic>
      <xdr:nvPicPr>
        <xdr:cNvPr id="11" name="图片 10"/>
        <xdr:cNvPicPr>
          <a:picLocks noChangeAspect="1"/>
        </xdr:cNvPicPr>
      </xdr:nvPicPr>
      <xdr:blipFill>
        <a:blip r:embed="rId3" cstate="print"/>
        <a:stretch>
          <a:fillRect/>
        </a:stretch>
      </xdr:blipFill>
      <xdr:spPr>
        <a:xfrm>
          <a:off x="723265" y="3192780"/>
          <a:ext cx="8106410" cy="1407795"/>
        </a:xfrm>
        <a:prstGeom prst="rect">
          <a:avLst/>
        </a:prstGeom>
        <a:noFill/>
        <a:ln w="9525">
          <a:noFill/>
        </a:ln>
      </xdr:spPr>
    </xdr:pic>
    <xdr:clientData/>
  </xdr:twoCellAnchor>
  <xdr:twoCellAnchor editAs="oneCell">
    <xdr:from>
      <xdr:col>0</xdr:col>
      <xdr:colOff>657225</xdr:colOff>
      <xdr:row>28</xdr:row>
      <xdr:rowOff>152400</xdr:rowOff>
    </xdr:from>
    <xdr:to>
      <xdr:col>10</xdr:col>
      <xdr:colOff>533400</xdr:colOff>
      <xdr:row>49</xdr:row>
      <xdr:rowOff>26670</xdr:rowOff>
    </xdr:to>
    <xdr:pic>
      <xdr:nvPicPr>
        <xdr:cNvPr id="12" name="图片 11"/>
        <xdr:cNvPicPr>
          <a:picLocks noChangeAspect="1"/>
        </xdr:cNvPicPr>
      </xdr:nvPicPr>
      <xdr:blipFill>
        <a:blip r:embed="rId4" cstate="print"/>
        <a:stretch>
          <a:fillRect/>
        </a:stretch>
      </xdr:blipFill>
      <xdr:spPr>
        <a:xfrm>
          <a:off x="657225" y="4953000"/>
          <a:ext cx="6734175" cy="3474720"/>
        </a:xfrm>
        <a:prstGeom prst="rect">
          <a:avLst/>
        </a:prstGeom>
        <a:noFill/>
        <a:ln w="9525">
          <a:noFill/>
        </a:ln>
      </xdr:spPr>
    </xdr:pic>
    <xdr:clientData/>
  </xdr:twoCellAnchor>
  <xdr:twoCellAnchor editAs="oneCell">
    <xdr:from>
      <xdr:col>0</xdr:col>
      <xdr:colOff>611505</xdr:colOff>
      <xdr:row>72</xdr:row>
      <xdr:rowOff>133350</xdr:rowOff>
    </xdr:from>
    <xdr:to>
      <xdr:col>11</xdr:col>
      <xdr:colOff>161925</xdr:colOff>
      <xdr:row>93</xdr:row>
      <xdr:rowOff>133350</xdr:rowOff>
    </xdr:to>
    <xdr:pic>
      <xdr:nvPicPr>
        <xdr:cNvPr id="14" name="图片 13"/>
        <xdr:cNvPicPr>
          <a:picLocks noChangeAspect="1"/>
        </xdr:cNvPicPr>
      </xdr:nvPicPr>
      <xdr:blipFill>
        <a:blip r:embed="rId5" cstate="print"/>
        <a:stretch>
          <a:fillRect/>
        </a:stretch>
      </xdr:blipFill>
      <xdr:spPr>
        <a:xfrm>
          <a:off x="611505" y="12477750"/>
          <a:ext cx="7094220" cy="3600450"/>
        </a:xfrm>
        <a:prstGeom prst="rect">
          <a:avLst/>
        </a:prstGeom>
        <a:noFill/>
        <a:ln w="9525">
          <a:noFill/>
        </a:ln>
      </xdr:spPr>
    </xdr:pic>
    <xdr:clientData/>
  </xdr:twoCellAnchor>
  <xdr:twoCellAnchor editAs="oneCell">
    <xdr:from>
      <xdr:col>12</xdr:col>
      <xdr:colOff>190500</xdr:colOff>
      <xdr:row>40</xdr:row>
      <xdr:rowOff>95250</xdr:rowOff>
    </xdr:from>
    <xdr:to>
      <xdr:col>20</xdr:col>
      <xdr:colOff>200025</xdr:colOff>
      <xdr:row>75</xdr:row>
      <xdr:rowOff>85725</xdr:rowOff>
    </xdr:to>
    <xdr:pic>
      <xdr:nvPicPr>
        <xdr:cNvPr id="15" name="图片 14"/>
        <xdr:cNvPicPr>
          <a:picLocks noChangeAspect="1"/>
        </xdr:cNvPicPr>
      </xdr:nvPicPr>
      <xdr:blipFill>
        <a:blip r:embed="rId6" cstate="print"/>
        <a:stretch>
          <a:fillRect/>
        </a:stretch>
      </xdr:blipFill>
      <xdr:spPr>
        <a:xfrm>
          <a:off x="8420100" y="6953250"/>
          <a:ext cx="6430645" cy="5991225"/>
        </a:xfrm>
        <a:prstGeom prst="rect">
          <a:avLst/>
        </a:prstGeom>
        <a:noFill/>
        <a:ln w="9525">
          <a:noFill/>
        </a:ln>
      </xdr:spPr>
    </xdr:pic>
    <xdr:clientData/>
  </xdr:twoCellAnchor>
  <xdr:twoCellAnchor editAs="oneCell">
    <xdr:from>
      <xdr:col>1</xdr:col>
      <xdr:colOff>0</xdr:colOff>
      <xdr:row>50</xdr:row>
      <xdr:rowOff>22860</xdr:rowOff>
    </xdr:from>
    <xdr:to>
      <xdr:col>10</xdr:col>
      <xdr:colOff>609600</xdr:colOff>
      <xdr:row>71</xdr:row>
      <xdr:rowOff>47625</xdr:rowOff>
    </xdr:to>
    <xdr:pic>
      <xdr:nvPicPr>
        <xdr:cNvPr id="16" name="图片 15"/>
        <xdr:cNvPicPr>
          <a:picLocks noChangeAspect="1"/>
        </xdr:cNvPicPr>
      </xdr:nvPicPr>
      <xdr:blipFill>
        <a:blip r:embed="rId7" cstate="print"/>
        <a:stretch>
          <a:fillRect/>
        </a:stretch>
      </xdr:blipFill>
      <xdr:spPr>
        <a:xfrm>
          <a:off x="685800" y="8595360"/>
          <a:ext cx="6781800" cy="3625215"/>
        </a:xfrm>
        <a:prstGeom prst="rect">
          <a:avLst/>
        </a:prstGeom>
        <a:noFill/>
        <a:ln w="9525">
          <a:noFill/>
        </a:ln>
      </xdr:spPr>
    </xdr:pic>
    <xdr:clientData/>
  </xdr:twoCellAnchor>
  <xdr:twoCellAnchor editAs="oneCell">
    <xdr:from>
      <xdr:col>1</xdr:col>
      <xdr:colOff>0</xdr:colOff>
      <xdr:row>96</xdr:row>
      <xdr:rowOff>0</xdr:rowOff>
    </xdr:from>
    <xdr:to>
      <xdr:col>12</xdr:col>
      <xdr:colOff>76200</xdr:colOff>
      <xdr:row>136</xdr:row>
      <xdr:rowOff>85725</xdr:rowOff>
    </xdr:to>
    <xdr:pic>
      <xdr:nvPicPr>
        <xdr:cNvPr id="3" name="图片 2"/>
        <xdr:cNvPicPr>
          <a:picLocks noChangeAspect="1"/>
        </xdr:cNvPicPr>
      </xdr:nvPicPr>
      <xdr:blipFill>
        <a:blip r:embed="rId8" cstate="print"/>
        <a:stretch>
          <a:fillRect/>
        </a:stretch>
      </xdr:blipFill>
      <xdr:spPr>
        <a:xfrm>
          <a:off x="685800" y="16459200"/>
          <a:ext cx="7620000" cy="6943725"/>
        </a:xfrm>
        <a:prstGeom prst="rect">
          <a:avLst/>
        </a:prstGeom>
        <a:noFill/>
        <a:ln w="9525">
          <a:noFill/>
        </a:ln>
      </xdr:spPr>
    </xdr:pic>
    <xdr:clientData/>
  </xdr:twoCellAnchor>
  <xdr:twoCellAnchor editAs="oneCell">
    <xdr:from>
      <xdr:col>13</xdr:col>
      <xdr:colOff>0</xdr:colOff>
      <xdr:row>99</xdr:row>
      <xdr:rowOff>0</xdr:rowOff>
    </xdr:from>
    <xdr:to>
      <xdr:col>15</xdr:col>
      <xdr:colOff>876300</xdr:colOff>
      <xdr:row>128</xdr:row>
      <xdr:rowOff>123825</xdr:rowOff>
    </xdr:to>
    <xdr:pic>
      <xdr:nvPicPr>
        <xdr:cNvPr id="4" name="图片 3"/>
        <xdr:cNvPicPr>
          <a:picLocks noChangeAspect="1"/>
        </xdr:cNvPicPr>
      </xdr:nvPicPr>
      <xdr:blipFill>
        <a:blip r:embed="rId9" cstate="print"/>
        <a:stretch>
          <a:fillRect/>
        </a:stretch>
      </xdr:blipFill>
      <xdr:spPr>
        <a:xfrm>
          <a:off x="8915400" y="16973550"/>
          <a:ext cx="2905760" cy="5095875"/>
        </a:xfrm>
        <a:prstGeom prst="rect">
          <a:avLst/>
        </a:prstGeom>
        <a:noFill/>
        <a:ln w="9525">
          <a:noFill/>
        </a:ln>
      </xdr:spPr>
    </xdr:pic>
    <xdr:clientData/>
  </xdr:twoCellAnchor>
  <xdr:twoCellAnchor editAs="oneCell">
    <xdr:from>
      <xdr:col>16</xdr:col>
      <xdr:colOff>0</xdr:colOff>
      <xdr:row>99</xdr:row>
      <xdr:rowOff>0</xdr:rowOff>
    </xdr:from>
    <xdr:to>
      <xdr:col>20</xdr:col>
      <xdr:colOff>38100</xdr:colOff>
      <xdr:row>141</xdr:row>
      <xdr:rowOff>28575</xdr:rowOff>
    </xdr:to>
    <xdr:pic>
      <xdr:nvPicPr>
        <xdr:cNvPr id="7" name="图片 6"/>
        <xdr:cNvPicPr>
          <a:picLocks noChangeAspect="1"/>
        </xdr:cNvPicPr>
      </xdr:nvPicPr>
      <xdr:blipFill>
        <a:blip r:embed="rId10" cstate="print"/>
        <a:stretch>
          <a:fillRect/>
        </a:stretch>
      </xdr:blipFill>
      <xdr:spPr>
        <a:xfrm>
          <a:off x="11907520" y="16973550"/>
          <a:ext cx="2781300" cy="7229475"/>
        </a:xfrm>
        <a:prstGeom prst="rect">
          <a:avLst/>
        </a:prstGeom>
        <a:noFill/>
        <a:ln w="9525">
          <a:noFill/>
        </a:ln>
      </xdr:spPr>
    </xdr:pic>
    <xdr:clientData/>
  </xdr:twoCellAnchor>
  <xdr:twoCellAnchor editAs="oneCell">
    <xdr:from>
      <xdr:col>20</xdr:col>
      <xdr:colOff>304800</xdr:colOff>
      <xdr:row>98</xdr:row>
      <xdr:rowOff>161925</xdr:rowOff>
    </xdr:from>
    <xdr:to>
      <xdr:col>24</xdr:col>
      <xdr:colOff>447675</xdr:colOff>
      <xdr:row>141</xdr:row>
      <xdr:rowOff>28575</xdr:rowOff>
    </xdr:to>
    <xdr:pic>
      <xdr:nvPicPr>
        <xdr:cNvPr id="8" name="图片 7"/>
        <xdr:cNvPicPr>
          <a:picLocks noChangeAspect="1"/>
        </xdr:cNvPicPr>
      </xdr:nvPicPr>
      <xdr:blipFill>
        <a:blip r:embed="rId11" cstate="print"/>
        <a:stretch>
          <a:fillRect/>
        </a:stretch>
      </xdr:blipFill>
      <xdr:spPr>
        <a:xfrm>
          <a:off x="14955520" y="16964025"/>
          <a:ext cx="2886075" cy="7239000"/>
        </a:xfrm>
        <a:prstGeom prst="rect">
          <a:avLst/>
        </a:prstGeom>
        <a:noFill/>
        <a:ln w="9525">
          <a:noFill/>
        </a:ln>
      </xdr:spPr>
    </xdr:pic>
    <xdr:clientData/>
  </xdr:twoCellAnchor>
  <xdr:twoCellAnchor editAs="oneCell">
    <xdr:from>
      <xdr:col>25</xdr:col>
      <xdr:colOff>0</xdr:colOff>
      <xdr:row>99</xdr:row>
      <xdr:rowOff>0</xdr:rowOff>
    </xdr:from>
    <xdr:to>
      <xdr:col>29</xdr:col>
      <xdr:colOff>85725</xdr:colOff>
      <xdr:row>141</xdr:row>
      <xdr:rowOff>9525</xdr:rowOff>
    </xdr:to>
    <xdr:pic>
      <xdr:nvPicPr>
        <xdr:cNvPr id="9" name="图片 8"/>
        <xdr:cNvPicPr>
          <a:picLocks noChangeAspect="1"/>
        </xdr:cNvPicPr>
      </xdr:nvPicPr>
      <xdr:blipFill>
        <a:blip r:embed="rId12" cstate="print"/>
        <a:stretch>
          <a:fillRect/>
        </a:stretch>
      </xdr:blipFill>
      <xdr:spPr>
        <a:xfrm>
          <a:off x="18079720" y="16973550"/>
          <a:ext cx="2828925" cy="7210425"/>
        </a:xfrm>
        <a:prstGeom prst="rect">
          <a:avLst/>
        </a:prstGeom>
        <a:noFill/>
        <a:ln w="9525">
          <a:noFill/>
        </a:ln>
      </xdr:spPr>
    </xdr:pic>
    <xdr:clientData/>
  </xdr:twoCellAnchor>
  <xdr:twoCellAnchor editAs="oneCell">
    <xdr:from>
      <xdr:col>12</xdr:col>
      <xdr:colOff>609600</xdr:colOff>
      <xdr:row>131</xdr:row>
      <xdr:rowOff>161925</xdr:rowOff>
    </xdr:from>
    <xdr:to>
      <xdr:col>15</xdr:col>
      <xdr:colOff>771525</xdr:colOff>
      <xdr:row>174</xdr:row>
      <xdr:rowOff>47625</xdr:rowOff>
    </xdr:to>
    <xdr:pic>
      <xdr:nvPicPr>
        <xdr:cNvPr id="10" name="图片 9"/>
        <xdr:cNvPicPr>
          <a:picLocks noChangeAspect="1"/>
        </xdr:cNvPicPr>
      </xdr:nvPicPr>
      <xdr:blipFill>
        <a:blip r:embed="rId13" cstate="print"/>
        <a:stretch>
          <a:fillRect/>
        </a:stretch>
      </xdr:blipFill>
      <xdr:spPr>
        <a:xfrm>
          <a:off x="8839200" y="22621875"/>
          <a:ext cx="2877185" cy="7258050"/>
        </a:xfrm>
        <a:prstGeom prst="rect">
          <a:avLst/>
        </a:prstGeom>
        <a:noFill/>
        <a:ln w="9525">
          <a:noFill/>
        </a:ln>
      </xdr:spPr>
    </xdr:pic>
    <xdr:clientData/>
  </xdr:twoCellAnchor>
  <xdr:twoCellAnchor editAs="oneCell">
    <xdr:from>
      <xdr:col>16</xdr:col>
      <xdr:colOff>381000</xdr:colOff>
      <xdr:row>143</xdr:row>
      <xdr:rowOff>0</xdr:rowOff>
    </xdr:from>
    <xdr:to>
      <xdr:col>20</xdr:col>
      <xdr:colOff>485775</xdr:colOff>
      <xdr:row>185</xdr:row>
      <xdr:rowOff>28575</xdr:rowOff>
    </xdr:to>
    <xdr:pic>
      <xdr:nvPicPr>
        <xdr:cNvPr id="13" name="图片 12"/>
        <xdr:cNvPicPr>
          <a:picLocks noChangeAspect="1"/>
        </xdr:cNvPicPr>
      </xdr:nvPicPr>
      <xdr:blipFill>
        <a:blip r:embed="rId14" cstate="print"/>
        <a:stretch>
          <a:fillRect/>
        </a:stretch>
      </xdr:blipFill>
      <xdr:spPr>
        <a:xfrm>
          <a:off x="12288520" y="24517350"/>
          <a:ext cx="2847975" cy="7229475"/>
        </a:xfrm>
        <a:prstGeom prst="rect">
          <a:avLst/>
        </a:prstGeom>
        <a:noFill/>
        <a:ln w="9525">
          <a:noFill/>
        </a:ln>
      </xdr:spPr>
    </xdr:pic>
    <xdr:clientData/>
  </xdr:twoCellAnchor>
  <xdr:twoCellAnchor editAs="oneCell">
    <xdr:from>
      <xdr:col>1</xdr:col>
      <xdr:colOff>38100</xdr:colOff>
      <xdr:row>138</xdr:row>
      <xdr:rowOff>80645</xdr:rowOff>
    </xdr:from>
    <xdr:to>
      <xdr:col>11</xdr:col>
      <xdr:colOff>676275</xdr:colOff>
      <xdr:row>170</xdr:row>
      <xdr:rowOff>104775</xdr:rowOff>
    </xdr:to>
    <xdr:pic>
      <xdr:nvPicPr>
        <xdr:cNvPr id="17" name="图片 16"/>
        <xdr:cNvPicPr>
          <a:picLocks noChangeAspect="1"/>
        </xdr:cNvPicPr>
      </xdr:nvPicPr>
      <xdr:blipFill>
        <a:blip r:embed="rId15" cstate="print"/>
        <a:stretch>
          <a:fillRect/>
        </a:stretch>
      </xdr:blipFill>
      <xdr:spPr>
        <a:xfrm>
          <a:off x="723900" y="23740745"/>
          <a:ext cx="7496175" cy="5510530"/>
        </a:xfrm>
        <a:prstGeom prst="rect">
          <a:avLst/>
        </a:prstGeom>
        <a:noFill/>
        <a:ln w="9525">
          <a:noFill/>
        </a:ln>
      </xdr:spPr>
    </xdr:pic>
    <xdr:clientData/>
  </xdr:twoCellAnchor>
  <xdr:twoCellAnchor editAs="oneCell">
    <xdr:from>
      <xdr:col>0</xdr:col>
      <xdr:colOff>619125</xdr:colOff>
      <xdr:row>172</xdr:row>
      <xdr:rowOff>66040</xdr:rowOff>
    </xdr:from>
    <xdr:to>
      <xdr:col>12</xdr:col>
      <xdr:colOff>142875</xdr:colOff>
      <xdr:row>207</xdr:row>
      <xdr:rowOff>123825</xdr:rowOff>
    </xdr:to>
    <xdr:pic>
      <xdr:nvPicPr>
        <xdr:cNvPr id="18" name="图片 17"/>
        <xdr:cNvPicPr>
          <a:picLocks noChangeAspect="1"/>
        </xdr:cNvPicPr>
      </xdr:nvPicPr>
      <xdr:blipFill>
        <a:blip r:embed="rId16" cstate="print"/>
        <a:stretch>
          <a:fillRect/>
        </a:stretch>
      </xdr:blipFill>
      <xdr:spPr>
        <a:xfrm>
          <a:off x="619125" y="29555440"/>
          <a:ext cx="7753350" cy="6058535"/>
        </a:xfrm>
        <a:prstGeom prst="rect">
          <a:avLst/>
        </a:prstGeom>
        <a:noFill/>
        <a:ln w="9525">
          <a:noFill/>
        </a:ln>
      </xdr:spPr>
    </xdr:pic>
    <xdr:clientData/>
  </xdr:twoCellAnchor>
  <xdr:twoCellAnchor editAs="oneCell">
    <xdr:from>
      <xdr:col>0</xdr:col>
      <xdr:colOff>590550</xdr:colOff>
      <xdr:row>209</xdr:row>
      <xdr:rowOff>38100</xdr:rowOff>
    </xdr:from>
    <xdr:to>
      <xdr:col>11</xdr:col>
      <xdr:colOff>637540</xdr:colOff>
      <xdr:row>244</xdr:row>
      <xdr:rowOff>38100</xdr:rowOff>
    </xdr:to>
    <xdr:pic>
      <xdr:nvPicPr>
        <xdr:cNvPr id="19" name="图片 18"/>
        <xdr:cNvPicPr>
          <a:picLocks noChangeAspect="1"/>
        </xdr:cNvPicPr>
      </xdr:nvPicPr>
      <xdr:blipFill>
        <a:blip r:embed="rId17" cstate="print"/>
        <a:stretch>
          <a:fillRect/>
        </a:stretch>
      </xdr:blipFill>
      <xdr:spPr>
        <a:xfrm>
          <a:off x="590550" y="35871150"/>
          <a:ext cx="7590790" cy="600075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19</xdr:col>
      <xdr:colOff>18415</xdr:colOff>
      <xdr:row>5</xdr:row>
      <xdr:rowOff>14605</xdr:rowOff>
    </xdr:from>
    <xdr:to>
      <xdr:col>29</xdr:col>
      <xdr:colOff>468630</xdr:colOff>
      <xdr:row>20</xdr:row>
      <xdr:rowOff>110789</xdr:rowOff>
    </xdr:to>
    <xdr:pic>
      <xdr:nvPicPr>
        <xdr:cNvPr id="2" name="图片 1"/>
        <xdr:cNvPicPr>
          <a:picLocks noChangeAspect="1"/>
        </xdr:cNvPicPr>
      </xdr:nvPicPr>
      <xdr:blipFill>
        <a:blip r:embed="rId1" cstate="print"/>
        <a:stretch>
          <a:fillRect/>
        </a:stretch>
      </xdr:blipFill>
      <xdr:spPr>
        <a:xfrm>
          <a:off x="17252315" y="919480"/>
          <a:ext cx="9384665" cy="6849110"/>
        </a:xfrm>
        <a:prstGeom prst="rect">
          <a:avLst/>
        </a:prstGeom>
        <a:noFill/>
        <a:ln w="9525">
          <a:noFill/>
        </a:ln>
      </xdr:spPr>
    </xdr:pic>
    <xdr:clientData/>
  </xdr:twoCellAnchor>
  <xdr:twoCellAnchor editAs="oneCell">
    <xdr:from>
      <xdr:col>19</xdr:col>
      <xdr:colOff>40640</xdr:colOff>
      <xdr:row>15</xdr:row>
      <xdr:rowOff>0</xdr:rowOff>
    </xdr:from>
    <xdr:to>
      <xdr:col>26</xdr:col>
      <xdr:colOff>21591</xdr:colOff>
      <xdr:row>24</xdr:row>
      <xdr:rowOff>296619</xdr:rowOff>
    </xdr:to>
    <xdr:pic>
      <xdr:nvPicPr>
        <xdr:cNvPr id="3" name="图片 2"/>
        <xdr:cNvPicPr>
          <a:picLocks noChangeAspect="1"/>
        </xdr:cNvPicPr>
      </xdr:nvPicPr>
      <xdr:blipFill>
        <a:blip r:embed="rId2" cstate="print"/>
        <a:stretch>
          <a:fillRect/>
        </a:stretch>
      </xdr:blipFill>
      <xdr:spPr>
        <a:xfrm>
          <a:off x="17274540" y="6800850"/>
          <a:ext cx="6235065" cy="2353945"/>
        </a:xfrm>
        <a:prstGeom prst="rect">
          <a:avLst/>
        </a:prstGeom>
        <a:noFill/>
        <a:ln w="9525">
          <a:noFill/>
        </a:ln>
      </xdr:spPr>
    </xdr:pic>
    <xdr:clientData/>
  </xdr:twoCellAnchor>
  <xdr:twoCellAnchor editAs="oneCell">
    <xdr:from>
      <xdr:col>19</xdr:col>
      <xdr:colOff>10160</xdr:colOff>
      <xdr:row>23</xdr:row>
      <xdr:rowOff>5080</xdr:rowOff>
    </xdr:from>
    <xdr:to>
      <xdr:col>30</xdr:col>
      <xdr:colOff>7621</xdr:colOff>
      <xdr:row>54</xdr:row>
      <xdr:rowOff>75977</xdr:rowOff>
    </xdr:to>
    <xdr:pic>
      <xdr:nvPicPr>
        <xdr:cNvPr id="4" name="图片 3" descr="新容积率"/>
        <xdr:cNvPicPr>
          <a:picLocks noChangeAspect="1"/>
        </xdr:cNvPicPr>
      </xdr:nvPicPr>
      <xdr:blipFill>
        <a:blip r:embed="rId3" cstate="print"/>
        <a:stretch>
          <a:fillRect/>
        </a:stretch>
      </xdr:blipFill>
      <xdr:spPr>
        <a:xfrm>
          <a:off x="17244060" y="8520430"/>
          <a:ext cx="9825355" cy="624268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126233</xdr:colOff>
      <xdr:row>86</xdr:row>
      <xdr:rowOff>142875</xdr:rowOff>
    </xdr:from>
    <xdr:to>
      <xdr:col>9</xdr:col>
      <xdr:colOff>503417</xdr:colOff>
      <xdr:row>107</xdr:row>
      <xdr:rowOff>46871</xdr:rowOff>
    </xdr:to>
    <xdr:pic>
      <xdr:nvPicPr>
        <xdr:cNvPr id="2" name="图片 1"/>
        <xdr:cNvPicPr>
          <a:picLocks noChangeAspect="1"/>
        </xdr:cNvPicPr>
      </xdr:nvPicPr>
      <xdr:blipFill>
        <a:blip r:embed="rId1"/>
        <a:stretch>
          <a:fillRect/>
        </a:stretch>
      </xdr:blipFill>
      <xdr:spPr>
        <a:xfrm>
          <a:off x="125730" y="14887575"/>
          <a:ext cx="6549390" cy="3503930"/>
        </a:xfrm>
        <a:prstGeom prst="rect">
          <a:avLst/>
        </a:prstGeom>
      </xdr:spPr>
    </xdr:pic>
    <xdr:clientData/>
  </xdr:twoCellAnchor>
  <xdr:twoCellAnchor editAs="oneCell">
    <xdr:from>
      <xdr:col>0</xdr:col>
      <xdr:colOff>47625</xdr:colOff>
      <xdr:row>27</xdr:row>
      <xdr:rowOff>114300</xdr:rowOff>
    </xdr:from>
    <xdr:to>
      <xdr:col>7</xdr:col>
      <xdr:colOff>610195</xdr:colOff>
      <xdr:row>54</xdr:row>
      <xdr:rowOff>38100</xdr:rowOff>
    </xdr:to>
    <xdr:pic>
      <xdr:nvPicPr>
        <xdr:cNvPr id="3" name="图片 2"/>
        <xdr:cNvPicPr>
          <a:picLocks noChangeAspect="1"/>
        </xdr:cNvPicPr>
      </xdr:nvPicPr>
      <xdr:blipFill>
        <a:blip r:embed="rId2"/>
        <a:stretch>
          <a:fillRect/>
        </a:stretch>
      </xdr:blipFill>
      <xdr:spPr>
        <a:xfrm>
          <a:off x="47625" y="4743450"/>
          <a:ext cx="5362575" cy="4552950"/>
        </a:xfrm>
        <a:prstGeom prst="rect">
          <a:avLst/>
        </a:prstGeom>
      </xdr:spPr>
    </xdr:pic>
    <xdr:clientData/>
  </xdr:twoCellAnchor>
  <xdr:twoCellAnchor editAs="oneCell">
    <xdr:from>
      <xdr:col>7</xdr:col>
      <xdr:colOff>571499</xdr:colOff>
      <xdr:row>27</xdr:row>
      <xdr:rowOff>85725</xdr:rowOff>
    </xdr:from>
    <xdr:to>
      <xdr:col>16</xdr:col>
      <xdr:colOff>160873</xdr:colOff>
      <xdr:row>54</xdr:row>
      <xdr:rowOff>82799</xdr:rowOff>
    </xdr:to>
    <xdr:pic>
      <xdr:nvPicPr>
        <xdr:cNvPr id="4" name="图片 3"/>
        <xdr:cNvPicPr>
          <a:picLocks noChangeAspect="1"/>
        </xdr:cNvPicPr>
      </xdr:nvPicPr>
      <xdr:blipFill>
        <a:blip r:embed="rId3"/>
        <a:stretch>
          <a:fillRect/>
        </a:stretch>
      </xdr:blipFill>
      <xdr:spPr>
        <a:xfrm>
          <a:off x="5371465" y="4714875"/>
          <a:ext cx="5761990" cy="4625975"/>
        </a:xfrm>
        <a:prstGeom prst="rect">
          <a:avLst/>
        </a:prstGeom>
      </xdr:spPr>
    </xdr:pic>
    <xdr:clientData/>
  </xdr:twoCellAnchor>
  <xdr:twoCellAnchor editAs="oneCell">
    <xdr:from>
      <xdr:col>0</xdr:col>
      <xdr:colOff>1</xdr:colOff>
      <xdr:row>57</xdr:row>
      <xdr:rowOff>1</xdr:rowOff>
    </xdr:from>
    <xdr:to>
      <xdr:col>8</xdr:col>
      <xdr:colOff>123825</xdr:colOff>
      <xdr:row>85</xdr:row>
      <xdr:rowOff>54771</xdr:rowOff>
    </xdr:to>
    <xdr:pic>
      <xdr:nvPicPr>
        <xdr:cNvPr id="5" name="图片 4"/>
        <xdr:cNvPicPr>
          <a:picLocks noChangeAspect="1"/>
        </xdr:cNvPicPr>
      </xdr:nvPicPr>
      <xdr:blipFill>
        <a:blip r:embed="rId4"/>
        <a:stretch>
          <a:fillRect/>
        </a:stretch>
      </xdr:blipFill>
      <xdr:spPr>
        <a:xfrm>
          <a:off x="0" y="9772650"/>
          <a:ext cx="5610225" cy="4855210"/>
        </a:xfrm>
        <a:prstGeom prst="rect">
          <a:avLst/>
        </a:prstGeom>
      </xdr:spPr>
    </xdr:pic>
    <xdr:clientData/>
  </xdr:twoCellAnchor>
  <xdr:twoCellAnchor editAs="oneCell">
    <xdr:from>
      <xdr:col>8</xdr:col>
      <xdr:colOff>219075</xdr:colOff>
      <xdr:row>56</xdr:row>
      <xdr:rowOff>95251</xdr:rowOff>
    </xdr:from>
    <xdr:to>
      <xdr:col>18</xdr:col>
      <xdr:colOff>286874</xdr:colOff>
      <xdr:row>88</xdr:row>
      <xdr:rowOff>1</xdr:rowOff>
    </xdr:to>
    <xdr:pic>
      <xdr:nvPicPr>
        <xdr:cNvPr id="6" name="图片 5"/>
        <xdr:cNvPicPr>
          <a:picLocks noChangeAspect="1"/>
        </xdr:cNvPicPr>
      </xdr:nvPicPr>
      <xdr:blipFill>
        <a:blip r:embed="rId5"/>
        <a:stretch>
          <a:fillRect/>
        </a:stretch>
      </xdr:blipFill>
      <xdr:spPr>
        <a:xfrm>
          <a:off x="5705475" y="9696450"/>
          <a:ext cx="6925310" cy="5391150"/>
        </a:xfrm>
        <a:prstGeom prst="rect">
          <a:avLst/>
        </a:prstGeom>
      </xdr:spPr>
    </xdr:pic>
    <xdr:clientData/>
  </xdr:twoCellAnchor>
  <xdr:twoCellAnchor editAs="oneCell">
    <xdr:from>
      <xdr:col>6</xdr:col>
      <xdr:colOff>1</xdr:colOff>
      <xdr:row>0</xdr:row>
      <xdr:rowOff>1</xdr:rowOff>
    </xdr:from>
    <xdr:to>
      <xdr:col>15</xdr:col>
      <xdr:colOff>514351</xdr:colOff>
      <xdr:row>24</xdr:row>
      <xdr:rowOff>95251</xdr:rowOff>
    </xdr:to>
    <xdr:pic>
      <xdr:nvPicPr>
        <xdr:cNvPr id="7" name="图片 6"/>
        <xdr:cNvPicPr>
          <a:picLocks noChangeAspect="1"/>
        </xdr:cNvPicPr>
      </xdr:nvPicPr>
      <xdr:blipFill>
        <a:blip r:embed="rId6"/>
        <a:stretch>
          <a:fillRect/>
        </a:stretch>
      </xdr:blipFill>
      <xdr:spPr>
        <a:xfrm>
          <a:off x="4114800" y="0"/>
          <a:ext cx="6686550" cy="4210050"/>
        </a:xfrm>
        <a:prstGeom prst="rect">
          <a:avLst/>
        </a:prstGeom>
      </xdr:spPr>
    </xdr:pic>
    <xdr:clientData/>
  </xdr:twoCellAnchor>
  <xdr:twoCellAnchor editAs="oneCell">
    <xdr:from>
      <xdr:col>15</xdr:col>
      <xdr:colOff>552450</xdr:colOff>
      <xdr:row>0</xdr:row>
      <xdr:rowOff>95250</xdr:rowOff>
    </xdr:from>
    <xdr:to>
      <xdr:col>23</xdr:col>
      <xdr:colOff>254577</xdr:colOff>
      <xdr:row>24</xdr:row>
      <xdr:rowOff>57150</xdr:rowOff>
    </xdr:to>
    <xdr:pic>
      <xdr:nvPicPr>
        <xdr:cNvPr id="8" name="图片 7"/>
        <xdr:cNvPicPr>
          <a:picLocks noChangeAspect="1"/>
        </xdr:cNvPicPr>
      </xdr:nvPicPr>
      <xdr:blipFill>
        <a:blip r:embed="rId7"/>
        <a:stretch>
          <a:fillRect/>
        </a:stretch>
      </xdr:blipFill>
      <xdr:spPr>
        <a:xfrm>
          <a:off x="10839450" y="95250"/>
          <a:ext cx="5187950" cy="4076700"/>
        </a:xfrm>
        <a:prstGeom prst="rect">
          <a:avLst/>
        </a:prstGeom>
      </xdr:spPr>
    </xdr:pic>
    <xdr:clientData/>
  </xdr:twoCellAnchor>
  <xdr:twoCellAnchor editAs="oneCell">
    <xdr:from>
      <xdr:col>23</xdr:col>
      <xdr:colOff>342900</xdr:colOff>
      <xdr:row>0</xdr:row>
      <xdr:rowOff>25094</xdr:rowOff>
    </xdr:from>
    <xdr:to>
      <xdr:col>29</xdr:col>
      <xdr:colOff>246659</xdr:colOff>
      <xdr:row>21</xdr:row>
      <xdr:rowOff>18163</xdr:rowOff>
    </xdr:to>
    <xdr:pic>
      <xdr:nvPicPr>
        <xdr:cNvPr id="9" name="图片 8"/>
        <xdr:cNvPicPr>
          <a:picLocks noChangeAspect="1"/>
        </xdr:cNvPicPr>
      </xdr:nvPicPr>
      <xdr:blipFill>
        <a:blip r:embed="rId8"/>
        <a:stretch>
          <a:fillRect/>
        </a:stretch>
      </xdr:blipFill>
      <xdr:spPr>
        <a:xfrm>
          <a:off x="16116300" y="24765"/>
          <a:ext cx="4018280" cy="3593465"/>
        </a:xfrm>
        <a:prstGeom prst="rect">
          <a:avLst/>
        </a:prstGeom>
      </xdr:spPr>
    </xdr:pic>
    <xdr:clientData/>
  </xdr:twoCellAnchor>
  <xdr:twoCellAnchor editAs="oneCell">
    <xdr:from>
      <xdr:col>0</xdr:col>
      <xdr:colOff>295275</xdr:colOff>
      <xdr:row>108</xdr:row>
      <xdr:rowOff>123825</xdr:rowOff>
    </xdr:from>
    <xdr:to>
      <xdr:col>13</xdr:col>
      <xdr:colOff>398923</xdr:colOff>
      <xdr:row>156</xdr:row>
      <xdr:rowOff>141844</xdr:rowOff>
    </xdr:to>
    <xdr:pic>
      <xdr:nvPicPr>
        <xdr:cNvPr id="10" name="图片 9"/>
        <xdr:cNvPicPr>
          <a:picLocks noChangeAspect="1"/>
        </xdr:cNvPicPr>
      </xdr:nvPicPr>
      <xdr:blipFill>
        <a:blip r:embed="rId9"/>
        <a:stretch>
          <a:fillRect/>
        </a:stretch>
      </xdr:blipFill>
      <xdr:spPr>
        <a:xfrm>
          <a:off x="295275" y="18640425"/>
          <a:ext cx="9018905" cy="824738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408940</xdr:colOff>
      <xdr:row>1</xdr:row>
      <xdr:rowOff>16510</xdr:rowOff>
    </xdr:from>
    <xdr:to>
      <xdr:col>10</xdr:col>
      <xdr:colOff>181610</xdr:colOff>
      <xdr:row>24</xdr:row>
      <xdr:rowOff>120015</xdr:rowOff>
    </xdr:to>
    <xdr:pic>
      <xdr:nvPicPr>
        <xdr:cNvPr id="2" name="图片 1"/>
        <xdr:cNvPicPr>
          <a:picLocks noChangeAspect="1"/>
        </xdr:cNvPicPr>
      </xdr:nvPicPr>
      <xdr:blipFill>
        <a:blip r:embed="rId1" cstate="print"/>
        <a:stretch>
          <a:fillRect/>
        </a:stretch>
      </xdr:blipFill>
      <xdr:spPr>
        <a:xfrm>
          <a:off x="408940" y="187960"/>
          <a:ext cx="6630670" cy="4046855"/>
        </a:xfrm>
        <a:prstGeom prst="rect">
          <a:avLst/>
        </a:prstGeom>
        <a:noFill/>
        <a:ln w="9525">
          <a:noFill/>
        </a:ln>
      </xdr:spPr>
    </xdr:pic>
    <xdr:clientData/>
  </xdr:twoCellAnchor>
  <xdr:twoCellAnchor editAs="oneCell">
    <xdr:from>
      <xdr:col>0</xdr:col>
      <xdr:colOff>381000</xdr:colOff>
      <xdr:row>25</xdr:row>
      <xdr:rowOff>131445</xdr:rowOff>
    </xdr:from>
    <xdr:to>
      <xdr:col>10</xdr:col>
      <xdr:colOff>153670</xdr:colOff>
      <xdr:row>53</xdr:row>
      <xdr:rowOff>123825</xdr:rowOff>
    </xdr:to>
    <xdr:pic>
      <xdr:nvPicPr>
        <xdr:cNvPr id="3" name="图片 2"/>
        <xdr:cNvPicPr>
          <a:picLocks noChangeAspect="1"/>
        </xdr:cNvPicPr>
      </xdr:nvPicPr>
      <xdr:blipFill>
        <a:blip r:embed="rId2" cstate="print"/>
        <a:stretch>
          <a:fillRect/>
        </a:stretch>
      </xdr:blipFill>
      <xdr:spPr>
        <a:xfrm>
          <a:off x="381000" y="4417695"/>
          <a:ext cx="6630670" cy="4792980"/>
        </a:xfrm>
        <a:prstGeom prst="rect">
          <a:avLst/>
        </a:prstGeom>
        <a:noFill/>
        <a:ln w="9525">
          <a:noFill/>
        </a:ln>
      </xdr:spPr>
    </xdr:pic>
    <xdr:clientData/>
  </xdr:twoCellAnchor>
  <xdr:twoCellAnchor editAs="oneCell">
    <xdr:from>
      <xdr:col>0</xdr:col>
      <xdr:colOff>419100</xdr:colOff>
      <xdr:row>54</xdr:row>
      <xdr:rowOff>143510</xdr:rowOff>
    </xdr:from>
    <xdr:to>
      <xdr:col>10</xdr:col>
      <xdr:colOff>143510</xdr:colOff>
      <xdr:row>83</xdr:row>
      <xdr:rowOff>85725</xdr:rowOff>
    </xdr:to>
    <xdr:pic>
      <xdr:nvPicPr>
        <xdr:cNvPr id="4" name="图片 3"/>
        <xdr:cNvPicPr>
          <a:picLocks noChangeAspect="1"/>
        </xdr:cNvPicPr>
      </xdr:nvPicPr>
      <xdr:blipFill>
        <a:blip r:embed="rId3" cstate="print"/>
        <a:stretch>
          <a:fillRect/>
        </a:stretch>
      </xdr:blipFill>
      <xdr:spPr>
        <a:xfrm>
          <a:off x="419100" y="9401810"/>
          <a:ext cx="6582410" cy="4914265"/>
        </a:xfrm>
        <a:prstGeom prst="rect">
          <a:avLst/>
        </a:prstGeom>
        <a:noFill/>
        <a:ln w="9525">
          <a:noFill/>
        </a:ln>
      </xdr:spPr>
    </xdr:pic>
    <xdr:clientData/>
  </xdr:twoCellAnchor>
  <xdr:twoCellAnchor editAs="oneCell">
    <xdr:from>
      <xdr:col>0</xdr:col>
      <xdr:colOff>371475</xdr:colOff>
      <xdr:row>84</xdr:row>
      <xdr:rowOff>75565</xdr:rowOff>
    </xdr:from>
    <xdr:to>
      <xdr:col>10</xdr:col>
      <xdr:colOff>116205</xdr:colOff>
      <xdr:row>117</xdr:row>
      <xdr:rowOff>71755</xdr:rowOff>
    </xdr:to>
    <xdr:pic>
      <xdr:nvPicPr>
        <xdr:cNvPr id="5" name="图片 4"/>
        <xdr:cNvPicPr>
          <a:picLocks noChangeAspect="1"/>
        </xdr:cNvPicPr>
      </xdr:nvPicPr>
      <xdr:blipFill>
        <a:blip r:embed="rId4" cstate="print"/>
        <a:stretch>
          <a:fillRect/>
        </a:stretch>
      </xdr:blipFill>
      <xdr:spPr>
        <a:xfrm>
          <a:off x="371475" y="14477365"/>
          <a:ext cx="6602730" cy="5654040"/>
        </a:xfrm>
        <a:prstGeom prst="rect">
          <a:avLst/>
        </a:prstGeom>
        <a:noFill/>
        <a:ln w="9525">
          <a:noFill/>
        </a:ln>
      </xdr:spPr>
    </xdr:pic>
    <xdr:clientData/>
  </xdr:twoCellAnchor>
  <xdr:twoCellAnchor editAs="oneCell">
    <xdr:from>
      <xdr:col>0</xdr:col>
      <xdr:colOff>419100</xdr:colOff>
      <xdr:row>118</xdr:row>
      <xdr:rowOff>104775</xdr:rowOff>
    </xdr:from>
    <xdr:to>
      <xdr:col>10</xdr:col>
      <xdr:colOff>86360</xdr:colOff>
      <xdr:row>150</xdr:row>
      <xdr:rowOff>0</xdr:rowOff>
    </xdr:to>
    <xdr:pic>
      <xdr:nvPicPr>
        <xdr:cNvPr id="6" name="图片 5"/>
        <xdr:cNvPicPr>
          <a:picLocks noChangeAspect="1"/>
        </xdr:cNvPicPr>
      </xdr:nvPicPr>
      <xdr:blipFill>
        <a:blip r:embed="rId5" cstate="print"/>
        <a:stretch>
          <a:fillRect/>
        </a:stretch>
      </xdr:blipFill>
      <xdr:spPr>
        <a:xfrm>
          <a:off x="419100" y="20335875"/>
          <a:ext cx="6525260" cy="5381625"/>
        </a:xfrm>
        <a:prstGeom prst="rect">
          <a:avLst/>
        </a:prstGeom>
        <a:noFill/>
        <a:ln w="9525">
          <a:noFill/>
        </a:ln>
      </xdr:spPr>
    </xdr:pic>
    <xdr:clientData/>
  </xdr:twoCellAnchor>
  <xdr:twoCellAnchor editAs="oneCell">
    <xdr:from>
      <xdr:col>0</xdr:col>
      <xdr:colOff>466725</xdr:colOff>
      <xdr:row>150</xdr:row>
      <xdr:rowOff>170815</xdr:rowOff>
    </xdr:from>
    <xdr:to>
      <xdr:col>10</xdr:col>
      <xdr:colOff>173355</xdr:colOff>
      <xdr:row>182</xdr:row>
      <xdr:rowOff>47625</xdr:rowOff>
    </xdr:to>
    <xdr:pic>
      <xdr:nvPicPr>
        <xdr:cNvPr id="7" name="图片 6"/>
        <xdr:cNvPicPr>
          <a:picLocks noChangeAspect="1"/>
        </xdr:cNvPicPr>
      </xdr:nvPicPr>
      <xdr:blipFill>
        <a:blip r:embed="rId6" cstate="print"/>
        <a:stretch>
          <a:fillRect/>
        </a:stretch>
      </xdr:blipFill>
      <xdr:spPr>
        <a:xfrm>
          <a:off x="466725" y="25888315"/>
          <a:ext cx="6564630" cy="5363210"/>
        </a:xfrm>
        <a:prstGeom prst="rect">
          <a:avLst/>
        </a:prstGeom>
        <a:noFill/>
        <a:ln w="9525">
          <a:noFill/>
        </a:ln>
      </xdr:spPr>
    </xdr:pic>
    <xdr:clientData/>
  </xdr:twoCellAnchor>
  <xdr:twoCellAnchor editAs="oneCell">
    <xdr:from>
      <xdr:col>0</xdr:col>
      <xdr:colOff>466725</xdr:colOff>
      <xdr:row>183</xdr:row>
      <xdr:rowOff>20955</xdr:rowOff>
    </xdr:from>
    <xdr:to>
      <xdr:col>10</xdr:col>
      <xdr:colOff>148590</xdr:colOff>
      <xdr:row>211</xdr:row>
      <xdr:rowOff>76200</xdr:rowOff>
    </xdr:to>
    <xdr:pic>
      <xdr:nvPicPr>
        <xdr:cNvPr id="8" name="图片 7"/>
        <xdr:cNvPicPr>
          <a:picLocks noChangeAspect="1"/>
        </xdr:cNvPicPr>
      </xdr:nvPicPr>
      <xdr:blipFill>
        <a:blip r:embed="rId7" cstate="print"/>
        <a:stretch>
          <a:fillRect/>
        </a:stretch>
      </xdr:blipFill>
      <xdr:spPr>
        <a:xfrm>
          <a:off x="466725" y="31396305"/>
          <a:ext cx="6539865" cy="4855845"/>
        </a:xfrm>
        <a:prstGeom prst="rect">
          <a:avLst/>
        </a:prstGeom>
        <a:noFill/>
        <a:ln w="9525">
          <a:noFill/>
        </a:ln>
      </xdr:spPr>
    </xdr:pic>
    <xdr:clientData/>
  </xdr:twoCellAnchor>
  <xdr:twoCellAnchor editAs="oneCell">
    <xdr:from>
      <xdr:col>0</xdr:col>
      <xdr:colOff>438150</xdr:colOff>
      <xdr:row>211</xdr:row>
      <xdr:rowOff>123825</xdr:rowOff>
    </xdr:from>
    <xdr:to>
      <xdr:col>10</xdr:col>
      <xdr:colOff>143510</xdr:colOff>
      <xdr:row>243</xdr:row>
      <xdr:rowOff>161925</xdr:rowOff>
    </xdr:to>
    <xdr:pic>
      <xdr:nvPicPr>
        <xdr:cNvPr id="9" name="图片 8"/>
        <xdr:cNvPicPr>
          <a:picLocks noChangeAspect="1"/>
        </xdr:cNvPicPr>
      </xdr:nvPicPr>
      <xdr:blipFill>
        <a:blip r:embed="rId8" cstate="print"/>
        <a:stretch>
          <a:fillRect/>
        </a:stretch>
      </xdr:blipFill>
      <xdr:spPr>
        <a:xfrm>
          <a:off x="438150" y="36299775"/>
          <a:ext cx="6563360" cy="5524500"/>
        </a:xfrm>
        <a:prstGeom prst="rect">
          <a:avLst/>
        </a:prstGeom>
        <a:noFill/>
        <a:ln w="9525">
          <a:noFill/>
        </a:ln>
      </xdr:spPr>
    </xdr:pic>
    <xdr:clientData/>
  </xdr:twoCellAnchor>
  <xdr:twoCellAnchor editAs="oneCell">
    <xdr:from>
      <xdr:col>0</xdr:col>
      <xdr:colOff>447675</xdr:colOff>
      <xdr:row>244</xdr:row>
      <xdr:rowOff>113665</xdr:rowOff>
    </xdr:from>
    <xdr:to>
      <xdr:col>10</xdr:col>
      <xdr:colOff>222885</xdr:colOff>
      <xdr:row>274</xdr:row>
      <xdr:rowOff>152400</xdr:rowOff>
    </xdr:to>
    <xdr:pic>
      <xdr:nvPicPr>
        <xdr:cNvPr id="10" name="图片 9"/>
        <xdr:cNvPicPr>
          <a:picLocks noChangeAspect="1"/>
        </xdr:cNvPicPr>
      </xdr:nvPicPr>
      <xdr:blipFill>
        <a:blip r:embed="rId9" cstate="print"/>
        <a:stretch>
          <a:fillRect/>
        </a:stretch>
      </xdr:blipFill>
      <xdr:spPr>
        <a:xfrm>
          <a:off x="447675" y="41947465"/>
          <a:ext cx="6633210" cy="5182235"/>
        </a:xfrm>
        <a:prstGeom prst="rect">
          <a:avLst/>
        </a:prstGeom>
        <a:noFill/>
        <a:ln w="9525">
          <a:noFill/>
        </a:ln>
      </xdr:spPr>
    </xdr:pic>
    <xdr:clientData/>
  </xdr:twoCellAnchor>
  <xdr:twoCellAnchor editAs="oneCell">
    <xdr:from>
      <xdr:col>0</xdr:col>
      <xdr:colOff>400685</xdr:colOff>
      <xdr:row>275</xdr:row>
      <xdr:rowOff>142240</xdr:rowOff>
    </xdr:from>
    <xdr:to>
      <xdr:col>10</xdr:col>
      <xdr:colOff>228600</xdr:colOff>
      <xdr:row>304</xdr:row>
      <xdr:rowOff>161925</xdr:rowOff>
    </xdr:to>
    <xdr:pic>
      <xdr:nvPicPr>
        <xdr:cNvPr id="11" name="图片 10"/>
        <xdr:cNvPicPr>
          <a:picLocks noChangeAspect="1"/>
        </xdr:cNvPicPr>
      </xdr:nvPicPr>
      <xdr:blipFill>
        <a:blip r:embed="rId10" cstate="print"/>
        <a:stretch>
          <a:fillRect/>
        </a:stretch>
      </xdr:blipFill>
      <xdr:spPr>
        <a:xfrm>
          <a:off x="400685" y="47290990"/>
          <a:ext cx="6685915" cy="4991735"/>
        </a:xfrm>
        <a:prstGeom prst="rect">
          <a:avLst/>
        </a:prstGeom>
        <a:noFill/>
        <a:ln w="9525">
          <a:noFill/>
        </a:ln>
      </xdr:spPr>
    </xdr:pic>
    <xdr:clientData/>
  </xdr:twoCellAnchor>
  <xdr:twoCellAnchor editAs="oneCell">
    <xdr:from>
      <xdr:col>0</xdr:col>
      <xdr:colOff>476250</xdr:colOff>
      <xdr:row>306</xdr:row>
      <xdr:rowOff>85725</xdr:rowOff>
    </xdr:from>
    <xdr:to>
      <xdr:col>12</xdr:col>
      <xdr:colOff>314325</xdr:colOff>
      <xdr:row>338</xdr:row>
      <xdr:rowOff>85725</xdr:rowOff>
    </xdr:to>
    <xdr:pic>
      <xdr:nvPicPr>
        <xdr:cNvPr id="12" name="图片 11"/>
        <xdr:cNvPicPr>
          <a:picLocks noChangeAspect="1"/>
        </xdr:cNvPicPr>
      </xdr:nvPicPr>
      <xdr:blipFill>
        <a:blip r:embed="rId11" cstate="print"/>
        <a:stretch>
          <a:fillRect/>
        </a:stretch>
      </xdr:blipFill>
      <xdr:spPr>
        <a:xfrm>
          <a:off x="476250" y="52549425"/>
          <a:ext cx="8067675" cy="5486400"/>
        </a:xfrm>
        <a:prstGeom prst="rect">
          <a:avLst/>
        </a:prstGeom>
        <a:noFill/>
        <a:ln w="9525">
          <a:noFill/>
        </a:ln>
      </xdr:spPr>
    </xdr:pic>
    <xdr:clientData/>
  </xdr:twoCellAnchor>
  <xdr:twoCellAnchor editAs="oneCell">
    <xdr:from>
      <xdr:col>10</xdr:col>
      <xdr:colOff>542925</xdr:colOff>
      <xdr:row>286</xdr:row>
      <xdr:rowOff>0</xdr:rowOff>
    </xdr:from>
    <xdr:to>
      <xdr:col>18</xdr:col>
      <xdr:colOff>47625</xdr:colOff>
      <xdr:row>297</xdr:row>
      <xdr:rowOff>133350</xdr:rowOff>
    </xdr:to>
    <xdr:pic>
      <xdr:nvPicPr>
        <xdr:cNvPr id="13" name="图片 12"/>
        <xdr:cNvPicPr>
          <a:picLocks noChangeAspect="1"/>
        </xdr:cNvPicPr>
      </xdr:nvPicPr>
      <xdr:blipFill>
        <a:blip r:embed="rId12" cstate="print"/>
        <a:stretch>
          <a:fillRect/>
        </a:stretch>
      </xdr:blipFill>
      <xdr:spPr>
        <a:xfrm>
          <a:off x="7400925" y="49034700"/>
          <a:ext cx="4991100" cy="201930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273840</xdr:colOff>
      <xdr:row>0</xdr:row>
      <xdr:rowOff>57150</xdr:rowOff>
    </xdr:from>
    <xdr:to>
      <xdr:col>8</xdr:col>
      <xdr:colOff>38099</xdr:colOff>
      <xdr:row>19</xdr:row>
      <xdr:rowOff>78148</xdr:rowOff>
    </xdr:to>
    <xdr:pic>
      <xdr:nvPicPr>
        <xdr:cNvPr id="2" name="图片 1"/>
        <xdr:cNvPicPr>
          <a:picLocks noChangeAspect="1"/>
        </xdr:cNvPicPr>
      </xdr:nvPicPr>
      <xdr:blipFill>
        <a:blip r:embed="rId1"/>
        <a:stretch>
          <a:fillRect/>
        </a:stretch>
      </xdr:blipFill>
      <xdr:spPr>
        <a:xfrm>
          <a:off x="273685" y="57150"/>
          <a:ext cx="5748655" cy="3278505"/>
        </a:xfrm>
        <a:prstGeom prst="rect">
          <a:avLst/>
        </a:prstGeom>
      </xdr:spPr>
    </xdr:pic>
    <xdr:clientData/>
  </xdr:twoCellAnchor>
  <xdr:twoCellAnchor editAs="oneCell">
    <xdr:from>
      <xdr:col>8</xdr:col>
      <xdr:colOff>123825</xdr:colOff>
      <xdr:row>0</xdr:row>
      <xdr:rowOff>45392</xdr:rowOff>
    </xdr:from>
    <xdr:to>
      <xdr:col>16</xdr:col>
      <xdr:colOff>332217</xdr:colOff>
      <xdr:row>23</xdr:row>
      <xdr:rowOff>104023</xdr:rowOff>
    </xdr:to>
    <xdr:pic>
      <xdr:nvPicPr>
        <xdr:cNvPr id="3" name="图片 2"/>
        <xdr:cNvPicPr>
          <a:picLocks noChangeAspect="1"/>
        </xdr:cNvPicPr>
      </xdr:nvPicPr>
      <xdr:blipFill>
        <a:blip r:embed="rId2"/>
        <a:stretch>
          <a:fillRect/>
        </a:stretch>
      </xdr:blipFill>
      <xdr:spPr>
        <a:xfrm>
          <a:off x="6108700" y="45085"/>
          <a:ext cx="6172200" cy="4001770"/>
        </a:xfrm>
        <a:prstGeom prst="rect">
          <a:avLst/>
        </a:prstGeom>
      </xdr:spPr>
    </xdr:pic>
    <xdr:clientData/>
  </xdr:twoCellAnchor>
  <xdr:twoCellAnchor editAs="oneCell">
    <xdr:from>
      <xdr:col>8</xdr:col>
      <xdr:colOff>149947</xdr:colOff>
      <xdr:row>23</xdr:row>
      <xdr:rowOff>28574</xdr:rowOff>
    </xdr:from>
    <xdr:to>
      <xdr:col>16</xdr:col>
      <xdr:colOff>408425</xdr:colOff>
      <xdr:row>53</xdr:row>
      <xdr:rowOff>37147</xdr:rowOff>
    </xdr:to>
    <xdr:pic>
      <xdr:nvPicPr>
        <xdr:cNvPr id="4" name="图片 3"/>
        <xdr:cNvPicPr>
          <a:picLocks noChangeAspect="1"/>
        </xdr:cNvPicPr>
      </xdr:nvPicPr>
      <xdr:blipFill>
        <a:blip r:embed="rId3"/>
        <a:stretch>
          <a:fillRect/>
        </a:stretch>
      </xdr:blipFill>
      <xdr:spPr>
        <a:xfrm>
          <a:off x="6134735" y="3971290"/>
          <a:ext cx="6222365" cy="5152390"/>
        </a:xfrm>
        <a:prstGeom prst="rect">
          <a:avLst/>
        </a:prstGeom>
      </xdr:spPr>
    </xdr:pic>
    <xdr:clientData/>
  </xdr:twoCellAnchor>
  <xdr:twoCellAnchor editAs="oneCell">
    <xdr:from>
      <xdr:col>0</xdr:col>
      <xdr:colOff>333374</xdr:colOff>
      <xdr:row>20</xdr:row>
      <xdr:rowOff>40303</xdr:rowOff>
    </xdr:from>
    <xdr:to>
      <xdr:col>8</xdr:col>
      <xdr:colOff>109202</xdr:colOff>
      <xdr:row>37</xdr:row>
      <xdr:rowOff>142875</xdr:rowOff>
    </xdr:to>
    <xdr:pic>
      <xdr:nvPicPr>
        <xdr:cNvPr id="5" name="图片 4"/>
        <xdr:cNvPicPr>
          <a:picLocks noChangeAspect="1"/>
        </xdr:cNvPicPr>
      </xdr:nvPicPr>
      <xdr:blipFill>
        <a:blip r:embed="rId4"/>
        <a:stretch>
          <a:fillRect/>
        </a:stretch>
      </xdr:blipFill>
      <xdr:spPr>
        <a:xfrm>
          <a:off x="332740" y="3469005"/>
          <a:ext cx="5760720" cy="3017520"/>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xdr:cNvPicPr>
          <a:picLocks noChangeAspect="1"/>
        </xdr:cNvPicPr>
      </xdr:nvPicPr>
      <xdr:blipFill>
        <a:blip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xdr:cNvPicPr>
          <a:picLocks noChangeAspect="1"/>
        </xdr:cNvPicPr>
      </xdr:nvPicPr>
      <xdr:blipFill>
        <a:blip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xdr:cNvPicPr>
          <a:picLocks noChangeAspect="1"/>
        </xdr:cNvPicPr>
      </xdr:nvPicPr>
      <xdr:blipFill>
        <a:blip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19050</xdr:colOff>
      <xdr:row>1</xdr:row>
      <xdr:rowOff>76200</xdr:rowOff>
    </xdr:from>
    <xdr:to>
      <xdr:col>11</xdr:col>
      <xdr:colOff>333375</xdr:colOff>
      <xdr:row>24</xdr:row>
      <xdr:rowOff>25400</xdr:rowOff>
    </xdr:to>
    <xdr:pic>
      <xdr:nvPicPr>
        <xdr:cNvPr id="2" name="图片 1"/>
        <xdr:cNvPicPr>
          <a:picLocks noChangeAspect="1"/>
        </xdr:cNvPicPr>
      </xdr:nvPicPr>
      <xdr:blipFill>
        <a:blip r:embed="rId1" cstate="print"/>
        <a:stretch>
          <a:fillRect/>
        </a:stretch>
      </xdr:blipFill>
      <xdr:spPr>
        <a:xfrm>
          <a:off x="704850" y="247650"/>
          <a:ext cx="7172325" cy="3892550"/>
        </a:xfrm>
        <a:prstGeom prst="rect">
          <a:avLst/>
        </a:prstGeom>
        <a:noFill/>
        <a:ln w="9525">
          <a:noFill/>
        </a:ln>
      </xdr:spPr>
    </xdr:pic>
    <xdr:clientData/>
  </xdr:twoCellAnchor>
  <xdr:twoCellAnchor editAs="oneCell">
    <xdr:from>
      <xdr:col>1</xdr:col>
      <xdr:colOff>1270</xdr:colOff>
      <xdr:row>26</xdr:row>
      <xdr:rowOff>9525</xdr:rowOff>
    </xdr:from>
    <xdr:to>
      <xdr:col>11</xdr:col>
      <xdr:colOff>290830</xdr:colOff>
      <xdr:row>48</xdr:row>
      <xdr:rowOff>134620</xdr:rowOff>
    </xdr:to>
    <xdr:pic>
      <xdr:nvPicPr>
        <xdr:cNvPr id="3" name="图片 2"/>
        <xdr:cNvPicPr>
          <a:picLocks noChangeAspect="1"/>
        </xdr:cNvPicPr>
      </xdr:nvPicPr>
      <xdr:blipFill>
        <a:blip r:embed="rId2" cstate="print"/>
        <a:stretch>
          <a:fillRect/>
        </a:stretch>
      </xdr:blipFill>
      <xdr:spPr>
        <a:xfrm>
          <a:off x="687070" y="4467225"/>
          <a:ext cx="7147560" cy="3896995"/>
        </a:xfrm>
        <a:prstGeom prst="rect">
          <a:avLst/>
        </a:prstGeom>
        <a:noFill/>
        <a:ln w="9525">
          <a:noFill/>
        </a:ln>
      </xdr:spPr>
    </xdr:pic>
    <xdr:clientData/>
  </xdr:twoCellAnchor>
  <xdr:twoCellAnchor editAs="oneCell">
    <xdr:from>
      <xdr:col>1</xdr:col>
      <xdr:colOff>0</xdr:colOff>
      <xdr:row>52</xdr:row>
      <xdr:rowOff>0</xdr:rowOff>
    </xdr:from>
    <xdr:to>
      <xdr:col>11</xdr:col>
      <xdr:colOff>229870</xdr:colOff>
      <xdr:row>73</xdr:row>
      <xdr:rowOff>15875</xdr:rowOff>
    </xdr:to>
    <xdr:pic>
      <xdr:nvPicPr>
        <xdr:cNvPr id="4" name="图片 3"/>
        <xdr:cNvPicPr>
          <a:picLocks noChangeAspect="1"/>
        </xdr:cNvPicPr>
      </xdr:nvPicPr>
      <xdr:blipFill>
        <a:blip r:embed="rId3" cstate="print"/>
        <a:stretch>
          <a:fillRect/>
        </a:stretch>
      </xdr:blipFill>
      <xdr:spPr>
        <a:xfrm>
          <a:off x="685800" y="8915400"/>
          <a:ext cx="7087870" cy="3616325"/>
        </a:xfrm>
        <a:prstGeom prst="rect">
          <a:avLst/>
        </a:prstGeom>
        <a:noFill/>
        <a:ln w="9525">
          <a:noFill/>
        </a:ln>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xdr:cNvPicPr>
          <a:picLocks noChangeAspect="1"/>
        </xdr:cNvPicPr>
      </xdr:nvPicPr>
      <xdr:blipFill>
        <a:blip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xdr:cNvPicPr>
          <a:picLocks noChangeAspect="1"/>
        </xdr:cNvPicPr>
      </xdr:nvPicPr>
      <xdr:blipFill>
        <a:blip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xdr:cNvPicPr>
          <a:picLocks noChangeAspect="1"/>
        </xdr:cNvPicPr>
      </xdr:nvPicPr>
      <xdr:blipFill>
        <a:blip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xdr:cNvPicPr>
          <a:picLocks noChangeAspect="1"/>
        </xdr:cNvPicPr>
      </xdr:nvPicPr>
      <xdr:blipFill>
        <a:blip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xdr:cNvPicPr>
          <a:picLocks noChangeAspect="1"/>
        </xdr:cNvPicPr>
      </xdr:nvPicPr>
      <xdr:blipFill>
        <a:blip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xdr:cNvPicPr>
          <a:picLocks noChangeAspect="1"/>
        </xdr:cNvPicPr>
      </xdr:nvPicPr>
      <xdr:blipFill>
        <a:blip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xdr:cNvPicPr>
          <a:picLocks noChangeAspect="1"/>
        </xdr:cNvPicPr>
      </xdr:nvPicPr>
      <xdr:blipFill>
        <a:blip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xdr:cNvPicPr>
          <a:picLocks noChangeAspect="1"/>
        </xdr:cNvPicPr>
      </xdr:nvPicPr>
      <xdr:blipFill>
        <a:blip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xdr:cNvPicPr>
          <a:picLocks noChangeAspect="1"/>
        </xdr:cNvPicPr>
      </xdr:nvPicPr>
      <xdr:blipFill>
        <a:blip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205740</xdr:colOff>
      <xdr:row>25</xdr:row>
      <xdr:rowOff>55880</xdr:rowOff>
    </xdr:from>
    <xdr:to>
      <xdr:col>10</xdr:col>
      <xdr:colOff>1270</xdr:colOff>
      <xdr:row>29</xdr:row>
      <xdr:rowOff>69850</xdr:rowOff>
    </xdr:to>
    <xdr:pic>
      <xdr:nvPicPr>
        <xdr:cNvPr id="2" name="图片 1"/>
        <xdr:cNvPicPr>
          <a:picLocks noChangeAspect="1"/>
        </xdr:cNvPicPr>
      </xdr:nvPicPr>
      <xdr:blipFill>
        <a:blip r:embed="rId1" cstate="print"/>
        <a:stretch>
          <a:fillRect/>
        </a:stretch>
      </xdr:blipFill>
      <xdr:spPr>
        <a:xfrm rot="10800000" flipH="1" flipV="1">
          <a:off x="205740" y="5528310"/>
          <a:ext cx="8225790"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xdr:cNvPicPr>
          <a:picLocks noChangeAspect="1"/>
        </xdr:cNvPicPr>
      </xdr:nvPicPr>
      <xdr:blipFill>
        <a:blip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10</xdr:col>
      <xdr:colOff>1905</xdr:colOff>
      <xdr:row>47</xdr:row>
      <xdr:rowOff>19050</xdr:rowOff>
    </xdr:to>
    <xdr:pic>
      <xdr:nvPicPr>
        <xdr:cNvPr id="4" name="图片 3"/>
        <xdr:cNvPicPr>
          <a:picLocks noChangeAspect="1"/>
        </xdr:cNvPicPr>
      </xdr:nvPicPr>
      <xdr:blipFill>
        <a:blip r:embed="rId3" cstate="print"/>
        <a:stretch>
          <a:fillRect/>
        </a:stretch>
      </xdr:blipFill>
      <xdr:spPr>
        <a:xfrm>
          <a:off x="225425" y="8891905"/>
          <a:ext cx="8206740" cy="257175"/>
        </a:xfrm>
        <a:prstGeom prst="rect">
          <a:avLst/>
        </a:prstGeom>
        <a:noFill/>
        <a:ln w="9525">
          <a:noFill/>
        </a:ln>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28575</xdr:colOff>
      <xdr:row>7</xdr:row>
      <xdr:rowOff>19050</xdr:rowOff>
    </xdr:from>
    <xdr:to>
      <xdr:col>9</xdr:col>
      <xdr:colOff>1133475</xdr:colOff>
      <xdr:row>22</xdr:row>
      <xdr:rowOff>89573</xdr:rowOff>
    </xdr:to>
    <xdr:pic>
      <xdr:nvPicPr>
        <xdr:cNvPr id="2" name="图片 1"/>
        <xdr:cNvPicPr>
          <a:picLocks noChangeAspect="1"/>
        </xdr:cNvPicPr>
      </xdr:nvPicPr>
      <xdr:blipFill>
        <a:blip r:embed="rId1" cstate="print"/>
        <a:stretch>
          <a:fillRect/>
        </a:stretch>
      </xdr:blipFill>
      <xdr:spPr>
        <a:xfrm>
          <a:off x="257175" y="1847850"/>
          <a:ext cx="6215380" cy="2699385"/>
        </a:xfrm>
        <a:prstGeom prst="rect">
          <a:avLst/>
        </a:prstGeom>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11</xdr:row>
      <xdr:rowOff>0</xdr:rowOff>
    </xdr:from>
    <xdr:to>
      <xdr:col>12</xdr:col>
      <xdr:colOff>285750</xdr:colOff>
      <xdr:row>18</xdr:row>
      <xdr:rowOff>95250</xdr:rowOff>
    </xdr:to>
    <xdr:pic>
      <xdr:nvPicPr>
        <xdr:cNvPr id="13" name="图片 12"/>
        <xdr:cNvPicPr>
          <a:picLocks noChangeAspect="1"/>
        </xdr:cNvPicPr>
      </xdr:nvPicPr>
      <xdr:blipFill>
        <a:blip r:embed="rId1" cstate="print"/>
        <a:stretch>
          <a:fillRect/>
        </a:stretch>
      </xdr:blipFill>
      <xdr:spPr>
        <a:xfrm>
          <a:off x="685800" y="1885950"/>
          <a:ext cx="7829550" cy="1295400"/>
        </a:xfrm>
        <a:prstGeom prst="rect">
          <a:avLst/>
        </a:prstGeom>
        <a:noFill/>
        <a:ln w="9525">
          <a:noFill/>
        </a:ln>
      </xdr:spPr>
    </xdr:pic>
    <xdr:clientData/>
  </xdr:twoCellAnchor>
  <xdr:twoCellAnchor editAs="oneCell">
    <xdr:from>
      <xdr:col>1</xdr:col>
      <xdr:colOff>0</xdr:colOff>
      <xdr:row>20</xdr:row>
      <xdr:rowOff>0</xdr:rowOff>
    </xdr:from>
    <xdr:to>
      <xdr:col>12</xdr:col>
      <xdr:colOff>428625</xdr:colOff>
      <xdr:row>28</xdr:row>
      <xdr:rowOff>47625</xdr:rowOff>
    </xdr:to>
    <xdr:pic>
      <xdr:nvPicPr>
        <xdr:cNvPr id="15" name="图片 14"/>
        <xdr:cNvPicPr>
          <a:picLocks noChangeAspect="1"/>
        </xdr:cNvPicPr>
      </xdr:nvPicPr>
      <xdr:blipFill>
        <a:blip r:embed="rId2" cstate="print"/>
        <a:stretch>
          <a:fillRect/>
        </a:stretch>
      </xdr:blipFill>
      <xdr:spPr>
        <a:xfrm>
          <a:off x="685800" y="3429000"/>
          <a:ext cx="7972425" cy="1419225"/>
        </a:xfrm>
        <a:prstGeom prst="rect">
          <a:avLst/>
        </a:prstGeom>
        <a:noFill/>
        <a:ln w="9525">
          <a:noFill/>
        </a:ln>
      </xdr:spPr>
    </xdr:pic>
    <xdr:clientData/>
  </xdr:twoCellAnchor>
  <xdr:twoCellAnchor editAs="oneCell">
    <xdr:from>
      <xdr:col>1</xdr:col>
      <xdr:colOff>57150</xdr:colOff>
      <xdr:row>2</xdr:row>
      <xdr:rowOff>0</xdr:rowOff>
    </xdr:from>
    <xdr:to>
      <xdr:col>12</xdr:col>
      <xdr:colOff>323850</xdr:colOff>
      <xdr:row>10</xdr:row>
      <xdr:rowOff>9525</xdr:rowOff>
    </xdr:to>
    <xdr:pic>
      <xdr:nvPicPr>
        <xdr:cNvPr id="16" name="图片 15"/>
        <xdr:cNvPicPr>
          <a:picLocks noChangeAspect="1"/>
        </xdr:cNvPicPr>
      </xdr:nvPicPr>
      <xdr:blipFill>
        <a:blip r:embed="rId3" cstate="print"/>
        <a:stretch>
          <a:fillRect/>
        </a:stretch>
      </xdr:blipFill>
      <xdr:spPr>
        <a:xfrm>
          <a:off x="742950" y="342900"/>
          <a:ext cx="7810500" cy="1381125"/>
        </a:xfrm>
        <a:prstGeom prst="rect">
          <a:avLst/>
        </a:prstGeom>
        <a:noFill/>
        <a:ln w="9525">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181610</xdr:colOff>
      <xdr:row>1</xdr:row>
      <xdr:rowOff>29210</xdr:rowOff>
    </xdr:from>
    <xdr:to>
      <xdr:col>15</xdr:col>
      <xdr:colOff>457835</xdr:colOff>
      <xdr:row>49</xdr:row>
      <xdr:rowOff>19685</xdr:rowOff>
    </xdr:to>
    <xdr:pic>
      <xdr:nvPicPr>
        <xdr:cNvPr id="2" name="图片 1"/>
        <xdr:cNvPicPr>
          <a:picLocks noChangeAspect="1"/>
        </xdr:cNvPicPr>
      </xdr:nvPicPr>
      <xdr:blipFill>
        <a:blip r:embed="rId1" cstate="print"/>
        <a:stretch>
          <a:fillRect/>
        </a:stretch>
      </xdr:blipFill>
      <xdr:spPr>
        <a:xfrm>
          <a:off x="867410" y="200660"/>
          <a:ext cx="9877425" cy="8220075"/>
        </a:xfrm>
        <a:prstGeom prst="rect">
          <a:avLst/>
        </a:prstGeom>
        <a:noFill/>
        <a:ln w="9525">
          <a:noFill/>
        </a:ln>
      </xdr:spPr>
    </xdr:pic>
    <xdr:clientData/>
  </xdr:twoCellAnchor>
  <xdr:twoCellAnchor editAs="oneCell">
    <xdr:from>
      <xdr:col>16</xdr:col>
      <xdr:colOff>200025</xdr:colOff>
      <xdr:row>1</xdr:row>
      <xdr:rowOff>95250</xdr:rowOff>
    </xdr:from>
    <xdr:to>
      <xdr:col>30</xdr:col>
      <xdr:colOff>666750</xdr:colOff>
      <xdr:row>49</xdr:row>
      <xdr:rowOff>104775</xdr:rowOff>
    </xdr:to>
    <xdr:pic>
      <xdr:nvPicPr>
        <xdr:cNvPr id="3" name="图片 2"/>
        <xdr:cNvPicPr>
          <a:picLocks noChangeAspect="1"/>
        </xdr:cNvPicPr>
      </xdr:nvPicPr>
      <xdr:blipFill>
        <a:blip r:embed="rId2" cstate="print"/>
        <a:stretch>
          <a:fillRect/>
        </a:stretch>
      </xdr:blipFill>
      <xdr:spPr>
        <a:xfrm>
          <a:off x="11172825" y="266700"/>
          <a:ext cx="10067925" cy="8239125"/>
        </a:xfrm>
        <a:prstGeom prst="rect">
          <a:avLst/>
        </a:prstGeom>
        <a:noFill/>
        <a:ln w="9525">
          <a:noFill/>
        </a:ln>
      </xdr:spPr>
    </xdr:pic>
    <xdr:clientData/>
  </xdr:twoCellAnchor>
  <xdr:twoCellAnchor editAs="oneCell">
    <xdr:from>
      <xdr:col>1</xdr:col>
      <xdr:colOff>361950</xdr:colOff>
      <xdr:row>53</xdr:row>
      <xdr:rowOff>28575</xdr:rowOff>
    </xdr:from>
    <xdr:to>
      <xdr:col>16</xdr:col>
      <xdr:colOff>66675</xdr:colOff>
      <xdr:row>92</xdr:row>
      <xdr:rowOff>0</xdr:rowOff>
    </xdr:to>
    <xdr:pic>
      <xdr:nvPicPr>
        <xdr:cNvPr id="4" name="图片 3"/>
        <xdr:cNvPicPr>
          <a:picLocks noChangeAspect="1"/>
        </xdr:cNvPicPr>
      </xdr:nvPicPr>
      <xdr:blipFill>
        <a:blip r:embed="rId3" cstate="print"/>
        <a:stretch>
          <a:fillRect/>
        </a:stretch>
      </xdr:blipFill>
      <xdr:spPr>
        <a:xfrm>
          <a:off x="1047750" y="9115425"/>
          <a:ext cx="9991725" cy="66579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Server1\g\Dai\DBC\VP10.200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1442;&#32771;\&#25269;&#25276;&#35780;&#20272;\&#20010;&#36151;\&#20010;&#36151;&#35780;&#20272;&#27169;&#26495;2007.1.19(&#25104;&#26412;&#20215;&#20248;&#24800;&#20215;&#26631;&#20934;&#20215;)\&#28304;&#25968;&#25454;&#34920;.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A04\&#29113;\office\&#39640;&#30427;&#25237;&#26631;&#21326;&#34701;&#19981;&#33391;&#36164;&#20135;\&#21069;&#26399;&#36164;&#26009;\AST.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3457;&#25253;&#21578;&#65288;&#20010;&#36151;&#65289;\&#21016;&#24605;&#34122;\&#19978;&#22320;&#20449;&#24687;&#36335;\&#27169;&#26495;&#65288;&#26032;&#65289;2009.8.13\&#28304;&#25968;&#25454;&#3492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erver\&#35780;&#20272;&#24120;&#29992;&#25991;&#20214;&#22841;\Documents%20and%20Settings\Edmond\&#26700;&#38754;\1106\&#27604;&#36739;&#27861;.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35780;&#20272;&#24037;&#20316;\&#27169;&#26495;\&#27169;&#26495;&#65288;&#26032;&#65289;8.3%20&#20010;&#36151;&#20303;&#23429;\&#25968;&#25454;&#34920;.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35780;&#20272;&#24037;&#20316;\&#27169;&#26495;\&#27169;&#26495;&#65288;&#26032;&#65289;8.3%20&#20010;&#36151;&#20303;&#23429;\&#27169;&#26495;&#65288;&#26032;&#65289;2009.8.13\&#28304;&#25968;&#25454;&#34920;.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A04\&#29113;\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A:\My%20Documents\&#24037;&#20316;&#24213;&#31295;12.11\&#22303;&#22320;&#24213;&#31295;.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er\&#25968;&#25454;&#20013;&#24515;\&#40857;&#30000;&#22303;&#22320;\&#20013;&#24800;&#22303;&#22320;\&#35745;&#31639;&#34920;%20&#30340;&#22791;&#20221;%20&#30340;&#22791;&#20221;%20&#30340;&#22791;&#20221;.xlk"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temp\&#25253;&#21578;\&#27169;&#29256;\&#20010;&#36151;&#27169;&#29256;\&#20010;&#36151;&#35780;&#20272;&#27169;&#26495;2007.6.14\&#28304;&#25968;&#25454;&#34920;.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35780;&#20272;&#25253;&#21578;\&#25913;&#21046;&#37096;\&#20161;&#36798;&#25151;&#20272;&#23383;&#12304;2011&#12305;&#31532;0110100121&#21495;&#22825;&#27941;&#21331;&#36798;\&#22825;&#27941;&#65288;&#19977;&#23457;&#65289;\&#27169;&#29256;\&#25253;&#21578;&#27169;&#26495;\&#20010;&#20154;&#20303;&#23429;&#27169;&#26495;&#65288;&#26032;&#65289;10.19&#21035;&#22661;&#36866;&#29992;\&#25968;&#25454;&#34920;.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20010;&#36151;\&#20010;&#36151;&#27169;&#26495;\080310-&#23621;&#20303;\&#28304;&#25968;&#25454;&#34920;.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20844;&#21496;&#19994;&#21153;\&#21442;&#32771;&#25253;&#21578;\&#36164;&#26009;\&#28304;&#25968;&#25454;&#3492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A04\&#29113;\office\My%20Documents\Data\Korea\KDB\Templates\Template%20-%201.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35780;&#20272;&#24120;&#29992;&#25991;&#20214;&#22841;\01&#12289;&#35780;&#20272;&#39033;&#30446;\001&#24191;&#24030;&#24066;&#20379;&#22320;&#35745;&#21010;\2014&#24180;\0807&#28023;&#29664;&#21306;&#26124;&#23703;&#36335;&#22320;&#22359;-&#25253;&#21475;&#20215;\&#20237;&#23567;&#40857;\&#24037;&#20316;&#36164;&#26009;\1&#12289;&#25269;&#25276;&#12289;&#26222;&#36890;&#39033;&#30446;&#31867;\2012&#24180;12&#26376;27&#26085;&#21488;&#23665;&#24066;&#24037;&#19994;&#22253;&#38271;&#20852;&#36335;16&#21495;&#65288;&#21488;&#23665;&#24066;&#20449;&#23041;&#30005;&#27744;&#26377;&#38480;&#20844;&#21496;&#65289;\Documents%20and%20Settings\Edmond\&#26700;&#38754;\1106\&#27604;&#36739;&#27861;.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rea\Desktop\&#19996;&#26041;&#25991;&#21326;&#19977;&#23457;&#25913;.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Users\xuexl\Desktop\&#35745;&#31639;&#34920;.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23457;&#25253;&#21578;&#65288;&#20010;&#36151;&#65289;\&#21016;&#24605;&#34122;\&#19978;&#22320;&#20449;&#24687;&#36335;\&#26700;&#38754;\&#27169;&#26495;(&#37325;&#20570;&#65289;\&#23621;&#20303;1.5\&#28304;&#25968;&#25454;&#34920;1.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40644;&#22269;&#32500;\&#21021;&#35780;&#26126;&#32454;&#34920;\office\&#39640;&#30427;&#25237;&#26631;&#21326;&#34701;&#19981;&#33391;&#36164;&#20135;\&#21069;&#26399;&#36164;&#26009;\AST.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26087;&#30005;&#33041;\a&#24352;&#38686;&#30340;&#25253;&#21578;\2015&#24180;1-6&#26376;&#20221;\20150204&#26124;&#24179;&#26410;&#26469;&#31185;&#25216;&#22478;&#22303;&#22320;\&#26124;&#24179;&#22303;&#22320;------3&#23457;&#23436;&#23450;&#31295;\&#39033;&#30446;\&#23487;&#36801;&#25253;&#21578;\&#37329;&#35895;-&#23487;&#36801;&#39033;&#30446;&#65288;&#19977;&#23457;&#65289;&#32456;&#31295;2012.5.8.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35780;&#20272;&#20108;&#37096;&#24517;&#22791;\&#20010;&#36151;&#20351;&#29992;&#21830;&#19994;&#27169;&#26495;-&#26032;&#65288;&#20852;&#19994;&#65289;\&#25968;&#25454;&#34920;.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Documents%20and%20Settings\dell\&#26700;&#38754;\&#26032;&#25910;&#30410;&#27861;&#27979;&#31639;&#34920;&#27169;&#26495;.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Server\&#25968;&#25454;&#20013;&#24515;\&#21021;&#35780;&#24847;&#35265;&#20070;&#65288;&#35201;&#20889;&#27004;&#40836;&#65289;\2007&#24180;&#21021;&#35780;&#24847;&#35265;&#20070;\11&#26376;\ZH200711030&#26032;&#22616;&#38215;&#26032;&#22616;&#24037;&#19994;&#22253;&#22616;&#32654;&#26449;&#22320;&#27573;&#19968;&#23447;&#24037;&#19994;&#29992;&#22320;\&#25253;&#21578;\&#25151;&#22320;&#20135;\&#21021;&#35780;\2006\6.7&#35885;&#32463;&#29702;\040141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6032;&#24314;&#25991;&#20214;&#22841;\&#20844;&#21496;&#30340;&#35745;&#31639;.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160751&#35745;&#31639;&#3492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40644;&#22269;&#32500;\&#21021;&#35780;&#26126;&#32454;&#34920;\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5105;&#30340;&#25253;&#21578;\&#26032;&#19990;&#30028;&#30334;&#36135;A&#24231;&#35780;&#20272;\160487&#21495;&#35745;&#31639;&#34920;.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Users\zhangchao\Downloads\140746(2014-3-17%2012~38~16)\140746&#24635;&#37096;&#22522;&#22320;\RecoveredExternalLink6"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R:\2016&#24180;\&#38472;&#24425;&#21452;\160677&#22823;&#20852;&#21306;&#24222;&#21508;&#24196;&#38215;&#38534;&#30427;&#22253;&#20303;&#23429;&#23567;&#21306;&#65288;D&#21306;&#65289;&#22320;&#19979;&#26032;&#22686;&#29992;&#36884;&#22269;&#26377;&#24314;&#35774;&#29992;&#22320;&#20351;&#29992;&#26435;&#20986;&#35753;&#20215;&#26684;&#35780;&#20272;&#65288;&#21271;&#20140;&#24066;&#22823;&#20852;&#21306;&#65289;\&#39033;&#30446;&#31649;&#29702;&#37096;\&#25216;&#26415;&#26631;&#20934;\&#25253;&#21578;&#27169;&#26412;\&#20016;&#21488;&#20449;&#36828;&#25995;&#65288;&#24037;&#19994;&#65289;\&#24037;&#19994;\&#22522;&#20934;&#22320;&#20215;&#20462;&#27491;&#2786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23457;&#25253;&#21578;&#65288;&#20010;&#36151;&#65289;\&#21016;&#24605;&#34122;\&#19978;&#22320;&#20449;&#24687;&#36335;\&#25968;&#25454;&#34920;.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3.1&#26085;&#20462;&#27491;&#33945;&#33258;&#26426;&#22330;&#29616;&#29366;&#29992;&#36884;\&#21442;&#32771;\&#25269;&#25276;&#35780;&#20272;\&#20010;&#36151;\&#20010;&#36151;&#35780;&#20272;&#27169;&#26495;2007.1.19(&#25104;&#26412;&#20215;&#20248;&#24800;&#20215;&#26631;&#20934;&#20215;)\&#28304;&#25968;&#25454;&#34920;.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Program%20Files\feiq\Recv%20Files\&#25968;&#25454;&#34920;-&#24343;&#25289;&#33922;&#23612;.xlsx"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23545;&#20844;&#39033;&#30446;\20140911&#27861;&#38498;&#39033;&#30446;&#65288;&#24576;&#26580;&#38593;&#26646;&#24037;&#19994;&#21306;&#65289;\&#19977;&#23457;\&#30427;&#23792;&#36890;&#36798;&#26032;&#26041;&#27861;.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04\&#29113;\&#38472;&#29113;\2007\&#21021;&#35780;\12&#26376;\ZH200712026&#28023;&#29664;&#21306;&#24037;&#19994;&#22823;&#36947;122&#21495;&#24191;&#37325;&#21378;&#20869;&#21271;&#21306;&#22320;&#27573;(&#31532;&#20843;&#26399;)&#19968;&#23447;&#20303;&#23429;&#29992;&#22320;&#22303;&#22320;&#20351;&#29992;&#26435;\&#21103;&#26412;&#20843;&#26399;&#35745;&#31639;.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A04\&#29113;\&#38472;&#29113;\2008\&#21021;&#35780;\ZH200801029&#40548;&#23665;&#24066;&#20849;&#21644;&#38215;&#26032;&#26448;&#26009;&#20135;&#19994;&#22522;&#22320;&#19977;&#23447;&#24037;&#19994;&#29992;&#22320;\&#35745;&#31639;.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35780;&#20272;&#24120;&#29992;&#25991;&#20214;&#22841;\01&#12289;&#35780;&#20272;&#39033;&#30446;\001&#24191;&#24030;&#24066;&#20379;&#22320;&#35745;&#21010;\2014&#24180;\0807&#28023;&#29664;&#21306;&#26124;&#23703;&#36335;&#22320;&#22359;-&#25253;&#21475;&#20215;\2013&#24180;&#29616;&#22330;\2013&#24180;5&#26376;\&#26723;2013-0135F&#22859;&#21191;&#21313;&#20108;&#34903;6&#21495;3&#27004;\&#30456;&#29255;&#65288;&#22859;&#21191;&#21313;&#20108;&#34903;&#65289;\&#24191;&#24030;&#24066;&#36130;&#32463;&#32844;&#19994;&#23398;&#26657;\&#22235;&#26657;&#21306;&#12298;&#22266;&#23450;&#36164;&#20135;&#26126;&#32454;&#34920;&#12299;.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A04\&#29113;\WINDOWS\Desktop\05110547\&#35745;&#31639;&#65288;&#20113;&#26223;&#21517;&#37117;&#65289;.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Users\kz\Documents\WeChat%20Files\wxid_90so0pr4c6s122\FileStorage\File\2023-04\&#12304;2021&#12305;&#23545;&#20844;&#20107;&#19994;&#37096;&#8212;&#30005;&#31639;&#34920;-&#25151;&#22320;&#20135;-&#39033;&#30446;.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35780;&#20272;\&#25253;&#21578;\2012\1&#23395;&#24230;\&#25253;&#21578;\&#20010;&#36151;7&#20010;\&#19971;&#22871;&#20303;&#23429;&#22797;&#35780;&#65288;&#30417;&#27979;&#24847;&#35265;&#65289;\&#22797;&#35780;\&#22823;&#35199;&#27915;.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Documents%20and%20Settings\Administrator\Application%20Data\Microsoft\Excel\RecoveredExternalLink1"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F:\Users\Administrator\Desktop\20200811\&#39318;&#20339;\&#23828;&#26611;&#20025;\10&#23828;&#36164;&#26009;\&#23457;&#26680;\20180614&#22825;&#31482;\&#22825;&#31482;20180614&#65288;&#25351;&#26631;&#21024;&#38500;&#24037;&#19994;&#29992;&#22320;&#65289;.xlsx"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26446;&#20426;&#26480;\working\office\&#39640;&#30427;&#25237;&#26631;&#21326;&#34701;&#19981;&#33391;&#36164;&#20135;\&#21069;&#26399;&#36164;&#26009;\AST.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Users\kz\Documents\WeChat%20Files\wxid_90so0pr4c6s122\FileStorage\File\2022-03\&#12304;2021&#12305;&#23545;&#20844;&#20107;&#19994;&#37096;&#8212;&#30005;&#31639;&#34920;-&#22303;&#22320;.xlsx"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Users\Shinelon\Documents\WeChat%20Files\wxid_90so0pr4c6s122\FileStorage\File\2022-04\&#21551;&#21160;&#21306;&#25104;&#26412;&#20272;&#31639;20220309.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Sheet2"/>
      <sheetName val="01.10"/>
      <sheetName val="02.10"/>
      <sheetName val="03.10"/>
      <sheetName val="04.10"/>
      <sheetName val="05.10"/>
      <sheetName val="07.10"/>
      <sheetName val="08.10"/>
      <sheetName val="09.10"/>
      <sheetName val="10.11"/>
      <sheetName val="11.10"/>
      <sheetName val="12.10"/>
      <sheetName val="14.10"/>
      <sheetName val="15.10"/>
      <sheetName val="16.10"/>
      <sheetName val="17.10"/>
      <sheetName val="18.10"/>
      <sheetName val="19.10"/>
      <sheetName val="21.10"/>
      <sheetName val="22.10"/>
      <sheetName val="23.10"/>
      <sheetName val="24.10"/>
      <sheetName val="25.10"/>
      <sheetName val="28.10"/>
      <sheetName val="29.10"/>
      <sheetName val="30.10"/>
      <sheetName val="31.10"/>
      <sheetName val="XKH"/>
      <sheetName val="GKH"/>
      <sheetName val="QUY10"/>
      <sheetName val="X+G PX2"/>
      <sheetName val="TKX"/>
      <sheetName val="TKG"/>
      <sheetName val="BD"/>
      <sheetName val="XL4Poppy"/>
      <sheetName val="定义"/>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定义"/>
      <sheetName val="成本法打印区域"/>
      <sheetName val="处置费用-深发"/>
      <sheetName val="基本描述"/>
      <sheetName val="结果描述"/>
      <sheetName val="清单"/>
      <sheetName val="资料"/>
      <sheetName val="现场勘察表"/>
      <sheetName val="市场法"/>
      <sheetName val="结果分析"/>
      <sheetName val="处置税费表—深发"/>
      <sheetName val="处置税费表—兴业"/>
      <sheetName val="期房"/>
      <sheetName val="面积指标"/>
      <sheetName val="参数维护"/>
      <sheetName val="A翼写字楼"/>
      <sheetName val="Collat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评估结论"/>
      <sheetName val="基本情况"/>
      <sheetName val="基础资料"/>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基础资料"/>
      <sheetName val="初评预览"/>
      <sheetName val="初评输出"/>
      <sheetName val="比较法"/>
      <sheetName val="引用区域"/>
    </sheetNames>
    <sheetDataSet>
      <sheetData sheetId="0" refreshError="1"/>
      <sheetData sheetId="1" refreshError="1"/>
      <sheetData sheetId="2" refreshError="1"/>
      <sheetData sheetId="3" refreshError="1"/>
      <sheetData sheetId="4"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Repayment Summary"/>
      <sheetName val="初评审批"/>
      <sheetName val="Collateral"/>
      <sheetName val="应收账款明细"/>
      <sheetName val="Disposition"/>
      <sheetName val="#REF!"/>
      <sheetName val="营业费用截止"/>
      <sheetName val="基础资料"/>
      <sheetName val="XL4Popp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39。0 资产流动性情况"/>
      <sheetName val="39.2 收益率差异"/>
      <sheetName val="Sheet1"/>
      <sheetName val="Sheet2"/>
      <sheetName val="Sheet3"/>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40.0 利息收支变动原因"/>
      <sheetName val="40.1 按业务类型披露"/>
      <sheetName val="40.2 贷款结构分析"/>
      <sheetName val="40.2.1 业务与相关会计科目对照表"/>
      <sheetName val="40.3 专项拨备变动"/>
      <sheetName val="41.0 对外实体投资"/>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房地产评估调查表 (12)"/>
      <sheetName val=""/>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估价结果表"/>
      <sheetName val="基本情况"/>
      <sheetName val="假设开发法"/>
      <sheetName val="基准地价修正法"/>
      <sheetName val="假设开发法 (2)"/>
      <sheetName val="m函数"/>
      <sheetName val="m更新"/>
      <sheetName val="评估结论"/>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 val="定义"/>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现场勘查表"/>
      <sheetName val="源数据"/>
      <sheetName val="引用区域"/>
      <sheetName val="市场比较法"/>
      <sheetName val="收益法"/>
      <sheetName val="成本法"/>
      <sheetName val="清单"/>
      <sheetName val="定义"/>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Borrower Summary"/>
      <sheetName val="Earnings"/>
      <sheetName val="Forecast"/>
      <sheetName val="Repayment Summary"/>
      <sheetName val="Summary"/>
      <sheetName val="NPV Scenarios"/>
      <sheetName val="Balance Sheet"/>
      <sheetName val="Collateral"/>
      <sheetName val="Guarantors"/>
      <sheetName val="Timing"/>
      <sheetName val="Sheet2"/>
      <sheetName val="XL4Poppy"/>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基础资料"/>
      <sheetName val="初评预览"/>
      <sheetName val="初评输出"/>
      <sheetName val="比较法"/>
      <sheetName val="定义"/>
    </sheetNames>
    <sheetDataSet>
      <sheetData sheetId="0" refreshError="1"/>
      <sheetData sheetId="1" refreshError="1"/>
      <sheetData sheetId="2" refreshError="1"/>
      <sheetData sheetId="3" refreshError="1"/>
      <sheetData sheetId="4"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基本信息"/>
      <sheetName val="权属信息"/>
      <sheetName val="现场勘查信息"/>
      <sheetName val="明确估价事项"/>
      <sheetName val="估价结果确认信息"/>
      <sheetName val="面积单价 市场案例"/>
      <sheetName val="市场法"/>
      <sheetName val="收益法"/>
      <sheetName val="成本法"/>
      <sheetName val="处置税费"/>
      <sheetName val="土地增值税"/>
      <sheetName val="重置成本"/>
      <sheetName val="综合成新率确定"/>
      <sheetName val="资本化率统计"/>
      <sheetName val="链接"/>
      <sheetName val="配置"/>
      <sheetName val="序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Sheet1"/>
      <sheetName val="信息"/>
      <sheetName val="报告相关内容"/>
      <sheetName val="估价思路及结果"/>
      <sheetName val="市场比较法"/>
      <sheetName val="基准地价系数修正法"/>
      <sheetName val="收益还原法"/>
      <sheetName val="剩余法"/>
      <sheetName val="成本逼近法"/>
      <sheetName val="报告word链接"/>
      <sheetName val="序列"/>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初评"/>
      <sheetName val="基本情况"/>
      <sheetName val="Repayment Summary"/>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总况"/>
      <sheetName val="土地案例"/>
      <sheetName val="土地市场法（商业）"/>
      <sheetName val="土地市场法（住宅)"/>
      <sheetName val="在建工程重置成本"/>
      <sheetName val="在建工程假设开发法"/>
      <sheetName val="求续建建筑物成本"/>
      <sheetName val="收益法(一楼)"/>
      <sheetName val="收益法(二楼)"/>
      <sheetName val="收益法(办公)"/>
      <sheetName val="收益法(宾馆）"/>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权属状况"/>
      <sheetName val="收益法-不分段"/>
      <sheetName val="收益法-分段"/>
      <sheetName val="Sheet1"/>
      <sheetName val="报酬率参考"/>
      <sheetName val="汇总表"/>
      <sheetName val="资料"/>
      <sheetName val="配置"/>
      <sheetName val="文字维护"/>
      <sheetName val="参数维护"/>
      <sheetName val="北京市基准地价参数维护表"/>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收益还原法"/>
      <sheetName val="基本情况"/>
      <sheetName val="成本法"/>
      <sheetName val="假设开发法"/>
      <sheetName val="市场比较法"/>
      <sheetName val="估价方法"/>
      <sheetName val="Sheet1"/>
      <sheetName val="m函数"/>
      <sheetName val="m更新"/>
      <sheetName val="基础资料"/>
      <sheetName val="Repayment Summary"/>
      <sheetName val="Collateral"/>
      <sheetName val="#REF!"/>
      <sheetName val="入库分类"/>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估价结果"/>
      <sheetName val="数据录入"/>
      <sheetName val="测算过程表"/>
      <sheetName val="华源外采数据"/>
      <sheetName val="基准地价法"/>
      <sheetName val="配置"/>
      <sheetName val="扣税表"/>
      <sheetName val="参数维护 "/>
      <sheetName val="公司业务信息维护"/>
      <sheetName val="基准地价计算表"/>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估价对象概况"/>
      <sheetName val="基本信息"/>
      <sheetName val="兴业银行扣税"/>
      <sheetName val="收益法（带租约）"/>
      <sheetName val="汇总表"/>
      <sheetName val="收益法"/>
      <sheetName val="市场比较法"/>
      <sheetName val="基准地价"/>
      <sheetName val="收益"/>
      <sheetName val="市场比较法（房地产） "/>
      <sheetName val="重置成本法"/>
      <sheetName val="收益法1"/>
      <sheetName val="商品房扣税新"/>
      <sheetName val="公有住房扣税"/>
      <sheetName val="抵押后买卖扣税表"/>
      <sheetName val="扣税表"/>
      <sheetName val="地图位置"/>
      <sheetName val="租赁信息"/>
      <sheetName val="市场比较法（6层有租约626）"/>
      <sheetName val="市场比较法（5层）"/>
      <sheetName val="基准地价----商业"/>
      <sheetName val="2层成本"/>
      <sheetName val="成本法（建筑物）"/>
      <sheetName val="市调"/>
      <sheetName val="-1层成本"/>
      <sheetName val="1层成本"/>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估价方法"/>
      <sheetName val="基础资料"/>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数据录入"/>
      <sheetName val="测算过程表"/>
      <sheetName val="华源外采数据"/>
      <sheetName val="基准地价法"/>
      <sheetName val="配置"/>
      <sheetName val="扣税表"/>
      <sheetName val="参数维护 "/>
      <sheetName val="公司业务信息维护"/>
      <sheetName val="基准地价计算表"/>
      <sheetName val="基本信息"/>
      <sheetName val="收益法案例"/>
      <sheetName val="市场法案例"/>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Open"/>
      <sheetName val="一分厂产量预算"/>
      <sheetName val="二分厂产量预量"/>
      <sheetName val="2003年采购数量合计"/>
      <sheetName val="2003年采购单价"/>
      <sheetName val="Sheet6"/>
      <sheetName val="Sheet5"/>
      <sheetName val="Sheet4"/>
      <sheetName val="产量合计"/>
      <sheetName val="酒液成本"/>
      <sheetName val="包装成本"/>
      <sheetName val="品牌酒液"/>
      <sheetName val="品牌成本"/>
      <sheetName val="品牌单位成本"/>
      <sheetName val="Menu"/>
      <sheetName val="表1(汇总）"/>
      <sheetName val="表1 质管部(14)"/>
      <sheetName val="表1财务部(16) "/>
      <sheetName val="表1行政部(16)"/>
      <sheetName val="表1采购部(3)"/>
      <sheetName val="表1设备部(9)"/>
      <sheetName val="表1生产部(7)"/>
      <sheetName val="总经办"/>
      <sheetName val="表2"/>
      <sheetName val="Calendar"/>
      <sheetName val="预算底稿"/>
      <sheetName val="管理费用预算"/>
      <sheetName val="固定生产成本预算"/>
      <sheetName val="表1"/>
      <sheetName val="表3"/>
      <sheetName val="表4"/>
      <sheetName val="表5"/>
      <sheetName val="表6"/>
      <sheetName val="表7"/>
      <sheetName val="表8"/>
      <sheetName val="表9"/>
      <sheetName val="表10"/>
      <sheetName val="表11"/>
      <sheetName val="表12"/>
      <sheetName val="表13"/>
      <sheetName val="表14"/>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汇总区域损益表"/>
      <sheetName val="区域损益表(攀)"/>
      <sheetName val="区域损益表(西昌"/>
      <sheetName val="分销分析表（西昌）"/>
      <sheetName val="分销分析表(攀)"/>
      <sheetName val="分销分析表 (汇总)"/>
      <sheetName val="销售分析表"/>
      <sheetName val="销售分析表(攀)"/>
      <sheetName val="销售分析表 (汇总)"/>
      <sheetName val="品牌分析表（西昌）"/>
      <sheetName val="品牌分析表(攀)"/>
      <sheetName val="品牌分析表(汇总)"/>
      <sheetName val="XL4Poppy"/>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汇总表"/>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雪花分配表 "/>
      <sheetName val="桶酒8L"/>
      <sheetName val="沈阳鲜分配表  "/>
      <sheetName val="桶酒20L(沈阳鲜）   "/>
      <sheetName val="桶酒15L(沈阳鲜）  "/>
      <sheetName val="Instructions"/>
      <sheetName val="表0"/>
      <sheetName val="表0分析1表"/>
      <sheetName val="表0分析2表"/>
      <sheetName val="Check"/>
      <sheetName val="Dept"/>
      <sheetName val="其他财务信息表"/>
      <sheetName val="表1分析"/>
      <sheetName val="表2分析"/>
      <sheetName val="表3分析"/>
      <sheetName val="表4分析"/>
      <sheetName val="表5分析"/>
      <sheetName val="表6分析"/>
      <sheetName val="表7分析"/>
      <sheetName val="表8分析"/>
      <sheetName val="表9分析"/>
      <sheetName val="表10分析"/>
      <sheetName val="表11分析"/>
      <sheetName val="表12分析"/>
      <sheetName val="表13分析"/>
      <sheetName val="表14分析"/>
      <sheetName val="表15"/>
      <sheetName val="表15分析"/>
      <sheetName val="分销-三年"/>
      <sheetName val="分销预算底稿"/>
      <sheetName val="分销-2003"/>
      <sheetName val="分销-年度"/>
      <sheetName val="千升费用比较表"/>
      <sheetName val="预算项目说明"/>
      <sheetName val="附表-运费"/>
      <sheetName val="附表-仓储"/>
      <sheetName val="附表-修理"/>
      <sheetName val="附表-机物料"/>
      <sheetName val="附表-劳务费"/>
      <sheetName val="00000000"/>
      <sheetName val="10000000"/>
      <sheetName val="Backup of Backup of LINDA LISTO"/>
      <sheetName val="项目目录"/>
      <sheetName val="POWER ASSUMPTIONS"/>
      <sheetName val="Main"/>
      <sheetName val="Sheet2"/>
      <sheetName val="图表1"/>
      <sheetName val="Sheet3"/>
      <sheetName val="Sheet1"/>
      <sheetName val="2002年3月份"/>
      <sheetName val="2004年4月份"/>
      <sheetName val="表1A"/>
      <sheetName val="表1B"/>
      <sheetName val="表1C"/>
      <sheetName val="表4A"/>
      <sheetName val="表4B"/>
      <sheetName val="表4C"/>
      <sheetName val="表5A"/>
      <sheetName val="表5B"/>
      <sheetName val="表5C"/>
      <sheetName val="表16"/>
      <sheetName val="表17"/>
      <sheetName val="表18"/>
      <sheetName val="表19"/>
      <sheetName val="_REF!"/>
      <sheetName val="name"/>
      <sheetName val="营销费用预算"/>
      <sheetName val="营销汇总"/>
      <sheetName val="营销付款"/>
      <sheetName val="营销合约"/>
      <sheetName val="合同汇总"/>
      <sheetName val="成本汇总"/>
      <sheetName val="已签合同"/>
      <sheetName val="合同付款"/>
      <sheetName val="合同变更"/>
      <sheetName val="成本控制"/>
      <sheetName val="成本项目"/>
      <sheetName val="成本台帐"/>
      <sheetName val="变更"/>
      <sheetName val="日报_无证（扣除变更数）"/>
      <sheetName val="日报_有证（扣除变更数）"/>
      <sheetName val="挞定退房"/>
      <sheetName val="4.2"/>
      <sheetName val="4.1"/>
      <sheetName val="4.4"/>
      <sheetName val="4.3"/>
      <sheetName val="目录"/>
      <sheetName val="1.资金支付台帐"/>
      <sheetName val="盈A030617使用格式"/>
      <sheetName val="list"/>
      <sheetName val="封面"/>
      <sheetName val="Comparative Balance Sheet"/>
      <sheetName val="指标核对"/>
      <sheetName val="H1"/>
      <sheetName val="H2"/>
      <sheetName val="H3"/>
      <sheetName val="H3(租赁部分)"/>
      <sheetName val="各部门节点"/>
      <sheetName val="YX-1"/>
      <sheetName val="YX-1.1"/>
      <sheetName val="YX-1.2"/>
      <sheetName val="YX-1.3"/>
      <sheetName val="JY-1"/>
      <sheetName val="JY-2"/>
      <sheetName val="JY-3"/>
      <sheetName val="JY-4"/>
      <sheetName val="JY-5"/>
      <sheetName val="KF-1"/>
      <sheetName val="KF-1.1"/>
      <sheetName val="GC-1"/>
      <sheetName val="GC-1.1"/>
      <sheetName val="GC-1.2"/>
      <sheetName val="GC-2"/>
      <sheetName val="XZ-1"/>
      <sheetName val="XZ-1.1"/>
      <sheetName val="XZ-1.2"/>
      <sheetName val="ZH-1"/>
      <sheetName val="QY"/>
      <sheetName val="1"/>
      <sheetName val="2"/>
      <sheetName val="3"/>
      <sheetName val="4"/>
      <sheetName val="5"/>
      <sheetName val="6"/>
      <sheetName val="7"/>
      <sheetName val="8"/>
      <sheetName val="9"/>
      <sheetName val="10"/>
      <sheetName val="11"/>
      <sheetName val="12"/>
      <sheetName val="13"/>
      <sheetName val="14"/>
      <sheetName val="15"/>
      <sheetName val="16"/>
      <sheetName val="17"/>
      <sheetName val="18"/>
      <sheetName val="19"/>
      <sheetName val="清单汇总表"/>
      <sheetName val="园建"/>
      <sheetName val="绿化"/>
      <sheetName val="给排水"/>
      <sheetName val="电气"/>
      <sheetName val="盈ABC030617朝向"/>
      <sheetName val="盈B030617使用格式"/>
      <sheetName val="盈C030617使用格式"/>
      <sheetName val="分布图"/>
      <sheetName val="盈ABC030617使用格式"/>
      <sheetName val="白云骏景楼宇价目表盈ABC座030617_6"/>
      <sheetName val="4.产品成本分摊"/>
      <sheetName val="编码表"/>
      <sheetName val="附二.项目清单"/>
      <sheetName val="日报(有预售证的)"/>
      <sheetName val="流溪御景 支出计划 "/>
      <sheetName val="经营目标台帐"/>
      <sheetName val="销售利润台帐"/>
      <sheetName val="投入产出台帐1"/>
      <sheetName val="投入产出台帐2"/>
      <sheetName val="楼宇价目表A10"/>
      <sheetName val="楼宇价目表A9"/>
      <sheetName val="楼宇价目表B1"/>
      <sheetName val="楼宇价目表B2"/>
      <sheetName val="F130_RPT WithInterGruop08"/>
      <sheetName val="DATA"/>
      <sheetName val="说明"/>
      <sheetName val="南苑基本库"/>
      <sheetName val="2.1"/>
      <sheetName val="SW-TEO"/>
      <sheetName val="Toolbox"/>
      <sheetName val="G.1R-Shou COP Gf"/>
      <sheetName val="借入"/>
      <sheetName val="利润表"/>
      <sheetName val="日报（扣除变更数）"/>
      <sheetName val="定价标准"/>
      <sheetName val="Financ. Overview"/>
      <sheetName val=""/>
      <sheetName val="_x005f_x0000__x005f_x0000__x005f_x0000__x005f_x0000__x0"/>
      <sheetName val="预付"/>
      <sheetName val="KKKKKKKK"/>
      <sheetName val="#REF"/>
      <sheetName val="表1.1经营指标总表"/>
      <sheetName val="表2.3项目风险分析表"/>
      <sheetName val="除灰系统表二"/>
      <sheetName val="目标进度表(扣除变更数）"/>
      <sheetName val="分月计划"/>
      <sheetName val="#REF!"/>
      <sheetName val="_x005f_x005f_x005f_x0000__x005f_x005f_x005f_x0000__x005"/>
      <sheetName val="经营测算表"/>
      <sheetName val="5.2-写字楼招商及收入表"/>
      <sheetName val="_x005f_x005f_x005f_x005f_x005f_x005f_x005f_x0000__x005f"/>
      <sheetName val="_x005f_x005f_x005f_x005f_x005f_x005f_x005f_x005f_x005f_x005f_"/>
      <sheetName val="eqpmad2"/>
      <sheetName val="总措施项目"/>
      <sheetName val="开发成本编制表(1区)"/>
      <sheetName val="开发成本编制表(2区)"/>
      <sheetName val="开发成本编制表(3区)"/>
      <sheetName val="5-经营现金流测算表"/>
      <sheetName val="4-项目成本控制及分析"/>
      <sheetName val="5.3一级节点完成时间点"/>
      <sheetName val="汇总(分项)"/>
      <sheetName val="6.1-整盘销售计划（认购口径）"/>
      <sheetName val="建筑明细"/>
      <sheetName val="基础表"/>
      <sheetName val="销售分析"/>
      <sheetName val="项目总规划指标表"/>
      <sheetName val="独立商业主体建安（含商业地下室）"/>
      <sheetName val="Parameters"/>
      <sheetName val="PRC GAAP"/>
      <sheetName val="5201.2004"/>
      <sheetName val="总成本、总收入、租赁收入、资产估值"/>
      <sheetName val="b2"/>
      <sheetName val="财务费用多栏明细账"/>
      <sheetName val="管理费用多栏明细账"/>
      <sheetName val="营业费用多栏明细账"/>
      <sheetName val="Account"/>
      <sheetName val="A_T5"/>
      <sheetName val="Cashflow(Scenario)"/>
      <sheetName val="Chart of Account"/>
      <sheetName val="运营费用总表"/>
      <sheetName val="TT"/>
      <sheetName val="P7 管理费用-OT"/>
      <sheetName val="P2 经营成本-OT"/>
      <sheetName val="2经济测算"/>
      <sheetName val="05-9490"/>
      <sheetName val="01-2701"/>
      <sheetName val="24-2701"/>
      <sheetName val="28-2701"/>
      <sheetName val="25-2701"/>
      <sheetName val="27-2701"/>
      <sheetName val="26-2701"/>
      <sheetName val="31-2701"/>
      <sheetName val="40-2701"/>
      <sheetName val="05-9516"/>
      <sheetName val="07-6068"/>
      <sheetName val="T  B"/>
      <sheetName val="99-9999"/>
      <sheetName val="Consol"/>
      <sheetName val="3BS"/>
      <sheetName val="BS(C)"/>
      <sheetName val="P&amp;L(C)"/>
      <sheetName val="P&amp;L(E)"/>
      <sheetName val="3T  B"/>
      <sheetName val="Schedule E-4"/>
      <sheetName val="Schedule A"/>
      <sheetName val="Schedule C "/>
      <sheetName val="Schedule D"/>
      <sheetName val="地税税%"/>
      <sheetName val="Bev.Cost"/>
      <sheetName val="FIRE Parameters"/>
      <sheetName val="楼宇价目表B3"/>
      <sheetName val="土建表三乙"/>
      <sheetName val="2011年完成"/>
      <sheetName val="10-融资及费用"/>
      <sheetName val="3.1-整盘销售计划（认购口径）"/>
      <sheetName val="3-项目定价定位表"/>
      <sheetName val="地区汇总"/>
      <sheetName val="Macro1"/>
      <sheetName val="8-经营现金流测算表"/>
      <sheetName val="9-利润测算表（分期分产品）"/>
      <sheetName val="8.4-生产过程付款验收节点"/>
      <sheetName val="3.2-整盘销售计划（交楼口径）项目 "/>
      <sheetName val="3-项目定价定位表（项目定版)"/>
      <sheetName val="固定资产清单"/>
      <sheetName val="1-经营计划指标汇总表"/>
      <sheetName val="模板"/>
      <sheetName val="综合单价汇总表"/>
      <sheetName val="清单"/>
      <sheetName val="CFA"/>
      <sheetName val="人力资源部"/>
      <sheetName val="教学人员及教务秘书薪资和课酬"/>
      <sheetName val="教务部"/>
      <sheetName val="工会"/>
      <sheetName val="党委经费"/>
      <sheetName val="网络与实验中心"/>
      <sheetName val="财务费用"/>
      <sheetName val="基建"/>
      <sheetName val="租车费明细"/>
      <sheetName val="院长办公室"/>
      <sheetName val="平时业务费"/>
      <sheetName val="学院"/>
      <sheetName val="差旅费明细表"/>
      <sheetName val="学工部"/>
      <sheetName val="咨询顾问费明细表"/>
      <sheetName val="网络与实验中心附表3 网络维护费"/>
      <sheetName val="行政教辅人员及辅导员薪资"/>
      <sheetName val="公积金明细"/>
      <sheetName val="社保明细"/>
      <sheetName val="网络与实验中心附表2 实验室维护费"/>
      <sheetName val="图书馆"/>
      <sheetName val="体育中心"/>
      <sheetName val="各系学科竞赛费"/>
      <sheetName val="新增护理专业专项"/>
      <sheetName val="心理专项"/>
      <sheetName val="招生办"/>
      <sheetName val="档案室"/>
      <sheetName val="就业指导中心"/>
      <sheetName val="学位授予仪式专项"/>
      <sheetName val="校园建设发展基金"/>
      <sheetName val="迎评专项"/>
      <sheetName val="基础资料（B）"/>
      <sheetName val="规划及施工面积"/>
      <sheetName val="营运费用"/>
      <sheetName val="Tennancy"/>
      <sheetName val="Chart of Acct"/>
      <sheetName val="内部及关联单位清单"/>
      <sheetName val="应收票据(关联方)"/>
      <sheetName val="白云骏景楼宇价目表20030415使用格式（黑白）_盖章生效"/>
      <sheetName val="_x005f_x0000__x005f_x0000__x005"/>
      <sheetName val="_x005f_x005f_x005f_x0000__x005f"/>
      <sheetName val="_x005f_x005f_x005f_x005f_"/>
      <sheetName val="累计20130630"/>
      <sheetName val="Assumptions"/>
      <sheetName val="Scenarios"/>
      <sheetName val="Tenancy"/>
      <sheetName val="4.计划(地区)"/>
      <sheetName val="5.计划(房管中心)"/>
      <sheetName val="3.计划(项目)"/>
      <sheetName val="表三"/>
      <sheetName val="表一"/>
      <sheetName val="_x005f_x005f_x005f_x005f_x005f_x005f_x005f_x005f_"/>
      <sheetName val="_x005f_x0000__x005f"/>
      <sheetName val="_x005f_x005f_"/>
      <sheetName val="数据有效性"/>
      <sheetName val="dep08"/>
      <sheetName val="TB"/>
      <sheetName val="summary"/>
      <sheetName val="US GAAP (RMB) "/>
      <sheetName val="US GAAP (US$)"/>
      <sheetName val="ADJUSTMENT"/>
      <sheetName val="UNADJUSTED ERRORS"/>
      <sheetName val="US&amp;PRC GAAPS rec and EBITA"/>
      <sheetName val="附件6 资产汇总表"/>
      <sheetName val="10-2  股东利息计算明细表 "/>
      <sheetName val="系数1"/>
      <sheetName val="系数2"/>
      <sheetName val="系数3"/>
      <sheetName val="面积表"/>
      <sheetName val="5#（209、210）"/>
      <sheetName val="5#集团底价"/>
      <sheetName val="5#集团底价（新调整1-10层95%）"/>
      <sheetName val="5.4-生产过程付款验收节点"/>
      <sheetName val="现金流量表（上报版）"/>
      <sheetName val="6-大生产成本"/>
      <sheetName val="4-项目面积表(全口径面积连接，不可删）"/>
      <sheetName val="PNIOVJ"/>
      <sheetName val="考虑专业公司总分包差异及精装修成本拆分后经营性利润测算new"/>
      <sheetName val="考虑专业公司总分包差异及精装修成本拆分后经营性利润测算"/>
      <sheetName val="倒推楼面土地价"/>
      <sheetName val="考虑-戴德梁行土地成本"/>
      <sheetName val="考虑-开发现时土地"/>
      <sheetName val="考虑专业公司总分包差异及精装修成本拆分后经营性利润测算1224"/>
      <sheetName val="2-项目基础数据"/>
      <sheetName val="2.1-项目总平面图"/>
      <sheetName val="2.2-规划指标"/>
      <sheetName val="2.3-项目面积报表"/>
      <sheetName val="2.3-项目面积报"/>
      <sheetName val="3.1-整盘价格规划（分产品类型）"/>
      <sheetName val="3.2-项目定位分析(客户 市场 产品)"/>
      <sheetName val="3.3-楼栋价格体系"/>
      <sheetName val="4-项目经营方案"/>
      <sheetName val="4.1- 项目节点管控表"/>
      <sheetName val="4.2-营销实施方案"/>
      <sheetName val="4.3-边缘资产经营实施方案"/>
      <sheetName val="4.4-物业管理实施方案"/>
      <sheetName val="5-项目销售实施方案"/>
      <sheetName val="5.1-认购口径分年确认销售计划"/>
      <sheetName val="5.2-交楼口径分年确认销售计划"/>
      <sheetName val="6-项目融资实施方案"/>
      <sheetName val="6.1-融资上、下册方案"/>
      <sheetName val="6.2-融资及财务费用一览表"/>
      <sheetName val="7-项目大生产经营管控实施方案"/>
      <sheetName val="7.1-三大样板段实施方案"/>
      <sheetName val="7.2-市政管线铺排实施方案"/>
      <sheetName val="7.3-市政道路、土方平衡铺排实施方案 "/>
      <sheetName val="7.4-业务流程及资金需求"/>
      <sheetName val="8-现金流管控方案"/>
      <sheetName val="8.2-开发节点资金需求"/>
      <sheetName val="8.1-现金流量表 模版 "/>
      <sheetName val="8.1-现金流量表"/>
      <sheetName val="9A-项目全口径成本（购地成本）"/>
      <sheetName val="9B-项目全口径成本 (现时土地成本)"/>
      <sheetName val="9.2合约规划"/>
      <sheetName val="9.3-目标成本（新）"/>
      <sheetName val="回款比例2017"/>
      <sheetName val="回款比例2018"/>
      <sheetName val="9.1-产品定位说明书"/>
      <sheetName val="9.2合同规划模板"/>
      <sheetName val="9.3-目标成本(旧）"/>
      <sheetName val="9.4营销费用"/>
      <sheetName val="9.5-行政费用"/>
      <sheetName val="9.5B运营费用"/>
      <sheetName val="10A-利润测算表 "/>
      <sheetName val="10C-利润测算表（现时土地成本）"/>
      <sheetName val="10B-利润测算表（全口径成本格式）"/>
      <sheetName val="10C-利润测算表（土地投资收益）"/>
      <sheetName val="10.1-利润测算表（分期分产品）"/>
      <sheetName val="10.2-利润测算表 (交楼口径)"/>
      <sheetName val="8.2-项目资金控制表（分期）"/>
      <sheetName val="土地占用利息"/>
      <sheetName val="股东占有利息"/>
      <sheetName val="编码"/>
      <sheetName val="6-项目经营利润表"/>
      <sheetName val="2X"/>
      <sheetName val="3X"/>
      <sheetName val="1t"/>
      <sheetName val="2(lm)"/>
      <sheetName val="5(old)"/>
      <sheetName val="6X"/>
      <sheetName val="7X"/>
      <sheetName val="5t"/>
      <sheetName val="6t"/>
      <sheetName val="13X"/>
      <sheetName val="7t"/>
      <sheetName val="8t"/>
      <sheetName val="9t"/>
      <sheetName val="10a"/>
      <sheetName val="10(Y)"/>
      <sheetName val="11(lm)"/>
      <sheetName val="13-1"/>
      <sheetName val="13-2"/>
      <sheetName val="13-3"/>
      <sheetName val="13-4"/>
      <sheetName val="ch"/>
      <sheetName val="9a"/>
      <sheetName val="1-1"/>
      <sheetName val="1-2"/>
      <sheetName val="1-3"/>
      <sheetName val="1-4"/>
      <sheetName val="3-1"/>
      <sheetName val="3-2"/>
      <sheetName val="3-3"/>
      <sheetName val="3-4"/>
      <sheetName val="6-1"/>
      <sheetName val="6-2"/>
      <sheetName val="6-3"/>
      <sheetName val="6-4"/>
      <sheetName val="7-1"/>
      <sheetName val="7-2"/>
      <sheetName val="19X"/>
      <sheetName val="Part_Datum"/>
      <sheetName val="日"/>
      <sheetName val="AGENT"/>
      <sheetName val="支付明细表(开发管线)"/>
      <sheetName val="4-融资及财务费用计划表"/>
      <sheetName val="8.3一级节点完成时间点"/>
      <sheetName val="11.7"/>
      <sheetName val="ARP-U501"/>
      <sheetName val="至10月末全成本汇总表（动态）"/>
      <sheetName val="10月下"/>
      <sheetName val="Balance sheet"/>
      <sheetName val="TB Links"/>
      <sheetName val="source"/>
      <sheetName val="（表9）（售楼部提供）2.权分明细"/>
      <sheetName val="$TB 1"/>
      <sheetName val="$TB"/>
      <sheetName val="B"/>
      <sheetName val="MAT chart"/>
      <sheetName val="DCF"/>
      <sheetName val="CAP"/>
      <sheetName val="OUTGOINGS"/>
      <sheetName val="Graphs"/>
      <sheetName val="Lease Expiry"/>
      <sheetName val="INS"/>
      <sheetName val="P&amp;L"/>
      <sheetName val="待处理事项审批表"/>
      <sheetName val="附件3：待处理事项审批表"/>
      <sheetName val="附件3_待处理事项审批表"/>
      <sheetName val="RecoveredExternalLink6"/>
      <sheetName val="Journal Listing"/>
      <sheetName val="Aging Datasheet"/>
      <sheetName val="ECCS_1 DataSheet"/>
      <sheetName val="KPI Datasheet"/>
      <sheetName val="项目1"/>
      <sheetName val="项目2"/>
      <sheetName val="AP4451-ADJ"/>
      <sheetName val="AP4451附件 (2)"/>
      <sheetName val="AP4451附件"/>
      <sheetName val="ap4453 attach"/>
      <sheetName val="4452+"/>
      <sheetName val="4452-"/>
      <sheetName val="3.4 GTO Analysis"/>
      <sheetName val="7.1 Shoppers Traffic"/>
      <sheetName val="7.2 Vehicular Traffic"/>
      <sheetName val="流资汇总"/>
      <sheetName val="5-项目面积报表"/>
      <sheetName val="3-规划指标"/>
      <sheetName val="材料费"/>
      <sheetName val="假设"/>
      <sheetName val="目标进度表"/>
      <sheetName val="月图表"/>
      <sheetName val="月报表"/>
      <sheetName val="日报"/>
      <sheetName val="每日销售明细"/>
      <sheetName val="21世纪日报"/>
      <sheetName val="0"/>
      <sheetName val="2.2"/>
      <sheetName val="3.1"/>
      <sheetName val="3.2"/>
      <sheetName val="土地增值税测算"/>
      <sheetName val="15.1"/>
      <sheetName val="9.1"/>
      <sheetName val="新船工程进度控制点计划"/>
      <sheetName val="设置一览表"/>
      <sheetName val="08年目标成本"/>
      <sheetName val="现金流10月"/>
      <sheetName val="5.2"/>
      <sheetName val="工程设计资金投入计划表"/>
      <sheetName val="开发资金计划"/>
      <sheetName val="5-土地成本"/>
      <sheetName val="10-股东占用利息"/>
      <sheetName val="主要经营指标(运营) (2)"/>
      <sheetName val="签字页"/>
      <sheetName val="目录 (2)"/>
      <sheetName val="单位说明及名词解释"/>
      <sheetName val="项目基本情况"/>
      <sheetName val="附件三-2014年度项目部人员架构及编制"/>
      <sheetName val="主要经营指标(运营)"/>
      <sheetName val="1.收入测算"/>
      <sheetName val="1.1写字楼商铺租赁及收入明细"/>
      <sheetName val="1.2可经营资产租赁及收入明细"/>
      <sheetName val="2、经营支出"/>
      <sheetName val="2.1 物业部费用"/>
      <sheetName val="2.2维修部"/>
      <sheetName val="2.3运营费用（物业外包）"/>
      <sheetName val="2.4 招商推广部"/>
      <sheetName val="6、销售费用"/>
      <sheetName val="2.5 综合管理部"/>
      <sheetName val="3.1公司类费用"/>
      <sheetName val="3.2个人类费用"/>
      <sheetName val="3.3项目部公司类费用预算明细"/>
      <sheetName val="2.6 IT部"/>
      <sheetName val="2.7 法务及其他"/>
      <sheetName val="3 开发成本(空）"/>
      <sheetName val="4 运营期装修改造"/>
      <sheetName val="5 权益性支出"/>
      <sheetName val="6 权益性收入"/>
      <sheetName val="7、财务费用"/>
      <sheetName val="8经营利润"/>
      <sheetName val="9现金流"/>
      <sheetName val="10重点工作"/>
      <sheetName val="11.1商业建设期项目一把手"/>
      <sheetName val="11.2商业运营期项目一把手"/>
      <sheetName val="12产值验收及激励发放，待确定"/>
      <sheetName val="目标成本"/>
      <sheetName val="估价单成本法"/>
      <sheetName val="基本信息"/>
      <sheetName val="查勘信息"/>
      <sheetName val="成本法"/>
      <sheetName val="市场法测算表"/>
      <sheetName val="收益法"/>
      <sheetName val="致委托方函"/>
      <sheetName val="估价师声明"/>
      <sheetName val="假设限制条件"/>
      <sheetName val="估价报告1"/>
      <sheetName val="估价报告2"/>
      <sheetName val="估价报告3"/>
      <sheetName val="估价报告4"/>
      <sheetName val="估价报告5(成本法）"/>
      <sheetName val="成本法计算过程1"/>
      <sheetName val="成本法计算过程2"/>
      <sheetName val="市场法计算过程（成本法）"/>
      <sheetName val="市场法计算过程（成本法）2"/>
      <sheetName val="估价结果（市场法+成本法）"/>
      <sheetName val="附件"/>
      <sheetName val="估价报告5（收益法）"/>
      <sheetName val="收益还原法计算过程1"/>
      <sheetName val="收益还原法计算过程2"/>
      <sheetName val="市场法计算过程"/>
      <sheetName val="估价结果"/>
      <sheetName val="估价对象照片1"/>
      <sheetName val="估价对象照片2"/>
      <sheetName val="估价对象位置图"/>
      <sheetName val="位置图"/>
      <sheetName val="照片1"/>
      <sheetName val="照片2"/>
      <sheetName val="照片3"/>
      <sheetName val="照片4"/>
      <sheetName val="照片5"/>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汇总"/>
      <sheetName val="市场比较法"/>
      <sheetName val="成本法（土地）"/>
      <sheetName val="重置成本（房屋）"/>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资料"/>
      <sheetName val="现场勘察表"/>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面积指标"/>
      <sheetName val="序列表"/>
      <sheetName val="成本法打印区域"/>
      <sheetName val="处置费用-深发"/>
      <sheetName val="基本描述"/>
      <sheetName val="结果描述"/>
      <sheetName val="定义"/>
      <sheetName val="清单"/>
      <sheetName val="资料"/>
      <sheetName val="现场勘察表"/>
      <sheetName val="市场法"/>
      <sheetName val="结果分析"/>
      <sheetName val="处置税费表—深发"/>
      <sheetName val="处置税费表—兴业"/>
      <sheetName val="期房"/>
      <sheetName val="参数维护"/>
      <sheetName val="配置"/>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估价结果"/>
      <sheetName val="基本信息"/>
      <sheetName val="权属信息"/>
      <sheetName val="现场勘查信息"/>
      <sheetName val="明确估价事项"/>
      <sheetName val="估价结果确认信息"/>
      <sheetName val="土地案例"/>
      <sheetName val="市场法 "/>
      <sheetName val="收益法"/>
      <sheetName val="成本法"/>
      <sheetName val="资本化率统计"/>
      <sheetName val="链接"/>
      <sheetName val="配置"/>
      <sheetName val="估价对象位置图"/>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权属资料"/>
      <sheetName val="测算结果"/>
      <sheetName val="2013土地案例"/>
      <sheetName val="新房地产案例"/>
      <sheetName val="市场法（盛峰通达）"/>
      <sheetName val="成本法-现房"/>
      <sheetName val="收益法-不段"/>
      <sheetName val="土地增值税测算"/>
      <sheetName val="综合成新率(税用)"/>
      <sheetName val="基准地价法(税用)"/>
      <sheetName val="重置成本(税用)"/>
      <sheetName val="房地产案例"/>
      <sheetName val="房产案例6月、12月"/>
      <sheetName val="链接"/>
      <sheetName val="配置"/>
      <sheetName val="#REF!"/>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比较因素说明 (2)"/>
      <sheetName val="比较因素条件指数 (2)"/>
      <sheetName val="比较因素修正系数 (3)"/>
      <sheetName val="基准地价"/>
      <sheetName val="基本情况"/>
      <sheetName val="假设开发法"/>
      <sheetName val="估价方法"/>
      <sheetName val="评估结论"/>
      <sheetName val="Repayment Summary"/>
      <sheetName val=""/>
      <sheetName val="XL4Poppy"/>
      <sheetName val="_x005f_x0000__x005f_x0000__x005f_x0000__x005f_x0000__x0"/>
      <sheetName val="_x005f_x005f_x005f_x0000__x005f_x005f_x005f_x0000__x005"/>
      <sheetName val="_x005f_x005f_x005f_x005f_x005f_x005f_x005f_x0000__x005f"/>
      <sheetName val="_x005f_x0000__x005f_x0000__x005"/>
      <sheetName val="_x005f_x005f_x005f_x0000__x005f"/>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比较案例"/>
      <sheetName val="比较因素说明 (2)"/>
      <sheetName val="比较因素条件指数 (2)"/>
      <sheetName val="比较因素修正系数 (2)"/>
      <sheetName val="成本法"/>
      <sheetName val="估价方法"/>
      <sheetName val="汇总"/>
      <sheetName val="Collateral"/>
      <sheetName val="Disposition"/>
      <sheetName val="基本情况"/>
      <sheetName val="初评审批"/>
      <sheetName val="评估结论"/>
      <sheetName val="基础资料"/>
      <sheetName val="下拉选择字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1土地"/>
      <sheetName val="2房屋建筑物"/>
      <sheetName val="3交通运输设备"/>
      <sheetName val="4其它设备"/>
      <sheetName val="内设机构信息"/>
      <sheetName val="下拉选择字段"/>
      <sheetName val="资产分类代码"/>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Sheet1"/>
      <sheetName val="假设7"/>
      <sheetName val="假设8"/>
      <sheetName val="假设9"/>
      <sheetName val="假设10幢 "/>
      <sheetName val="假设11"/>
      <sheetName val="假设12"/>
      <sheetName val="住宅明细 "/>
      <sheetName val="修正（7.10）"/>
      <sheetName val="修正 (8.9.11.12)"/>
      <sheetName val="住宅明细表"/>
      <sheetName val="7、8"/>
      <sheetName val="9、10"/>
      <sheetName val="11、12"/>
      <sheetName val="修正 (2)"/>
      <sheetName val="#REF!"/>
      <sheetName val="#REF"/>
      <sheetName val="基本情况"/>
      <sheetName val="评估结论"/>
      <sheetName val="下拉选择字段"/>
      <sheetName val="财务费用"/>
      <sheetName val="管理费用"/>
      <sheetName val="表5_2_1固定资产—机器设备"/>
      <sheetName val="估价方法"/>
      <sheetName val="Collateral"/>
      <sheetName val="Disposition"/>
      <sheetName val="房地明细"/>
      <sheetName val="表5_1_1固定资产—房屋建筑物"/>
      <sheetName val="市价法2"/>
      <sheetName val="配置"/>
      <sheetName val="Sheet2"/>
      <sheetName val="能力検証"/>
      <sheetName val="完"/>
      <sheetName val="选项卡"/>
      <sheetName val="固定资产清单"/>
      <sheetName val="表5_2_2固定资产—车辆"/>
      <sheetName val="表5_2_3固定资产—电子设备"/>
      <sheetName val="表5_4_1在建工程"/>
      <sheetName val="Repayment Summary"/>
      <sheetName val="引用区域"/>
      <sheetName val="资产负债表"/>
      <sheetName val="74上部門費ｺﾒﾝﾄ入力"/>
      <sheetName val="多套房税表 "/>
      <sheetName val="市场比较法"/>
      <sheetName val="应收票据"/>
      <sheetName val="月份分析"/>
      <sheetName val="其他货币资金.dbf"/>
      <sheetName val="银行存款.dbf"/>
      <sheetName val="比较资产负债表"/>
      <sheetName val="计算（云景名都）"/>
      <sheetName val="会计科目表"/>
      <sheetName val="内部购入存货明细表"/>
      <sheetName val="20 运输公司"/>
      <sheetName val="新城资金明细"/>
      <sheetName val="申鑫大厦租金明细"/>
      <sheetName val="三林明细"/>
      <sheetName val="东陆明细"/>
      <sheetName val="9-1折旧"/>
      <sheetName val="国内競合"/>
      <sheetName val="参数表"/>
      <sheetName val="清单12.31"/>
      <sheetName val="营业费用截止"/>
      <sheetName val="库存商品余额表.dbf"/>
      <sheetName val="eqpmad2"/>
      <sheetName val="XL4Poppy"/>
      <sheetName val="测算表2"/>
      <sheetName val="缸盖"/>
      <sheetName val="缸体GCC、KCW"/>
      <sheetName val="缸体KC6"/>
      <sheetName val="缸体kew"/>
      <sheetName val="箱体"/>
      <sheetName val="机一"/>
      <sheetName val="RMSCAL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WORD描述"/>
      <sheetName val="中行"/>
      <sheetName val="序列表"/>
      <sheetName val="面积指标"/>
      <sheetName val="配置"/>
      <sheetName val="权属资料"/>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39.2 收益率差异"/>
      <sheetName val="40.0 利息收支变动原因"/>
      <sheetName val="40.1 按业务类型披露"/>
      <sheetName val="40.2 贷款结构分析"/>
      <sheetName val="40.2.1 业务与相关会计科目对照表"/>
      <sheetName val="40.3 专项拨备变动"/>
      <sheetName val="41.0 对外实体投资"/>
      <sheetName val="39。0 资产流动性情况"/>
      <sheetName val="Sheet1"/>
      <sheetName val="Sheet2"/>
      <sheetName val="Sheet3"/>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汇总表"/>
      <sheetName val="市场法"/>
      <sheetName val="市调表"/>
      <sheetName val="收益&amp;市场法汇总"/>
      <sheetName val="测算表"/>
      <sheetName val="结果表"/>
      <sheetName val="因素修正"/>
      <sheetName val="因素修正说明"/>
      <sheetName val="综合"/>
      <sheetName val="居住"/>
      <sheetName val="房地产评估调查表 (12)"/>
      <sheetName val="抵押物清单"/>
      <sheetName val="总论"/>
      <sheetName val="比较法-花园洋房"/>
      <sheetName val="比较法-高层"/>
      <sheetName val="比较法-别墅"/>
      <sheetName val="比较法-小高层"/>
      <sheetName val="比较法-商业"/>
      <sheetName val="市调"/>
      <sheetName val="比较法"/>
      <sheetName val="成本法(建筑物）"/>
      <sheetName val="分套房地产价值汇总表"/>
      <sheetName val="资产评估结果汇总表"/>
      <sheetName val="资产评估结果分类汇总表"/>
      <sheetName val="资产评估结果分类汇总表 (2)"/>
      <sheetName val="资产评估申报核对表"/>
      <sheetName val=""/>
      <sheetName val="清单"/>
      <sheetName val="剩余"/>
      <sheetName val="现房"/>
      <sheetName val="成本-土地"/>
      <sheetName val="地价指数表"/>
      <sheetName val="基准地价"/>
      <sheetName val="市调 (2)"/>
      <sheetName val="商业比较"/>
      <sheetName val="价值汇总表"/>
      <sheetName val="商业收益"/>
      <sheetName val="办公比较"/>
      <sheetName val="办公收益"/>
      <sheetName val="车库比较"/>
      <sheetName val="汇总 "/>
      <sheetName val="收益法 （商业）"/>
      <sheetName val="市场法（商业）"/>
      <sheetName val="收益法（办公）"/>
      <sheetName val="市场法（办公）"/>
      <sheetName val="地下车库"/>
      <sheetName val="重置成本法"/>
      <sheetName val="租赁表"/>
      <sheetName val="面积基础数据表"/>
      <sheetName val="科目余额表"/>
      <sheetName val="委贷利息5.5%"/>
      <sheetName val="证照信息"/>
      <sheetName val="总投已投（企业提供）"/>
      <sheetName val="面积统计"/>
      <sheetName val="1-总投资"/>
      <sheetName val="2-投资计划表"/>
      <sheetName val="3-收入表"/>
      <sheetName val="4-损益表"/>
      <sheetName val="5-资金来源与运用表"/>
      <sheetName val="6-现金流量表"/>
      <sheetName val="基础数据及结果汇总"/>
      <sheetName val="市场比较法（居住）"/>
      <sheetName val="市场比较法（商业）"/>
      <sheetName val="市场比较法（工业）"/>
      <sheetName val="市场比较法（办公）"/>
      <sheetName val="房屋重置成新价"/>
      <sheetName val="收益还原法"/>
      <sheetName val="剩余法"/>
      <sheetName val="假设开发法"/>
      <sheetName val="样本修正法"/>
      <sheetName val="参数参考"/>
      <sheetName val="房地产估价参考表格"/>
      <sheetName val="收益法2"/>
      <sheetName val="新成本法"/>
      <sheetName val="文字部分"/>
      <sheetName val="市调截屏"/>
      <sheetName val="成本逼近法"/>
      <sheetName val="剩余法1"/>
      <sheetName val="土地市调"/>
      <sheetName val="房屋市调"/>
      <sheetName val="地价增长率"/>
      <sheetName val="汇总（2017）"/>
      <sheetName val="收益法(2017)"/>
      <sheetName val="成本法-建筑物(2017)"/>
      <sheetName val="2017年市调"/>
      <sheetName val="租赁清单"/>
      <sheetName val="汇总2"/>
      <sheetName val="成本法土地"/>
      <sheetName val="土地比较法"/>
      <sheetName val="小市场法"/>
      <sheetName val="案例"/>
      <sheetName val="地价监测指数"/>
      <sheetName val="土地案例"/>
      <sheetName val="市调补充"/>
      <sheetName val="比较法（商业）"/>
      <sheetName val="收益法（商业）"/>
      <sheetName val="收益法-（6KTV）"/>
      <sheetName val="商业2016.9"/>
      <sheetName val="eqpmad2"/>
      <sheetName val="租赁情况表"/>
      <sheetName val="抵押物清单及汇总"/>
      <sheetName val="收益法考虑租约"/>
      <sheetName val="收益法无租约"/>
      <sheetName val="成本法建筑物"/>
      <sheetName val="房地产市调"/>
      <sheetName val="归档项目信息X"/>
      <sheetName val="收益法（存在租约）"/>
      <sheetName val="成本法-建筑物"/>
      <sheetName val="长租-109"/>
      <sheetName val="长租-128"/>
      <sheetName val="长租-130-131"/>
      <sheetName val="长租-133"/>
      <sheetName val="1、写字楼账单"/>
      <sheetName val="AB03西安曲江春天融和"/>
      <sheetName val="AB座首期租金-科汉森（北京）贸易有限公司"/>
      <sheetName val="AB04北京九州恒盛电力（诚金合益）"/>
      <sheetName val="AB04首期租金-北京九州恒盛电力科技"/>
      <sheetName val="AB05上海雷神"/>
      <sheetName val="AB05前海落基山"/>
      <sheetName val="AB05美商"/>
      <sheetName val="AB05UNITE"/>
      <sheetName val="AB05北京国能中电环保技术（2015龙合字159号）"/>
      <sheetName val="AB05、AB07北京国能中电环保技术2015龙合字055号"/>
      <sheetName val="万致"/>
      <sheetName val="AB07世通（北京）"/>
      <sheetName val="AB07上海世贸通"/>
      <sheetName val="AB07佳世碧"/>
      <sheetName val="AB08九州方圆（2013龙合069）"/>
      <sheetName val="AB08九州方圆（2016龙合054号）"/>
      <sheetName val="AB09永明人寿"/>
      <sheetName val="AB09雅达银龄"/>
      <sheetName val="AB09国能中电能源集团"/>
      <sheetName val="AB09北京国能中电环保技术（2015龙合字051号）"/>
      <sheetName val="AB09中科利信（季度支付）"/>
      <sheetName val="AB座首期租金-上海金火花"/>
      <sheetName val="AB09北京尚锐智慧"/>
      <sheetName val="AB10凯撒国旅续租10层（2015龙合字158号续租协议）"/>
      <sheetName val="AB10凯撒航空"/>
      <sheetName val="AB10上海合晟"/>
      <sheetName val="AB11中信国安"/>
      <sheetName val="AB11凯撒世嘉11层"/>
      <sheetName val="AB12中泓"/>
      <sheetName val="AB14中视智扬"/>
      <sheetName val="AB14中川盛唐"/>
      <sheetName val="AB座首期租金瑞通投资"/>
      <sheetName val="AB座盈创置地"/>
      <sheetName val="AB14森淼丰润(季度支付）"/>
      <sheetName val="AB14科尔沁"/>
      <sheetName val="AB14宝泰隆新材料"/>
      <sheetName val="AB23民生金融（2015龙合字135号）"/>
      <sheetName val="AB23民生金融 (2015龙合字131号)"/>
      <sheetName val="AB23广和财富（星石明曜）（季度支付）"/>
      <sheetName val="AB24凯撒航空"/>
      <sheetName val="AB24凯撒国际旅行社2016龙合字151号（续租协议）"/>
      <sheetName val="AB24凯撒国旅2015龙合字第150号（房屋使用合同）"/>
      <sheetName val="C03-04-05松下电器中国"/>
      <sheetName val="C座首期租金-松下电器（中国）"/>
      <sheetName val="C座首期租金-隆图盛世（2016龙合字063号）"/>
      <sheetName val="C座首期趋近-隆图盛世（2016龙合字064号）"/>
      <sheetName val="C03松下电器机电北分"/>
      <sheetName val="C座首期租金-松下电器机电北分"/>
      <sheetName val="C06中创众合投资北分（东方国瑞）"/>
      <sheetName val="C06秩序科技"/>
      <sheetName val="C07KABAM软件（扩租）"/>
      <sheetName val="C08德劳工业"/>
      <sheetName val="C08挪威船级社"/>
      <sheetName val="C08上海挪华威"/>
      <sheetName val="C08加勒德哈森"/>
      <sheetName val="C08安可咨询"/>
      <sheetName val="C08中天证券"/>
      <sheetName val="C09阳光渝融"/>
      <sheetName val="C09蒙咨斯哥（瑞士圣加伦换租）"/>
      <sheetName val="C09重山远志投资"/>
      <sheetName val="C10沃尔沃汽车金融"/>
      <sheetName val="C11亚洲华纳音乐"/>
      <sheetName val="C11近铁运输"/>
      <sheetName val="C11近铁物流中国"/>
      <sheetName val="C11苏州大得宏强"/>
      <sheetName val="C11和达开元"/>
      <sheetName val="C12雅达国际"/>
      <sheetName val="C12珠海凯利基金"/>
      <sheetName val="C12韩亚金融投资"/>
      <sheetName val="C12佰利诺金"/>
      <sheetName val="C12佰利诺投资"/>
      <sheetName val="C12北京国富资本"/>
      <sheetName val="C13嘉映影业"/>
      <sheetName val="C13天天太美网络科技"/>
      <sheetName val="C13首期租金-天天太美网络科技"/>
      <sheetName val="C13太美行动文化传播"/>
      <sheetName val="C13首期租金-太美行动文化传播"/>
      <sheetName val="C1401西藏信托"/>
      <sheetName val="C1403B西藏信托"/>
      <sheetName val="C1405-08B西藏信托"/>
      <sheetName val="C1408A-09西藏信托"/>
      <sheetName val="C1406-07西藏信托"/>
      <sheetName val="C14万达行投资"/>
      <sheetName val="C15-16-17-18甲骨文"/>
      <sheetName val="C10-22沃尔沃（中国）"/>
      <sheetName val="C20京都律师20层"/>
      <sheetName val="C座首期租金-京都律师事务所（2016龙合字057号）"/>
      <sheetName val="C21大华银行（写字楼）"/>
      <sheetName val="c23宜信卓越财富投资"/>
      <sheetName val="C23中能联合投资"/>
      <sheetName val="辉盛阁"/>
      <sheetName val="北京日升天信（国信金证）"/>
      <sheetName val="建设银行"/>
      <sheetName val="辉盛阁橱窗"/>
      <sheetName val="10蟹道乐"/>
      <sheetName val="国绿特"/>
      <sheetName val="华联"/>
      <sheetName val="月岛"/>
      <sheetName val="盛洋投资"/>
      <sheetName val="盛华远丰"/>
      <sheetName val="8中燃（租）"/>
      <sheetName val="9中燃（售）"/>
      <sheetName val="48桂淼"/>
      <sheetName val="10必能宝"/>
      <sheetName val="中燃2011年1月、2月租金"/>
      <sheetName val="C302巢内"/>
      <sheetName val="C606诺基亚"/>
      <sheetName val="西藏信托续租C17层"/>
      <sheetName val="万致投资"/>
      <sheetName val="万致科技"/>
      <sheetName val="嘉映文化"/>
      <sheetName val="嘉映管理"/>
      <sheetName val="煦国"/>
      <sheetName val="成本法土地 "/>
      <sheetName val="租赁合同"/>
      <sheetName val="价格信息调查表"/>
      <sheetName val="收益法-（长租1）"/>
      <sheetName val="收益法-（长租2)"/>
      <sheetName val="收益法-（长租3)"/>
      <sheetName val="收益法-（长租4)"/>
      <sheetName val="2014基准地价-商业"/>
      <sheetName val="地价指数"/>
      <sheetName val="成本法（土地购买）"/>
      <sheetName val="假开法（在建）"/>
      <sheetName val="规划条件"/>
      <sheetName val="面积汇总"/>
      <sheetName val="成本法（土地）"/>
      <sheetName val="SW-TEO"/>
      <sheetName val="土地"/>
      <sheetName val="在建工程"/>
      <sheetName val="不可预见费标准"/>
      <sheetName val="整体规划"/>
      <sheetName val="假开法"/>
      <sheetName val="UFPrn20020708110604"/>
      <sheetName val="现金流量表2"/>
      <sheetName val="现金流量表3"/>
      <sheetName val="00000000"/>
      <sheetName val="2002年3月份"/>
      <sheetName val="2004年4月份"/>
      <sheetName val="Menu"/>
      <sheetName val="表1(汇总）"/>
      <sheetName val="表1 质管部(14)"/>
      <sheetName val="表1财务部(16) "/>
      <sheetName val="表1行政部(16)"/>
      <sheetName val="表1采购部(3)"/>
      <sheetName val="表1设备部(9)"/>
      <sheetName val="表1生产部(7)"/>
      <sheetName val="总经办"/>
      <sheetName val="Calendar"/>
      <sheetName val="表3"/>
      <sheetName val="表4"/>
      <sheetName val="表5"/>
      <sheetName val="表6"/>
      <sheetName val="表7"/>
      <sheetName val="表8"/>
      <sheetName val="表9"/>
      <sheetName val="表10"/>
      <sheetName val="表11"/>
      <sheetName val="表12"/>
      <sheetName val="表13"/>
      <sheetName val="表14"/>
      <sheetName val="表14 -1"/>
      <sheetName val="表14 -2"/>
      <sheetName val="表15"/>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SW_TEO"/>
      <sheetName val="Open"/>
      <sheetName val="Main"/>
      <sheetName val="价值汇总"/>
      <sheetName val="1203市调"/>
      <sheetName val="模本4-成本法（建筑物）"/>
      <sheetName val="11价格信息调查表"/>
      <sheetName val="扣净值"/>
      <sheetName val="评估费"/>
      <sheetName val="扣净值 (C1)"/>
      <sheetName val="扣净值 (C2)"/>
      <sheetName val="POWER ASSUMPTIONS"/>
      <sheetName val="Toolbox"/>
      <sheetName val="车库"/>
      <sheetName val="地下车位(比较法)"/>
      <sheetName val="Financ. Overview"/>
      <sheetName val="管比表（2）"/>
      <sheetName val="科余"/>
      <sheetName val="制比表（2）"/>
      <sheetName val="损表"/>
      <sheetName val="固折（2）"/>
      <sheetName val="预提表"/>
      <sheetName val="资负表"/>
      <sheetName val="毛利表"/>
      <sheetName val="应税表"/>
      <sheetName val="管比表"/>
      <sheetName val="预算底稿"/>
      <sheetName val="管理费用预算"/>
      <sheetName val="固定生产成本预算"/>
      <sheetName val="说明"/>
      <sheetName val="销量"/>
      <sheetName val="共享"/>
      <sheetName val="促销活动"/>
      <sheetName val="活动"/>
      <sheetName val="总表"/>
      <sheetName val="¹Ü±È±í£¨2£©"/>
      <sheetName val="¿ÆÓà"/>
      <sheetName val="ÖÆ±È±í£¨2£©"/>
      <sheetName val="Ëð±í"/>
      <sheetName val="¹ÌÕÛ£¨2£©"/>
      <sheetName val="Ô¤Ìá±í"/>
      <sheetName val="×Ê¸º±í"/>
      <sheetName val="Ã«Àû±í"/>
      <sheetName val="Ó¦Ë°±í"/>
      <sheetName val="¹Ü±È±í"/>
      <sheetName val="Ô¤Ëãµ×¸å"/>
      <sheetName val="¹ÜÀí·ÑÓÃÔ¤Ëã"/>
      <sheetName val="¹Ì¶¨Éú²ú³É±¾Ô¤Ëã"/>
      <sheetName val="±¾ÆÚ·¢Éú"/>
      <sheetName val="11¶È»ªµ¤"/>
      <sheetName val="13¶È¸ßÅ¨"/>
      <sheetName val="13¶È·ÖÅä±í"/>
      <sheetName val="13.65¶ÈÑ©»¨"/>
      <sheetName val="13.6Ñ©»¨·ÖÅä±í"/>
      <sheetName val="13.65¶ÈÉòÑô"/>
      <sheetName val="13.65ÉòÑô·ÖÅä±í"/>
      <sheetName val="11¶È¸ÉÆ¡"/>
      <sheetName val="½ÍÔì¹ýÂË·ÖÅä"/>
      <sheetName val="ÐÂË®·ÖÅä±í"/>
      <sheetName val="ÄðÔìÃºË®µç"/>
      <sheetName val="ÄðÔìÂóÑ¿"/>
      <sheetName val="»ã×Ü±í"/>
      <sheetName val="ÃºË®µç±¸·Ý "/>
      <sheetName val="10.5¶È³É±¾±í"/>
      <sheetName val="11¶ÈÑ©³É±¾±í"/>
      <sheetName val="11¶ÈÑÇÌØ³É±¾±í"/>
      <sheetName val="Ñ©»¨¸É³É±¾±í"/>
      <sheetName val="»ªµ¤³É±¾±í"/>
      <sheetName val="11¶ÈÉòÑôÏÊ³É±¾±í"/>
      <sheetName val="ÖÆÆ·¸¨ÁÏ"/>
      <sheetName val="ÖÆÆ·ÃºË®µç"/>
      <sheetName val="ÖÆÆ·Æ¿¸ÇÉÌ±ê"/>
      <sheetName val="Ñ©»¨·ÖÅä±í"/>
      <sheetName val="Ñ©»¨¸É·ÖÅä±í"/>
      <sheetName val="ÉòÑôÏÊ·ÖÅä±í"/>
      <sheetName val="»ªµ¤·ÖÅä"/>
      <sheetName val="Í°¾Æ15L"/>
      <sheetName val="Í°¾Æ20L"/>
      <sheetName val="Í°¾Æ30L"/>
      <sheetName val="Í°¾Æ10L"/>
      <sheetName val="Í°¾Æ5L"/>
      <sheetName val="Í°¾Æ20L (Ñ©) "/>
      <sheetName val="Í°¾Æ30L (Ñ©)  "/>
      <sheetName val="Í°¾Æ15L(»ª£©"/>
      <sheetName val="Í°¾Æ20L£¨»ª£©"/>
      <sheetName val="Í°¾Æ30L£¨»ª£©"/>
      <sheetName val="Í°¾Æ20L(Ñ©»¨¸É£©"/>
      <sheetName val="ËµÃ÷"/>
      <sheetName val="ÏúÁ¿"/>
      <sheetName val="¹²Ïí"/>
      <sheetName val="´ÙÏú»î¶¯"/>
      <sheetName val="»î¶¯"/>
      <sheetName val="×Ü±í"/>
      <sheetName val="土地成本法"/>
      <sheetName val="Sheet4"/>
      <sheetName val="信息汇总"/>
      <sheetName val="成本-建筑物"/>
      <sheetName val="预评汇总"/>
      <sheetName val="比较法-办公"/>
      <sheetName val="收益法-（商业、办公）"/>
      <sheetName val="比较法-公寓"/>
      <sheetName val="成本法-土地"/>
      <sheetName val="长租-B1冯岩"/>
      <sheetName val="长租-B1贾佩杰"/>
      <sheetName val="收益法-车库"/>
      <sheetName val="长租B1-国泰行"/>
      <sheetName val="比较法 (样板间)"/>
      <sheetName val="图表1"/>
      <sheetName val="表1A"/>
      <sheetName val="表1B"/>
      <sheetName val="表1C"/>
      <sheetName val="表4A"/>
      <sheetName val="表4B"/>
      <sheetName val="表4C"/>
      <sheetName val="表5A"/>
      <sheetName val="表5B"/>
      <sheetName val="表5C"/>
      <sheetName val="表16"/>
      <sheetName val="表17"/>
      <sheetName val="表18"/>
      <sheetName val="表19"/>
      <sheetName val="_REF!"/>
      <sheetName val="G.1R-Shou COP Gf"/>
      <sheetName val="Financ_ Overview"/>
      <sheetName val="净值在建工程"/>
      <sheetName val="正式汇总"/>
      <sheetName val="C1"/>
      <sheetName val="C2"/>
      <sheetName val="C3"/>
      <sheetName val="C4"/>
      <sheetName val="B2"/>
      <sheetName val="B3"/>
      <sheetName val="住宅-假开法"/>
      <sheetName val="别墅-比较法"/>
      <sheetName val="商业-比较法"/>
      <sheetName val="商业-收益法"/>
      <sheetName val="项目汇总"/>
      <sheetName val="在建工程汇总"/>
      <sheetName val="在建工程（假设开发法）"/>
      <sheetName val="在建工程（成本法）"/>
      <sheetName val="现房汇总"/>
      <sheetName val="市场比较法（现房）"/>
      <sheetName val="成本法（现房）"/>
      <sheetName val="假设条件"/>
      <sheetName val="EVM"/>
      <sheetName val="战略模型"/>
      <sheetName val="#1"/>
      <sheetName val="生鲜销售"/>
      <sheetName val="屠宰能力"/>
      <sheetName val="生鲜回归分析"/>
      <sheetName val="生鲜成本费用测算"/>
      <sheetName val="#2"/>
      <sheetName val="HTM销售"/>
      <sheetName val="HTM生产能力"/>
      <sheetName val="HTM回归分析"/>
      <sheetName val="HTM成本费用测算"/>
      <sheetName val="#3"/>
      <sheetName val="LTM销售"/>
      <sheetName val="LTM生产能力"/>
      <sheetName val="LTM回归分析"/>
      <sheetName val="LTM成本费用测算"/>
      <sheetName val="#4"/>
      <sheetName val="其他产业"/>
      <sheetName val="#5"/>
      <sheetName val="Strategy Bridge"/>
      <sheetName val="#6"/>
      <sheetName val="逻辑图"/>
      <sheetName val="1"/>
      <sheetName val="2"/>
      <sheetName val="3"/>
      <sheetName val="玉米供需及价格"/>
      <sheetName val="大豆供需及价格"/>
      <sheetName val="回归分析"/>
      <sheetName val="END"/>
      <sheetName val="AFGAddInWork"/>
      <sheetName val="AFGAddInWork2"/>
      <sheetName val="AFGAddInWorkLC"/>
      <sheetName val="AFGAddInWorkSP"/>
      <sheetName val="#REF!"/>
      <sheetName val="8营销费用"/>
      <sheetName val="总措施项目"/>
      <sheetName val="基本假设"/>
      <sheetName val="项目规划指标表"/>
      <sheetName val="项目关键节点"/>
      <sheetName val="经济指标"/>
      <sheetName val="附表1 会计利润表（汇总）"/>
      <sheetName val="附表2_经营利润表（项目汇总）"/>
      <sheetName val="附表2-1_经营利润表（房地产签约销售）"/>
      <sheetName val="附表2-收入总表（商管专用）"/>
      <sheetName val="附表2-2_经营利润表（自持物业）"/>
      <sheetName val="附表2-2-1物业经营收入预算表"/>
      <sheetName val="附表2-2-2 物业管理收入预算表"/>
      <sheetName val="附表2-2-3 酒店管理收入预算表"/>
      <sheetName val="附表2-2-4小额贷款收入预算表"/>
      <sheetName val="附表2-2-5文化传媒收入预算表"/>
      <sheetName val="附表2-2-6工程监理收入预算表"/>
      <sheetName val="附表3_现金流量表"/>
      <sheetName val="附表4_费用汇总表"/>
      <sheetName val="附表12 管理性费用（各部门填写，按月度分解）"/>
      <sheetName val="附表5_销售收入分解表"/>
      <sheetName val="附表6_营销费用"/>
      <sheetName val="附表7_销售成本表"/>
      <sheetName val="附表8_分产品单方成本"/>
      <sheetName val="附表9_工程开发及付款计划表"/>
      <sheetName val="附表10_工资预算表"/>
      <sheetName val="附表11_福利预算表"/>
      <sheetName val="附表13_财务费用"/>
      <sheetName val="附表14_税金测算表"/>
      <sheetName val="附表15 土增税测算表"/>
      <sheetName val="附表16_固定资产新增明细"/>
      <sheetName val="附表16-1 固定资产折旧及摊销"/>
      <sheetName val="S02020301能耗（商管专用）"/>
      <sheetName val="S020202 销售费用 (商管专用)"/>
      <sheetName val="S020203营业成本（商管专用）"/>
      <sheetName val="会计利润表底稿"/>
      <sheetName val="2014年经营预算调整差异（与年度预算比对）"/>
      <sheetName val="2014年会计利润表（模版）"/>
      <sheetName val="建安成本超支审批表 "/>
      <sheetName val="项目成本控制目标审核表"/>
      <sheetName val="项目成本超支审批表 "/>
      <sheetName val="资产负债表"/>
      <sheetName val="利润表"/>
      <sheetName val="现金流量表"/>
      <sheetName val="底稿"/>
      <sheetName val="预算调整汇总表"/>
      <sheetName val="调整事项明细表"/>
      <sheetName val="长投明细表"/>
      <sheetName val="投资收益"/>
      <sheetName val="关联单位往来余额表"/>
      <sheetName val="关联单位销售明细表"/>
      <sheetName val="预算主要财务指标分析"/>
      <sheetName val="科目明细表"/>
      <sheetName val="报表底稿"/>
      <sheetName val="销售收入、成本、费用、税金分析表"/>
      <sheetName val="销售收入、成本、费用、税金年度对比表"/>
      <sheetName val="销售收入、成本汇总表"/>
      <sheetName val="分产品销售收入、成本分析表"/>
      <sheetName val="01封面"/>
      <sheetName val="02编制说明"/>
      <sheetName val="03规划指标"/>
      <sheetName val="04成本汇总表"/>
      <sheetName val="05含量指标"/>
      <sheetName val="06造价指标表"/>
      <sheetName val="07公摊成本明细表"/>
      <sheetName val="08跨期公建分摊表"/>
      <sheetName val="09建造标准"/>
      <sheetName val="多层洋房(≤7F)"/>
      <sheetName val="小高层(≤12F)"/>
      <sheetName val="高层(≤18F)"/>
      <sheetName val="高层(≤33F)"/>
      <sheetName val="公寓(≤33F)"/>
      <sheetName val="联排别墅"/>
      <sheetName val="独栋别墅"/>
      <sheetName val="写字楼(&lt;100m)"/>
      <sheetName val="写字楼(&lt;150m)"/>
      <sheetName val="写字楼(&lt;200m)"/>
      <sheetName val="集中商业"/>
      <sheetName val="酒店"/>
      <sheetName val="商铺"/>
      <sheetName val="普通地下车库"/>
      <sheetName val="人防地下室"/>
      <sheetName val="自行车库等(塔楼内)"/>
      <sheetName val="会所"/>
      <sheetName val="合同台帐"/>
      <sheetName val="最新汇总"/>
      <sheetName val="剩余法-023"/>
      <sheetName val="剩余法-024"/>
      <sheetName val="土地招拍挂"/>
      <sheetName val="重置成本（房屋）"/>
      <sheetName val="市场法-商"/>
      <sheetName val="收益法-商"/>
      <sheetName val="市场法-住"/>
      <sheetName val="成本法--建筑物（住宅）"/>
      <sheetName val="收益法-酒店"/>
      <sheetName val="经营情况"/>
      <sheetName val="比较法（办公）"/>
      <sheetName val="办公"/>
      <sheetName val="车库收益法"/>
      <sheetName val="收益法-（5禾绿）"/>
      <sheetName val="商业租赁明细"/>
      <sheetName val="商业市场法"/>
      <sheetName val="办公市场法"/>
      <sheetName val="收益法（商业、办公）"/>
      <sheetName val="税表"/>
      <sheetName val="票据"/>
      <sheetName val="工规面积及结果"/>
      <sheetName val="假开"/>
      <sheetName val="成本 "/>
      <sheetName val="收益法（公租房）"/>
      <sheetName val="主要规划指标"/>
      <sheetName val="太阳河"/>
      <sheetName val="海南特色餐厅"/>
      <sheetName val="珠宝城"/>
      <sheetName val="珠宝城 (2)"/>
      <sheetName val="黄进成"/>
      <sheetName val="魏嵬"/>
      <sheetName val="王冠球"/>
      <sheetName val="唐太太-优格女孩"/>
      <sheetName val="海黄阁"/>
      <sheetName val="印象海南"/>
      <sheetName val="天涯果汁坊"/>
      <sheetName val="品香园茶餐厅"/>
      <sheetName val="哎饹驿站"/>
      <sheetName val="耐克 (3)"/>
      <sheetName val="耐克 (4)"/>
      <sheetName val="耐克 (5)"/>
      <sheetName val="耐克 (8)"/>
      <sheetName val="耐克 (9)"/>
      <sheetName val="耐克 (11)"/>
      <sheetName val="耐克 (13)"/>
      <sheetName val="耐克 (15)"/>
      <sheetName val="耐克 (16)"/>
      <sheetName val="耐克 (18)"/>
      <sheetName val="红梅坊"/>
      <sheetName val="耐克"/>
      <sheetName val="耐克 (2)"/>
      <sheetName val="耐克 (6)"/>
      <sheetName val="耐克 (7)"/>
      <sheetName val="耐克 (10)"/>
      <sheetName val="耐克 (12)"/>
      <sheetName val="耐克 (14)"/>
      <sheetName val="耐克 (17)"/>
      <sheetName val="耐克 (19)"/>
      <sheetName val="东海龙宫"/>
      <sheetName val="中国电信"/>
      <sheetName val="海南三宝"/>
      <sheetName val="农业银行"/>
      <sheetName val="联通"/>
      <sheetName val="联通 (2)"/>
      <sheetName val="三个柠"/>
      <sheetName val="朱能德"/>
      <sheetName val="邮政"/>
      <sheetName val="哈根达斯"/>
      <sheetName val="农信社"/>
      <sheetName val="鸿琛"/>
      <sheetName val="农信社 (2)"/>
      <sheetName val="阿迪"/>
      <sheetName val="中国移动"/>
      <sheetName val="坪效、坪销统计明细表"/>
      <sheetName val="data"/>
      <sheetName val="0.목차"/>
      <sheetName val="0.0ControlSheet"/>
      <sheetName val="0.1keyAssumption"/>
      <sheetName val="1.점포분석"/>
      <sheetName val="▶종합"/>
      <sheetName val="▶아울렛영업"/>
      <sheetName val="▶뉴코아영업"/>
      <sheetName val="▶제외 (3)"/>
      <sheetName val="▶제외 (2)"/>
      <sheetName val="▶제외"/>
      <sheetName val="강남1"/>
      <sheetName val="강남킴스"/>
      <sheetName val="평촌아울렛"/>
      <sheetName val="야탑"/>
      <sheetName val="동수원"/>
      <sheetName val="일산"/>
      <sheetName val="본사"/>
      <sheetName val="강남2"/>
      <sheetName val="순천"/>
      <sheetName val="순천킴스"/>
      <sheetName val="평택"/>
      <sheetName val="평촌"/>
      <sheetName val="평촌킴스"/>
      <sheetName val="과천"/>
      <sheetName val="구월킴스"/>
      <sheetName val="수원"/>
      <sheetName val="수원킴스"/>
      <sheetName val="남산킴스"/>
      <sheetName val="곤지암"/>
      <sheetName val="동관"/>
      <sheetName val="비전"/>
      <sheetName val="포항"/>
      <sheetName val="본관"/>
      <sheetName val="오대산"/>
      <sheetName val="인천"/>
      <sheetName val="서현킴스"/>
      <sheetName val="진부"/>
      <sheetName val="건설본부"/>
      <sheetName val="기타매각점"/>
      <sheetName val="▶주력"/>
      <sheetName val="▶기타"/>
      <sheetName val="채권자배분_Scenario"/>
      <sheetName val="DSCR by Qtr (95%occ)"/>
      <sheetName val="DSCR by Qtr (76.91%occ)"/>
      <sheetName val="DSCR by Yr (I only)"/>
      <sheetName val="DSCR by Yr-20yrs (P+I)"/>
      <sheetName val="DSCR by Yr-15yrs (P+I)"/>
      <sheetName val="DSCR by Yr-10yrs (P+I)"/>
      <sheetName val="U500-finance cost"/>
      <sheetName val="U500-finace cost"/>
      <sheetName val="I101- loan to related co2000"/>
      <sheetName val="I101-related co2001"/>
      <sheetName val="bankdisclosure2001"/>
      <sheetName val="bankdisclosure2000"/>
      <sheetName val="上级拨入资金2000"/>
      <sheetName val="短期借款2000"/>
      <sheetName val="上级拨入资金2001"/>
      <sheetName val="短期借款2001"/>
      <sheetName val="Q101"/>
      <sheetName val="汇丰银行"/>
      <sheetName val="渣打银行"/>
      <sheetName val="Movement"/>
      <sheetName val="Detail Loan Move. &amp; Listing"/>
      <sheetName val="Loan Analysis"/>
      <sheetName val="Avg Loan Balance"/>
      <sheetName val="ARP"/>
      <sheetName val="Detail Loan Move_ _ Listing"/>
      <sheetName val="INTEREST"/>
      <sheetName val="bajkdisclosure2000"/>
      <sheetName val="短期借欺2000"/>
      <sheetName val="BALANCE SHEET"/>
      <sheetName val="Consol"/>
      <sheetName val="Repayment Summary"/>
      <sheetName val="总公司2002.12.31"/>
      <sheetName val="3-1-1现金"/>
      <sheetName val="选择报表"/>
      <sheetName val="B"/>
      <sheetName val="A"/>
      <sheetName val="E101"/>
      <sheetName val="ARP-U201"/>
      <sheetName val="g101"/>
      <sheetName val="ÉÏ¼¶²¦Èë×Ê½ð2000"/>
      <sheetName val="¶ÌÆÚ½è¿î2000"/>
      <sheetName val="ÉÏ¼¶²¦Èë×Ê½ð2001"/>
      <sheetName val="¶ÌÆÚ½è¿î2001"/>
      <sheetName val="»ã·áÒøÐÐ"/>
      <sheetName val="Ôü´òÒøÐÐ"/>
      <sheetName val="¶ÌÆÚ½èÆÛ2000"/>
      <sheetName val="AFEMAI"/>
      <sheetName val="KEY"/>
      <sheetName val="F1"/>
      <sheetName val="Entity Data"/>
      <sheetName val="original"/>
      <sheetName val="农业用地"/>
      <sheetName val="KKKKKKKK"/>
      <sheetName val="YX-ZSGL-01 营业额及收入汇总表"/>
      <sheetName val="YX-ZSGL-0101 预算年度以后营业额增长率表"/>
      <sheetName val="YX-ZSGL-0102预算年度及以后平均提成比率及固定租金表"/>
      <sheetName val="월간"/>
      <sheetName val="9801분석"/>
      <sheetName val="9801월간"/>
      <sheetName val="요약BS"/>
      <sheetName val="抵押资产调查表"/>
      <sheetName val="市场比较法（商铺用）"/>
      <sheetName val="市场比较法(住宅办公用）"/>
      <sheetName val="假设开发法(出售)"/>
      <sheetName val="假设开发(出租)"/>
      <sheetName val="评估结论"/>
      <sheetName val="明细表"/>
      <sheetName val="徐"/>
      <sheetName val="管理文件清单"/>
      <sheetName val="Final sample listing"/>
      <sheetName val="饮料-计"/>
      <sheetName val="奶粉-计"/>
      <sheetName val="液体奶-计"/>
      <sheetName val="资料汇总"/>
      <sheetName val="17年长租测算"/>
      <sheetName val="成本法土地 (2)"/>
      <sheetName val="成本法（土地）2"/>
      <sheetName val="房屋登记表"/>
      <sheetName val="酒店收益情况汇总"/>
      <sheetName val="收益法-紫水晶俱乐部"/>
      <sheetName val="招拍挂"/>
      <sheetName val="基准地价--办公"/>
      <sheetName val="绿化"/>
      <sheetName val="景观"/>
      <sheetName val="本日"/>
      <sheetName val="本月"/>
      <sheetName val="本年"/>
      <sheetName val="资金明细"/>
      <sheetName val="贷款明细"/>
      <sheetName val="往来明细"/>
      <sheetName val="贷款监管资金及保证金-本日"/>
      <sheetName val="贷款监管资金及保证金-本月"/>
      <sheetName val="往来明细-使用说明"/>
      <sheetName val="倒款明细表"/>
      <sheetName val="银承明细"/>
      <sheetName val="广发在途"/>
      <sheetName val="建行和平保证金3498"/>
      <sheetName val="农行永安道保证金5727"/>
      <sheetName val="民生银行0175"/>
      <sheetName val="浦发分行5678"/>
      <sheetName val="交行通达8829"/>
      <sheetName val="交行通达保证金"/>
      <sheetName val="农行友谊北路支行"/>
      <sheetName val="滨海 1356"/>
      <sheetName val="滨海 4632"/>
      <sheetName val="滨海 4640"/>
      <sheetName val="滨海 2412"/>
      <sheetName val="滨海 2408"/>
      <sheetName val="滨海 1368"/>
      <sheetName val="滨海 0440"/>
      <sheetName val="滨海 0432"/>
      <sheetName val="滨海 07"/>
      <sheetName val="滨海 07 (2)"/>
      <sheetName val="滨海保证金户"/>
      <sheetName val="滨海保证金户 5549"/>
      <sheetName val="滨海保证金户 0649"/>
      <sheetName val="滨海保证金户 0631"/>
      <sheetName val="滨海银承4179"/>
      <sheetName val="滨海银承4187"/>
      <sheetName val="滨海定存"/>
      <sheetName val="工行定存户1190"/>
      <sheetName val="现金 (2)"/>
      <sheetName val="兴业银行7582"/>
      <sheetName val="广发银行0094"/>
      <sheetName val="Backup of Backup of LINDA LISTO"/>
      <sheetName val="Mp-team 1"/>
      <sheetName val="99CCTV"/>
      <sheetName val="1.财务报表"/>
      <sheetName val="2-1.货币资金总表"/>
      <sheetName val="2-2.库存现金"/>
      <sheetName val="2-3.银行存款"/>
      <sheetName val="3.应收票据"/>
      <sheetName val="4-1.应收帐款总表"/>
      <sheetName val="4-2.应收帐款明细"/>
      <sheetName val="★应收帐款明细自加"/>
      <sheetName val="5-1.其它应收款总表"/>
      <sheetName val="5-2.其他应收款明细"/>
      <sheetName val="6.预付帐款"/>
      <sheetName val="7-1.存货总表"/>
      <sheetName val="7-2.存货明细"/>
      <sheetName val="7-3.存货跌价准备"/>
      <sheetName val="7-4.存货帐实调节"/>
      <sheetName val="8.待摊费用"/>
      <sheetName val="9-1.固定资产"/>
      <sheetName val="9-2.固定资产增加及减少明细"/>
      <sheetName val="10.在建工程"/>
      <sheetName val="11.无形资产"/>
      <sheetName val="12.长期待摊费用"/>
      <sheetName val="13-1.短期借款"/>
      <sheetName val="13-2.长期借款"/>
      <sheetName val="14.预收帐款"/>
      <sheetName val="15.应付票据"/>
      <sheetName val="16.应付帐款"/>
      <sheetName val="★应付明细自加"/>
      <sheetName val="17.其它应付款"/>
      <sheetName val="18.预提费用"/>
      <sheetName val="19.应付股利"/>
      <sheetName val="20.应交税金"/>
      <sheetName val="21.应付工资及福利费"/>
      <sheetName val="22.长期应付款及其它"/>
      <sheetName val="23.注册资本变动"/>
      <sheetName val="24.股本"/>
      <sheetName val="25.公积金及未分配利润"/>
      <sheetName val="26.损益表项目"/>
      <sheetName val="27.毛利率"/>
      <sheetName val="28.销售成本调节表"/>
      <sheetName val="30.内部销售"/>
      <sheetName val="29.长期投资"/>
      <sheetName val="31.内部往来"/>
      <sheetName val="★对帐明细"/>
      <sheetName val="32.关联方往来余额"/>
      <sheetName val="33.关联方交易"/>
      <sheetName val="34.营业费用"/>
      <sheetName val="35.新加坡关联方"/>
      <sheetName val="32.新加坡准则"/>
      <sheetName val="33.现金流量表"/>
      <sheetName val="34.承诺事项"/>
      <sheetName val="35.或有负债及期后事项"/>
      <sheetName val="清单1"/>
      <sheetName val="项目指标"/>
      <sheetName val="合同台账"/>
      <sheetName val="动态成本"/>
      <sheetName val="付款台账"/>
      <sheetName val="附表1"/>
      <sheetName val="方案4"/>
      <sheetName val="TEMP"/>
      <sheetName val="基本设置"/>
      <sheetName val="Sheet9"/>
      <sheetName val="方案1"/>
      <sheetName val="会计毛利"/>
      <sheetName val="销售计划"/>
      <sheetName val="成本0601"/>
      <sheetName val="钢筋调价汇总表"/>
      <sheetName val="系数516"/>
      <sheetName val="2011年入职"/>
      <sheetName val="Sheet6"/>
      <sheetName val="Sheet11"/>
      <sheetName val="Sheet14"/>
      <sheetName val="志刚1司龄"/>
      <sheetName val="学历"/>
      <sheetName val="Sheet15"/>
      <sheetName val="Sheet16"/>
      <sheetName val="Sheet17"/>
      <sheetName val="Sheet18"/>
      <sheetName val="新职级汇总"/>
      <sheetName val="首钢在职人员信息"/>
      <sheetName val="补充医疗人数2013"/>
      <sheetName val="首钢离职人员信息"/>
      <sheetName val="首钢人员变动"/>
      <sheetName val="Sheet5"/>
      <sheetName val="首钢在职人员信息 (2)"/>
      <sheetName val="年龄"/>
      <sheetName val="2011.10员工培训"/>
      <sheetName val="Sheet7"/>
      <sheetName val="2012年体检E级"/>
      <sheetName val="研发平均年龄2012.4.24"/>
      <sheetName val="Sheet8"/>
      <sheetName val="Sheet10"/>
      <sheetName val="Sheet13"/>
      <sheetName val="Sheet12"/>
      <sheetName val="Sheet19"/>
      <sheetName val="合院"/>
      <sheetName val="联排"/>
      <sheetName val="洋房"/>
      <sheetName val="车位"/>
      <sheetName val="49地块汇总"/>
      <sheetName val="XXXXX"/>
      <sheetName val="1-6月客戶數"/>
      <sheetName val="預算目標"/>
      <sheetName val="签约"/>
      <sheetName val="销控制3#"/>
      <sheetName val="销控5#"/>
      <sheetName val="销控11#"/>
      <sheetName val="破底认购台帐"/>
      <sheetName val="协议状态客户明细"/>
      <sheetName val="合同明细"/>
      <sheetName val="换房明细表"/>
      <sheetName val="退房明细表"/>
      <sheetName val="会计利润"/>
      <sheetName val="开发节凑"/>
      <sheetName val="面积统计表"/>
      <sheetName val="销售计划（财务）"/>
      <sheetName val="销售周期表"/>
      <sheetName val="开发节奏表"/>
      <sheetName val="分期指标汇总表"/>
      <sheetName val="付款计划"/>
      <sheetName val="数据"/>
      <sheetName val="水平区"/>
      <sheetName val="子管理区"/>
      <sheetName val="干线区"/>
      <sheetName val="主管理区"/>
      <sheetName val="材料报价单"/>
      <sheetName val="辅助材料报价单"/>
      <sheetName val="总报价单"/>
      <sheetName val="自用材料报价单"/>
      <sheetName val="Macro1"/>
      <sheetName val="节奏成本"/>
      <sheetName val="B&amp;P"/>
      <sheetName val="原材料单价分析"/>
      <sheetName val="经营计划审批表"/>
      <sheetName val="月报综述"/>
      <sheetName val="现金流"/>
      <sheetName val="管理利润"/>
      <sheetName val="会计利润 (土评-孔)"/>
      <sheetName val="关键节点"/>
      <sheetName val="销售计划-检验"/>
      <sheetName val="工程付款汇总表"/>
      <sheetName val="工程款总明细表"/>
      <sheetName val="贷款明细表"/>
      <sheetName val="管理费用"/>
      <sheetName val="销售费用"/>
      <sheetName val="费用预测"/>
      <sheetName val="税款"/>
      <sheetName val="其他收支表"/>
      <sheetName val="利息资本化"/>
      <sheetName val="管理毛利"/>
      <sheetName val="会计毛利 (土评-孔)"/>
      <sheetName val="利息资本化基础数据"/>
      <sheetName val="土地增值税测算"/>
      <sheetName val="开发间接费"/>
      <sheetName val="其他收支"/>
      <sheetName val="指标汇总"/>
      <sheetName val="土地增值税"/>
      <sheetName val="土评（孔）"/>
      <sheetName val="开发间接费表"/>
      <sheetName val="附件"/>
      <sheetName val="附件 (2)"/>
      <sheetName val="3_12"/>
      <sheetName val="3_12 (2)"/>
      <sheetName val="监控配置 (2)"/>
      <sheetName val="3_29"/>
      <sheetName val="422"/>
      <sheetName val="配置比较"/>
      <sheetName val="报价比较"/>
      <sheetName val="比较"/>
      <sheetName val="增减"/>
      <sheetName val="报价比较 (2)"/>
      <sheetName val="监控图"/>
      <sheetName val="报警配置"/>
      <sheetName val="报警配置 (2)"/>
      <sheetName val="报警图"/>
      <sheetName val="报警图426"/>
      <sheetName val="联网图426"/>
      <sheetName val="监控516"/>
      <sheetName val="附件516"/>
      <sheetName val="车库和住宅连接费用测算"/>
      <sheetName val="优化方案费用测算"/>
      <sheetName val="车库移位的费用测算"/>
      <sheetName val="建3个车库的费用测算"/>
      <sheetName val="基础单价测算"/>
      <sheetName val="基础深度统计表"/>
      <sheetName val="09年经营计划和目标成本对比"/>
      <sheetName val="调整费用明细"/>
      <sheetName val="土地及大配套 分摊明细"/>
      <sheetName val="平层建安汇总"/>
      <sheetName val="跃层建安汇总"/>
      <sheetName val="车库建安汇总"/>
      <sheetName val="车库建安费"/>
      <sheetName val="人防建安汇总"/>
      <sheetName val="人防建安费 "/>
      <sheetName val="公共部位装修汇总"/>
      <sheetName val="用电负荷估算表"/>
      <sheetName val="公用配套设施"/>
      <sheetName val="电梯明细表"/>
      <sheetName val="指标变化对比表"/>
      <sheetName val="指标变化对比表 (上市)"/>
      <sheetName val="项目总表"/>
      <sheetName val="面积指标简表"/>
      <sheetName val="面积明细表"/>
      <sheetName val="成本变化指标对比表 (2)"/>
      <sheetName val="会计利润简表"/>
      <sheetName val="现金流简表"/>
      <sheetName val="开发节奏"/>
      <sheetName val="售价"/>
      <sheetName val="销售简表"/>
      <sheetName val="项目财务指标 (含筹资)"/>
      <sheetName val="土增"/>
      <sheetName val="工程付款计划"/>
      <sheetName val="跃层建安费"/>
      <sheetName val="与九期独栋对比分析表"/>
      <sheetName val="与九期联排对比分析表"/>
      <sheetName val="与经营计划对比表"/>
      <sheetName val="地上可售工程建造成本审批表（新）"/>
      <sheetName val="综合指标表"/>
      <sheetName val="项目设计指标及配置标准表（新）"/>
      <sheetName val="项目配置标准表（旧)"/>
      <sheetName val="住宅审批表（旧）"/>
      <sheetName val="住宅成本明细表"/>
      <sheetName val="车库成本明细表"/>
      <sheetName val="7期人防成本明细表 "/>
      <sheetName val="7期幼儿园成本明细表"/>
      <sheetName val="类独建安分析表"/>
      <sheetName val="产品标准统计表"/>
      <sheetName val="联排建安分析表1"/>
      <sheetName val="双拼建安分析表"/>
      <sheetName val="小独栋建安分析表"/>
      <sheetName val="土地及大配套总额"/>
      <sheetName val="前期费用汇总表"/>
      <sheetName val="前期费"/>
      <sheetName val="高层建安费"/>
      <sheetName val="联排建安分析表"/>
      <sheetName val="公寓建安分析表"/>
      <sheetName val="公共部位装修预算"/>
      <sheetName val="消防"/>
      <sheetName val="智能化"/>
      <sheetName val="环境"/>
      <sheetName val="项目财务指标(不含筹资）"/>
      <sheetName val="公配分摊明细"/>
      <sheetName val="公配分摊表"/>
      <sheetName val="石材的价格"/>
      <sheetName val="安装费"/>
      <sheetName val="融资财务费用"/>
      <sheetName val="持有物业"/>
      <sheetName val="累计付款情况"/>
      <sheetName val="土地使用费"/>
      <sheetName val="土地评估增值及商誉"/>
      <sheetName val="预计资产负债"/>
      <sheetName val="资产负债变动"/>
      <sheetName val="公司NAV"/>
      <sheetName val="10年经营计划审批表"/>
      <sheetName val="融资计划表"/>
      <sheetName val="关键往来明细1"/>
      <sheetName val="售价涨幅表"/>
      <sheetName val="关键往来明细"/>
      <sheetName val="利润比较表"/>
      <sheetName val="待转化简表"/>
      <sheetName val="待转化"/>
      <sheetName val="下半年新增（10年竣工项目）"/>
      <sheetName val="11年销售"/>
      <sheetName val="10-11年利润实现统计表"/>
      <sheetName val="新增销售情况"/>
      <sheetName val="10-11年利润实现统计表 (2)"/>
      <sheetName val="11年入住项目简表"/>
      <sheetName val="管理费用简表"/>
      <sheetName val="年初版利润表"/>
      <sheetName val="4月董事会版（剔除6期商业）"/>
      <sheetName val="5月月报"/>
      <sheetName val="2011管理费用预算"/>
      <sheetName val="截止10月底10年利润实现情况"/>
      <sheetName val="利润情况（2010、2011分解）"/>
      <sheetName val="毛利"/>
      <sheetName val="管理费用1"/>
      <sheetName val="10年各期结转情况对比"/>
      <sheetName val="11年各期结转情况对比"/>
      <sheetName val="财务费用对比"/>
      <sheetName val="销售费用对比"/>
      <sheetName val="管理费用对比"/>
      <sheetName val="税金对比"/>
      <sheetName val="现金流对比"/>
      <sheetName val="管理费用2011"/>
      <sheetName val="8-12纯新增"/>
      <sheetName val="融资计划表11"/>
      <sheetName val="11年财务费用"/>
      <sheetName val="土地分摊"/>
      <sheetName val="费用分类"/>
      <sheetName val="附表2"/>
      <sheetName val="附表3"/>
      <sheetName val="附表4"/>
      <sheetName val="附表5"/>
      <sheetName val="附表6"/>
      <sheetName val="附表7"/>
      <sheetName val="附表8"/>
      <sheetName val="附表9"/>
      <sheetName val="计算表"/>
      <sheetName val="单位"/>
      <sheetName val="基础T接头"/>
      <sheetName val="CD"/>
      <sheetName val="常用项目"/>
      <sheetName val="装饰主材表"/>
      <sheetName val="计算书 "/>
      <sheetName val="计算书（汇总）"/>
      <sheetName val="计算书（序号）"/>
      <sheetName val="团泊别墅-清单 (110112)"/>
      <sheetName val="问题"/>
      <sheetName val="编制说明"/>
      <sheetName val="团泊别墅-清单 (110112) (2)"/>
      <sheetName val="计算书（序号） (新)"/>
      <sheetName val="主要材料表 (10.10.19)"/>
      <sheetName val="主材表"/>
      <sheetName val="日报11-30"/>
      <sheetName val="日报12-1"/>
      <sheetName val="日报12-2"/>
      <sheetName val="日报12-3"/>
      <sheetName val="日报12-4"/>
      <sheetName val="日报12-5"/>
      <sheetName val="日报12-6"/>
      <sheetName val="日报12-7"/>
      <sheetName val="日报12-8"/>
      <sheetName val="日报12-9"/>
      <sheetName val="日报12-10"/>
      <sheetName val="日报12-11"/>
      <sheetName val="1-员工花名册"/>
      <sheetName val="2-入职"/>
      <sheetName val="3-内部异动"/>
      <sheetName val="转正"/>
      <sheetName val="4-离职"/>
      <sheetName val="12.1离职"/>
      <sheetName val="12.2离职"/>
      <sheetName val="12.3"/>
      <sheetName val="12.3离职"/>
      <sheetName val="12.4离职"/>
      <sheetName val="新物业花名册"/>
      <sheetName val="帝凡德"/>
      <sheetName val="协平海逸34期"/>
      <sheetName val="嘉泽派遣融公馆"/>
      <sheetName val="14.3离职"/>
      <sheetName val="14.2离职"/>
      <sheetName val="14.1离职"/>
      <sheetName val="13.12离职"/>
      <sheetName val="13.11离职"/>
      <sheetName val="13.10离职"/>
      <sheetName val="13.09离职"/>
      <sheetName val="13.08离职"/>
      <sheetName val="13.07离职"/>
      <sheetName val="13.06离职"/>
      <sheetName val="13.05离职"/>
      <sheetName val="13.04离职"/>
      <sheetName val="13.03离职"/>
      <sheetName val="13.02离职"/>
      <sheetName val="13.01离职"/>
      <sheetName val="保安派遣"/>
      <sheetName val="12.5离职"/>
      <sheetName val="12.6离职"/>
      <sheetName val="12.7离职"/>
      <sheetName val="12.8离职"/>
      <sheetName val="12.9离职"/>
      <sheetName val="12.10离职"/>
      <sheetName val="12.11离职"/>
      <sheetName val="12.12离职"/>
      <sheetName val="12.31"/>
      <sheetName val="1.1"/>
      <sheetName val="1.2"/>
      <sheetName val="1.3"/>
      <sheetName val="1.4"/>
      <sheetName val="1.5"/>
      <sheetName val="1.6"/>
      <sheetName val="1.7"/>
      <sheetName val="1.8"/>
      <sheetName val="1.9"/>
      <sheetName val="1.10"/>
      <sheetName val="1.11"/>
      <sheetName val="1.12"/>
      <sheetName val="1.13"/>
      <sheetName val="1.14"/>
      <sheetName val="1.15"/>
      <sheetName val="1.16"/>
      <sheetName val="1.17"/>
      <sheetName val="1.18"/>
      <sheetName val="1.19"/>
      <sheetName val="1.21"/>
      <sheetName val="1.22"/>
      <sheetName val="1.23"/>
      <sheetName val="1.24"/>
      <sheetName val="1.25"/>
      <sheetName val="1.26"/>
      <sheetName val="1.27"/>
      <sheetName val="1.28"/>
      <sheetName val="联络单"/>
      <sheetName val="报告目录"/>
      <sheetName val="与预算分析说明"/>
      <sheetName val="与去年分析说明"/>
      <sheetName val="损益汇总当月"/>
      <sheetName val="损益累计汇总"/>
      <sheetName val="管理损益当月"/>
      <sheetName val="管理损益累计"/>
      <sheetName val="产品别损益(自当)"/>
      <sheetName val="产品别损益(调拨)"/>
      <sheetName val="产品别损益(全当)"/>
      <sheetName val="产品别损益(自累)"/>
      <sheetName val="产品别损益(全累)"/>
      <sheetName val="低价面边际贡献（当月）"/>
      <sheetName val="低价面过际贡献（累计"/>
      <sheetName val="地区别损益当月-1"/>
      <sheetName val="地区别损益当月-2"/>
      <sheetName val="地区别损益累计-1"/>
      <sheetName val="地区别损益累计-2"/>
      <sheetName val="销售数量分析 "/>
      <sheetName val="销售金额分析"/>
      <sheetName val="毛利价量差分析(新)"/>
      <sheetName val="毛利价量差分析(当月"/>
      <sheetName val="产品别材料价量差"/>
      <sheetName val="原材料材料价量差"/>
      <sheetName val="制造费用比较表 "/>
      <sheetName val="生产部门别制造费用分析 "/>
      <sheetName val="制造费用差异分析"/>
      <sheetName val="部门别制造费用差异分析"/>
      <sheetName val="产成品单箱成本 "/>
      <sheetName val="粉包单成本"/>
      <sheetName val="酱包单成本"/>
      <sheetName val="PSP碗单箱制造费用分析"/>
      <sheetName val="纸箱单箱制造费用分析"/>
      <sheetName val="水电价量差"/>
      <sheetName val="销售费用7"/>
      <sheetName val="部门别销售费用7"/>
      <sheetName val="销售费用差异分析"/>
      <sheetName val="运输费用7"/>
      <sheetName val="促销费用明细"/>
      <sheetName val="管理费用比较表"/>
      <sheetName val="部门别管理费用"/>
      <sheetName val="管理费用差异分析"/>
      <sheetName val="财务费用"/>
      <sheetName val="其他业务收支"/>
      <sheetName val="营业外收支"/>
      <sheetName val="每日C02年费用"/>
      <sheetName val="按时间回款"/>
      <sheetName val="协议（非工抵）"/>
      <sheetName val="重置"/>
      <sheetName val="鑫鲲鹏土地"/>
      <sheetName val="成本逼近法(鑫鲲鹏）"/>
      <sheetName val="剩余法（鑫鲲鹏）"/>
      <sheetName val="现房市调"/>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基本情况"/>
      <sheetName val="基础资料"/>
      <sheetName val="基本信息"/>
      <sheetName val="权属信息"/>
      <sheetName val="现场勘查信息"/>
      <sheetName val="明确估价事项"/>
      <sheetName val="估价结果确认信息"/>
      <sheetName val="面积单价 市场案例"/>
      <sheetName val="处置税费"/>
      <sheetName val="重置成本"/>
      <sheetName val="综合成新率确定"/>
      <sheetName val="资本化率统计"/>
      <sheetName val="链接"/>
      <sheetName val="配置"/>
      <sheetName val="收益法（不考虑长租）-商业"/>
      <sheetName val="长租"/>
      <sheetName val="林语墅签约明细"/>
      <sheetName val="报告中的结果表(阶段性）"/>
      <sheetName val="新增加抵押的房屋"/>
      <sheetName val="估价结果明细表 (最终版)"/>
      <sheetName val="在建工程补充说明清单"/>
      <sheetName val="现房报告清单"/>
      <sheetName val="明细、总价汇总"/>
      <sheetName val="估价结果明细表"/>
      <sheetName val="在建工程（扣净值）"/>
      <sheetName val="比较法（现房）"/>
      <sheetName val="现房续建成本"/>
      <sheetName val="3-7月份成交数据"/>
      <sheetName val="建委网站成交查询"/>
      <sheetName val="考虑长租（终测算）"/>
      <sheetName val="比较法（土地）"/>
      <sheetName val="市调-新"/>
      <sheetName val="基准地价-商业"/>
      <sheetName val="编  制  说  明"/>
      <sheetName val="成本目标控制汇总表"/>
      <sheetName val="建安成本"/>
      <sheetName val="7-3建安费用（A3) "/>
      <sheetName val="3.项目基础数据表"/>
      <sheetName val="基础数据"/>
      <sheetName val="05.2 商业A1楼总成本"/>
      <sheetName val="05.3 A2、A3商业总成本"/>
      <sheetName val="XX排总"/>
      <sheetName val="XX排计"/>
      <sheetName val="XX电公共总"/>
      <sheetName val="XX电公共计"/>
      <sheetName val="辅助参数"/>
      <sheetName val="层高表"/>
      <sheetName val="利润"/>
      <sheetName val="1.封面"/>
      <sheetName val="2.编制说明"/>
      <sheetName val="面积"/>
      <sheetName val="地下车库总成本"/>
      <sheetName val="A1办公楼总成本"/>
      <sheetName val="6.目标成本汇总表"/>
      <sheetName val="4.产品建造标准"/>
      <sheetName val="5.项目关键技术经济指标"/>
      <sheetName val="7-1建安费用（独立地下室）"/>
      <sheetName val="7-2建安费用(A1～A2 )"/>
      <sheetName val="7-4建安费用(B1～B3)"/>
      <sheetName val="7-5建安费用(C1～C8)"/>
      <sheetName val="7-6装修费用（酒店）"/>
      <sheetName val="9.除建安外其他费用"/>
      <sheetName val="成本分摊"/>
      <sheetName val="4.项目基础数据表"/>
      <sheetName val="4301.2004ch"/>
      <sheetName val="5201.2004"/>
      <sheetName val="城花营销费用"/>
      <sheetName val="预算执行情况 (2)"/>
      <sheetName val="大表2004"/>
      <sheetName val="预算执行情况"/>
      <sheetName val="城花费用明细新"/>
      <sheetName val="城花营销费用预算"/>
      <sheetName val="大表"/>
      <sheetName val="11-12"/>
      <sheetName val="4301"/>
      <sheetName val="关健指标分析"/>
      <sheetName val="与临空总指标对比"/>
      <sheetName val="与临空及嘉兴建安对比分析"/>
      <sheetName val="与临空及嘉兴建安对比分析 (2)"/>
      <sheetName val="01评审表上报"/>
      <sheetName val="01评审表"/>
      <sheetName val="会签单"/>
      <sheetName val="03项目基础数据表"/>
      <sheetName val="04产品建造标准"/>
      <sheetName val="05目标成本汇总表"/>
      <sheetName val="05.1公寓式办公楼总成本"/>
      <sheetName val="05.5地下车库总成本"/>
      <sheetName val="05-4 地下车库"/>
      <sheetName val="05-1公寓办公"/>
      <sheetName val="05-2裙房A1"/>
      <sheetName val="05-3 A2A3商业"/>
      <sheetName val="05-6 样板房、公共部位装修"/>
      <sheetName val="05-5 公寓式办公楼装修"/>
      <sheetName val="06除建安外其他费用"/>
      <sheetName val="参考项目1对比"/>
      <sheetName val="参考项目2钢结构"/>
      <sheetName val="产值与付款(年)"/>
      <sheetName val="某城市公司"/>
      <sheetName val="产值与付款(季度)"/>
      <sheetName val="产值与付款明细(开平）"/>
      <sheetName val="成本科目指引"/>
      <sheetName val="售楼部园林"/>
      <sheetName val="D区楼梯 游泳池园林 D区园林 D区更衣室二层"/>
      <sheetName val="1-3座架空层园林"/>
      <sheetName val="4-6座架空层园林"/>
      <sheetName val="D区二层架空"/>
      <sheetName val="D区商铺沿街"/>
      <sheetName val="D区主入口"/>
      <sheetName val="单位库"/>
      <sheetName val="使用说明"/>
      <sheetName val="人工"/>
      <sheetName val="签证汇总"/>
      <sheetName val="A3标"/>
      <sheetName val="A3大堂"/>
      <sheetName val="A3-502"/>
      <sheetName val="A3-503"/>
      <sheetName val="A5大堂"/>
      <sheetName val="A5电梯厅"/>
      <sheetName val="5座1101"/>
      <sheetName val="5座1104"/>
      <sheetName val="甲供"/>
      <sheetName val="甲供 (2)"/>
      <sheetName val="2 (2)"/>
      <sheetName val="土地成本"/>
      <sheetName val="前期费用"/>
      <sheetName val="营销费用"/>
      <sheetName val="开发费用 "/>
      <sheetName val="公司管理费及财务费用"/>
      <sheetName val="成本及盈利预测表"/>
      <sheetName val="可研与成本目标对比"/>
      <sheetName val="21"/>
      <sheetName val="22"/>
      <sheetName val="24"/>
      <sheetName val="Module3"/>
      <sheetName val="Module2"/>
      <sheetName val="Module1"/>
      <sheetName val="2014-10清单"/>
      <sheetName val="1号机"/>
      <sheetName val="2号机"/>
      <sheetName val="3号机"/>
      <sheetName val="4号机"/>
      <sheetName val="5号机 (压桩)"/>
      <sheetName val="填表顺序"/>
      <sheetName val="A.封面"/>
      <sheetName val="1.设计指标"/>
      <sheetName val="2.业态利润表A1"/>
      <sheetName val="2.业态利润表A"/>
      <sheetName val="2.业态利润表B"/>
      <sheetName val="2.业态利润表C"/>
      <sheetName val="2.业态利润表D"/>
      <sheetName val="3.成本总表"/>
      <sheetName val="4.收入预测"/>
      <sheetName val="5.成本明细"/>
      <sheetName val="6.关键指标"/>
      <sheetName val="11.建造标准"/>
      <sheetName val="成本科目指引3"/>
      <sheetName val="半岛入口保安亭"/>
      <sheetName val="沥青路"/>
      <sheetName val="砼路面道路"/>
      <sheetName val="车道口花池"/>
      <sheetName val="车道口集水渠"/>
      <sheetName val="嵌草砖车位"/>
      <sheetName val="楼号周边人行道"/>
      <sheetName val="人工湖边人行道"/>
      <sheetName val="人工湖亭及休息平台"/>
      <sheetName val="临水平台"/>
      <sheetName val="人工湖底"/>
      <sheetName val="人工湖边私家亭"/>
      <sheetName val="人工湖边私家花架"/>
      <sheetName val="码头"/>
      <sheetName val="东半岛"/>
      <sheetName val="东半岛六角亭"/>
      <sheetName val="西半岛"/>
      <sheetName val="11~12号楼花架"/>
      <sheetName val="13号楼前广场"/>
      <sheetName val="汀步板"/>
      <sheetName val="产值与付款明细(上水湾二期）"/>
      <sheetName val="产值与付款明细(金色江湾一期）"/>
      <sheetName val="产值与付款明细(金色江湾二期） "/>
      <sheetName val="产值与付款明细(金色江湾三期）"/>
      <sheetName val="产值与付款明细（永二四期）"/>
      <sheetName val="项目单价"/>
      <sheetName val="1-2座电"/>
      <sheetName val="3-5座电"/>
      <sheetName val="6-11座电"/>
      <sheetName val="12-14座电"/>
      <sheetName val="15-16座电"/>
      <sheetName val="17-18座电"/>
      <sheetName val="19-20座电"/>
      <sheetName val="21-23座电"/>
      <sheetName val="24-25座电"/>
      <sheetName val="26-28座电"/>
      <sheetName val="地砖型号"/>
      <sheetName val="分析"/>
      <sheetName val="签证"/>
      <sheetName val="结算审核书"/>
      <sheetName val="结算请款"/>
      <sheetName val="审批表"/>
      <sheetName val="B3公共电梯厅"/>
      <sheetName val="B3首层入户大堂"/>
      <sheetName val="B4公共电梯厅"/>
      <sheetName val="B4首层入户大堂"/>
      <sheetName val="B5公共电梯厅"/>
      <sheetName val="B5首层入户大堂"/>
      <sheetName val="B6公共电梯厅"/>
      <sheetName val="B7公共电梯厅"/>
      <sheetName val="B7首层入户大堂 "/>
      <sheetName val="结算请款 (2)"/>
      <sheetName val="结算请款 (3)"/>
      <sheetName val="單價表STD"/>
      <sheetName val="02项目目标成本审批表"/>
      <sheetName val="对比表"/>
      <sheetName val="合约规划"/>
      <sheetName val="销售收入对比表"/>
      <sheetName val="甲供材料设备清单（申购）"/>
      <sheetName val="2.基础数据A"/>
      <sheetName val="3.利润表A"/>
      <sheetName val="3.业态利润表A1"/>
      <sheetName val="4.成本总表"/>
      <sheetName val="5.收入预测"/>
      <sheetName val="7.敏感性分析"/>
      <sheetName val="7.售价敏感性分析"/>
      <sheetName val="2.设计指标B"/>
      <sheetName val="9.含量"/>
      <sheetName val="8.公摊"/>
      <sheetName val="8.1高层"/>
      <sheetName val="8.2小高层"/>
      <sheetName val="8.3洋房"/>
      <sheetName val="8.4叠墅 "/>
      <sheetName val="8.5别墅"/>
      <sheetName val="8.6商铺"/>
      <sheetName val="8.7集中商业"/>
      <sheetName val="8.8办公"/>
      <sheetName val="8.9LOFT"/>
      <sheetName val="8.10平层公寓"/>
      <sheetName val="8.11酒店"/>
      <sheetName val="8.12人防地下室"/>
      <sheetName val="8.13非人防地下室（地下商业除外）"/>
      <sheetName val="8.14地下商业"/>
      <sheetName val="8.15学校"/>
      <sheetName val="10.土增税"/>
      <sheetName val="6.敏感性分析"/>
      <sheetName val="7.关键指标"/>
      <sheetName val="5udriwh"/>
      <sheetName val="工程款"/>
      <sheetName val="填写说明"/>
      <sheetName val="01合同基本信息"/>
      <sheetName val="02.合同图纸"/>
      <sheetName val="03工程指令单"/>
      <sheetName val="04设计变更"/>
      <sheetName val="05工程签证"/>
      <sheetName val="06甲供材料设备"/>
      <sheetName val="07.工程结算"/>
      <sheetName val="08清单及标底"/>
      <sheetName val="09工程认价单"/>
      <sheetName val="10工程进度款"/>
      <sheetName val="11可退费用追踪"/>
      <sheetName val="12项目扣款管理台账"/>
      <sheetName val="合同类型"/>
      <sheetName val="平衡表"/>
      <sheetName val="土(班)"/>
      <sheetName val="土(材)"/>
      <sheetName val="安（班）"/>
      <sheetName val="安（材）"/>
      <sheetName val="装((班)"/>
      <sheetName val="装（材）"/>
      <sheetName val="园(班)"/>
      <sheetName val="园(材)"/>
      <sheetName val="绿(班)"/>
      <sheetName val="绿（材）"/>
      <sheetName val="硬景部分（一标段）"/>
      <sheetName val="硬景部分（二标段）"/>
      <sheetName val="硬景部分（三标段）"/>
      <sheetName val="乔木（一标段）"/>
      <sheetName val="乔木（二标段）"/>
      <sheetName val="乔木（三标段）"/>
      <sheetName val="灌木、草皮（一标段）"/>
      <sheetName val="灌木、草皮（二标段）"/>
      <sheetName val="灌木、草皮（三标段）"/>
      <sheetName val="副清单"/>
      <sheetName val="一标段水"/>
      <sheetName val="二标段水"/>
      <sheetName val="三标段水"/>
      <sheetName val="一标段电"/>
      <sheetName val="二标段电"/>
      <sheetName val="三标段电"/>
      <sheetName val="硬景材料"/>
      <sheetName val="安装材料"/>
      <sheetName val="工程量计算书"/>
      <sheetName val="内地面"/>
      <sheetName val="合计"/>
      <sheetName val="电气"/>
      <sheetName val="Tam"/>
      <sheetName val="Du_lieu"/>
      <sheetName val="KH-Q1,Q2,01"/>
      <sheetName val="TONGKE3p "/>
      <sheetName val="TDTKP"/>
      <sheetName val="DON GIA"/>
      <sheetName val="TONG HOP VL-NC"/>
      <sheetName val="TNHCHINH"/>
      <sheetName val="CHITIET VL-NC-TT -1p"/>
      <sheetName val="TDTKP1"/>
      <sheetName val="phuluc1"/>
      <sheetName val="TONG HOP VL-NC TT"/>
      <sheetName val="KPVC-BD "/>
      <sheetName val="#REF"/>
      <sheetName val="gvl"/>
      <sheetName val="Tiepdia"/>
      <sheetName val="CHITIET VL-NC-TT-3p"/>
      <sheetName val="VCV-BE-TONG"/>
      <sheetName val="chitiet"/>
      <sheetName val="VC"/>
      <sheetName val="CHITIET VL-NC"/>
      <sheetName val="THPDMoi  (2)"/>
      <sheetName val="t-h HA THE"/>
      <sheetName val="giathanh1"/>
      <sheetName val="TONGKE-HT"/>
      <sheetName val="LKVL-CK-HT-GD1"/>
      <sheetName val="TH VL, NC, DDHT Thanhphuoc"/>
      <sheetName val="dongia (2)"/>
      <sheetName val="DG"/>
      <sheetName val="DONGIA"/>
      <sheetName val="chitimc"/>
      <sheetName val="dtxl"/>
      <sheetName val="gtrinh"/>
      <sheetName val="lam-moi"/>
      <sheetName val="TH XL"/>
      <sheetName val="thao-go"/>
      <sheetName val="BAOGIATHANG"/>
      <sheetName val="vanchuyen TC"/>
      <sheetName val="DAODAT"/>
      <sheetName val="dongiaXD"/>
      <sheetName val="_REF"/>
      <sheetName val="CHITIET VL_NC"/>
      <sheetName val="dongia _2_"/>
      <sheetName val="lam_moi"/>
      <sheetName val="thao_go"/>
      <sheetName val="KH_Q1_Q2_01"/>
      <sheetName val="TONG HOP VL_NC"/>
      <sheetName val="CHITIET VL_NC_TT _1p"/>
      <sheetName val="TONG HOP VL_NC TT"/>
      <sheetName val="KPVC_BD "/>
      <sheetName val="CHITIET VL_NC_TT_3p"/>
      <sheetName val="VCV_BE_TONG"/>
      <sheetName val="THPDMoi  _2_"/>
      <sheetName val="t_h HA THE"/>
      <sheetName val="TONGKE_HT"/>
      <sheetName val="LKVL_CK_HT_GD1"/>
      <sheetName val="TH VL_ NC_ DDHT Thanhphuoc"/>
      <sheetName val="pÿÿluc1"/>
      <sheetName val="KPVÿÿBD "/>
      <sheetName val="general requirements"/>
      <sheetName val="CT Thang Mo"/>
      <sheetName val="CT  PL"/>
      <sheetName val="KC-moi"/>
      <sheetName val="1."/>
      <sheetName val="投标汇总"/>
      <sheetName val="措施费"/>
      <sheetName val="措施分析"/>
      <sheetName val="主要材料"/>
      <sheetName val="材料表"/>
      <sheetName val="工程量"/>
      <sheetName val="内部时间安排"/>
      <sheetName val="材料单价表"/>
      <sheetName val="门窗表"/>
      <sheetName val="土建"/>
      <sheetName val="工程量简表"/>
      <sheetName val="Template"/>
      <sheetName val="XLR_NoRangeSheet"/>
      <sheetName val="门窗汇总表"/>
      <sheetName val="百叶汇总表"/>
      <sheetName val="1#栋"/>
      <sheetName val="2#栋"/>
      <sheetName val="3#栋"/>
      <sheetName val="4#栋 "/>
      <sheetName val="5#栋"/>
      <sheetName val="6#栋"/>
      <sheetName val="7#栋"/>
      <sheetName val="8#栋"/>
      <sheetName val="9#栋"/>
      <sheetName val="10#栋"/>
      <sheetName val="11#栋"/>
      <sheetName val="12#栋"/>
      <sheetName val="13#栋"/>
      <sheetName val="14#栋"/>
      <sheetName val="15#栋"/>
      <sheetName val="16#栋"/>
      <sheetName val="17#栋"/>
      <sheetName val="18#栋"/>
      <sheetName val="19#栋"/>
      <sheetName val="20#栋"/>
      <sheetName val="21#栋 "/>
      <sheetName val="22#栋 "/>
      <sheetName val="23#栋"/>
      <sheetName val="24#栋"/>
      <sheetName val="25#栋"/>
      <sheetName val="26#栋"/>
      <sheetName val="27#栋"/>
      <sheetName val="综合单价分析表 "/>
      <sheetName val="工程清单 （不打印）"/>
      <sheetName val="报审表（不打印）"/>
      <sheetName val="钢结构"/>
      <sheetName val="建筑汇总表"/>
      <sheetName val="地花 天花"/>
      <sheetName val="外墙块料"/>
      <sheetName val="外墙装饰工程量"/>
      <sheetName val="内、外墙挂网"/>
      <sheetName val="内墙抹灰、油漆、面砖"/>
      <sheetName val="内墙面"/>
      <sheetName val=" 柱"/>
      <sheetName val="屋面防水和卫生间防水"/>
      <sheetName val="卫生间"/>
      <sheetName val="天棚、楼地面（初）"/>
      <sheetName val="柱面砖"/>
      <sheetName val="楼梯栏杆及底座抛光砖"/>
      <sheetName val="楼梯栏杆及底座及花岗石"/>
      <sheetName val="钢结构计算表"/>
      <sheetName val="其他工程"/>
      <sheetName val="其它"/>
      <sheetName val="栏杆"/>
      <sheetName val="门槛"/>
      <sheetName val="门窗面积计量"/>
      <sheetName val="女儿墙"/>
      <sheetName val="楼梯抛光砖侧面"/>
      <sheetName val="夹层楼地面"/>
      <sheetName val="设备用房间ICI及踢脚线"/>
      <sheetName val="办公室ICI及踢脚线"/>
      <sheetName val="卫生间150X300瓷砖"/>
      <sheetName val="楼梯间天棚乳胶漆"/>
      <sheetName val="20宽填胶缝与25宽不锈钢装饰线"/>
      <sheetName val="门厅墙身."/>
      <sheetName val="换11台阶"/>
      <sheetName val="排水沟"/>
      <sheetName val="花岗石地面"/>
      <sheetName val="增加窗部份."/>
      <sheetName val="门窗."/>
      <sheetName val="5+7"/>
      <sheetName val="桩"/>
      <sheetName val="14+14.1柱"/>
      <sheetName val="15梁砼"/>
      <sheetName val="16+18"/>
      <sheetName val="7+17小型构件"/>
      <sheetName val="建筑零星 (2)"/>
      <sheetName val="19"/>
      <sheetName val="场地平整"/>
      <sheetName val="土方工程"/>
      <sheetName val="回填石粉"/>
      <sheetName val="内外墙挂网"/>
      <sheetName val="梁墙挂网"/>
      <sheetName val="屋面防水"/>
      <sheetName val="乳胶漆"/>
      <sheetName val="卫生间墙身-首层门厅墙身"/>
      <sheetName val="不锈钢栏杆"/>
      <sheetName val="卫生间地面-墙身-走道阳台防水-卫生间陶粒砼."/>
      <sheetName val="卫生间隔断-大理石洗手台-玻璃镜-蹲位. (2)"/>
      <sheetName val="卫生间隔断-大理石洗手台-玻璃镜-蹲位."/>
      <sheetName val="抛光砖(600×600)."/>
      <sheetName val="预埋件."/>
      <sheetName val="楼梯面层抛光砖(600×600)."/>
      <sheetName val="雨棚"/>
      <sheetName val="建筑面积"/>
      <sheetName val="封面2"/>
      <sheetName val="结构工程量总表"/>
      <sheetName val="平整场地、三七灰土"/>
      <sheetName val="挖土方及回填土"/>
      <sheetName val="垫层"/>
      <sheetName val="基础"/>
      <sheetName val="地下室挡土墙、底板"/>
      <sheetName val="柱"/>
      <sheetName val="梁"/>
      <sheetName val="板"/>
      <sheetName val="砼楼梯"/>
      <sheetName val="砼构件"/>
      <sheetName val="预制构件"/>
      <sheetName val="坡道散水"/>
      <sheetName val="钢网铺设"/>
      <sheetName val="砖基础"/>
      <sheetName val="零星砌体"/>
      <sheetName val="复核灰砂砖"/>
      <sheetName val="复核空心砖"/>
      <sheetName val="防水、泡沫板"/>
      <sheetName val="预埋铁件、植筋"/>
      <sheetName val="场ര혁_x005f_x000C_"/>
      <sheetName val="墙面工程"/>
      <sheetName val="石材购买量统计"/>
      <sheetName val="改加胶玻璃、室外栏杆"/>
      <sheetName val="8"/>
      <sheetName val="5"/>
      <sheetName val="6"/>
      <sheetName val="面积合计（藏）"/>
      <sheetName val="7"/>
      <sheetName val="4"/>
      <sheetName val="投标材料清单 "/>
      <sheetName val="数据汇总表"/>
      <sheetName val="基础项目"/>
      <sheetName val="材料损耗(不打印)"/>
      <sheetName val="学生公寓5-9"/>
      <sheetName val="装饰工程汇总表"/>
      <sheetName val="墙柱面挂钢网"/>
      <sheetName val="铸铁格栅盖板、卫生间蹲位"/>
      <sheetName val="陶粒"/>
      <sheetName val="砼电缆沟、地沟"/>
      <sheetName val="变形缝"/>
      <sheetName val="隔热砖、天沟马赛克、广场砖"/>
      <sheetName val="水泥砂浆地面"/>
      <sheetName val="防滑砖300"/>
      <sheetName val="抛光砖600、耐磨砖"/>
      <sheetName val="超微粉抛光砖600"/>
      <sheetName val="零星面贴砖、门槛石"/>
      <sheetName val="块料楼梯面层"/>
      <sheetName val="花岗岩地面"/>
      <sheetName val="花岗岩台阶面"/>
      <sheetName val="块料地脚线"/>
      <sheetName val="砂浆地脚线"/>
      <sheetName val="梯级花岗岩挡水线"/>
      <sheetName val="不锈钢扶手栏杆"/>
      <sheetName val="不锈钢防盗网、格栅"/>
      <sheetName val="墙柱面一般抹灰"/>
      <sheetName val="235×52釉面砖"/>
      <sheetName val="200×300面砖"/>
      <sheetName val="石材窗台板"/>
      <sheetName val="天棚抹灰"/>
      <sheetName val="油漆"/>
      <sheetName val="天棚吊顶"/>
      <sheetName val="卡布隆"/>
      <sheetName val="门窗工程"/>
      <sheetName val="其他项目"/>
      <sheetName val="防水胶填缝"/>
      <sheetName val="型材表"/>
      <sheetName val="内围地梁钢筋说明"/>
      <sheetName val="原表模"/>
      <sheetName val="内基梁J~R"/>
      <sheetName val="钢筋模1.1"/>
      <sheetName val="内基梁A~J"/>
      <sheetName val="材料"/>
      <sheetName val="YC"/>
      <sheetName val="计日工"/>
      <sheetName val="2-1"/>
      <sheetName val="2-1C"/>
      <sheetName val="2-2"/>
      <sheetName val="2-2C"/>
      <sheetName val="2-3"/>
      <sheetName val="2-3C"/>
      <sheetName val="2-4"/>
      <sheetName val="2-4C"/>
      <sheetName val="2-5"/>
      <sheetName val="2-5C"/>
      <sheetName val="2-6"/>
      <sheetName val="2-6C"/>
      <sheetName val="2-7"/>
      <sheetName val="2-7C"/>
      <sheetName val="2-8"/>
      <sheetName val="2-8C"/>
      <sheetName val="2-9"/>
      <sheetName val="2-9C"/>
      <sheetName val="2-10"/>
      <sheetName val="2-10C"/>
      <sheetName val="全幕"/>
      <sheetName val="玻幕2-1"/>
      <sheetName val="玻幕普"/>
      <sheetName val="单玻"/>
      <sheetName val="铝板"/>
      <sheetName val="百叶窗"/>
      <sheetName val="百叶顶"/>
      <sheetName val="拦板"/>
      <sheetName val="门"/>
      <sheetName val="投标总价"/>
      <sheetName val="投标报价汇总表"/>
      <sheetName val="或建项目"/>
      <sheetName val="商业综合体"/>
      <sheetName val="空白单价分析表"/>
      <sheetName val="主要材料清单表"/>
      <sheetName val="标段一"/>
      <sheetName val="标段二"/>
      <sheetName val="标段三"/>
      <sheetName val="03国内不带安装"/>
      <sheetName val="04国外带安装"/>
      <sheetName val="05国外不带安装"/>
      <sheetName val="02国内带安装"/>
      <sheetName val="01成本表"/>
      <sheetName val="型材销售、加工承揽、家装、设计服务待定"/>
      <sheetName val="场ര혁_x000c_"/>
      <sheetName val="园林电气汇总"/>
      <sheetName val="园林电气计算"/>
      <sheetName val="汇总表分表"/>
      <sheetName val="安装"/>
      <sheetName val="开平六期"/>
      <sheetName val="开平七期 "/>
      <sheetName val="4同胜"/>
      <sheetName val="安装汇总"/>
      <sheetName val="安装汇总表 "/>
      <sheetName val="海伦湾一期"/>
      <sheetName val="海伦湾一期 (维修)"/>
      <sheetName val="海伦心苑一期"/>
      <sheetName val="江海一期"/>
      <sheetName val="江海一至四期(维修)"/>
      <sheetName val="江海四期"/>
      <sheetName val="开平七期"/>
      <sheetName val="安装汇总表"/>
      <sheetName val="中海"/>
      <sheetName val="三乡一期"/>
      <sheetName val="三乡二期"/>
      <sheetName val="开平四期"/>
      <sheetName val="开平五期"/>
      <sheetName val="6#楼"/>
      <sheetName val="内墙装饰"/>
      <sheetName val="外墙装饰"/>
      <sheetName val="天花地面"/>
      <sheetName val="基础梁"/>
      <sheetName val="砖基"/>
      <sheetName val="砼墙"/>
      <sheetName val="砌体"/>
      <sheetName val="挑板"/>
      <sheetName val="过梁"/>
      <sheetName val="楼梯"/>
      <sheetName val="零星"/>
      <sheetName val="土方"/>
      <sheetName val="脚手架"/>
      <sheetName val="钢筋"/>
      <sheetName val="含量表"/>
      <sheetName val="收方明细09-26"/>
      <sheetName val="惠州海伦堡13-15座 (车库照明)"/>
      <sheetName val="惠州海伦堡13-15座 (车库动力配电）"/>
      <sheetName val="惠州海伦堡13-15座 (公共照明)"/>
      <sheetName val="惠州海伦堡13-15座 (首层以上配电） "/>
      <sheetName val="惠州海伦堡13-15座 (首层商铺配电）"/>
      <sheetName val="惠州海伦堡13-15座 (弱电预埋）"/>
      <sheetName val="地下车库电梯厅"/>
      <sheetName val="首层大堂装修"/>
      <sheetName val="标准层电梯通道"/>
      <sheetName val="块料材料汇总"/>
      <sheetName val="墙地砖明细"/>
      <sheetName val="灯具"/>
      <sheetName val="8座AB交楼标"/>
      <sheetName val="8座CD交楼标"/>
      <sheetName val="旧垃圾站"/>
      <sheetName val="场ര혁_x005f_x005f_x005f_x000C_"/>
      <sheetName val="资产试算"/>
      <sheetName val="投资收益对比汇总表"/>
      <sheetName val="三费实际金额（财务填写）"/>
      <sheetName val="销售实际收入（营销填写）"/>
      <sheetName val="代总数据汇总表"/>
      <sheetName val="1.收入预测（苏州一期）"/>
      <sheetName val="1.收入预测（苏州三期）"/>
      <sheetName val="财务费用调整(一期)"/>
      <sheetName val="财务费用调整(三期) "/>
      <sheetName val="07表相城一期动态成本"/>
      <sheetName val="07表相城三期动态成本"/>
      <sheetName val="Sheet1 (11)"/>
      <sheetName val="4号清单之（电气) "/>
      <sheetName val="5号清单之（给排水）"/>
      <sheetName val="6号清单之（采暖）"/>
      <sheetName val="8号清单地下车库机电工程"/>
      <sheetName val="10#清单之小市政雨污水"/>
      <sheetName val="人工费调整（地库）"/>
      <sheetName val="总包人工费调整(五建）"/>
      <sheetName val="指标分析"/>
      <sheetName val="甲供材"/>
      <sheetName val="投标总结"/>
      <sheetName val="1号清单之开办费"/>
      <sheetName val="2号清单之地下室土建"/>
      <sheetName val="3号清单之商铺土建"/>
      <sheetName val="4号清单之幼儿园土建"/>
      <sheetName val="5号清单之塔楼土建"/>
      <sheetName val="6号清单之（电气) "/>
      <sheetName val="7号清单之（给排水）"/>
      <sheetName val="8号清单之（采暖）"/>
      <sheetName val="9号清单之地下车库"/>
      <sheetName val="10号清单地下车库机电工程 "/>
      <sheetName val="11号清单之小市政雨污水"/>
      <sheetName val="附1.土建综合单价分析表"/>
      <sheetName val="附2.零星项目单价表"/>
      <sheetName val="清单1.洋房(地上)土建"/>
      <sheetName val="清单2.洋房(地下)土建"/>
      <sheetName val="清单3.高层(地上)土建"/>
      <sheetName val="清单4.高层(地下)土建"/>
      <sheetName val="清单5.底商(土建)"/>
      <sheetName val="清单6.地下车库(土建)"/>
      <sheetName val="清单7.给排水"/>
      <sheetName val="清单8.采暖"/>
      <sheetName val="清单9.通风"/>
      <sheetName val="清单10.电气"/>
      <sheetName val="清单11.弱电、报警预埋"/>
      <sheetName val="清单12.开办费"/>
      <sheetName val="清单13.零星项目单价表"/>
      <sheetName val="附表1.开办费价格分析表"/>
      <sheetName val="附表2.甲分包工程一览表"/>
      <sheetName val="附表3.甲供材一览表"/>
      <sheetName val="附表4.乙供主材表"/>
      <sheetName val="附件5.甲指乙供材料"/>
      <sheetName val="Coversheet"/>
      <sheetName val="Scope"/>
      <sheetName val="EdeA Cost Form"/>
      <sheetName val="Estimate Summary"/>
      <sheetName val="Estimate Details"/>
      <sheetName val="基本参数"/>
      <sheetName val="成本估算"/>
      <sheetName val="DDETABLE "/>
      <sheetName val="十座前景观"/>
      <sheetName val="板房的"/>
      <sheetName val="现金清单"/>
      <sheetName val="使用指引"/>
      <sheetName val="集团全成本费项"/>
      <sheetName val="费项说明"/>
      <sheetName val="南奥北京三区（无地下室）在建"/>
      <sheetName val="南奥北京三区（地下室）在建 "/>
      <sheetName val="南沙奥园环湖工程 "/>
      <sheetName val="北京四区 -住宅车库商铺  （小户型）"/>
      <sheetName val="北京四区 -住宅车库商铺 待建"/>
      <sheetName val="Sheet1 (3)"/>
      <sheetName val="悉尼二区待建"/>
      <sheetName val="悉尼组团 -商铺"/>
      <sheetName val="小学中学"/>
      <sheetName val="幼儿园 "/>
      <sheetName val="广奥小学"/>
      <sheetName val="北京四区 -幼儿园"/>
      <sheetName val="幼儿园"/>
      <sheetName val="奥园大厦 -住宅车库商铺 (2)"/>
      <sheetName val="管理费"/>
      <sheetName val="2005年行政事业单位收费"/>
      <sheetName val="Sheet1 (2)"/>
      <sheetName val="分期、分区开发计划表"/>
      <sheetName val="项目基础资料"/>
      <sheetName val="各类产品建造标准"/>
      <sheetName val="土地成本分摊"/>
      <sheetName val="全成本分析表"/>
      <sheetName val="成本汇总表"/>
      <sheetName val="全成本分析表-02"/>
      <sheetName val="分产品建安成本"/>
      <sheetName val="跨期分摊成本"/>
      <sheetName val="五类公摊成本"/>
      <sheetName val="地块二销售计划"/>
      <sheetName val="2007.03.31"/>
      <sheetName val="交楼清单嫦2011.11"/>
      <sheetName val="12.15应收"/>
      <sheetName val="2011.11核对"/>
      <sheetName val="交楼清单2011"/>
      <sheetName val="未售清单（未认购）"/>
      <sheetName val="未售清单（签约未交楼）"/>
      <sheetName val="预收"/>
      <sheetName val="AR"/>
      <sheetName val="国奥工程类合同台帐"/>
      <sheetName val="房产工程合同原来g"/>
      <sheetName val="整理"/>
      <sheetName val="3.0合同台账-总录"/>
      <sheetName val="支付明细-g001"/>
      <sheetName val="支付明细-g002"/>
      <sheetName val="支付明细-g003"/>
      <sheetName val="支付明细-g004"/>
      <sheetName val="支付明细-g005"/>
      <sheetName val="支付明细-g006"/>
      <sheetName val="支付明细-g007"/>
      <sheetName val="支付明细-g008"/>
      <sheetName val="支付明细-g009"/>
      <sheetName val="支付明细-g010"/>
      <sheetName val="支付明细-g011"/>
      <sheetName val="支付明细-g012"/>
      <sheetName val="支付明细-g013"/>
      <sheetName val="支付明细-g014"/>
      <sheetName val="支付明细-g015"/>
      <sheetName val="支付明细-g016"/>
      <sheetName val="支付明细-g017"/>
      <sheetName val="支付明细-g018"/>
      <sheetName val="支付明细-g019"/>
      <sheetName val="支付明细-g020"/>
      <sheetName val="支付明细-g021"/>
      <sheetName val="支付明细-g022"/>
      <sheetName val="支付明细-g023"/>
      <sheetName val="支付明细-g024"/>
      <sheetName val="支付明细-g025"/>
      <sheetName val="支付明细-g026"/>
      <sheetName val="支付明细-g027"/>
      <sheetName val="支付明细-g028"/>
      <sheetName val="支付明细-g029"/>
      <sheetName val="支付明细-g030"/>
      <sheetName val="支付明细-g031"/>
      <sheetName val="支付明细-g032"/>
      <sheetName val="支付明细-g033"/>
      <sheetName val="支付明细-g034"/>
      <sheetName val="支付明细-g035"/>
      <sheetName val="支付明细-g036"/>
      <sheetName val="支付明细-g037"/>
      <sheetName val="支付明细-g038"/>
      <sheetName val="支付明细-g039"/>
      <sheetName val="支付明细-g040"/>
      <sheetName val="支付明细-g041"/>
      <sheetName val="支付明细-g042"/>
      <sheetName val="支付明细-g043"/>
      <sheetName val="支付明细-g044"/>
      <sheetName val="支付明细-g045"/>
      <sheetName val="支付明细-g046"/>
      <sheetName val="支付明细-g047"/>
      <sheetName val="支付明细-g048"/>
      <sheetName val="支付明细-g049"/>
      <sheetName val="支付明细-g050"/>
      <sheetName val="支付明细-g051"/>
      <sheetName val="支付明细-g052"/>
      <sheetName val="支付明细-g053"/>
      <sheetName val="支付明细-g054"/>
      <sheetName val="支付明细-g055"/>
      <sheetName val="支付明细-g057"/>
      <sheetName val="支付明细-g058"/>
      <sheetName val="支付明细-g059"/>
      <sheetName val="支付明细-g060"/>
      <sheetName val="支付明细-g061"/>
      <sheetName val="支付明细-g062"/>
      <sheetName val="支付明细-g063"/>
      <sheetName val="支付明细-g064"/>
      <sheetName val="支付明细-g065"/>
      <sheetName val="支付明细-g067"/>
      <sheetName val="支付明细-g068"/>
      <sheetName val="支付明细-g069"/>
      <sheetName val="支付明细-g070"/>
      <sheetName val="支付明细-g071"/>
      <sheetName val="支付明细-g072"/>
      <sheetName val="支付明细-g073"/>
      <sheetName val="支付明细-g074"/>
      <sheetName val="支付明细-g075"/>
      <sheetName val="支付明细-g076"/>
      <sheetName val="支付明细-g077"/>
      <sheetName val="支付明细-g078"/>
      <sheetName val="支付明细-g079"/>
      <sheetName val="支付明细-g080"/>
      <sheetName val="支付明细-g081"/>
      <sheetName val="支付明细-g082"/>
      <sheetName val="支付明细-g083"/>
      <sheetName val="支付明细-g084"/>
      <sheetName val="支付明细-g085"/>
      <sheetName val="支付明细-g086"/>
      <sheetName val="支付明细-g087"/>
      <sheetName val="支付明细-g088"/>
      <sheetName val="支付明细-g089"/>
      <sheetName val="支付明细-g090"/>
      <sheetName val="支付明细-g091"/>
      <sheetName val="支付明细-g092"/>
      <sheetName val="支付明细-g093"/>
      <sheetName val="支付明细-g094"/>
      <sheetName val="支付明细-g095"/>
      <sheetName val="支付明细-g096"/>
      <sheetName val="支付明细-g097"/>
      <sheetName val="支付明细-g098"/>
      <sheetName val="支付明细-g099"/>
      <sheetName val="支付明细-g100"/>
      <sheetName val="支付明细-g101"/>
      <sheetName val="支付明细-g102"/>
      <sheetName val="支付明细-g103"/>
      <sheetName val="支付明细-g104"/>
      <sheetName val="支付明细-g105"/>
      <sheetName val="支付明细-g106"/>
      <sheetName val="支付明细-g107"/>
      <sheetName val="支付明细-g108"/>
      <sheetName val="支付明细-g109"/>
      <sheetName val="支付明细-g110"/>
      <sheetName val="支付明细-g111"/>
      <sheetName val="支付明细-g112"/>
      <sheetName val="支付明细-g113"/>
      <sheetName val="支付明细-g114"/>
      <sheetName val="支付明细-g115"/>
      <sheetName val="支付明细-g116"/>
      <sheetName val="支付明细-g117"/>
      <sheetName val="支付明细-g118"/>
      <sheetName val="支付明细-g119"/>
      <sheetName val="支付明细-g120"/>
      <sheetName val="支付明细-g121"/>
      <sheetName val="支付明细-g122"/>
      <sheetName val="支付明细-g123"/>
      <sheetName val="支付明细-g124"/>
      <sheetName val="支付明细-g125"/>
      <sheetName val="支付明细-g126"/>
      <sheetName val="支付明细-g127"/>
      <sheetName val="支付明细-g128"/>
      <sheetName val="支付明细-g129"/>
      <sheetName val="支付明细-g130"/>
      <sheetName val="支付明细-g131"/>
      <sheetName val="支付明细-g132"/>
      <sheetName val="支付明细-g133"/>
      <sheetName val="支付明细-g134"/>
      <sheetName val="支付明细-g135"/>
      <sheetName val="支付明细-g136"/>
      <sheetName val="支付明细-g137"/>
      <sheetName val="支付明细-g138"/>
      <sheetName val="支付明细-g139"/>
      <sheetName val="支付明细-g141"/>
      <sheetName val="支付明细-g142"/>
      <sheetName val="支付明细-g143"/>
      <sheetName val="支付明细-g144"/>
      <sheetName val="支付明细-g145"/>
      <sheetName val="支付明细-g146"/>
      <sheetName val="支付明细-g147"/>
      <sheetName val="支付明细-g148"/>
      <sheetName val="支付明细-g149"/>
      <sheetName val="支付明细-g150"/>
      <sheetName val="支付明细-g151"/>
      <sheetName val="支付明细-g152"/>
      <sheetName val="支付明细-g153"/>
      <sheetName val="支付明细-g154"/>
      <sheetName val="支付明细-g155"/>
      <sheetName val="支付明细-g156"/>
      <sheetName val="支付明细-g157"/>
      <sheetName val="支付明细-g158"/>
      <sheetName val="支付明细-g159"/>
      <sheetName val="支付明细-g160"/>
      <sheetName val="支付明细-g161"/>
      <sheetName val="支付明细-g162"/>
      <sheetName val="支付明细-g163"/>
      <sheetName val="支付明细-g164"/>
      <sheetName val="支付明细-g165"/>
      <sheetName val="支付明细-g166"/>
      <sheetName val="支付明细-g167"/>
      <sheetName val="支付明细-g168"/>
      <sheetName val="支付明细-g170"/>
      <sheetName val="支付明细-g171"/>
      <sheetName val="支付明细-g172"/>
      <sheetName val="支付明细-g173"/>
      <sheetName val="支付明细-g174"/>
      <sheetName val="支付明细-g175"/>
      <sheetName val="支付明细-g176"/>
      <sheetName val="支付明细-g177"/>
      <sheetName val="支付明细-g178"/>
      <sheetName val="支付明细-g179"/>
      <sheetName val="支付明细-g180"/>
      <sheetName val="支付明细-g181"/>
      <sheetName val="支付明细-g182"/>
      <sheetName val="支付明细-g183"/>
      <sheetName val="支付明细-g184"/>
      <sheetName val="支付明细-g185"/>
      <sheetName val="支付明细-g186"/>
      <sheetName val="支付明细-g187"/>
      <sheetName val="支付明细-g188"/>
      <sheetName val="支付明细-g189"/>
      <sheetName val="支付明细-g190"/>
      <sheetName val="支付明细-g191"/>
      <sheetName val="支付明细-g192"/>
      <sheetName val="支付明细-g193"/>
      <sheetName val="支付明细-g194"/>
      <sheetName val="支付明细-g195"/>
      <sheetName val="支付明细-g197"/>
      <sheetName val="支付明细-g198"/>
      <sheetName val="支付明细-g199"/>
      <sheetName val="支付明细-g201"/>
      <sheetName val="支付明细-g202"/>
      <sheetName val="支付明细-001"/>
      <sheetName val="支付明细-003"/>
      <sheetName val="支付明细-004"/>
      <sheetName val="支付明细-005"/>
      <sheetName val="支付明细-006"/>
      <sheetName val="支付明细-007"/>
      <sheetName val="支付明细-008"/>
      <sheetName val="支付明细-009"/>
      <sheetName val="支付明细-010"/>
      <sheetName val="支付明细-011"/>
      <sheetName val="支付明细-012"/>
      <sheetName val="支付明细-013"/>
      <sheetName val="支付明细-014"/>
      <sheetName val="支付明细-015"/>
      <sheetName val="支付明细-016"/>
      <sheetName val="支付明细-017"/>
      <sheetName val="支付明细-018"/>
      <sheetName val="支付明细-019"/>
      <sheetName val="支付明细-020"/>
      <sheetName val="支付明细-021"/>
      <sheetName val="支付明细-023"/>
      <sheetName val="支付明细-024"/>
      <sheetName val="支付明细-027"/>
      <sheetName val="支付明细-028"/>
      <sheetName val="支付明细-031"/>
      <sheetName val="支付明细-032"/>
      <sheetName val="支付明细-033"/>
      <sheetName val="支付明细-034"/>
      <sheetName val="支付明细-035"/>
      <sheetName val="支付明细-036"/>
      <sheetName val="支付明细-037"/>
      <sheetName val="支付明细-038"/>
      <sheetName val="支付明细-039"/>
      <sheetName val="支付明细-040"/>
      <sheetName val="支付明细-041"/>
      <sheetName val="支付明细-042"/>
      <sheetName val="支付明细-043"/>
      <sheetName val="支付明细-044"/>
      <sheetName val="支付明细-045"/>
      <sheetName val="支付明细-046"/>
      <sheetName val="支付明细-047"/>
      <sheetName val="集团报表分工【集团】"/>
      <sheetName val="集团报表分工【项目】"/>
      <sheetName val="月度资金计划汇总表"/>
      <sheetName val="附表01-营销月度计划-房产"/>
      <sheetName val="附表01B-团购营销计划"/>
      <sheetName val="附表02-营销月度计划-商业"/>
      <sheetName val="附表03-营销月度计划-其他"/>
      <sheetName val="附表04-土地款月度计划"/>
      <sheetName val="附表05-工程进度月度资金计划"/>
      <sheetName val="附表05B-工程付款(HJK二三四六区)"/>
      <sheetName val="附表05B-工程进度款国奥房产ABCDG栋 "/>
      <sheetName val="附表06-结算款月度资金计划"/>
      <sheetName val="附表06B-工程结算款(HJK二三四六区)"/>
      <sheetName val="附表06B-工程结算款(国奥房产ABCDG栋)"/>
      <sheetName val="附件07-营销费用月度资金计划"/>
      <sheetName val="营销计划"/>
      <sheetName val="附件08-行政费用月度资金计划表"/>
      <sheetName val="附件09-人力资源费用月度计划"/>
      <sheetName val="行政"/>
      <sheetName val="附件10-各项税费月度资金计划表"/>
      <sheetName val="附件11-融资月度资金计划表"/>
      <sheetName val="附件12-外部单位往来月度资金计划表-收入"/>
      <sheetName val="附件13-外部单位往来月度资金计划表-支出"/>
      <sheetName val="附件14-固定资产购建月度资金计划表"/>
      <sheetName val="附件15-对外投资月度资金计划表"/>
      <sheetName val="附件16-收回投资及收益月度资金计划表"/>
      <sheetName val="附件17-土地投标保证金-流出"/>
      <sheetName val="附件18-土地投标保证金-流入"/>
      <sheetName val="附件19-其他资金-流出"/>
      <sheetName val="附件20-其他资金-流入"/>
      <sheetName val="合同资料管理规定070417"/>
      <sheetName val="0.0任务分配台账"/>
      <sheetName val="1.0立项台账"/>
      <sheetName val="2.0招标台账-整理版"/>
      <sheetName val="支付明细-002"/>
      <sheetName val="支付明细-022"/>
      <sheetName val="支付明细-025"/>
      <sheetName val="支付明细-026"/>
      <sheetName val="支付明细-029"/>
      <sheetName val="支付明细-030"/>
      <sheetName val="支付明细-048"/>
      <sheetName val="支付明细-049"/>
      <sheetName val="支付明细-050"/>
      <sheetName val="支付明细-051"/>
      <sheetName val="支付明细-052"/>
      <sheetName val="支付明细-053"/>
      <sheetName val="支付明细-054"/>
      <sheetName val="支付明细-055"/>
      <sheetName val="支付明细-056"/>
      <sheetName val="支付明细-057"/>
      <sheetName val="支付明细-058"/>
      <sheetName val="支付明细-059"/>
      <sheetName val="支付明细-060"/>
      <sheetName val="支付明细-061"/>
      <sheetName val="支付明细-062"/>
      <sheetName val="支付明细-063"/>
      <sheetName val="支付明细-064"/>
      <sheetName val="支付明细-065"/>
      <sheetName val="支付明细-066"/>
      <sheetName val="支付明细-067"/>
      <sheetName val="支付明细-068"/>
      <sheetName val="支付明细-069"/>
      <sheetName val="支付明细-070"/>
      <sheetName val="支付明细-071"/>
      <sheetName val="支付明细-072"/>
      <sheetName val="支付明细-073"/>
      <sheetName val="支付明细-074"/>
      <sheetName val="支付明细-075"/>
      <sheetName val="支付明细-076"/>
      <sheetName val="支付明细-077"/>
      <sheetName val="支付明细-078"/>
      <sheetName val="支付明细-079"/>
      <sheetName val="支付明细-080"/>
      <sheetName val="支付明细-081"/>
      <sheetName val="支付明细-082"/>
      <sheetName val="支付明细-083"/>
      <sheetName val="支付明细-084"/>
      <sheetName val="支付明细-085"/>
      <sheetName val="支付明细-86"/>
      <sheetName val="支付明细-87"/>
      <sheetName val="支付明细-88"/>
      <sheetName val="支付明细-89"/>
      <sheetName val="支付明细-90"/>
      <sheetName val="支付明细-91"/>
      <sheetName val="支付明细-92"/>
      <sheetName val="支付明细-93"/>
      <sheetName val="支付明细-94"/>
      <sheetName val="支付明细-95"/>
      <sheetName val="支付明细-96"/>
      <sheetName val="支付明细-97"/>
      <sheetName val="支付明细-98"/>
      <sheetName val="支付明细-99"/>
      <sheetName val="支付明细-100"/>
      <sheetName val="支付明细-101"/>
      <sheetName val="支付明细-102"/>
      <sheetName val="支付明细-103"/>
      <sheetName val="支付明细-104 "/>
      <sheetName val="支付明细-105"/>
      <sheetName val="支付明细-106"/>
      <sheetName val="支付明细107"/>
      <sheetName val="支付明细-108"/>
      <sheetName val="支付明细-109"/>
      <sheetName val="支付明细-110"/>
      <sheetName val="支付明细-111"/>
      <sheetName val="支付明细-112"/>
      <sheetName val="支付明细-113"/>
      <sheetName val="支付明细-114"/>
      <sheetName val="支付明细-115"/>
      <sheetName val="支付明细-116"/>
      <sheetName val="支付明细-117"/>
      <sheetName val="支付明细-118"/>
      <sheetName val="支付明细-119"/>
      <sheetName val="支付明细-120"/>
      <sheetName val="支付明细-121"/>
      <sheetName val="支付明细-122"/>
      <sheetName val="支付明细-123"/>
      <sheetName val="支付明细-124"/>
      <sheetName val="支付明细-125  "/>
      <sheetName val="支付明细-126"/>
      <sheetName val="支付明细-127"/>
      <sheetName val="支付明细-128"/>
      <sheetName val="支付明细-129"/>
      <sheetName val="支付明细-130"/>
      <sheetName val="支付明细-131"/>
      <sheetName val="支付明细-132"/>
      <sheetName val="支付明细-133"/>
      <sheetName val="支付明细-134"/>
      <sheetName val="支付明细-135"/>
      <sheetName val="支付明细-136"/>
      <sheetName val="支付明细-137"/>
      <sheetName val="支付明细-138"/>
      <sheetName val="支付明细-139"/>
      <sheetName val="支付明细-140"/>
      <sheetName val="支付明细-141"/>
      <sheetName val="支付明细-142"/>
      <sheetName val="支付明细-143"/>
      <sheetName val="支付明细-144"/>
      <sheetName val="支付明细-145"/>
      <sheetName val="支付明细-146"/>
      <sheetName val="支付明细-147"/>
      <sheetName val="支付明细-148"/>
      <sheetName val="支付明细-149"/>
      <sheetName val="支付明细-150"/>
      <sheetName val="支付明细-151"/>
      <sheetName val="支付明细-B"/>
      <sheetName val="预售面积与基础数据对比表"/>
      <sheetName val="项目公司利润预算表"/>
      <sheetName val="财务确认的一号地块土地款"/>
      <sheetName val="土地出让金分摊表"/>
      <sheetName val="回顾成本"/>
      <sheetName val="销售合约利润预算表"/>
      <sheetName val="整盘成本"/>
      <sheetName val="建筑成本"/>
      <sheetName val="指标表"/>
      <sheetName val="结算台账"/>
      <sheetName val="2栋户型"/>
      <sheetName val="4栋02户型"/>
      <sheetName val="5栋"/>
      <sheetName val="完"/>
      <sheetName val="地下室电梯厅前室"/>
      <sheetName val="地下室电梯厅"/>
      <sheetName val="首层入户大堂"/>
      <sheetName val="标准层电梯厅"/>
      <sheetName val="电梯轿厢"/>
      <sheetName val="《天花解释说明及计算方式》"/>
      <sheetName val="附表4《装修清单主材及辅材分类标准》"/>
      <sheetName val="K流量表过渡"/>
      <sheetName val="腾越筹划"/>
      <sheetName val="O售价敏感分析"/>
      <sheetName val="C产品成本"/>
      <sheetName val="B成本底稿"/>
      <sheetName val="J销售预测"/>
      <sheetName val="A投资指标"/>
      <sheetName val="Z控制表"/>
      <sheetName val="下结论"/>
      <sheetName val="I现金流量表"/>
      <sheetName val="结论表"/>
      <sheetName val="J销售—打印"/>
      <sheetName val="E土地敏感分析"/>
      <sheetName val="D利润表"/>
      <sheetName val="指标描述"/>
      <sheetName val="成本列示"/>
      <sheetName val="分项"/>
      <sheetName val="板房区目标成本"/>
      <sheetName val="现金流-季 (按月分解)"/>
      <sheetName val="填表说明"/>
      <sheetName val="报审表"/>
      <sheetName val="创意样板房"/>
      <sheetName val="《吊顶天花判别及计算方式》"/>
      <sheetName val="附表1《综合单价分析表》"/>
      <sheetName val="附表2《主材单价表》"/>
      <sheetName val="附表3《人工费单价表》"/>
      <sheetName val="调价表使用说明"/>
      <sheetName val="容积率修正系数表"/>
      <sheetName val="建安费用确定"/>
      <sheetName val="楼层测算"/>
      <sheetName val="装修"/>
      <sheetName val="pic"/>
      <sheetName val="map"/>
      <sheetName val="erweima"/>
      <sheetName val="致委托方函"/>
      <sheetName val="估价师声明"/>
      <sheetName val="假设和限制条件"/>
      <sheetName val="定义"/>
      <sheetName val="估价结果报告"/>
      <sheetName val="市场分析"/>
      <sheetName val="估价目的"/>
      <sheetName val="市场法 (住宅)"/>
      <sheetName val="收益法（无租约）"/>
      <sheetName val="收益法（带租约）"/>
      <sheetName val="收益法（租约期内）"/>
      <sheetName val="变现能力分析"/>
      <sheetName val="居住类税费表"/>
      <sheetName val="非居住类税费表"/>
      <sheetName val="平安居住类税费表"/>
      <sheetName val="平安非居住类税费表"/>
      <sheetName val="评估单"/>
      <sheetName val="预估价意见书"/>
      <sheetName val="预估价意见书（未看房）"/>
      <sheetName val="宗地指标表"/>
      <sheetName val="方案二-小联排+双拼+高层"/>
      <sheetName val="11.26 新方案 155联排+135叠拼+高层"/>
      <sheetName val="11.30 报规指标"/>
      <sheetName val="车位计算依据"/>
      <sheetName val="租赁情况"/>
      <sheetName val="7幢长租"/>
      <sheetName val="8幢长租"/>
      <sheetName val="9幢长租"/>
      <sheetName val="收益法（非长租）"/>
      <sheetName val="市调2017"/>
      <sheetName val="市调新"/>
      <sheetName val="土地市调2012-2013"/>
      <sheetName val="总计划目录"/>
      <sheetName val="附件1-项目全盘开发计划与可研报告对比表"/>
      <sheetName val="附件2-项目全盘规划技术指标"/>
      <sheetName val="附件3-项目全盘进度控制节点"/>
      <sheetName val="附件4-项目全盘开发预算"/>
      <sheetName val="附件5-项目全盘供应量计划"/>
      <sheetName val="附件6-项目全盘销售计划"/>
      <sheetName val="附件7-项目全盘投资收益（静态）"/>
      <sheetName val="附件8-项目全盘现金流量（全投资）"/>
      <sheetName val="附件9-项目自有资金现金流量"/>
      <sheetName val="盈利预测表"/>
      <sheetName val="科目复核的标准样表（勿删）"/>
      <sheetName val="编__制__说__明"/>
      <sheetName val="B1配置表"/>
      <sheetName val="A4.分摊说明"/>
      <sheetName val="A9-4.建安（高层人防地下室）"/>
      <sheetName val="A9-4.建安（高层非人防地下室）"/>
      <sheetName val="数据库(综合)"/>
      <sheetName val="OJF8AD"/>
      <sheetName val="00逻辑梳理"/>
      <sheetName val="01测算封面 "/>
      <sheetName val="03基础数据"/>
      <sheetName val="04产品配置"/>
      <sheetName val="04-1产品级配包"/>
      <sheetName val="05限额设计"/>
      <sheetName val="06目标成本"/>
      <sheetName val="07-1别墅建安"/>
      <sheetName val="J3MO2d"/>
      <sheetName val="07-2多层建安"/>
      <sheetName val="07-3小高层建安"/>
      <sheetName val="07-4高层建安"/>
      <sheetName val="07-6公建建安"/>
      <sheetName val="07-8人防建安"/>
      <sheetName val="07-9非人防建安"/>
      <sheetName val="07-7示范区建安"/>
      <sheetName val="07-5商业建安"/>
      <sheetName val="10建安外"/>
      <sheetName val="11销售利润"/>
      <sheetName val="12支付计划"/>
      <sheetName val="13建安总分包"/>
      <sheetName val="14合约规划"/>
      <sheetName val="相关指标计算"/>
      <sheetName val="14-1样板区合约规划"/>
      <sheetName val="15前期配套收费"/>
      <sheetName val="16总分包界面"/>
      <sheetName val="17成本分摊"/>
      <sheetName val="16总分包界面（待完善）"/>
      <sheetName val="2-合同台帐"/>
      <sheetName val="动态成本对比简表"/>
      <sheetName val="动态成本表"/>
      <sheetName val="付款台帐"/>
      <sheetName val="设计变更"/>
      <sheetName val="现场签证"/>
      <sheetName val="目标成本"/>
      <sheetName val="XXXX"/>
      <sheetName val="npqp"/>
      <sheetName val="填报流程说明"/>
      <sheetName val="成本编制指引"/>
      <sheetName val="表1 项目规划指标及收入计划"/>
      <sheetName val="表2 项目总目标成本表"/>
      <sheetName val="表9 建安工程造价分析表"/>
      <sheetName val="表3 土地增值税表"/>
      <sheetName val="表5 总投资计划及利润"/>
      <sheetName val="表4 增值税表"/>
      <sheetName val="表5 含增值税总投资计划及利润"/>
      <sheetName val="表6 分业态综合成本"/>
      <sheetName val="表6 含增值税分业态综合成本"/>
      <sheetName val="表7 分业态建安成本"/>
      <sheetName val="表7 含增值税分业态建安成本"/>
      <sheetName val="销售预测表"/>
      <sheetName val="成就共享测算-周期"/>
      <sheetName val="成就共享测算-首年"/>
      <sheetName val="成本付款表"/>
      <sheetName val="现金流-季"/>
      <sheetName val="现金流-年"/>
      <sheetName val="土地敏感性分析"/>
      <sheetName val="表8 成本公摊汇总表"/>
      <sheetName val="成本科目释义v2"/>
      <sheetName val="方案版目标成本审批表单 "/>
      <sheetName val="附件1 成本策划及责任成本落实"/>
      <sheetName val="附件2 建造标准及结构指标"/>
      <sheetName val="表1-1主要控制指标 "/>
      <sheetName val="表1-2建造标准控制指标"/>
      <sheetName val="表2.1规划指标 "/>
      <sheetName val="2.2 主要产品构成"/>
      <sheetName val="表2.3 成本汇总表"/>
      <sheetName val="附表 成本测算计算表（独栋）"/>
      <sheetName val="附表 成本测算计算表（双拼)"/>
      <sheetName val="附表成本测算计算表（小高层)"/>
      <sheetName val="附表 成本测算计算表（地下室)"/>
      <sheetName val="表2.4盈利分析"/>
      <sheetName val="测算表使用说明"/>
      <sheetName val="表1 规划指标"/>
      <sheetName val="表2  配置标准以及相关指标"/>
      <sheetName val="表3 地价分摊表"/>
      <sheetName val=" 表4  前期收费标准  "/>
      <sheetName val="表5 单体费用编制"/>
      <sheetName val="表6 成本汇总表"/>
      <sheetName val=" 表7  单体建安成本土建主体以及粗装修 详细测算"/>
      <sheetName val="表7  配套设施类费用"/>
      <sheetName val=" 表8  车库建安成本土建主体以及粗装修 详细测算"/>
      <sheetName val="表9营销设施费分摊界定以及说明"/>
      <sheetName val=" 表10  成本科目定义"/>
      <sheetName val="填表指引"/>
      <sheetName val="经济指标-全项目"/>
      <sheetName val="经济指标-可售"/>
      <sheetName val="勾稽关系"/>
      <sheetName val="规划指标 "/>
      <sheetName val="现金流量"/>
      <sheetName val="利润测算（营改增）"/>
      <sheetName val="成本汇总"/>
      <sheetName val="工程付款"/>
      <sheetName val="土地增值税 (营改增)"/>
      <sheetName val="地价分摊表"/>
      <sheetName val="施工计划"/>
      <sheetName val="税费说明"/>
      <sheetName val="地价及规划"/>
      <sheetName val="成本组成分析（无链接）"/>
      <sheetName val="一期规划指标"/>
      <sheetName val="二期规划指标"/>
      <sheetName val="跨期成本分摊明细表"/>
      <sheetName val="高层"/>
      <sheetName val="商业服务soho"/>
      <sheetName val="普通多层"/>
      <sheetName val="多层洋房"/>
      <sheetName val="别墅"/>
      <sheetName val="联排SOHO"/>
      <sheetName val="独栋商业（4层）"/>
      <sheetName val="别墅地下车库"/>
      <sheetName val="高层地下车库"/>
      <sheetName val="酒店式公寓（SOHO）1"/>
      <sheetName val="室内装修价格明细"/>
      <sheetName val="商业产品建筑标准"/>
      <sheetName val="高层产品建筑标准"/>
      <sheetName val="sohu商业产品建筑标准"/>
      <sheetName val="成本组成分析（链接）1"/>
      <sheetName val="附-年度利润体现"/>
      <sheetName val="利润测算"/>
      <sheetName val="强排指标"/>
      <sheetName val="六类公摊费用(可售)"/>
      <sheetName val="六类公摊费用(自持)"/>
      <sheetName val="商业经营期现金流量表(出售)"/>
      <sheetName val="酒店经营期现金流量表(20年)"/>
      <sheetName val="高层(19-33层)"/>
      <sheetName val="可售底商1"/>
      <sheetName val="公寓式办公1"/>
      <sheetName val="人防地下室1 "/>
      <sheetName val="非人防地下室1"/>
      <sheetName val="商业综合体-持有1"/>
      <sheetName val="酒店-持有1"/>
      <sheetName val="地下商业-持有"/>
      <sheetName val="非人防地下室(可售)"/>
      <sheetName val="非人防地下室（持有）"/>
      <sheetName val="采购计划模板"/>
      <sheetName val="项目分期"/>
      <sheetName val="采购类别"/>
      <sheetName val="责任人"/>
      <sheetName val="合作供应商"/>
      <sheetName val="其他值列表"/>
      <sheetName val="建筑面积 "/>
      <sheetName val="成本汇总 "/>
      <sheetName val="施工参考单价报价表"/>
      <sheetName val="甲指乙供材料报价表"/>
      <sheetName val="规划指标"/>
      <sheetName val="名称"/>
      <sheetName val="土建工程综合单价表"/>
      <sheetName val="综合单价汇总表"/>
      <sheetName val="给排水工程量计算书"/>
      <sheetName val="其它工作项目报价清单"/>
      <sheetName val="土地款支出"/>
      <sheetName val="内部往来"/>
      <sheetName val="测算2-当前状态（含返迁）"/>
      <sheetName val="参数表"/>
      <sheetName val="Cashflow(Scenario)"/>
      <sheetName val="工程量计算"/>
      <sheetName val="利润测算（年度规划）"/>
      <sheetName val="成本汇总及分摊表"/>
      <sheetName val="表2 成本汇总表"/>
      <sheetName val="综合体投模_全项目_V4"/>
      <sheetName val="测地注意事项及说明"/>
      <sheetName val=" 表3 前期收费标准"/>
      <sheetName val="表4 单体费用编制"/>
      <sheetName val="附表 财务汇总表"/>
      <sheetName val="表5配套设施费"/>
      <sheetName val=" 表9 成本科目定义"/>
      <sheetName val="分部分项工程量清单计价表"/>
      <sheetName val="措施项目清单"/>
      <sheetName val="其他项目清单"/>
      <sheetName val="主要材料、设备价格表"/>
      <sheetName val="品牌表"/>
      <sheetName val="人工单价表"/>
      <sheetName val="销售收入预测"/>
      <sheetName val="增值税"/>
      <sheetName val=" 表4  前期收费标准"/>
      <sheetName val="精装修测算明细"/>
      <sheetName val="限额指标"/>
      <sheetName val="政策文件"/>
      <sheetName val="利润测算利润"/>
      <sheetName val="集团林董审批单"/>
      <sheetName val="02编制说明（另）"/>
      <sheetName val="集团林董审批表"/>
      <sheetName val="集团各部门评审表"/>
      <sheetName val="地区公司评审表"/>
      <sheetName val="01 封面"/>
      <sheetName val="02 编制说明"/>
      <sheetName val="关键指标"/>
      <sheetName val="04产品价值及配置标准"/>
      <sheetName val="05目标成本汇总表 (对比)"/>
      <sheetName val="05限额设计（关健指标）"/>
      <sheetName val="06目标成本汇总表"/>
      <sheetName val="07-1高层公寓"/>
      <sheetName val="07-2高层公寓 (保障房)"/>
      <sheetName val="07-3多层 "/>
      <sheetName val="07-4地下车库"/>
      <sheetName val="07-5商业"/>
      <sheetName val="08除建安外其他费用"/>
      <sheetName val="总分包"/>
      <sheetName val="09销售利润"/>
      <sheetName val="施工图阶段与定位阶段对比"/>
      <sheetName val="合约11规划"/>
      <sheetName val="总成本（施工图）"/>
      <sheetName val="四项费（施工图）"/>
      <sheetName val="四项费外费用（施工图）"/>
      <sheetName val="四项费用对比（5%不计入）"/>
      <sheetName val="01配套收费"/>
      <sheetName val="02项目基础数据表"/>
      <sheetName val="03价值及配置标准"/>
      <sheetName val="04关健指标"/>
      <sheetName val="05成本汇总表"/>
      <sheetName val="06除建安外费用"/>
      <sheetName val="07-2地下车库"/>
      <sheetName val="07-3商业街"/>
      <sheetName val="07-4高层公寓"/>
      <sheetName val="08变更签证"/>
      <sheetName val="Parameters"/>
      <sheetName val="损益汇总表"/>
      <sheetName val="现金流汇总表"/>
      <sheetName val="项目损益表"/>
      <sheetName val="项目费用分析表"/>
      <sheetName val="项目现金流量分析表"/>
      <sheetName val="一期成本预算表"/>
      <sheetName val="二期成本预算表"/>
      <sheetName val="三期成本预算表"/>
      <sheetName val="四期成本预算表"/>
      <sheetName val="五期成本预算表"/>
      <sheetName val="其他项目成本预算表"/>
      <sheetName val="项目资金占用情况预算表"/>
      <sheetName val="员工人数表"/>
      <sheetName val="资金情况表"/>
      <sheetName val="资本性支出预算表"/>
      <sheetName val="关联交易表"/>
      <sheetName val="物业服务收入"/>
      <sheetName val="面积指标"/>
      <sheetName val="A翼写字楼"/>
      <sheetName val="5清波"/>
      <sheetName val="Aging Datasheet"/>
      <sheetName val="ECCS_1 DataSheet"/>
      <sheetName val="KPI Datasheet"/>
      <sheetName val="SAPBEXqueries"/>
      <sheetName val="SAPBEXfilters"/>
      <sheetName val="TOC"/>
      <sheetName val="损益表(一般)-1"/>
      <sheetName val="损益表(物业出租)-1-1"/>
      <sheetName val="营业额分析表-2"/>
      <sheetName val="毛利率分析表-4"/>
      <sheetName val="经营利润分析表-5"/>
      <sheetName val="损益表-明细-5-2"/>
      <sheetName val="经营利润表-明细-5-1"/>
      <sheetName val="OPBITDA分析表-6"/>
      <sheetName val="OPBITDA-明细-6-1"/>
      <sheetName val="税前利润分析表-7"/>
      <sheetName val="股东应占溢利分析表-8"/>
      <sheetName val="一般及行政费用分析表-11"/>
      <sheetName val="一般及行政费用-明细-11-1"/>
      <sheetName val="销售及分销费用分析表-14"/>
      <sheetName val="销售及分销费用-明细-14-1"/>
      <sheetName val="其它经营费用分析表-15"/>
      <sheetName val="其它经营收入分析表-20"/>
      <sheetName val="非经营性收入及支出分析表-23"/>
      <sheetName val="财务收支分析表-24"/>
      <sheetName val="资产负债表-26"/>
      <sheetName val="资金情况表-27"/>
      <sheetName val="银行借款余额表-27-1"/>
      <sheetName val="应收帐款周转天数表-按利润中心-29"/>
      <sheetName val="应收帐款表-按利润中心-30"/>
      <sheetName val="应付帐款表-按利润中心-32"/>
      <sheetName val="库存周转天数表-按利润中心-33-1"/>
      <sheetName val="库存表-按利润中心-34-1"/>
      <sheetName val="资本性支出表-35"/>
      <sheetName val="资本承担及或有负债-43"/>
      <sheetName val="重要指标表-47"/>
      <sheetName val="员工人数表-113"/>
      <sheetName val="财务比率分析表-63"/>
      <sheetName val="现金流量表-45"/>
      <sheetName val="三年综述表-115"/>
      <sheetName val="Validation"/>
      <sheetName val="ECCS"/>
      <sheetName val="Aging"/>
      <sheetName val="KPI"/>
      <sheetName val="DataSheetIndex"/>
      <sheetName val="CFS"/>
      <sheetName val="单方成本测算(帐面)"/>
      <sheetName val="成本结转表(IFRS)"/>
      <sheetName val="基础资料（B）"/>
      <sheetName val="資料庫"/>
      <sheetName val="有关参数"/>
      <sheetName val="华房01"/>
      <sheetName val="健翔01"/>
      <sheetName val="京通01"/>
      <sheetName val="高层F毛坯"/>
      <sheetName val="QY"/>
      <sheetName val="list"/>
      <sheetName val="Assumptions"/>
      <sheetName val="Financials"/>
      <sheetName val="成本项目"/>
      <sheetName val="成本测算"/>
      <sheetName val="B3#楼措施汇总"/>
      <sheetName val="3-1差异汇总PPT"/>
      <sheetName val="3-2版本对比"/>
      <sheetName val="3-3限额指标对比"/>
      <sheetName val="3-4一二线刚需配置对比"/>
      <sheetName val="3-5专项分析差异表"/>
      <sheetName val="表2-1成本汇总及分摊表"/>
      <sheetName val="表2-2跨期分摊成本汇总表"/>
      <sheetName val="表4-1独栋别墅"/>
      <sheetName val="表4-2联排别墅"/>
      <sheetName val="表4-3叠加别墅"/>
      <sheetName val="表4-4双拼别墅"/>
      <sheetName val="表4-5多层洋房"/>
      <sheetName val="表4-6小高层"/>
      <sheetName val="表4-7高层 "/>
      <sheetName val="表4-8超高层"/>
      <sheetName val="表4-9街区式商业"/>
      <sheetName val="表4-10shoppingmall"/>
      <sheetName val="表4-11底商"/>
      <sheetName val="表4-12公寓式酒店"/>
      <sheetName val="表4-13写字楼（非超高层）"/>
      <sheetName val="表4-14写字楼（超高层）"/>
      <sheetName val="表4-15酒店（超高层）"/>
      <sheetName val="表4-16酒店（非超高层）"/>
      <sheetName val="表4-17loft(非超高层）"/>
      <sheetName val="表4-18loft超高层"/>
      <sheetName val="表4-19平层公寓(非超高层)"/>
      <sheetName val="表4-20平层公寓(超高层)"/>
      <sheetName val="表4-21人防地库(普通车位）"/>
      <sheetName val="表4-22人防地库(机械车位）"/>
      <sheetName val="表4-23非人防普通车库"/>
      <sheetName val="表4-24非人防机械车库"/>
      <sheetName val="表4-25学校"/>
      <sheetName val="表4-26会所"/>
      <sheetName val="表4-27幼儿园"/>
      <sheetName val="表4-28物业用房"/>
      <sheetName val="表4-29公共事业用房"/>
      <sheetName val="表4-30公共设备用房"/>
      <sheetName val="表4-31公共建设"/>
      <sheetName val="表4-32待分摊业态"/>
      <sheetName val="3-4三四线首改配置对比"/>
      <sheetName val="表4-1联排"/>
      <sheetName val="表4-2叠加别墅"/>
      <sheetName val="表4-3多层洋房"/>
      <sheetName val="表4-4小高层"/>
      <sheetName val="表4-5高层"/>
      <sheetName val="表4-6物业用房"/>
      <sheetName val="表4-7人防地库"/>
      <sheetName val="表4-8非人防地库"/>
      <sheetName val="表5 成本限额表"/>
      <sheetName val="表3-8集中办公"/>
      <sheetName val="表3-9合院办公"/>
      <sheetName val="表3-10独栋办公"/>
      <sheetName val="表3-11街区式商业"/>
      <sheetName val="表3-12loft公寓"/>
      <sheetName val="表3-13人防地库（机械）"/>
      <sheetName val="表3-14非人防地库（机械）"/>
      <sheetName val="表3-1联排"/>
      <sheetName val="表3-2叠加别墅"/>
      <sheetName val="表3-3多层洋房"/>
      <sheetName val="表3-4小高层"/>
      <sheetName val="表3-5高层 "/>
      <sheetName val="表3-物业用房"/>
      <sheetName val="表3-7人防地库"/>
      <sheetName val="表3-8非人防地库"/>
      <sheetName val="枣园--建安-间接"/>
      <sheetName val="Financial highligts"/>
      <sheetName val="动态信息"/>
      <sheetName val="雅苑6#"/>
      <sheetName val="雅苑7#8#"/>
      <sheetName val="雅苑二期车库"/>
      <sheetName val="星城A3A4"/>
      <sheetName val="星城B1#"/>
      <sheetName val="星城B3--B6#"/>
      <sheetName val="星城C5-C20"/>
      <sheetName val="星城A区车库"/>
      <sheetName val="星城B区1-6#车库"/>
      <sheetName val="星城B8"/>
      <sheetName val="星城C区车库"/>
      <sheetName val="星城B7"/>
      <sheetName val="闭环明细表填写说明"/>
      <sheetName val="XX项目14年问题闭环台账"/>
      <sheetName val="分类统计表"/>
      <sheetName val="综合计划统计"/>
      <sheetName val="税负测算汇总表"/>
      <sheetName val="开发成本"/>
      <sheetName val="可抵扣税率清单"/>
      <sheetName val="利润指标测算"/>
      <sheetName val="开发间接费用"/>
      <sheetName val="其他支出"/>
      <sheetName val="规划指标及销售收入"/>
      <sheetName val="投资回报估算"/>
      <sheetName val="合同类别"/>
      <sheetName val="配套用房"/>
      <sheetName val="-------"/>
      <sheetName val="期块楼座基本信息"/>
      <sheetName val="土地成本测算"/>
      <sheetName val="综合成本科目表 "/>
      <sheetName val="【25层以上17#18#21#22#】"/>
      <sheetName val="【18层以下16#20#楼】"/>
      <sheetName val="2.1期人防"/>
      <sheetName val="二期地库"/>
      <sheetName val="2.1期商业"/>
      <sheetName val="成本差异分析（18层）"/>
      <sheetName val="成本差异分析(33层)"/>
      <sheetName val="配套费等造价分摊"/>
      <sheetName val="概况"/>
      <sheetName val="总投资估算"/>
      <sheetName val="投资计划"/>
      <sheetName val="资金平衡表"/>
      <sheetName val="损益表"/>
      <sheetName val="土增税清算表"/>
      <sheetName val="增值税测算表"/>
      <sheetName val="土增（按照建筑占地面积算）"/>
      <sheetName val="土增税计算"/>
      <sheetName val="投资计划表"/>
      <sheetName val="定位版与全策版对比分析"/>
      <sheetName val="1.租金收入"/>
      <sheetName val="2.物业费收入"/>
      <sheetName val="3.行政管理费用"/>
      <sheetName val="3.1行政费用"/>
      <sheetName val="3.2人事费用"/>
      <sheetName val="5.能耗费用"/>
      <sheetName val="4.物业维保费用"/>
      <sheetName val="租金递增率说明"/>
      <sheetName val="物业费递增率说明"/>
      <sheetName val="商管委托管理收费标准"/>
      <sheetName val="PPT底稿"/>
      <sheetName val="对比明细表"/>
      <sheetName val="分业态利润"/>
      <sheetName val="小高层"/>
      <sheetName val="回购返还类1"/>
      <sheetName val="非人防车位"/>
      <sheetName val="底层商业"/>
      <sheetName val="两版本成本汇总对比"/>
      <sheetName val="两版本公摊费用对比"/>
      <sheetName val="业态对比"/>
      <sheetName val="面积表"/>
      <sheetName val="限额"/>
      <sheetName val="表9 营销设施费分摊界定以及说明"/>
      <sheetName val="防火门统计"/>
      <sheetName val="A1.任务书"/>
      <sheetName val="A2.评价指标"/>
      <sheetName val="A2.评价指标-共享激励"/>
      <sheetName val="A3.敏感性分析"/>
      <sheetName val="A4.年度指标"/>
      <sheetName val="A5.项目基本情况"/>
      <sheetName val="方案"/>
      <sheetName val="B1.开发计划假设"/>
      <sheetName val="B2.现金流量(IRR)"/>
      <sheetName val="B3.销售价格"/>
      <sheetName val="B4.1.持有物业估值"/>
      <sheetName val="B4.2持有商业"/>
      <sheetName val="B5.土地增值税"/>
      <sheetName val="C1.成本汇总及分摊-不含税"/>
      <sheetName val="C1.成本汇总及分摊-含税"/>
      <sheetName val="C2.非建安成本"/>
      <sheetName val="C3.建安成本（土地版）"/>
      <sheetName val="基础数据表"/>
      <sheetName val="明源系统导入表"/>
      <sheetName val="C4.建安成本 (方案版)"/>
      <sheetName val="C5.【序号1.1】"/>
      <sheetName val="【序号1.2】"/>
      <sheetName val="【序号1.3】"/>
      <sheetName val="【序号1.4】"/>
      <sheetName val="【序号1.5】"/>
      <sheetName val="【序号1.6】"/>
      <sheetName val="【序号1.7】"/>
      <sheetName val="【序号1.8】"/>
      <sheetName val="【序号1.9】"/>
      <sheetName val="【序号1.10】"/>
      <sheetName val="【序号2.1】"/>
      <sheetName val="【序号2.2】"/>
      <sheetName val="【序号2.3】"/>
      <sheetName val="【序号2.4】"/>
      <sheetName val="【序号2.5】"/>
      <sheetName val="【序号3.1】"/>
      <sheetName val="【序号3.2】"/>
      <sheetName val="【序号3.3】"/>
      <sheetName val="【序号3.4】"/>
      <sheetName val="【序号3.5】"/>
      <sheetName val="【序号4.1】"/>
      <sheetName val="【序号4.2】"/>
      <sheetName val="【序号4.3】"/>
      <sheetName val="【序号4.4】"/>
      <sheetName val="【序号4.5】"/>
      <sheetName val="校验"/>
      <sheetName val="拿地敏感性分析"/>
      <sheetName val="经营利润表-明细-5-1-CRLD610000"/>
      <sheetName val="经营利润表-明细-5-1-CRLD210000"/>
      <sheetName val="经营利润表-明细-5-1-CRLD220000"/>
      <sheetName val="经营利润表-明细-5-1-CRLD230000"/>
      <sheetName val="经营利润表-明细-5-1-CRLD240000"/>
      <sheetName val="经营利润表-明细-5-1-CRLD260000"/>
      <sheetName val="经营利润表-明细-5-1-CRLD250000"/>
      <sheetName val="经营利润表-明细-5-1-CRLD270000"/>
      <sheetName val="经营利润表-明细-5-1-CRLD620000"/>
      <sheetName val="经营利润表-明细-5-1-CRLD630000"/>
      <sheetName val="经营利润表-明细-5-1-CRLD640000"/>
      <sheetName val="其它非经营性收入及支出分析表-23"/>
      <sheetName val="资金情怳表-27"/>
      <sheetName val="财务比率分析表-63-1"/>
      <sheetName val="P2"/>
      <sheetName val="T2损益表(北京)-1-1"/>
      <sheetName val="T2损益表(上诲)-1-2"/>
      <sheetName val="T2损益表(成都)-1-3"/>
      <sheetName val="T2损益表(香港)-1-4"/>
      <sheetName val="T2本月物业销售分析表"/>
      <sheetName val="T2本年累计物业销售分析表"/>
      <sheetName val="T2出租物业分析表"/>
      <sheetName val="T2会所收入分析表"/>
      <sheetName val="T2物业管理分析表"/>
      <sheetName val="T2销售公司收入分析表"/>
      <sheetName val="T2总成本分析表"/>
      <sheetName val="T2成本分析-香港公司"/>
      <sheetName val="T2成本分析-北京物业销售汇总"/>
      <sheetName val="T2成本分析-北京总部"/>
      <sheetName val="T2成本分析-北京项目"/>
      <sheetName val="T2成本分析-上诲项目"/>
      <sheetName val="T2成本分析-成都项目"/>
      <sheetName val="T2成本分析-出租物业"/>
      <sheetName val="T2成本分析-物业管理"/>
      <sheetName val="T2成本分析-会所"/>
      <sheetName val="T2成本分析-其他收入"/>
      <sheetName val="T2项目成本分析表"/>
      <sheetName val="T2项目资金占庄分析表"/>
      <sheetName val="T2按揭应收帐分析表"/>
      <sheetName val="T2银行贷款分析表"/>
      <sheetName val="T2房屋明细及土地储备表"/>
      <sheetName val="T2库存表"/>
      <sheetName val="T2现金流量表-直接法-汇总"/>
      <sheetName val="T2现金流量表-直接法-北京公司"/>
      <sheetName val="T2现金流量表-直接法-上诲公司"/>
      <sheetName val="T2现金流量表-直接法-成都公司"/>
      <sheetName val="T2现金流量表-直接法-香港本部"/>
      <sheetName val="附表二、预计最终与预算对比明细表"/>
      <sheetName val="公建西区ABC成本汇总 -按地上面积分"/>
      <sheetName val="08.08-08.09"/>
      <sheetName val="08.07"/>
      <sheetName val="08.06"/>
      <sheetName val="公建西区ABC成本汇总"/>
      <sheetName val="08.01-08.05付款"/>
      <sheetName val="03.01-07.12付款"/>
      <sheetName val="西区面积"/>
      <sheetName val="A座"/>
      <sheetName val="酒店结利表"/>
      <sheetName val="东区土地付款"/>
      <sheetName val="凤凰城地价转让费缴纳情况"/>
      <sheetName val="PRC0805"/>
      <sheetName val="商务区0805"/>
      <sheetName val="081季度利息分摊"/>
      <sheetName val="大市政"/>
      <sheetName val=" 表3  前期收费标准 "/>
      <sheetName val="附表 财务汇总表 (2)"/>
      <sheetName val="报价汇总表"/>
      <sheetName val="分部汇总表"/>
      <sheetName val="-1F公共"/>
      <sheetName val="-1F办公"/>
      <sheetName val="1F公共"/>
      <sheetName val="2F公共"/>
      <sheetName val="2F办公"/>
      <sheetName val="3F公共"/>
      <sheetName val="3F办公"/>
      <sheetName val="4F公共"/>
      <sheetName val="5F公共"/>
      <sheetName val="6F公共"/>
      <sheetName val="6F办公"/>
      <sheetName val="其他清单"/>
      <sheetName val="一标公共安装"/>
      <sheetName val="一标办公安装"/>
      <sheetName val="措施费清单"/>
      <sheetName val="总栋号统计"/>
      <sheetName val="清单名称"/>
      <sheetName val="1主要技术经济指标表"/>
      <sheetName val="00封面"/>
      <sheetName val="01目标责任书"/>
      <sheetName val="04产品配置标准2"/>
      <sheetName val="05汇总表"/>
      <sheetName val="06目标成本明细表"/>
      <sheetName val="06动态成本明细表"/>
      <sheetName val="07分摊方案明细"/>
      <sheetName val="08盈利预测表"/>
      <sheetName val="上报集团书面稿示例"/>
      <sheetName val="城市公司目标责任书"/>
      <sheetName val="指标"/>
      <sheetName val="定位表"/>
      <sheetName val="工期节点"/>
      <sheetName val="成本明细表"/>
      <sheetName val="前期费用确认"/>
      <sheetName val="地上及粗装修表（高层）"/>
      <sheetName val="地上及粗装修表（洋房）"/>
      <sheetName val="地下结构及粗装修表（按地库）"/>
      <sheetName val="资金支付计划"/>
      <sheetName val="资金支付计划1"/>
      <sheetName val="收入预测及税金"/>
      <sheetName val="税金计算表"/>
      <sheetName val="投资收益表"/>
      <sheetName val="竞价表"/>
      <sheetName val="销售回款汇编"/>
      <sheetName val="推盘节奏预判"/>
      <sheetName val="2016"/>
      <sheetName val="2017"/>
      <sheetName val="2018"/>
      <sheetName val="2019"/>
      <sheetName val="2020"/>
      <sheetName val="2021"/>
      <sheetName val="2022"/>
      <sheetName val="产品定位"/>
      <sheetName val="1.规划指标"/>
      <sheetName val="2.目标成本科目责任部门划分"/>
      <sheetName val="3.目标销售收入"/>
      <sheetName val="1）"/>
      <sheetName val="2）"/>
      <sheetName val="3）"/>
      <sheetName val="4）"/>
      <sheetName val="5）"/>
      <sheetName val="6）"/>
      <sheetName val="6)成本分析表"/>
      <sheetName val="7）"/>
      <sheetName val="7）财务附表"/>
      <sheetName val="利息支出"/>
      <sheetName val="产品定位提升异至成本增加（3）"/>
      <sheetName val="产品定位标准修改影响可售单方成本分析汇总表"/>
      <sheetName val="测算指标"/>
      <sheetName val="销售回款及税金预缴"/>
      <sheetName val="支付计划"/>
      <sheetName val="前期费用确认表"/>
      <sheetName val="地上及粗装修表（按业态分）"/>
      <sheetName val="地下结构及粗装修表（按业态分）"/>
      <sheetName val="指标差异对比"/>
      <sheetName val="经济指标分析"/>
      <sheetName val="成本差异对比"/>
      <sheetName val="别墅地上"/>
      <sheetName val="单层地下室"/>
      <sheetName val="参考项目别墅"/>
      <sheetName val="资金计划"/>
      <sheetName val="总经济技术指标"/>
      <sheetName val="配套公建一览表"/>
      <sheetName val="双限房区楼坐明细"/>
      <sheetName val="商品房区明细表"/>
      <sheetName val="双限房"/>
      <sheetName val="廉租房"/>
      <sheetName val="多层"/>
      <sheetName val="叠拼"/>
      <sheetName val="首层面积"/>
      <sheetName val="配电室"/>
      <sheetName val="会计利润 (土地评估增值)"/>
      <sheetName val="往来明细表"/>
      <sheetName val="待转化-利润贡献"/>
      <sheetName val="待转化-14年利润锁定"/>
      <sheetName val="测算收入安排"/>
      <sheetName val="会计毛利 (土地评估增值)"/>
      <sheetName val="2014年销售费用"/>
      <sheetName val="2014年管理费用"/>
      <sheetName val="土地评估增值"/>
      <sheetName val="工程款支付汇总表"/>
      <sheetName val="工程款支付明细表"/>
      <sheetName val=" 表7  单体建安成本`土建主体以及粗装修 详细测算"/>
      <sheetName val="0000000"/>
      <sheetName val="技术指标"/>
      <sheetName val="1-建造标准"/>
      <sheetName val="1-楼栋表"/>
      <sheetName val="一期成本"/>
      <sheetName val="二期成本"/>
      <sheetName val="三期成本"/>
      <sheetName val="四期成本"/>
      <sheetName val="五期成本"/>
      <sheetName val="2-地价及费用 "/>
      <sheetName val="2-现金流及利息"/>
      <sheetName val="2-汇总"/>
      <sheetName val="2-成本分摊表-财务"/>
      <sheetName val="成本分摊-土增"/>
      <sheetName val="2-土地增值税测算"/>
      <sheetName val="3-开发与销售计划"/>
      <sheetName val="3-产成品情况表"/>
      <sheetName val="3-项目结转计划 "/>
      <sheetName val="3-货量形成计划表"/>
      <sheetName val="4-项目整体开发销售计划"/>
      <sheetName val="4-项目分业态收益利润"/>
      <sheetName val="4-项目分年度收益利润 "/>
      <sheetName val="5-经营物业现金流表"/>
      <sheetName val="收入与成本"/>
      <sheetName val="销售比率"/>
      <sheetName val="2-2差异汇总PPT"/>
      <sheetName val="三四线首改"/>
      <sheetName val="单体费用编制表"/>
      <sheetName val="商业限额"/>
      <sheetName val="配套表"/>
      <sheetName val="0指引 "/>
      <sheetName val="分工说明"/>
      <sheetName val="1-指标"/>
      <sheetName val="2-大类公摊"/>
      <sheetName val="2-地下车库"/>
      <sheetName val="2-不可售地下室"/>
      <sheetName val="2-住宅"/>
      <sheetName val="2-写字楼"/>
      <sheetName val="2-人才公寓"/>
      <sheetName val="2-类型4"/>
      <sheetName val="2-类型5"/>
      <sheetName val="2-公建"/>
      <sheetName val="2-公建分摊"/>
      <sheetName val="2-资金缺口及利息计算"/>
      <sheetName val="3-土地增值税"/>
      <sheetName val="3-敏感性分析"/>
      <sheetName val="4-销售结算计划"/>
      <sheetName val="4-项目整体盈利情况"/>
      <sheetName val="5-现金流"/>
      <sheetName val="3-收益利润"/>
      <sheetName val="4-开发计划及运作安排"/>
      <sheetName val="5-经营物业（如有）现金流表"/>
      <sheetName val="6-投管经办人填写，各公司不用管"/>
      <sheetName val="科目表（新）"/>
      <sheetName val="6-科目表1"/>
      <sheetName val="0-分工说明"/>
      <sheetName val="0-指引 "/>
      <sheetName val="1-楼栋情况"/>
      <sheetName val="拆迁安置房"/>
      <sheetName val="2-实际利息计算"/>
      <sheetName val="2-利息计算"/>
      <sheetName val="6-科目表"/>
      <sheetName val="原指引"/>
      <sheetName val="0-科目表"/>
      <sheetName val="2-建造标准"/>
      <sheetName val="3-楼栋情况"/>
      <sheetName val="4-汇总（新）"/>
      <sheetName val="土地及三费分摊"/>
      <sheetName val="2、明细表"/>
      <sheetName val="投资计划计算"/>
      <sheetName val="销售计划计算"/>
      <sheetName val="现金流量分析"/>
      <sheetName val="启动资金计算"/>
      <sheetName val="敏感性分析"/>
      <sheetName val="关系"/>
      <sheetName val="税收合计"/>
      <sheetName val="所得税"/>
      <sheetName val="所得税率"/>
      <sheetName val="2-独栋别墅"/>
      <sheetName val="参数"/>
      <sheetName val="HB"/>
      <sheetName val="diff_sum"/>
      <sheetName val="FZ"/>
      <sheetName val="DL"/>
      <sheetName val="XM"/>
      <sheetName val="SZBI"/>
      <sheetName val="ST"/>
      <sheetName val="EL"/>
      <sheetName val="YN"/>
      <sheetName val="HL"/>
      <sheetName val="SZ"/>
      <sheetName val="SY"/>
      <sheetName val="____-__"/>
      <sheetName val="_______"/>
      <sheetName val="营销费用支出表-营销部上报"/>
      <sheetName val="行政费用各部门汇总表"/>
      <sheetName val="01.资产负债表"/>
      <sheetName val="02.利润表"/>
      <sheetName val="03.现金流量表"/>
      <sheetName val="附表区"/>
      <sheetName val="04.底稿-分录"/>
      <sheetName val="05.资金计划表"/>
      <sheetName val="06.税务计划表"/>
      <sheetName val="06.1城镇土地使用税"/>
      <sheetName val="06.2土地增值税（清算）"/>
      <sheetName val="07.销售预算表"/>
      <sheetName val="08.项目整改费预算表"/>
      <sheetName val="09.项目开发进度预算表"/>
      <sheetName val="10.土地及其他投资预算表"/>
      <sheetName val="11.项目成本支出预算表"/>
      <sheetName val="11.1项目建安类合同支付预算表"/>
      <sheetName val="12.项目动态成本预算表"/>
      <sheetName val="13.收入成本结转预算表"/>
      <sheetName val="14.营销费用预算表（地产）"/>
      <sheetName val="15.销售费用预算表（九方）"/>
      <sheetName val="16.销售费用预算表（其他）"/>
      <sheetName val="17.管理（开发间接）费用表"/>
      <sheetName val="17.1员工薪酬预算表"/>
      <sheetName val="17.2福利费及工会经费预算表"/>
      <sheetName val="17.3其它人工成本预算表"/>
      <sheetName val="17.4行政费用预算表"/>
      <sheetName val="18.资产购置预算表"/>
      <sheetName val="19.资产处置计划表"/>
      <sheetName val="20.融资及利息预算表"/>
      <sheetName val="21.财务费用预算表"/>
      <sheetName val="22.其他业务收支预算表（地产）"/>
      <sheetName val="23.营业外收支预算表"/>
      <sheetName val="24.资产减值损失预算表"/>
      <sheetName val="25.收入明细表"/>
      <sheetName val="26.成本明细表"/>
      <sheetName val="27.内部往来款项预算表"/>
      <sheetName val="28.内部交易预算表"/>
      <sheetName val="29.利润分配预算表"/>
      <sheetName val="30.托管费预算表"/>
      <sheetName val="31.公司投资计划"/>
      <sheetName val="Assumptions and Control Panel"/>
      <sheetName val="地产开发信息汇总模板"/>
      <sheetName val="销售发生时间表 (Base Case)"/>
      <sheetName val="销售发生时间表(IBD Base Case OUTPUT)"/>
      <sheetName val="销售发生时间表(SEHK Case OUTPUT)"/>
      <sheetName val="销售发生时间表(OUTPUT)"/>
      <sheetName val="Sales Schedule (OUTPUT) (Tax)"/>
      <sheetName val="成本发生时间表 Cash Cost"/>
      <sheetName val="Outstanding Land Premium"/>
      <sheetName val="Recognized Cost Schedule"/>
      <sheetName val="Interest Expense &amp; Finance Cost"/>
      <sheetName val="Tax Schedule"/>
      <sheetName val="New Debt"/>
      <sheetName val="CS Loan"/>
      <sheetName val="Existing Loan"/>
      <sheetName val="Bank Loan"/>
      <sheetName val="Loan"/>
      <sheetName val="Consolidated Financials&gt;&gt;"/>
      <sheetName val="IS"/>
      <sheetName val="BS"/>
      <sheetName val="CF"/>
      <sheetName val="BS Items"/>
      <sheetName val="NAV"/>
      <sheetName val="Credit Ratios"/>
      <sheetName val="Net Cash Flow"/>
      <sheetName val="Rsrh Model"/>
      <sheetName val="Summary (2)"/>
      <sheetName val="PRC Dev"/>
      <sheetName val="Key earnings driver"/>
      <sheetName val="Summary&gt;&gt;"/>
      <sheetName val="Summary"/>
      <sheetName val="Summary (For PRINT)"/>
      <sheetName val="2008 Completion (BASE CASE)"/>
      <sheetName val="Chart (2)"/>
      <sheetName val="2008 Completion (presale Sensi)"/>
      <sheetName val="Recognized Cost_08 Completion"/>
      <sheetName val="Cost and ASP Chart"/>
      <sheetName val="Cost Buildup"/>
      <sheetName val="Results Comparison"/>
      <sheetName val="Completion Comparison v6"/>
      <sheetName val="ASP Comparison_v6"/>
      <sheetName val="2008 Completion_Co Case_v6"/>
      <sheetName val="Comp 2008 vs Current Sale (IBD)"/>
      <sheetName val="Comp 2008 vs Current Sale (CO)"/>
      <sheetName val="2008 Completion_IBDv6"/>
      <sheetName val="2009 Completion (BASE CASE)"/>
      <sheetName val="2009 Completion Sensitivity"/>
      <sheetName val="Recognized Cost_2009 Completion"/>
      <sheetName val="Cash Sales 2008 (BASE CASE)"/>
      <sheetName val="Cash Sales 2009 (BASE CASE)"/>
      <sheetName val="Cash Sales 2010 (BASE CASE)"/>
      <sheetName val="Current Land Bank"/>
      <sheetName val="Land Payment"/>
      <sheetName val="Construction Cost Pay"/>
      <sheetName val="Project Summary&gt;&gt;"/>
      <sheetName val="Project Data"/>
      <sheetName val="Project Data (New)"/>
      <sheetName val="Project Data (New) (Pres)"/>
      <sheetName val="Project Data (New) (Pres) (2)"/>
      <sheetName val="By Project Costs"/>
      <sheetName val="Beg"/>
      <sheetName val="桂芳园"/>
      <sheetName val="可园剩余"/>
      <sheetName val="可园5期"/>
      <sheetName val="可园6期 "/>
      <sheetName val="可园7期"/>
      <sheetName val="佳兆业中心"/>
      <sheetName val="水岸新都"/>
      <sheetName val="水岸新都3期"/>
      <sheetName val="水岸新都4期"/>
      <sheetName val="茗萃园1期"/>
      <sheetName val="茗萃园2期 "/>
      <sheetName val="茗萃园3期 "/>
      <sheetName val="香瑞园1期"/>
      <sheetName val="坂田商品公寓1期"/>
      <sheetName val="翠竹项目"/>
      <sheetName val="南澳康保"/>
      <sheetName val="丰隆项目"/>
      <sheetName val="李郎项目"/>
      <sheetName val="广州金贸项目"/>
      <sheetName val="广州佳兆业中心"/>
      <sheetName val="惠州锦城山庄1期"/>
      <sheetName val="惠州锦城山庄2期"/>
      <sheetName val="惠州佳兆业广场1期"/>
      <sheetName val="成都丽晶港1期"/>
      <sheetName val="成都丽晶港2期"/>
      <sheetName val="成都华阳项目1期"/>
      <sheetName val="成都华阳项目2期"/>
      <sheetName val="成都华阳项目3期"/>
      <sheetName val="成都商贸园"/>
      <sheetName val="东莞中央豪门1期"/>
      <sheetName val="东莞中央豪门2期"/>
      <sheetName val="东莞中央豪门3期"/>
      <sheetName val="东莞中央豪门4期"/>
      <sheetName val="东莞帝景湾"/>
      <sheetName val="东莞东江豪门1期"/>
      <sheetName val="东莞东江豪门2期"/>
      <sheetName val="东莞东江豪门3期"/>
      <sheetName val="东莞园洲项目"/>
      <sheetName val="长沙水岸新都1期"/>
      <sheetName val="长沙水岸新都2期"/>
      <sheetName val="长沙水岸新都3期"/>
      <sheetName val="长沙水岸新都4期"/>
      <sheetName val="长沙水岸新都5期"/>
      <sheetName val="长沙水岸新都6期"/>
      <sheetName val="上海奉贤"/>
      <sheetName val="江阴水岸新都1期"/>
      <sheetName val="江阴水岸新都2期"/>
      <sheetName val="珠海湾仔项目"/>
      <sheetName val="博罗项目1"/>
      <sheetName val="博罗项目2"/>
      <sheetName val="博罗项目3"/>
      <sheetName val="博罗项目4"/>
      <sheetName val="博罗项目5"/>
      <sheetName val="博罗项目6"/>
      <sheetName val="潼湖项目1期"/>
      <sheetName val="潼湖项目2期"/>
      <sheetName val="潼湖项目3期"/>
      <sheetName val="潼湖项目4期"/>
      <sheetName val="惠州佳兆业广场2期"/>
      <sheetName val="东莞水岸山城2期"/>
      <sheetName val="新世界项目"/>
      <sheetName val="岗头非农建设用地"/>
      <sheetName val="甘坑非农建设用地"/>
      <sheetName val="坂田预留建设用地1"/>
      <sheetName val="坂田预留建设用地2"/>
      <sheetName val="坂田预留建设用地3"/>
      <sheetName val="龙岗区龙岗南约项目开发"/>
      <sheetName val="惠州白花1"/>
      <sheetName val="惠州白花2"/>
      <sheetName val="惠州白花3"/>
      <sheetName val="惠州白花4"/>
      <sheetName val="东莞雁田项目1"/>
      <sheetName val="东莞西湖项目"/>
      <sheetName val="东莞西湖项目(江畔)"/>
      <sheetName val="东莞沙田项目1"/>
      <sheetName val="东莞沙田项目2"/>
      <sheetName val="沈阳项目1"/>
      <sheetName val="沈阳项目2"/>
      <sheetName val="沈阳项目3"/>
      <sheetName val="沈阳项目4"/>
      <sheetName val="沈阳项目5"/>
      <sheetName val="沈阳项目6"/>
      <sheetName val="大棚旧改项目"/>
      <sheetName val="平湖旧改项目1"/>
      <sheetName val="平湖旧改项目2"/>
      <sheetName val="平湖旧改项目3"/>
      <sheetName val="南澳旧改项目1"/>
      <sheetName val="南澳旧改项目2"/>
      <sheetName val="南澳旧改项目3"/>
      <sheetName val="南澳旧改项目4"/>
      <sheetName val="珠海湾仔项目2"/>
      <sheetName val="珠海湾仔项目3"/>
      <sheetName val="宝吉项目1"/>
      <sheetName val="宝吉项目2"/>
      <sheetName val="惠州汤泉林场项目"/>
      <sheetName val="商住"/>
      <sheetName val="Presentation Tables &gt;&gt;"/>
      <sheetName val="Chart"/>
      <sheetName val="2008 Complet (BASE CASE)(Pr (2)"/>
      <sheetName val="2008 Comp ASP (BASE) "/>
      <sheetName val="2008 Complet (Avg Cost)"/>
      <sheetName val="2009 Completion (Cost n ASP)"/>
      <sheetName val="Construction Cost Pay (Pres)"/>
      <sheetName val="Construction Cost Pay (Pres EN)"/>
      <sheetName val="Company Data&gt;&gt;"/>
      <sheetName val="水岸山城第一期 (2)"/>
      <sheetName val="2008項目總表"/>
      <sheetName val="2007完工存货"/>
      <sheetName val="Archive&gt;&gt;"/>
      <sheetName val="2008 Completion (IBD Case 5)HC"/>
      <sheetName val="2008 Completion (SEHK Case4) HC"/>
      <sheetName val="2008 Completion (IBD Case 4)HC"/>
      <sheetName val="2008 Completion (SEHK 3)HC"/>
      <sheetName val="2008 Completion (IBD Case 2)HC"/>
      <sheetName val="2008 Completion (IBD Case) HC"/>
      <sheetName val="2008 Completion (SEHK Case) HC"/>
      <sheetName val="2008 Completion (Co) HC"/>
      <sheetName val="2008 Comp (Company Case) HC"/>
      <sheetName val="2008 Comp(Co Ex Jinmao) HC"/>
      <sheetName val="2008 Comp (ASP Cut 20%) HC"/>
      <sheetName val="2008 Comp (Cut 3 proj) HC"/>
      <sheetName val="2008 Comp (Delay Presale) HC"/>
      <sheetName val="2008 Comp (Down 3+Exc COM)HC"/>
      <sheetName val="2008 Complet (BASE CASE)(Pres)"/>
      <sheetName val="Basic FASB 123"/>
      <sheetName val="Enhanced FASB 123"/>
      <sheetName val="Both Models"/>
      <sheetName val="超市"/>
      <sheetName val="地下室"/>
      <sheetName val="目标成本表"/>
      <sheetName val="交楼标准(土建)"/>
      <sheetName val="交楼标准(安装)"/>
      <sheetName val="测算(汇总)"/>
      <sheetName val="测算(地下室)"/>
      <sheetName val="测算(住宅)"/>
      <sheetName val="测算(综合楼)"/>
      <sheetName val="测算(会所)"/>
      <sheetName val="测算(公摊)"/>
      <sheetName val="变更签证"/>
      <sheetName val="合同规划及动态成本"/>
      <sheetName val="合同规划(旧)"/>
      <sheetName val="成本差异分析"/>
      <sheetName val="预计增减项明细表"/>
      <sheetName val="(基坑支护)合同执行情况表"/>
      <sheetName val="(施工总承包)合同执行情况表"/>
      <sheetName val="（桩基础）合同执行情况表"/>
      <sheetName val="预结算台账"/>
      <sheetName val="指令、签证台账"/>
      <sheetName val="非合同付款台账"/>
      <sheetName val="扣款台帐"/>
      <sheetName val="扣款核对台账"/>
      <sheetName val="付款核对台账"/>
      <sheetName val="计划外付款"/>
      <sheetName val="限价单统计台账"/>
      <sheetName val="设计变更A区"/>
      <sheetName val="设计变更C区"/>
      <sheetName val="其他设计变更"/>
      <sheetName val="水电费台帐"/>
      <sheetName val="房型统计"/>
      <sheetName val="公共部分"/>
      <sheetName val="一段公共部分"/>
      <sheetName val="二段公共部分 "/>
      <sheetName val="三段公共部分"/>
      <sheetName val="房型DN2b-1Z"/>
      <sheetName val="房型DN2a-1Z"/>
      <sheetName val="房型DN2b-2Z(3-5)"/>
      <sheetName val="房型DN2a-2Z(3-5)"/>
      <sheetName val="房型HN3b-1Z1"/>
      <sheetName val="房型HN3a-1Z2"/>
      <sheetName val="房型HN3b-2Z1(2-4)"/>
      <sheetName val="房型HN3a-2Z2(2-4)"/>
      <sheetName val="房型HN3b-5Z1"/>
      <sheetName val="房型HN3a-5Z2"/>
      <sheetName val="房型DN3b-1D"/>
      <sheetName val="房型DN3a-1Z"/>
      <sheetName val="房型DN3b-2D(2-5)"/>
      <sheetName val="房型DN3a-2Z(2-5)"/>
      <sheetName val="房型XS3b-1Z"/>
      <sheetName val="房型XS3a-1D"/>
      <sheetName val="房型XS3b-2Z"/>
      <sheetName val="房型XS3a-2D"/>
      <sheetName val="房型XS3b-3Z(3-11)"/>
      <sheetName val="房型XS3a-3D(3-11)"/>
      <sheetName val="一、青青全项目资金计划"/>
      <sheetName val="二、青青四期各部门责任成本及资金计划"/>
      <sheetName val="2.1设计部"/>
      <sheetName val="2.2拓展部"/>
      <sheetName val="2.3财务部"/>
      <sheetName val="2.4成本部"/>
      <sheetName val="2.5工程部"/>
      <sheetName val="2.6采购部"/>
      <sheetName val="2.7项目部"/>
      <sheetName val="2.8责任成本归属标准"/>
      <sheetName val="三.青青全项目结算汇总表"/>
      <sheetName val="3.1青青一期"/>
      <sheetName val="3.2青青二期"/>
      <sheetName val="3.3青青三期"/>
      <sheetName val="3.4青青四期"/>
      <sheetName val="3.5青青跨期"/>
      <sheetName val="LC01 (2)"/>
      <sheetName val="型材线密度表"/>
      <sheetName val="钢材"/>
      <sheetName val="铝材表面处理"/>
      <sheetName val="玻璃"/>
      <sheetName val="五金配件(1)"/>
      <sheetName val="五金配件(2)"/>
      <sheetName val="五金配件(3)"/>
      <sheetName val="密封胶"/>
      <sheetName val="LC01"/>
      <sheetName val="上悬67"/>
      <sheetName val="推拉05"/>
      <sheetName val="平开门"/>
      <sheetName val="门连窗"/>
      <sheetName val="推拉门"/>
      <sheetName val="地弹簧门(无框)"/>
      <sheetName val="地弹簧门(有框)"/>
      <sheetName val="LC32"/>
      <sheetName val="LC32a"/>
      <sheetName val="TLC01"/>
      <sheetName val="LM01a"/>
      <sheetName val="LM01b"/>
      <sheetName val="TLM01a"/>
      <sheetName val="TLM01b"/>
      <sheetName val="TLM01c"/>
      <sheetName val="DHM01"/>
      <sheetName val="DYM01"/>
      <sheetName val="建造标准"/>
      <sheetName val="A01经济指标"/>
      <sheetName val="00勾稽关系"/>
      <sheetName val="地价敏感性测算"/>
      <sheetName val="全项目销售计划"/>
      <sheetName val="B05现金流量"/>
      <sheetName val="售价测算"/>
      <sheetName val="B02开发期间"/>
      <sheetName val="利润测算（C地块）"/>
      <sheetName val="利润测算（A地块）"/>
      <sheetName val="利润测算（D地块）"/>
      <sheetName val="利润测算（B地块）"/>
      <sheetName val="B03利润测算(销）"/>
      <sheetName val="B04利润测算（分期）"/>
      <sheetName val="B05现金流量测算"/>
      <sheetName val="B06附-现金流量模拟"/>
      <sheetName val="C01地价支付进度"/>
      <sheetName val="开发销售计划"/>
      <sheetName val="C02工程支出计划"/>
      <sheetName val="C03附-分期支出表"/>
      <sheetName val="C04附-结算面积均价"/>
      <sheetName val="全期规划指标"/>
      <sheetName val="地价、资本化利息即行政管理费分摊表"/>
      <sheetName val="六类公摊"/>
      <sheetName val="AC区统计表"/>
      <sheetName val="C期规划指标"/>
      <sheetName val="C区35层超高层"/>
      <sheetName val="C区底商"/>
      <sheetName val="C区可售车库"/>
      <sheetName val="A期规划指标"/>
      <sheetName val="A区28层公寓"/>
      <sheetName val="A区10层办公楼"/>
      <sheetName val="A区裙楼底商"/>
      <sheetName val="A区可售车库"/>
      <sheetName val="D期规划指标"/>
      <sheetName val="D区44层超高层"/>
      <sheetName val="D区底商"/>
      <sheetName val="D区可售车库"/>
      <sheetName val="B期规划指标"/>
      <sheetName val="B区7层loft"/>
      <sheetName val="B区31层超高层办公楼"/>
      <sheetName val="B区裙楼集中商业"/>
      <sheetName val="B区可售车库"/>
      <sheetName val="销售计划整理"/>
      <sheetName val="待决策事项"/>
      <sheetName val="产品配置标准"/>
      <sheetName val="35层超高层"/>
      <sheetName val="44层超高层"/>
      <sheetName val="25层公寓"/>
      <sheetName val="6层SOHU"/>
      <sheetName val="9层办公楼"/>
      <sheetName val="41层超高层办公楼"/>
      <sheetName val="裙楼底商"/>
      <sheetName val="裙楼集中商业"/>
      <sheetName val="新增1"/>
      <sheetName val="新增2"/>
      <sheetName val="适配决策"/>
      <sheetName val="室内装修"/>
      <sheetName val="可售车库"/>
      <sheetName val="目标成本审批"/>
      <sheetName val="控规描述"/>
      <sheetName val="全C指标"/>
      <sheetName val="G02+G03"/>
      <sheetName val="利润测算表"/>
      <sheetName val="地价分摊"/>
      <sheetName val="G02+G03跨期分摊"/>
      <sheetName val="跨期成本分摊表"/>
      <sheetName val="G02复式小高层"/>
      <sheetName val="G03平层小高层"/>
      <sheetName val="G03平层渀腷԰"/>
      <sheetName val="长重大都汇D户型"/>
      <sheetName val="大都汇措施费"/>
      <sheetName val="大都汇材料明细清单"/>
      <sheetName val="大都汇暂列零星单价"/>
      <sheetName val="20-1-1户型"/>
      <sheetName val="20-1-2户型"/>
      <sheetName val="暂列零星单价"/>
      <sheetName val="材料明细清单"/>
      <sheetName val="安徽公司"/>
      <sheetName val="广东公司"/>
      <sheetName val="华南公司"/>
      <sheetName val="成都公司"/>
      <sheetName val="产品名称指标表"/>
      <sheetName val="成本业态关系对照表（以香滨国际为例）"/>
      <sheetName val="香滨国际"/>
      <sheetName val="罗兰春天"/>
      <sheetName val="滨湖新区"/>
      <sheetName val="滨湖BH2013-1地块"/>
      <sheetName val="瑶海区E1301地块"/>
      <sheetName val="枫林路项目"/>
      <sheetName val="瑶海区E1506"/>
      <sheetName val="瑶海区E1603地块"/>
      <sheetName val="高新区NP3-1地块"/>
      <sheetName val="4#商业"/>
      <sheetName val="二期景观"/>
      <sheetName val="工程量计算表"/>
      <sheetName val="收益法 "/>
      <sheetName val="净值"/>
      <sheetName val="项目统计"/>
      <sheetName val="天津"/>
      <sheetName val="郑州"/>
      <sheetName val="云南红星"/>
      <sheetName val="沈阳铁西"/>
      <sheetName val="福州"/>
      <sheetName val="成都三店"/>
      <sheetName val="昆二"/>
      <sheetName val="无锡"/>
      <sheetName val="沈阳浑南"/>
      <sheetName val="大连"/>
      <sheetName val="长春"/>
      <sheetName val="廊坊"/>
      <sheetName val="浦江"/>
      <sheetName val="兰州"/>
      <sheetName val="重庆涪陵"/>
      <sheetName val="常州"/>
      <sheetName val="长白岛"/>
      <sheetName val="润田"/>
      <sheetName val="重庆綦江"/>
      <sheetName val="天津北辰"/>
      <sheetName val="鞍山"/>
      <sheetName val="临沂"/>
      <sheetName val="苏州"/>
      <sheetName val="天津武清"/>
      <sheetName val="沈阳奥体"/>
      <sheetName val="收入核对"/>
      <sheetName val="税金核对"/>
      <sheetName val="企业所得税计算"/>
      <sheetName val="印花税明细"/>
      <sheetName val="商铺、2号楼"/>
      <sheetName val="3号楼"/>
      <sheetName val="大定客户档案"/>
      <sheetName val="参数1"/>
      <sheetName val="规划指标表"/>
      <sheetName val="PL 2007"/>
      <sheetName val="PL 2005"/>
      <sheetName val="PL 2006"/>
      <sheetName val="月报"/>
      <sheetName val="标签"/>
      <sheetName val="查询6 (201903)"/>
      <sheetName val="未售清单1903"/>
      <sheetName val="资料"/>
      <sheetName val="汇总 (2)"/>
      <sheetName val="假设开发"/>
      <sheetName val="比较住宅"/>
      <sheetName val="比较公寓"/>
      <sheetName val="比较商业"/>
      <sheetName val="房地产成交案例"/>
      <sheetName val="估价结果"/>
      <sheetName val="房屋及权属状况"/>
      <sheetName val="房屋装修及设备"/>
      <sheetName val="小企业贷商业办公"/>
      <sheetName val="1、2号裙楼"/>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refreshError="1"/>
      <sheetData sheetId="709" refreshError="1"/>
      <sheetData sheetId="710" refreshError="1"/>
      <sheetData sheetId="711" refreshError="1"/>
      <sheetData sheetId="712" refreshError="1"/>
      <sheetData sheetId="713" refreshError="1"/>
      <sheetData sheetId="714" refreshError="1"/>
      <sheetData sheetId="715" refreshError="1"/>
      <sheetData sheetId="716" refreshError="1"/>
      <sheetData sheetId="717" refreshError="1"/>
      <sheetData sheetId="718" refreshError="1"/>
      <sheetData sheetId="719" refreshError="1"/>
      <sheetData sheetId="720" refreshError="1"/>
      <sheetData sheetId="721" refreshError="1"/>
      <sheetData sheetId="722" refreshError="1"/>
      <sheetData sheetId="723" refreshError="1"/>
      <sheetData sheetId="724" refreshError="1"/>
      <sheetData sheetId="725" refreshError="1"/>
      <sheetData sheetId="726" refreshError="1"/>
      <sheetData sheetId="727" refreshError="1"/>
      <sheetData sheetId="728" refreshError="1"/>
      <sheetData sheetId="729" refreshError="1"/>
      <sheetData sheetId="730" refreshError="1"/>
      <sheetData sheetId="731" refreshError="1"/>
      <sheetData sheetId="732" refreshError="1"/>
      <sheetData sheetId="733" refreshError="1"/>
      <sheetData sheetId="734" refreshError="1"/>
      <sheetData sheetId="735" refreshError="1"/>
      <sheetData sheetId="736" refreshError="1"/>
      <sheetData sheetId="737" refreshError="1"/>
      <sheetData sheetId="738" refreshError="1"/>
      <sheetData sheetId="739" refreshError="1"/>
      <sheetData sheetId="740" refreshError="1"/>
      <sheetData sheetId="741" refreshError="1"/>
      <sheetData sheetId="742" refreshError="1"/>
      <sheetData sheetId="743" refreshError="1"/>
      <sheetData sheetId="744" refreshError="1"/>
      <sheetData sheetId="745" refreshError="1"/>
      <sheetData sheetId="746" refreshError="1"/>
      <sheetData sheetId="747" refreshError="1"/>
      <sheetData sheetId="748" refreshError="1"/>
      <sheetData sheetId="749" refreshError="1"/>
      <sheetData sheetId="750" refreshError="1"/>
      <sheetData sheetId="751" refreshError="1"/>
      <sheetData sheetId="752" refreshError="1"/>
      <sheetData sheetId="753" refreshError="1"/>
      <sheetData sheetId="754" refreshError="1"/>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refreshError="1"/>
      <sheetData sheetId="767" refreshError="1"/>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refreshError="1"/>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refreshError="1"/>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refreshError="1"/>
      <sheetData sheetId="832" refreshError="1"/>
      <sheetData sheetId="833" refreshError="1"/>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refreshError="1"/>
      <sheetData sheetId="868" refreshError="1"/>
      <sheetData sheetId="869" refreshError="1"/>
      <sheetData sheetId="870" refreshError="1"/>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refreshError="1"/>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refreshError="1"/>
      <sheetData sheetId="931" refreshError="1"/>
      <sheetData sheetId="932" refreshError="1"/>
      <sheetData sheetId="933" refreshError="1"/>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refreshError="1"/>
      <sheetData sheetId="981" refreshError="1"/>
      <sheetData sheetId="982" refreshError="1"/>
      <sheetData sheetId="983" refreshError="1"/>
      <sheetData sheetId="984" refreshError="1"/>
      <sheetData sheetId="985" refreshError="1"/>
      <sheetData sheetId="986" refreshError="1"/>
      <sheetData sheetId="987" refreshError="1"/>
      <sheetData sheetId="988" refreshError="1"/>
      <sheetData sheetId="989" refreshError="1"/>
      <sheetData sheetId="990" refreshError="1"/>
      <sheetData sheetId="991" refreshError="1"/>
      <sheetData sheetId="992" refreshError="1"/>
      <sheetData sheetId="993" refreshError="1"/>
      <sheetData sheetId="994" refreshError="1"/>
      <sheetData sheetId="995" refreshError="1"/>
      <sheetData sheetId="996" refreshError="1"/>
      <sheetData sheetId="997" refreshError="1"/>
      <sheetData sheetId="998" refreshError="1"/>
      <sheetData sheetId="999" refreshError="1"/>
      <sheetData sheetId="1000" refreshError="1"/>
      <sheetData sheetId="1001" refreshError="1"/>
      <sheetData sheetId="1002" refreshError="1"/>
      <sheetData sheetId="1003" refreshError="1"/>
      <sheetData sheetId="1004" refreshError="1"/>
      <sheetData sheetId="1005" refreshError="1"/>
      <sheetData sheetId="1006" refreshError="1"/>
      <sheetData sheetId="1007" refreshError="1"/>
      <sheetData sheetId="1008" refreshError="1"/>
      <sheetData sheetId="1009" refreshError="1"/>
      <sheetData sheetId="1010" refreshError="1"/>
      <sheetData sheetId="1011" refreshError="1"/>
      <sheetData sheetId="1012" refreshError="1"/>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efreshError="1"/>
      <sheetData sheetId="1027" refreshError="1"/>
      <sheetData sheetId="1028" refreshError="1"/>
      <sheetData sheetId="1029" refreshError="1"/>
      <sheetData sheetId="1030" refreshError="1"/>
      <sheetData sheetId="1031" refreshError="1"/>
      <sheetData sheetId="1032" refreshError="1"/>
      <sheetData sheetId="1033" refreshError="1"/>
      <sheetData sheetId="1034" refreshError="1"/>
      <sheetData sheetId="1035" refreshError="1"/>
      <sheetData sheetId="1036" refreshError="1"/>
      <sheetData sheetId="1037" refreshError="1"/>
      <sheetData sheetId="1038" refreshError="1"/>
      <sheetData sheetId="1039" refreshError="1"/>
      <sheetData sheetId="1040" refreshError="1"/>
      <sheetData sheetId="1041" refreshError="1"/>
      <sheetData sheetId="1042" refreshError="1"/>
      <sheetData sheetId="1043" refreshError="1"/>
      <sheetData sheetId="1044" refreshError="1"/>
      <sheetData sheetId="1045" refreshError="1"/>
      <sheetData sheetId="1046" refreshError="1"/>
      <sheetData sheetId="1047" refreshError="1"/>
      <sheetData sheetId="1048" refreshError="1"/>
      <sheetData sheetId="1049" refreshError="1"/>
      <sheetData sheetId="1050" refreshError="1"/>
      <sheetData sheetId="1051" refreshError="1"/>
      <sheetData sheetId="1052" refreshError="1"/>
      <sheetData sheetId="1053" refreshError="1"/>
      <sheetData sheetId="1054" refreshError="1"/>
      <sheetData sheetId="1055" refreshError="1"/>
      <sheetData sheetId="1056" refreshError="1"/>
      <sheetData sheetId="1057" refreshError="1"/>
      <sheetData sheetId="1058" refreshError="1"/>
      <sheetData sheetId="1059" refreshError="1"/>
      <sheetData sheetId="1060" refreshError="1"/>
      <sheetData sheetId="1061" refreshError="1"/>
      <sheetData sheetId="1062" refreshError="1"/>
      <sheetData sheetId="1063" refreshError="1"/>
      <sheetData sheetId="1064" refreshError="1"/>
      <sheetData sheetId="1065" refreshError="1"/>
      <sheetData sheetId="1066" refreshError="1"/>
      <sheetData sheetId="1067" refreshError="1"/>
      <sheetData sheetId="1068" refreshError="1"/>
      <sheetData sheetId="1069" refreshError="1"/>
      <sheetData sheetId="1070" refreshError="1"/>
      <sheetData sheetId="1071" refreshError="1"/>
      <sheetData sheetId="1072" refreshError="1"/>
      <sheetData sheetId="1073" refreshError="1"/>
      <sheetData sheetId="1074" refreshError="1"/>
      <sheetData sheetId="1075" refreshError="1"/>
      <sheetData sheetId="1076" refreshError="1"/>
      <sheetData sheetId="1077" refreshError="1"/>
      <sheetData sheetId="1078" refreshError="1"/>
      <sheetData sheetId="1079" refreshError="1"/>
      <sheetData sheetId="1080" refreshError="1"/>
      <sheetData sheetId="1081" refreshError="1"/>
      <sheetData sheetId="1082" refreshError="1"/>
      <sheetData sheetId="1083" refreshError="1"/>
      <sheetData sheetId="1084" refreshError="1"/>
      <sheetData sheetId="1085" refreshError="1"/>
      <sheetData sheetId="1086" refreshError="1"/>
      <sheetData sheetId="1087" refreshError="1"/>
      <sheetData sheetId="1088" refreshError="1"/>
      <sheetData sheetId="1089" refreshError="1"/>
      <sheetData sheetId="1090" refreshError="1"/>
      <sheetData sheetId="1091" refreshError="1"/>
      <sheetData sheetId="1092" refreshError="1"/>
      <sheetData sheetId="1093" refreshError="1"/>
      <sheetData sheetId="1094" refreshError="1"/>
      <sheetData sheetId="1095" refreshError="1"/>
      <sheetData sheetId="1096" refreshError="1"/>
      <sheetData sheetId="1097" refreshError="1"/>
      <sheetData sheetId="1098" refreshError="1"/>
      <sheetData sheetId="1099" refreshError="1"/>
      <sheetData sheetId="1100" refreshError="1"/>
      <sheetData sheetId="1101" refreshError="1"/>
      <sheetData sheetId="1102" refreshError="1"/>
      <sheetData sheetId="1103" refreshError="1"/>
      <sheetData sheetId="1104" refreshError="1"/>
      <sheetData sheetId="1105" refreshError="1"/>
      <sheetData sheetId="1106" refreshError="1"/>
      <sheetData sheetId="1107" refreshError="1"/>
      <sheetData sheetId="1108" refreshError="1"/>
      <sheetData sheetId="1109" refreshError="1"/>
      <sheetData sheetId="1110" refreshError="1"/>
      <sheetData sheetId="1111" refreshError="1"/>
      <sheetData sheetId="1112" refreshError="1"/>
      <sheetData sheetId="1113" refreshError="1"/>
      <sheetData sheetId="1114" refreshError="1"/>
      <sheetData sheetId="1115" refreshError="1"/>
      <sheetData sheetId="1116" refreshError="1"/>
      <sheetData sheetId="1117" refreshError="1"/>
      <sheetData sheetId="1118" refreshError="1"/>
      <sheetData sheetId="1119" refreshError="1"/>
      <sheetData sheetId="1120" refreshError="1"/>
      <sheetData sheetId="1121" refreshError="1"/>
      <sheetData sheetId="1122" refreshError="1"/>
      <sheetData sheetId="1123" refreshError="1"/>
      <sheetData sheetId="1124" refreshError="1"/>
      <sheetData sheetId="1125" refreshError="1"/>
      <sheetData sheetId="1126" refreshError="1"/>
      <sheetData sheetId="1127" refreshError="1"/>
      <sheetData sheetId="1128" refreshError="1"/>
      <sheetData sheetId="1129" refreshError="1"/>
      <sheetData sheetId="1130" refreshError="1"/>
      <sheetData sheetId="1131" refreshError="1"/>
      <sheetData sheetId="1132" refreshError="1"/>
      <sheetData sheetId="1133" refreshError="1"/>
      <sheetData sheetId="1134" refreshError="1"/>
      <sheetData sheetId="1135" refreshError="1"/>
      <sheetData sheetId="1136" refreshError="1"/>
      <sheetData sheetId="1137" refreshError="1"/>
      <sheetData sheetId="1138" refreshError="1"/>
      <sheetData sheetId="1139" refreshError="1"/>
      <sheetData sheetId="1140" refreshError="1"/>
      <sheetData sheetId="1141" refreshError="1"/>
      <sheetData sheetId="1142" refreshError="1"/>
      <sheetData sheetId="1143" refreshError="1"/>
      <sheetData sheetId="1144" refreshError="1"/>
      <sheetData sheetId="1145" refreshError="1"/>
      <sheetData sheetId="1146" refreshError="1"/>
      <sheetData sheetId="1147" refreshError="1"/>
      <sheetData sheetId="1148" refreshError="1"/>
      <sheetData sheetId="1149" refreshError="1"/>
      <sheetData sheetId="1150" refreshError="1"/>
      <sheetData sheetId="1151" refreshError="1"/>
      <sheetData sheetId="1152" refreshError="1"/>
      <sheetData sheetId="1153" refreshError="1"/>
      <sheetData sheetId="1154" refreshError="1"/>
      <sheetData sheetId="1155" refreshError="1"/>
      <sheetData sheetId="1156" refreshError="1"/>
      <sheetData sheetId="1157" refreshError="1"/>
      <sheetData sheetId="1158" refreshError="1"/>
      <sheetData sheetId="1159" refreshError="1"/>
      <sheetData sheetId="1160" refreshError="1"/>
      <sheetData sheetId="1161" refreshError="1"/>
      <sheetData sheetId="1162" refreshError="1"/>
      <sheetData sheetId="1163" refreshError="1"/>
      <sheetData sheetId="1164" refreshError="1"/>
      <sheetData sheetId="1165" refreshError="1"/>
      <sheetData sheetId="1166" refreshError="1"/>
      <sheetData sheetId="1167" refreshError="1"/>
      <sheetData sheetId="1168" refreshError="1"/>
      <sheetData sheetId="1169" refreshError="1"/>
      <sheetData sheetId="1170" refreshError="1"/>
      <sheetData sheetId="1171" refreshError="1"/>
      <sheetData sheetId="1172" refreshError="1"/>
      <sheetData sheetId="1173" refreshError="1"/>
      <sheetData sheetId="1174" refreshError="1"/>
      <sheetData sheetId="1175" refreshError="1"/>
      <sheetData sheetId="1176" refreshError="1"/>
      <sheetData sheetId="1177" refreshError="1"/>
      <sheetData sheetId="1178" refreshError="1"/>
      <sheetData sheetId="1179" refreshError="1"/>
      <sheetData sheetId="1180" refreshError="1"/>
      <sheetData sheetId="1181" refreshError="1"/>
      <sheetData sheetId="1182" refreshError="1"/>
      <sheetData sheetId="1183" refreshError="1"/>
      <sheetData sheetId="1184" refreshError="1"/>
      <sheetData sheetId="1185" refreshError="1"/>
      <sheetData sheetId="1186" refreshError="1"/>
      <sheetData sheetId="1187" refreshError="1"/>
      <sheetData sheetId="1188" refreshError="1"/>
      <sheetData sheetId="1189" refreshError="1"/>
      <sheetData sheetId="1190" refreshError="1"/>
      <sheetData sheetId="1191" refreshError="1"/>
      <sheetData sheetId="1192" refreshError="1"/>
      <sheetData sheetId="1193" refreshError="1"/>
      <sheetData sheetId="1194" refreshError="1"/>
      <sheetData sheetId="1195" refreshError="1"/>
      <sheetData sheetId="1196" refreshError="1"/>
      <sheetData sheetId="1197" refreshError="1"/>
      <sheetData sheetId="1198" refreshError="1"/>
      <sheetData sheetId="1199" refreshError="1"/>
      <sheetData sheetId="1200" refreshError="1"/>
      <sheetData sheetId="1201" refreshError="1"/>
      <sheetData sheetId="1202" refreshError="1"/>
      <sheetData sheetId="1203" refreshError="1"/>
      <sheetData sheetId="1204" refreshError="1"/>
      <sheetData sheetId="1205" refreshError="1"/>
      <sheetData sheetId="1206" refreshError="1"/>
      <sheetData sheetId="1207" refreshError="1"/>
      <sheetData sheetId="1208" refreshError="1"/>
      <sheetData sheetId="1209" refreshError="1"/>
      <sheetData sheetId="1210" refreshError="1"/>
      <sheetData sheetId="1211" refreshError="1"/>
      <sheetData sheetId="1212" refreshError="1"/>
      <sheetData sheetId="1213" refreshError="1"/>
      <sheetData sheetId="1214" refreshError="1"/>
      <sheetData sheetId="1215" refreshError="1"/>
      <sheetData sheetId="1216" refreshError="1"/>
      <sheetData sheetId="1217" refreshError="1"/>
      <sheetData sheetId="1218" refreshError="1"/>
      <sheetData sheetId="1219" refreshError="1"/>
      <sheetData sheetId="1220" refreshError="1"/>
      <sheetData sheetId="1221" refreshError="1"/>
      <sheetData sheetId="1222" refreshError="1"/>
      <sheetData sheetId="1223" refreshError="1"/>
      <sheetData sheetId="1224" refreshError="1"/>
      <sheetData sheetId="1225" refreshError="1"/>
      <sheetData sheetId="1226" refreshError="1"/>
      <sheetData sheetId="1227" refreshError="1"/>
      <sheetData sheetId="1228" refreshError="1"/>
      <sheetData sheetId="1229" refreshError="1"/>
      <sheetData sheetId="1230" refreshError="1"/>
      <sheetData sheetId="1231" refreshError="1"/>
      <sheetData sheetId="1232" refreshError="1"/>
      <sheetData sheetId="1233" refreshError="1"/>
      <sheetData sheetId="1234" refreshError="1"/>
      <sheetData sheetId="1235" refreshError="1"/>
      <sheetData sheetId="1236" refreshError="1"/>
      <sheetData sheetId="1237" refreshError="1"/>
      <sheetData sheetId="1238" refreshError="1"/>
      <sheetData sheetId="1239" refreshError="1"/>
      <sheetData sheetId="1240" refreshError="1"/>
      <sheetData sheetId="1241" refreshError="1"/>
      <sheetData sheetId="1242" refreshError="1"/>
      <sheetData sheetId="1243" refreshError="1"/>
      <sheetData sheetId="1244" refreshError="1"/>
      <sheetData sheetId="1245" refreshError="1"/>
      <sheetData sheetId="1246" refreshError="1"/>
      <sheetData sheetId="1247" refreshError="1"/>
      <sheetData sheetId="1248" refreshError="1"/>
      <sheetData sheetId="1249" refreshError="1"/>
      <sheetData sheetId="1250" refreshError="1"/>
      <sheetData sheetId="1251" refreshError="1"/>
      <sheetData sheetId="1252" refreshError="1"/>
      <sheetData sheetId="1253" refreshError="1"/>
      <sheetData sheetId="1254" refreshError="1"/>
      <sheetData sheetId="1255" refreshError="1"/>
      <sheetData sheetId="1256" refreshError="1"/>
      <sheetData sheetId="1257" refreshError="1"/>
      <sheetData sheetId="1258" refreshError="1"/>
      <sheetData sheetId="1259" refreshError="1"/>
      <sheetData sheetId="1260" refreshError="1"/>
      <sheetData sheetId="1261" refreshError="1"/>
      <sheetData sheetId="1262" refreshError="1"/>
      <sheetData sheetId="1263" refreshError="1"/>
      <sheetData sheetId="1264" refreshError="1"/>
      <sheetData sheetId="1265" refreshError="1"/>
      <sheetData sheetId="1266" refreshError="1"/>
      <sheetData sheetId="1267" refreshError="1"/>
      <sheetData sheetId="1268" refreshError="1"/>
      <sheetData sheetId="1269" refreshError="1"/>
      <sheetData sheetId="1270" refreshError="1"/>
      <sheetData sheetId="1271" refreshError="1"/>
      <sheetData sheetId="1272" refreshError="1"/>
      <sheetData sheetId="1273" refreshError="1"/>
      <sheetData sheetId="1274" refreshError="1"/>
      <sheetData sheetId="1275" refreshError="1"/>
      <sheetData sheetId="1276" refreshError="1"/>
      <sheetData sheetId="1277" refreshError="1"/>
      <sheetData sheetId="1278" refreshError="1"/>
      <sheetData sheetId="1279" refreshError="1"/>
      <sheetData sheetId="1280" refreshError="1"/>
      <sheetData sheetId="1281" refreshError="1"/>
      <sheetData sheetId="1282" refreshError="1"/>
      <sheetData sheetId="1283" refreshError="1"/>
      <sheetData sheetId="1284" refreshError="1"/>
      <sheetData sheetId="1285" refreshError="1"/>
      <sheetData sheetId="1286" refreshError="1"/>
      <sheetData sheetId="1287" refreshError="1"/>
      <sheetData sheetId="1288" refreshError="1"/>
      <sheetData sheetId="1289" refreshError="1"/>
      <sheetData sheetId="1290" refreshError="1"/>
      <sheetData sheetId="1291" refreshError="1"/>
      <sheetData sheetId="1292" refreshError="1"/>
      <sheetData sheetId="1293" refreshError="1"/>
      <sheetData sheetId="1294" refreshError="1"/>
      <sheetData sheetId="1295" refreshError="1"/>
      <sheetData sheetId="1296" refreshError="1"/>
      <sheetData sheetId="1297" refreshError="1"/>
      <sheetData sheetId="1298" refreshError="1"/>
      <sheetData sheetId="1299" refreshError="1"/>
      <sheetData sheetId="1300" refreshError="1"/>
      <sheetData sheetId="1301" refreshError="1"/>
      <sheetData sheetId="1302" refreshError="1"/>
      <sheetData sheetId="1303" refreshError="1"/>
      <sheetData sheetId="1304" refreshError="1"/>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refreshError="1"/>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efreshError="1"/>
      <sheetData sheetId="1352" refreshError="1"/>
      <sheetData sheetId="1353" refreshError="1"/>
      <sheetData sheetId="1354" refreshError="1"/>
      <sheetData sheetId="1355" refreshError="1"/>
      <sheetData sheetId="1356" refreshError="1"/>
      <sheetData sheetId="1357" refreshError="1"/>
      <sheetData sheetId="1358" refreshError="1"/>
      <sheetData sheetId="1359" refreshError="1"/>
      <sheetData sheetId="1360" refreshError="1"/>
      <sheetData sheetId="1361" refreshError="1"/>
      <sheetData sheetId="1362" refreshError="1"/>
      <sheetData sheetId="1363" refreshError="1"/>
      <sheetData sheetId="1364" refreshError="1"/>
      <sheetData sheetId="1365" refreshError="1"/>
      <sheetData sheetId="1366" refreshError="1"/>
      <sheetData sheetId="1367" refreshError="1"/>
      <sheetData sheetId="1368" refreshError="1"/>
      <sheetData sheetId="1369" refreshError="1"/>
      <sheetData sheetId="1370" refreshError="1"/>
      <sheetData sheetId="1371" refreshError="1"/>
      <sheetData sheetId="1372" refreshError="1"/>
      <sheetData sheetId="1373" refreshError="1"/>
      <sheetData sheetId="1374" refreshError="1"/>
      <sheetData sheetId="1375" refreshError="1"/>
      <sheetData sheetId="1376" refreshError="1"/>
      <sheetData sheetId="1377" refreshError="1"/>
      <sheetData sheetId="1378" refreshError="1"/>
      <sheetData sheetId="1379" refreshError="1"/>
      <sheetData sheetId="1380" refreshError="1"/>
      <sheetData sheetId="1381" refreshError="1"/>
      <sheetData sheetId="1382" refreshError="1"/>
      <sheetData sheetId="1383" refreshError="1"/>
      <sheetData sheetId="1384" refreshError="1"/>
      <sheetData sheetId="1385" refreshError="1"/>
      <sheetData sheetId="1386" refreshError="1"/>
      <sheetData sheetId="1387" refreshError="1"/>
      <sheetData sheetId="1388" refreshError="1"/>
      <sheetData sheetId="1389" refreshError="1"/>
      <sheetData sheetId="1390" refreshError="1"/>
      <sheetData sheetId="1391" refreshError="1"/>
      <sheetData sheetId="1392" refreshError="1"/>
      <sheetData sheetId="1393" refreshError="1"/>
      <sheetData sheetId="1394" refreshError="1"/>
      <sheetData sheetId="1395" refreshError="1"/>
      <sheetData sheetId="1396" refreshError="1"/>
      <sheetData sheetId="1397" refreshError="1"/>
      <sheetData sheetId="1398" refreshError="1"/>
      <sheetData sheetId="1399" refreshError="1"/>
      <sheetData sheetId="1400" refreshError="1"/>
      <sheetData sheetId="1401" refreshError="1"/>
      <sheetData sheetId="1402" refreshError="1"/>
      <sheetData sheetId="1403" refreshError="1"/>
      <sheetData sheetId="1404" refreshError="1"/>
      <sheetData sheetId="1405" refreshError="1"/>
      <sheetData sheetId="1406" refreshError="1"/>
      <sheetData sheetId="1407" refreshError="1"/>
      <sheetData sheetId="1408" refreshError="1"/>
      <sheetData sheetId="1409" refreshError="1"/>
      <sheetData sheetId="1410" refreshError="1"/>
      <sheetData sheetId="1411" refreshError="1"/>
      <sheetData sheetId="1412" refreshError="1"/>
      <sheetData sheetId="1413" refreshError="1"/>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efreshError="1"/>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efreshError="1"/>
      <sheetData sheetId="1441" refreshError="1"/>
      <sheetData sheetId="1442" refreshError="1"/>
      <sheetData sheetId="1443" refreshError="1"/>
      <sheetData sheetId="1444" refreshError="1"/>
      <sheetData sheetId="1445" refreshError="1"/>
      <sheetData sheetId="1446" refreshError="1"/>
      <sheetData sheetId="1447" refreshError="1"/>
      <sheetData sheetId="1448" refreshError="1"/>
      <sheetData sheetId="1449" refreshError="1"/>
      <sheetData sheetId="1450" refreshError="1"/>
      <sheetData sheetId="1451" refreshError="1"/>
      <sheetData sheetId="1452" refreshError="1"/>
      <sheetData sheetId="1453" refreshError="1"/>
      <sheetData sheetId="1454" refreshError="1"/>
      <sheetData sheetId="1455" refreshError="1"/>
      <sheetData sheetId="1456" refreshError="1"/>
      <sheetData sheetId="1457" refreshError="1"/>
      <sheetData sheetId="1458" refreshError="1"/>
      <sheetData sheetId="1459" refreshError="1"/>
      <sheetData sheetId="1460" refreshError="1"/>
      <sheetData sheetId="1461" refreshError="1"/>
      <sheetData sheetId="1462" refreshError="1"/>
      <sheetData sheetId="1463" refreshError="1"/>
      <sheetData sheetId="1464" refreshError="1"/>
      <sheetData sheetId="1465" refreshError="1"/>
      <sheetData sheetId="1466" refreshError="1"/>
      <sheetData sheetId="1467" refreshError="1"/>
      <sheetData sheetId="1468" refreshError="1"/>
      <sheetData sheetId="1469" refreshError="1"/>
      <sheetData sheetId="1470" refreshError="1"/>
      <sheetData sheetId="1471" refreshError="1"/>
      <sheetData sheetId="1472" refreshError="1"/>
      <sheetData sheetId="1473" refreshError="1"/>
      <sheetData sheetId="1474" refreshError="1"/>
      <sheetData sheetId="1475" refreshError="1"/>
      <sheetData sheetId="1476" refreshError="1"/>
      <sheetData sheetId="1477" refreshError="1"/>
      <sheetData sheetId="1478" refreshError="1"/>
      <sheetData sheetId="1479" refreshError="1"/>
      <sheetData sheetId="1480" refreshError="1"/>
      <sheetData sheetId="1481" refreshError="1"/>
      <sheetData sheetId="1482" refreshError="1"/>
      <sheetData sheetId="1483" refreshError="1"/>
      <sheetData sheetId="1484" refreshError="1"/>
      <sheetData sheetId="1485" refreshError="1"/>
      <sheetData sheetId="1486" refreshError="1"/>
      <sheetData sheetId="1487" refreshError="1"/>
      <sheetData sheetId="1488" refreshError="1"/>
      <sheetData sheetId="1489" refreshError="1"/>
      <sheetData sheetId="1490" refreshError="1"/>
      <sheetData sheetId="1491" refreshError="1"/>
      <sheetData sheetId="1492" refreshError="1"/>
      <sheetData sheetId="1493" refreshError="1"/>
      <sheetData sheetId="1494" refreshError="1"/>
      <sheetData sheetId="1495" refreshError="1"/>
      <sheetData sheetId="1496" refreshError="1"/>
      <sheetData sheetId="1497" refreshError="1"/>
      <sheetData sheetId="1498" refreshError="1"/>
      <sheetData sheetId="1499" refreshError="1"/>
      <sheetData sheetId="1500" refreshError="1"/>
      <sheetData sheetId="1501" refreshError="1"/>
      <sheetData sheetId="1502" refreshError="1"/>
      <sheetData sheetId="1503" refreshError="1"/>
      <sheetData sheetId="1504" refreshError="1"/>
      <sheetData sheetId="1505" refreshError="1"/>
      <sheetData sheetId="1506" refreshError="1"/>
      <sheetData sheetId="1507" refreshError="1"/>
      <sheetData sheetId="1508" refreshError="1"/>
      <sheetData sheetId="1509" refreshError="1"/>
      <sheetData sheetId="1510" refreshError="1"/>
      <sheetData sheetId="1511" refreshError="1"/>
      <sheetData sheetId="1512" refreshError="1"/>
      <sheetData sheetId="1513" refreshError="1"/>
      <sheetData sheetId="1514" refreshError="1"/>
      <sheetData sheetId="1515" refreshError="1"/>
      <sheetData sheetId="1516" refreshError="1"/>
      <sheetData sheetId="1517" refreshError="1"/>
      <sheetData sheetId="1518" refreshError="1"/>
      <sheetData sheetId="1519" refreshError="1"/>
      <sheetData sheetId="1520" refreshError="1"/>
      <sheetData sheetId="1521" refreshError="1"/>
      <sheetData sheetId="1522" refreshError="1"/>
      <sheetData sheetId="1523" refreshError="1"/>
      <sheetData sheetId="1524" refreshError="1"/>
      <sheetData sheetId="1525" refreshError="1"/>
      <sheetData sheetId="1526" refreshError="1"/>
      <sheetData sheetId="1527" refreshError="1"/>
      <sheetData sheetId="1528" refreshError="1"/>
      <sheetData sheetId="1529" refreshError="1"/>
      <sheetData sheetId="1530" refreshError="1"/>
      <sheetData sheetId="1531" refreshError="1"/>
      <sheetData sheetId="1532" refreshError="1"/>
      <sheetData sheetId="1533" refreshError="1"/>
      <sheetData sheetId="1534" refreshError="1"/>
      <sheetData sheetId="1535" refreshError="1"/>
      <sheetData sheetId="1536" refreshError="1"/>
      <sheetData sheetId="1537" refreshError="1"/>
      <sheetData sheetId="1538" refreshError="1"/>
      <sheetData sheetId="1539" refreshError="1"/>
      <sheetData sheetId="1540" refreshError="1"/>
      <sheetData sheetId="1541" refreshError="1"/>
      <sheetData sheetId="1542" refreshError="1"/>
      <sheetData sheetId="1543" refreshError="1"/>
      <sheetData sheetId="1544" refreshError="1"/>
      <sheetData sheetId="1545" refreshError="1"/>
      <sheetData sheetId="1546" refreshError="1"/>
      <sheetData sheetId="1547" refreshError="1"/>
      <sheetData sheetId="1548" refreshError="1"/>
      <sheetData sheetId="1549" refreshError="1"/>
      <sheetData sheetId="1550" refreshError="1"/>
      <sheetData sheetId="1551" refreshError="1"/>
      <sheetData sheetId="1552" refreshError="1"/>
      <sheetData sheetId="1553" refreshError="1"/>
      <sheetData sheetId="1554" refreshError="1"/>
      <sheetData sheetId="1555" refreshError="1"/>
      <sheetData sheetId="1556" refreshError="1"/>
      <sheetData sheetId="1557" refreshError="1"/>
      <sheetData sheetId="1558" refreshError="1"/>
      <sheetData sheetId="1559" refreshError="1"/>
      <sheetData sheetId="1560" refreshError="1"/>
      <sheetData sheetId="1561" refreshError="1"/>
      <sheetData sheetId="1562" refreshError="1"/>
      <sheetData sheetId="1563" refreshError="1"/>
      <sheetData sheetId="1564" refreshError="1"/>
      <sheetData sheetId="1565" refreshError="1"/>
      <sheetData sheetId="1566" refreshError="1"/>
      <sheetData sheetId="1567" refreshError="1"/>
      <sheetData sheetId="1568" refreshError="1"/>
      <sheetData sheetId="1569" refreshError="1"/>
      <sheetData sheetId="1570" refreshError="1"/>
      <sheetData sheetId="1571" refreshError="1"/>
      <sheetData sheetId="1572" refreshError="1"/>
      <sheetData sheetId="1573" refreshError="1"/>
      <sheetData sheetId="1574" refreshError="1"/>
      <sheetData sheetId="1575" refreshError="1"/>
      <sheetData sheetId="1576" refreshError="1"/>
      <sheetData sheetId="1577" refreshError="1"/>
      <sheetData sheetId="1578" refreshError="1"/>
      <sheetData sheetId="1579" refreshError="1"/>
      <sheetData sheetId="1580" refreshError="1"/>
      <sheetData sheetId="1581" refreshError="1"/>
      <sheetData sheetId="1582" refreshError="1"/>
      <sheetData sheetId="1583" refreshError="1"/>
      <sheetData sheetId="1584" refreshError="1"/>
      <sheetData sheetId="1585" refreshError="1"/>
      <sheetData sheetId="1586" refreshError="1"/>
      <sheetData sheetId="1587" refreshError="1"/>
      <sheetData sheetId="1588" refreshError="1"/>
      <sheetData sheetId="1589" refreshError="1"/>
      <sheetData sheetId="1590" refreshError="1"/>
      <sheetData sheetId="1591" refreshError="1"/>
      <sheetData sheetId="1592" refreshError="1"/>
      <sheetData sheetId="1593" refreshError="1"/>
      <sheetData sheetId="1594" refreshError="1"/>
      <sheetData sheetId="1595" refreshError="1"/>
      <sheetData sheetId="1596" refreshError="1"/>
      <sheetData sheetId="1597" refreshError="1"/>
      <sheetData sheetId="1598" refreshError="1"/>
      <sheetData sheetId="1599" refreshError="1"/>
      <sheetData sheetId="1600" refreshError="1"/>
      <sheetData sheetId="1601" refreshError="1"/>
      <sheetData sheetId="1602" refreshError="1"/>
      <sheetData sheetId="1603" refreshError="1"/>
      <sheetData sheetId="1604" refreshError="1"/>
      <sheetData sheetId="1605" refreshError="1"/>
      <sheetData sheetId="1606" refreshError="1"/>
      <sheetData sheetId="1607" refreshError="1"/>
      <sheetData sheetId="1608" refreshError="1"/>
      <sheetData sheetId="1609" refreshError="1"/>
      <sheetData sheetId="1610" refreshError="1"/>
      <sheetData sheetId="1611" refreshError="1"/>
      <sheetData sheetId="1612" refreshError="1"/>
      <sheetData sheetId="1613" refreshError="1"/>
      <sheetData sheetId="1614" refreshError="1"/>
      <sheetData sheetId="1615" refreshError="1"/>
      <sheetData sheetId="1616" refreshError="1"/>
      <sheetData sheetId="1617" refreshError="1"/>
      <sheetData sheetId="1618" refreshError="1"/>
      <sheetData sheetId="1619" refreshError="1"/>
      <sheetData sheetId="1620" refreshError="1"/>
      <sheetData sheetId="1621" refreshError="1"/>
      <sheetData sheetId="1622" refreshError="1"/>
      <sheetData sheetId="1623" refreshError="1"/>
      <sheetData sheetId="1624" refreshError="1"/>
      <sheetData sheetId="1625" refreshError="1"/>
      <sheetData sheetId="1626" refreshError="1"/>
      <sheetData sheetId="1627" refreshError="1"/>
      <sheetData sheetId="1628" refreshError="1"/>
      <sheetData sheetId="1629" refreshError="1"/>
      <sheetData sheetId="1630" refreshError="1"/>
      <sheetData sheetId="1631" refreshError="1"/>
      <sheetData sheetId="1632" refreshError="1"/>
      <sheetData sheetId="1633" refreshError="1"/>
      <sheetData sheetId="1634" refreshError="1"/>
      <sheetData sheetId="1635" refreshError="1"/>
      <sheetData sheetId="1636" refreshError="1"/>
      <sheetData sheetId="1637" refreshError="1"/>
      <sheetData sheetId="1638" refreshError="1"/>
      <sheetData sheetId="1639" refreshError="1"/>
      <sheetData sheetId="1640" refreshError="1"/>
      <sheetData sheetId="1641" refreshError="1"/>
      <sheetData sheetId="1642" refreshError="1"/>
      <sheetData sheetId="1643" refreshError="1"/>
      <sheetData sheetId="1644" refreshError="1"/>
      <sheetData sheetId="1645" refreshError="1"/>
      <sheetData sheetId="1646" refreshError="1"/>
      <sheetData sheetId="1647" refreshError="1"/>
      <sheetData sheetId="1648" refreshError="1"/>
      <sheetData sheetId="1649" refreshError="1"/>
      <sheetData sheetId="1650" refreshError="1"/>
      <sheetData sheetId="1651" refreshError="1"/>
      <sheetData sheetId="1652" refreshError="1"/>
      <sheetData sheetId="1653" refreshError="1"/>
      <sheetData sheetId="1654" refreshError="1"/>
      <sheetData sheetId="1655" refreshError="1"/>
      <sheetData sheetId="1656" refreshError="1"/>
      <sheetData sheetId="1657" refreshError="1"/>
      <sheetData sheetId="1658" refreshError="1"/>
      <sheetData sheetId="1659" refreshError="1"/>
      <sheetData sheetId="1660" refreshError="1"/>
      <sheetData sheetId="1661" refreshError="1"/>
      <sheetData sheetId="1662" refreshError="1"/>
      <sheetData sheetId="1663" refreshError="1"/>
      <sheetData sheetId="1664" refreshError="1"/>
      <sheetData sheetId="1665" refreshError="1"/>
      <sheetData sheetId="1666" refreshError="1"/>
      <sheetData sheetId="1667" refreshError="1"/>
      <sheetData sheetId="1668" refreshError="1"/>
      <sheetData sheetId="1669" refreshError="1"/>
      <sheetData sheetId="1670" refreshError="1"/>
      <sheetData sheetId="1671" refreshError="1"/>
      <sheetData sheetId="1672" refreshError="1"/>
      <sheetData sheetId="1673" refreshError="1"/>
      <sheetData sheetId="1674" refreshError="1"/>
      <sheetData sheetId="1675" refreshError="1"/>
      <sheetData sheetId="1676" refreshError="1"/>
      <sheetData sheetId="1677" refreshError="1"/>
      <sheetData sheetId="1678" refreshError="1"/>
      <sheetData sheetId="1679" refreshError="1"/>
      <sheetData sheetId="1680" refreshError="1"/>
      <sheetData sheetId="1681" refreshError="1"/>
      <sheetData sheetId="1682" refreshError="1"/>
      <sheetData sheetId="1683" refreshError="1"/>
      <sheetData sheetId="1684" refreshError="1"/>
      <sheetData sheetId="1685" refreshError="1"/>
      <sheetData sheetId="1686" refreshError="1"/>
      <sheetData sheetId="1687" refreshError="1"/>
      <sheetData sheetId="1688" refreshError="1"/>
      <sheetData sheetId="1689" refreshError="1"/>
      <sheetData sheetId="1690" refreshError="1"/>
      <sheetData sheetId="1691" refreshError="1"/>
      <sheetData sheetId="1692" refreshError="1"/>
      <sheetData sheetId="1693" refreshError="1"/>
      <sheetData sheetId="1694" refreshError="1"/>
      <sheetData sheetId="1695" refreshError="1"/>
      <sheetData sheetId="1696" refreshError="1"/>
      <sheetData sheetId="1697" refreshError="1"/>
      <sheetData sheetId="1698" refreshError="1"/>
      <sheetData sheetId="1699" refreshError="1"/>
      <sheetData sheetId="1700" refreshError="1"/>
      <sheetData sheetId="1701" refreshError="1"/>
      <sheetData sheetId="1702" refreshError="1"/>
      <sheetData sheetId="1703" refreshError="1"/>
      <sheetData sheetId="1704" refreshError="1"/>
      <sheetData sheetId="1705" refreshError="1"/>
      <sheetData sheetId="1706" refreshError="1"/>
      <sheetData sheetId="1707" refreshError="1"/>
      <sheetData sheetId="1708" refreshError="1"/>
      <sheetData sheetId="1709" refreshError="1"/>
      <sheetData sheetId="1710" refreshError="1"/>
      <sheetData sheetId="1711" refreshError="1"/>
      <sheetData sheetId="1712" refreshError="1"/>
      <sheetData sheetId="1713" refreshError="1"/>
      <sheetData sheetId="1714" refreshError="1"/>
      <sheetData sheetId="1715" refreshError="1"/>
      <sheetData sheetId="1716" refreshError="1"/>
      <sheetData sheetId="1717" refreshError="1"/>
      <sheetData sheetId="1718" refreshError="1"/>
      <sheetData sheetId="1719" refreshError="1"/>
      <sheetData sheetId="1720" refreshError="1"/>
      <sheetData sheetId="1721" refreshError="1"/>
      <sheetData sheetId="1722" refreshError="1"/>
      <sheetData sheetId="1723" refreshError="1"/>
      <sheetData sheetId="1724" refreshError="1"/>
      <sheetData sheetId="1725" refreshError="1"/>
      <sheetData sheetId="1726" refreshError="1"/>
      <sheetData sheetId="1727" refreshError="1"/>
      <sheetData sheetId="1728" refreshError="1"/>
      <sheetData sheetId="1729" refreshError="1"/>
      <sheetData sheetId="1730" refreshError="1"/>
      <sheetData sheetId="1731" refreshError="1"/>
      <sheetData sheetId="1732" refreshError="1"/>
      <sheetData sheetId="1733" refreshError="1"/>
      <sheetData sheetId="1734" refreshError="1"/>
      <sheetData sheetId="1735" refreshError="1"/>
      <sheetData sheetId="1736" refreshError="1"/>
      <sheetData sheetId="1737" refreshError="1"/>
      <sheetData sheetId="1738" refreshError="1"/>
      <sheetData sheetId="1739" refreshError="1"/>
      <sheetData sheetId="1740" refreshError="1"/>
      <sheetData sheetId="1741" refreshError="1"/>
      <sheetData sheetId="1742" refreshError="1"/>
      <sheetData sheetId="1743" refreshError="1"/>
      <sheetData sheetId="1744" refreshError="1"/>
      <sheetData sheetId="1745" refreshError="1"/>
      <sheetData sheetId="1746" refreshError="1"/>
      <sheetData sheetId="1747" refreshError="1"/>
      <sheetData sheetId="1748" refreshError="1"/>
      <sheetData sheetId="1749" refreshError="1"/>
      <sheetData sheetId="1750" refreshError="1"/>
      <sheetData sheetId="1751" refreshError="1"/>
      <sheetData sheetId="1752" refreshError="1"/>
      <sheetData sheetId="1753" refreshError="1"/>
      <sheetData sheetId="1754" refreshError="1"/>
      <sheetData sheetId="1755" refreshError="1"/>
      <sheetData sheetId="1756" refreshError="1"/>
      <sheetData sheetId="1757" refreshError="1"/>
      <sheetData sheetId="1758" refreshError="1"/>
      <sheetData sheetId="1759" refreshError="1"/>
      <sheetData sheetId="1760" refreshError="1"/>
      <sheetData sheetId="1761" refreshError="1"/>
      <sheetData sheetId="1762" refreshError="1"/>
      <sheetData sheetId="1763" refreshError="1"/>
      <sheetData sheetId="1764" refreshError="1"/>
      <sheetData sheetId="1765" refreshError="1"/>
      <sheetData sheetId="1766" refreshError="1"/>
      <sheetData sheetId="1767" refreshError="1"/>
      <sheetData sheetId="1768" refreshError="1"/>
      <sheetData sheetId="1769" refreshError="1"/>
      <sheetData sheetId="1770" refreshError="1"/>
      <sheetData sheetId="1771" refreshError="1"/>
      <sheetData sheetId="1772" refreshError="1"/>
      <sheetData sheetId="1773" refreshError="1"/>
      <sheetData sheetId="1774" refreshError="1"/>
      <sheetData sheetId="1775" refreshError="1"/>
      <sheetData sheetId="1776" refreshError="1"/>
      <sheetData sheetId="1777" refreshError="1"/>
      <sheetData sheetId="1778" refreshError="1"/>
      <sheetData sheetId="1779" refreshError="1"/>
      <sheetData sheetId="1780" refreshError="1"/>
      <sheetData sheetId="1781" refreshError="1"/>
      <sheetData sheetId="1782" refreshError="1"/>
      <sheetData sheetId="1783" refreshError="1"/>
      <sheetData sheetId="1784" refreshError="1"/>
      <sheetData sheetId="1785" refreshError="1"/>
      <sheetData sheetId="1786" refreshError="1"/>
      <sheetData sheetId="1787" refreshError="1"/>
      <sheetData sheetId="1788" refreshError="1"/>
      <sheetData sheetId="1789" refreshError="1"/>
      <sheetData sheetId="1790" refreshError="1"/>
      <sheetData sheetId="1791" refreshError="1"/>
      <sheetData sheetId="1792" refreshError="1"/>
      <sheetData sheetId="1793" refreshError="1"/>
      <sheetData sheetId="1794" refreshError="1"/>
      <sheetData sheetId="1795" refreshError="1"/>
      <sheetData sheetId="1796" refreshError="1"/>
      <sheetData sheetId="1797" refreshError="1"/>
      <sheetData sheetId="1798" refreshError="1"/>
      <sheetData sheetId="1799" refreshError="1"/>
      <sheetData sheetId="1800" refreshError="1"/>
      <sheetData sheetId="1801" refreshError="1"/>
      <sheetData sheetId="1802" refreshError="1"/>
      <sheetData sheetId="1803" refreshError="1"/>
      <sheetData sheetId="1804" refreshError="1"/>
      <sheetData sheetId="1805" refreshError="1"/>
      <sheetData sheetId="1806" refreshError="1"/>
      <sheetData sheetId="1807" refreshError="1"/>
      <sheetData sheetId="1808" refreshError="1"/>
      <sheetData sheetId="1809" refreshError="1"/>
      <sheetData sheetId="1810" refreshError="1"/>
      <sheetData sheetId="1811" refreshError="1"/>
      <sheetData sheetId="1812" refreshError="1"/>
      <sheetData sheetId="1813" refreshError="1"/>
      <sheetData sheetId="1814" refreshError="1"/>
      <sheetData sheetId="1815" refreshError="1"/>
      <sheetData sheetId="1816" refreshError="1"/>
      <sheetData sheetId="1817" refreshError="1"/>
      <sheetData sheetId="1818" refreshError="1"/>
      <sheetData sheetId="1819" refreshError="1"/>
      <sheetData sheetId="1820" refreshError="1"/>
      <sheetData sheetId="1821" refreshError="1"/>
      <sheetData sheetId="1822" refreshError="1"/>
      <sheetData sheetId="1823" refreshError="1"/>
      <sheetData sheetId="1824" refreshError="1"/>
      <sheetData sheetId="1825" refreshError="1"/>
      <sheetData sheetId="1826" refreshError="1"/>
      <sheetData sheetId="1827" refreshError="1"/>
      <sheetData sheetId="1828" refreshError="1"/>
      <sheetData sheetId="1829" refreshError="1"/>
      <sheetData sheetId="1830" refreshError="1"/>
      <sheetData sheetId="1831" refreshError="1"/>
      <sheetData sheetId="1832" refreshError="1"/>
      <sheetData sheetId="1833" refreshError="1"/>
      <sheetData sheetId="1834" refreshError="1"/>
      <sheetData sheetId="1835" refreshError="1"/>
      <sheetData sheetId="1836" refreshError="1"/>
      <sheetData sheetId="1837" refreshError="1"/>
      <sheetData sheetId="1838" refreshError="1"/>
      <sheetData sheetId="1839" refreshError="1"/>
      <sheetData sheetId="1840" refreshError="1"/>
      <sheetData sheetId="1841" refreshError="1"/>
      <sheetData sheetId="1842" refreshError="1"/>
      <sheetData sheetId="1843" refreshError="1"/>
      <sheetData sheetId="1844" refreshError="1"/>
      <sheetData sheetId="1845" refreshError="1"/>
      <sheetData sheetId="1846" refreshError="1"/>
      <sheetData sheetId="1847" refreshError="1"/>
      <sheetData sheetId="1848" refreshError="1"/>
      <sheetData sheetId="1849" refreshError="1"/>
      <sheetData sheetId="1850" refreshError="1"/>
      <sheetData sheetId="1851" refreshError="1"/>
      <sheetData sheetId="1852" refreshError="1"/>
      <sheetData sheetId="1853" refreshError="1"/>
      <sheetData sheetId="1854" refreshError="1"/>
      <sheetData sheetId="1855" refreshError="1"/>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efreshError="1"/>
      <sheetData sheetId="1878" refreshError="1"/>
      <sheetData sheetId="1879" refreshError="1"/>
      <sheetData sheetId="1880" refreshError="1"/>
      <sheetData sheetId="1881" refreshError="1"/>
      <sheetData sheetId="1882" refreshError="1"/>
      <sheetData sheetId="1883" refreshError="1"/>
      <sheetData sheetId="1884" refreshError="1"/>
      <sheetData sheetId="1885" refreshError="1"/>
      <sheetData sheetId="1886" refreshError="1"/>
      <sheetData sheetId="1887" refreshError="1"/>
      <sheetData sheetId="1888" refreshError="1"/>
      <sheetData sheetId="1889" refreshError="1"/>
      <sheetData sheetId="1890" refreshError="1"/>
      <sheetData sheetId="1891" refreshError="1"/>
      <sheetData sheetId="1892" refreshError="1"/>
      <sheetData sheetId="1893" refreshError="1"/>
      <sheetData sheetId="1894" refreshError="1"/>
      <sheetData sheetId="1895" refreshError="1"/>
      <sheetData sheetId="1896" refreshError="1"/>
      <sheetData sheetId="1897" refreshError="1"/>
      <sheetData sheetId="1898" refreshError="1"/>
      <sheetData sheetId="1899" refreshError="1"/>
      <sheetData sheetId="1900" refreshError="1"/>
      <sheetData sheetId="1901" refreshError="1"/>
      <sheetData sheetId="1902" refreshError="1"/>
      <sheetData sheetId="1903" refreshError="1"/>
      <sheetData sheetId="1904" refreshError="1"/>
      <sheetData sheetId="1905" refreshError="1"/>
      <sheetData sheetId="1906" refreshError="1"/>
      <sheetData sheetId="1907" refreshError="1"/>
      <sheetData sheetId="1908" refreshError="1"/>
      <sheetData sheetId="1909" refreshError="1"/>
      <sheetData sheetId="1910" refreshError="1"/>
      <sheetData sheetId="1911" refreshError="1"/>
      <sheetData sheetId="1912" refreshError="1"/>
      <sheetData sheetId="1913" refreshError="1"/>
      <sheetData sheetId="1914" refreshError="1"/>
      <sheetData sheetId="1915" refreshError="1"/>
      <sheetData sheetId="1916" refreshError="1"/>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efreshError="1"/>
      <sheetData sheetId="2058" refreshError="1"/>
      <sheetData sheetId="2059" refreshError="1"/>
      <sheetData sheetId="2060" refreshError="1"/>
      <sheetData sheetId="2061" refreshError="1"/>
      <sheetData sheetId="2062" refreshError="1"/>
      <sheetData sheetId="2063" refreshError="1"/>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efreshError="1"/>
      <sheetData sheetId="2079" refreshError="1"/>
      <sheetData sheetId="2080" refreshError="1"/>
      <sheetData sheetId="2081" refreshError="1"/>
      <sheetData sheetId="2082" refreshError="1"/>
      <sheetData sheetId="2083" refreshError="1"/>
      <sheetData sheetId="2084" refreshError="1"/>
      <sheetData sheetId="2085" refreshError="1"/>
      <sheetData sheetId="2086" refreshError="1"/>
      <sheetData sheetId="2087" refreshError="1"/>
      <sheetData sheetId="2088" refreshError="1"/>
      <sheetData sheetId="2089" refreshError="1"/>
      <sheetData sheetId="2090" refreshError="1"/>
      <sheetData sheetId="2091" refreshError="1"/>
      <sheetData sheetId="2092" refreshError="1"/>
      <sheetData sheetId="2093" refreshError="1"/>
      <sheetData sheetId="2094" refreshError="1"/>
      <sheetData sheetId="2095" refreshError="1"/>
      <sheetData sheetId="2096" refreshError="1"/>
      <sheetData sheetId="2097" refreshError="1"/>
      <sheetData sheetId="2098" refreshError="1"/>
      <sheetData sheetId="2099" refreshError="1"/>
      <sheetData sheetId="2100" refreshError="1"/>
      <sheetData sheetId="2101" refreshError="1"/>
      <sheetData sheetId="2102" refreshError="1"/>
      <sheetData sheetId="2103" refreshError="1"/>
      <sheetData sheetId="2104" refreshError="1"/>
      <sheetData sheetId="2105" refreshError="1"/>
      <sheetData sheetId="2106" refreshError="1"/>
      <sheetData sheetId="2107" refreshError="1"/>
      <sheetData sheetId="2108" refreshError="1"/>
      <sheetData sheetId="2109" refreshError="1"/>
      <sheetData sheetId="2110" refreshError="1"/>
      <sheetData sheetId="2111" refreshError="1"/>
      <sheetData sheetId="2112" refreshError="1"/>
      <sheetData sheetId="2113" refreshError="1"/>
      <sheetData sheetId="2114" refreshError="1"/>
      <sheetData sheetId="2115" refreshError="1"/>
      <sheetData sheetId="2116" refreshError="1"/>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refreshError="1"/>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refreshError="1"/>
      <sheetData sheetId="2142" refreshError="1"/>
      <sheetData sheetId="2143" refreshError="1"/>
      <sheetData sheetId="2144" refreshError="1"/>
      <sheetData sheetId="2145" refreshError="1"/>
      <sheetData sheetId="2146" refreshError="1"/>
      <sheetData sheetId="2147" refreshError="1"/>
      <sheetData sheetId="2148" refreshError="1"/>
      <sheetData sheetId="2149" refreshError="1"/>
      <sheetData sheetId="2150" refreshError="1"/>
      <sheetData sheetId="2151" refreshError="1"/>
      <sheetData sheetId="2152" refreshError="1"/>
      <sheetData sheetId="2153" refreshError="1"/>
      <sheetData sheetId="2154" refreshError="1"/>
      <sheetData sheetId="2155" refreshError="1"/>
      <sheetData sheetId="2156" refreshError="1"/>
      <sheetData sheetId="2157" refreshError="1"/>
      <sheetData sheetId="2158" refreshError="1"/>
      <sheetData sheetId="2159" refreshError="1"/>
      <sheetData sheetId="2160" refreshError="1"/>
      <sheetData sheetId="2161" refreshError="1"/>
      <sheetData sheetId="2162" refreshError="1"/>
      <sheetData sheetId="2163" refreshError="1"/>
      <sheetData sheetId="2164" refreshError="1"/>
      <sheetData sheetId="2165" refreshError="1"/>
      <sheetData sheetId="2166" refreshError="1"/>
      <sheetData sheetId="2167" refreshError="1"/>
      <sheetData sheetId="2168" refreshError="1"/>
      <sheetData sheetId="2169" refreshError="1"/>
      <sheetData sheetId="2170" refreshError="1"/>
      <sheetData sheetId="2171" refreshError="1"/>
      <sheetData sheetId="2172" refreshError="1"/>
      <sheetData sheetId="2173" refreshError="1"/>
      <sheetData sheetId="2174" refreshError="1"/>
      <sheetData sheetId="2175" refreshError="1"/>
      <sheetData sheetId="2176" refreshError="1"/>
      <sheetData sheetId="2177" refreshError="1"/>
      <sheetData sheetId="2178" refreshError="1"/>
      <sheetData sheetId="2179" refreshError="1"/>
      <sheetData sheetId="2180" refreshError="1"/>
      <sheetData sheetId="2181" refreshError="1"/>
      <sheetData sheetId="2182" refreshError="1"/>
      <sheetData sheetId="2183" refreshError="1"/>
      <sheetData sheetId="2184" refreshError="1"/>
      <sheetData sheetId="2185" refreshError="1"/>
      <sheetData sheetId="2186" refreshError="1"/>
      <sheetData sheetId="2187" refreshError="1"/>
      <sheetData sheetId="2188" refreshError="1"/>
      <sheetData sheetId="2189" refreshError="1"/>
      <sheetData sheetId="2190" refreshError="1"/>
      <sheetData sheetId="2191" refreshError="1"/>
      <sheetData sheetId="2192" refreshError="1"/>
      <sheetData sheetId="2193" refreshError="1"/>
      <sheetData sheetId="2194" refreshError="1"/>
      <sheetData sheetId="2195" refreshError="1"/>
      <sheetData sheetId="2196" refreshError="1"/>
      <sheetData sheetId="2197" refreshError="1"/>
      <sheetData sheetId="2198" refreshError="1"/>
      <sheetData sheetId="2199" refreshError="1"/>
      <sheetData sheetId="2200" refreshError="1"/>
      <sheetData sheetId="2201" refreshError="1"/>
      <sheetData sheetId="2202" refreshError="1"/>
      <sheetData sheetId="2203" refreshError="1"/>
      <sheetData sheetId="2204" refreshError="1"/>
      <sheetData sheetId="2205" refreshError="1"/>
      <sheetData sheetId="2206" refreshError="1"/>
      <sheetData sheetId="2207" refreshError="1"/>
      <sheetData sheetId="2208" refreshError="1"/>
      <sheetData sheetId="2209" refreshError="1"/>
      <sheetData sheetId="2210" refreshError="1"/>
      <sheetData sheetId="2211" refreshError="1"/>
      <sheetData sheetId="2212" refreshError="1"/>
      <sheetData sheetId="2213" refreshError="1"/>
      <sheetData sheetId="2214" refreshError="1"/>
      <sheetData sheetId="2215" refreshError="1"/>
      <sheetData sheetId="2216" refreshError="1"/>
      <sheetData sheetId="2217" refreshError="1"/>
      <sheetData sheetId="2218" refreshError="1"/>
      <sheetData sheetId="2219" refreshError="1"/>
      <sheetData sheetId="2220" refreshError="1"/>
      <sheetData sheetId="2221" refreshError="1"/>
      <sheetData sheetId="2222" refreshError="1"/>
      <sheetData sheetId="2223" refreshError="1"/>
      <sheetData sheetId="2224" refreshError="1"/>
      <sheetData sheetId="2225" refreshError="1"/>
      <sheetData sheetId="2226" refreshError="1"/>
      <sheetData sheetId="2227" refreshError="1"/>
      <sheetData sheetId="2228" refreshError="1"/>
      <sheetData sheetId="2229" refreshError="1"/>
      <sheetData sheetId="2230" refreshError="1"/>
      <sheetData sheetId="2231" refreshError="1"/>
      <sheetData sheetId="2232" refreshError="1"/>
      <sheetData sheetId="2233" refreshError="1"/>
      <sheetData sheetId="2234" refreshError="1"/>
      <sheetData sheetId="2235" refreshError="1"/>
      <sheetData sheetId="2236" refreshError="1"/>
      <sheetData sheetId="2237" refreshError="1"/>
      <sheetData sheetId="2238" refreshError="1"/>
      <sheetData sheetId="2239" refreshError="1"/>
      <sheetData sheetId="2240" refreshError="1"/>
      <sheetData sheetId="2241" refreshError="1"/>
      <sheetData sheetId="2242" refreshError="1"/>
      <sheetData sheetId="2243" refreshError="1"/>
      <sheetData sheetId="2244" refreshError="1"/>
      <sheetData sheetId="2245" refreshError="1"/>
      <sheetData sheetId="2246" refreshError="1"/>
      <sheetData sheetId="2247" refreshError="1"/>
      <sheetData sheetId="2248" refreshError="1"/>
      <sheetData sheetId="2249" refreshError="1"/>
      <sheetData sheetId="2250" refreshError="1"/>
      <sheetData sheetId="2251" refreshError="1"/>
      <sheetData sheetId="2252" refreshError="1"/>
      <sheetData sheetId="2253" refreshError="1"/>
      <sheetData sheetId="2254" refreshError="1"/>
      <sheetData sheetId="2255" refreshError="1"/>
      <sheetData sheetId="2256" refreshError="1"/>
      <sheetData sheetId="2257" refreshError="1"/>
      <sheetData sheetId="2258" refreshError="1"/>
      <sheetData sheetId="2259" refreshError="1"/>
      <sheetData sheetId="2260" refreshError="1"/>
      <sheetData sheetId="2261" refreshError="1"/>
      <sheetData sheetId="2262" refreshError="1"/>
      <sheetData sheetId="2263" refreshError="1"/>
      <sheetData sheetId="2264" refreshError="1"/>
      <sheetData sheetId="2265" refreshError="1"/>
      <sheetData sheetId="2266" refreshError="1"/>
      <sheetData sheetId="2267" refreshError="1"/>
      <sheetData sheetId="2268" refreshError="1"/>
      <sheetData sheetId="2269" refreshError="1"/>
      <sheetData sheetId="2270" refreshError="1"/>
      <sheetData sheetId="2271" refreshError="1"/>
      <sheetData sheetId="2272" refreshError="1"/>
      <sheetData sheetId="2273" refreshError="1"/>
      <sheetData sheetId="2274" refreshError="1"/>
      <sheetData sheetId="2275" refreshError="1"/>
      <sheetData sheetId="2276" refreshError="1"/>
      <sheetData sheetId="2277" refreshError="1"/>
      <sheetData sheetId="2278" refreshError="1"/>
      <sheetData sheetId="2279" refreshError="1"/>
      <sheetData sheetId="2280" refreshError="1"/>
      <sheetData sheetId="2281" refreshError="1"/>
      <sheetData sheetId="2282" refreshError="1"/>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refreshError="1"/>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refreshError="1"/>
      <sheetData sheetId="2317" refreshError="1"/>
      <sheetData sheetId="2318" refreshError="1"/>
      <sheetData sheetId="2319" refreshError="1"/>
      <sheetData sheetId="2320" refreshError="1"/>
      <sheetData sheetId="2321" refreshError="1"/>
      <sheetData sheetId="2322" refreshError="1"/>
      <sheetData sheetId="2323" refreshError="1"/>
      <sheetData sheetId="2324" refreshError="1"/>
      <sheetData sheetId="2325" refreshError="1"/>
      <sheetData sheetId="2326" refreshError="1"/>
      <sheetData sheetId="2327" refreshError="1"/>
      <sheetData sheetId="2328" refreshError="1"/>
      <sheetData sheetId="2329" refreshError="1"/>
      <sheetData sheetId="2330" refreshError="1"/>
      <sheetData sheetId="2331" refreshError="1"/>
      <sheetData sheetId="2332" refreshError="1"/>
      <sheetData sheetId="2333" refreshError="1"/>
      <sheetData sheetId="2334" refreshError="1"/>
      <sheetData sheetId="2335" refreshError="1"/>
      <sheetData sheetId="2336" refreshError="1"/>
      <sheetData sheetId="2337" refreshError="1"/>
      <sheetData sheetId="2338" refreshError="1"/>
      <sheetData sheetId="2339" refreshError="1"/>
      <sheetData sheetId="2340" refreshError="1"/>
      <sheetData sheetId="2341" refreshError="1"/>
      <sheetData sheetId="2342" refreshError="1"/>
      <sheetData sheetId="2343" refreshError="1"/>
      <sheetData sheetId="2344" refreshError="1"/>
      <sheetData sheetId="2345" refreshError="1"/>
      <sheetData sheetId="2346" refreshError="1"/>
      <sheetData sheetId="2347" refreshError="1"/>
      <sheetData sheetId="2348" refreshError="1"/>
      <sheetData sheetId="2349" refreshError="1"/>
      <sheetData sheetId="2350" refreshError="1"/>
      <sheetData sheetId="2351" refreshError="1"/>
      <sheetData sheetId="2352" refreshError="1"/>
      <sheetData sheetId="2353" refreshError="1"/>
      <sheetData sheetId="2354" refreshError="1"/>
      <sheetData sheetId="2355" refreshError="1"/>
      <sheetData sheetId="2356" refreshError="1"/>
      <sheetData sheetId="2357" refreshError="1"/>
      <sheetData sheetId="2358" refreshError="1"/>
      <sheetData sheetId="2359" refreshError="1"/>
      <sheetData sheetId="2360" refreshError="1"/>
      <sheetData sheetId="2361" refreshError="1"/>
      <sheetData sheetId="2362" refreshError="1"/>
      <sheetData sheetId="2363" refreshError="1"/>
      <sheetData sheetId="2364" refreshError="1"/>
      <sheetData sheetId="2365" refreshError="1"/>
      <sheetData sheetId="2366" refreshError="1"/>
      <sheetData sheetId="2367" refreshError="1"/>
      <sheetData sheetId="2368" refreshError="1"/>
      <sheetData sheetId="2369" refreshError="1"/>
      <sheetData sheetId="2370" refreshError="1"/>
      <sheetData sheetId="2371" refreshError="1"/>
      <sheetData sheetId="2372" refreshError="1"/>
      <sheetData sheetId="2373" refreshError="1"/>
      <sheetData sheetId="2374" refreshError="1"/>
      <sheetData sheetId="2375" refreshError="1"/>
      <sheetData sheetId="2376" refreshError="1"/>
      <sheetData sheetId="2377" refreshError="1"/>
      <sheetData sheetId="2378" refreshError="1"/>
      <sheetData sheetId="2379" refreshError="1"/>
      <sheetData sheetId="2380" refreshError="1"/>
      <sheetData sheetId="2381" refreshError="1"/>
      <sheetData sheetId="2382" refreshError="1"/>
      <sheetData sheetId="2383" refreshError="1"/>
      <sheetData sheetId="2384" refreshError="1"/>
      <sheetData sheetId="2385" refreshError="1"/>
      <sheetData sheetId="2386" refreshError="1"/>
      <sheetData sheetId="2387" refreshError="1"/>
      <sheetData sheetId="2388" refreshError="1"/>
      <sheetData sheetId="2389" refreshError="1"/>
      <sheetData sheetId="2390" refreshError="1"/>
      <sheetData sheetId="2391" refreshError="1"/>
      <sheetData sheetId="2392" refreshError="1"/>
      <sheetData sheetId="2393" refreshError="1"/>
      <sheetData sheetId="2394" refreshError="1"/>
      <sheetData sheetId="2395" refreshError="1"/>
      <sheetData sheetId="2396" refreshError="1"/>
      <sheetData sheetId="2397" refreshError="1"/>
      <sheetData sheetId="2398" refreshError="1"/>
      <sheetData sheetId="2399" refreshError="1"/>
      <sheetData sheetId="2400" refreshError="1"/>
      <sheetData sheetId="2401" refreshError="1"/>
      <sheetData sheetId="2402" refreshError="1"/>
      <sheetData sheetId="2403" refreshError="1"/>
      <sheetData sheetId="2404" refreshError="1"/>
      <sheetData sheetId="2405" refreshError="1"/>
      <sheetData sheetId="2406" refreshError="1"/>
      <sheetData sheetId="2407" refreshError="1"/>
      <sheetData sheetId="2408" refreshError="1"/>
      <sheetData sheetId="2409" refreshError="1"/>
      <sheetData sheetId="2410" refreshError="1"/>
      <sheetData sheetId="2411" refreshError="1"/>
      <sheetData sheetId="2412" refreshError="1"/>
      <sheetData sheetId="2413" refreshError="1"/>
      <sheetData sheetId="2414" refreshError="1"/>
      <sheetData sheetId="2415" refreshError="1"/>
      <sheetData sheetId="2416" refreshError="1"/>
      <sheetData sheetId="2417" refreshError="1"/>
      <sheetData sheetId="2418" refreshError="1"/>
      <sheetData sheetId="2419" refreshError="1"/>
      <sheetData sheetId="2420" refreshError="1"/>
      <sheetData sheetId="2421" refreshError="1"/>
      <sheetData sheetId="2422" refreshError="1"/>
      <sheetData sheetId="2423" refreshError="1"/>
      <sheetData sheetId="2424" refreshError="1"/>
      <sheetData sheetId="2425" refreshError="1"/>
      <sheetData sheetId="2426" refreshError="1"/>
      <sheetData sheetId="2427" refreshError="1"/>
      <sheetData sheetId="2428" refreshError="1"/>
      <sheetData sheetId="2429" refreshError="1"/>
      <sheetData sheetId="2430" refreshError="1"/>
      <sheetData sheetId="2431" refreshError="1"/>
      <sheetData sheetId="2432" refreshError="1"/>
      <sheetData sheetId="2433" refreshError="1"/>
      <sheetData sheetId="2434" refreshError="1"/>
      <sheetData sheetId="2435" refreshError="1"/>
      <sheetData sheetId="2436" refreshError="1"/>
      <sheetData sheetId="2437" refreshError="1"/>
      <sheetData sheetId="2438" refreshError="1"/>
      <sheetData sheetId="2439" refreshError="1"/>
      <sheetData sheetId="2440" refreshError="1"/>
      <sheetData sheetId="2441" refreshError="1"/>
      <sheetData sheetId="2442" refreshError="1"/>
      <sheetData sheetId="2443" refreshError="1"/>
      <sheetData sheetId="2444" refreshError="1"/>
      <sheetData sheetId="2445" refreshError="1"/>
      <sheetData sheetId="2446" refreshError="1"/>
      <sheetData sheetId="2447" refreshError="1"/>
      <sheetData sheetId="2448" refreshError="1"/>
      <sheetData sheetId="2449" refreshError="1"/>
      <sheetData sheetId="2450" refreshError="1"/>
      <sheetData sheetId="2451" refreshError="1"/>
      <sheetData sheetId="2452" refreshError="1"/>
      <sheetData sheetId="2453" refreshError="1"/>
      <sheetData sheetId="2454" refreshError="1"/>
      <sheetData sheetId="2455" refreshError="1"/>
      <sheetData sheetId="2456" refreshError="1"/>
      <sheetData sheetId="2457" refreshError="1"/>
      <sheetData sheetId="2458" refreshError="1"/>
      <sheetData sheetId="2459" refreshError="1"/>
      <sheetData sheetId="2460" refreshError="1"/>
      <sheetData sheetId="2461" refreshError="1"/>
      <sheetData sheetId="2462" refreshError="1"/>
      <sheetData sheetId="2463" refreshError="1"/>
      <sheetData sheetId="2464" refreshError="1"/>
      <sheetData sheetId="2465" refreshError="1"/>
      <sheetData sheetId="2466" refreshError="1"/>
      <sheetData sheetId="2467" refreshError="1"/>
      <sheetData sheetId="2468" refreshError="1"/>
      <sheetData sheetId="2469" refreshError="1"/>
      <sheetData sheetId="2470" refreshError="1"/>
      <sheetData sheetId="2471" refreshError="1"/>
      <sheetData sheetId="2472" refreshError="1"/>
      <sheetData sheetId="2473" refreshError="1"/>
      <sheetData sheetId="2474" refreshError="1"/>
      <sheetData sheetId="2475" refreshError="1"/>
      <sheetData sheetId="2476" refreshError="1"/>
      <sheetData sheetId="2477" refreshError="1"/>
      <sheetData sheetId="2478" refreshError="1"/>
      <sheetData sheetId="2479" refreshError="1"/>
      <sheetData sheetId="2480" refreshError="1"/>
      <sheetData sheetId="2481" refreshError="1"/>
      <sheetData sheetId="2482" refreshError="1"/>
      <sheetData sheetId="2483" refreshError="1"/>
      <sheetData sheetId="2484" refreshError="1"/>
      <sheetData sheetId="2485" refreshError="1"/>
      <sheetData sheetId="2486" refreshError="1"/>
      <sheetData sheetId="2487" refreshError="1"/>
      <sheetData sheetId="2488" refreshError="1"/>
      <sheetData sheetId="2489" refreshError="1"/>
      <sheetData sheetId="2490" refreshError="1"/>
      <sheetData sheetId="2491" refreshError="1"/>
      <sheetData sheetId="2492" refreshError="1"/>
      <sheetData sheetId="2493" refreshError="1"/>
      <sheetData sheetId="2494" refreshError="1"/>
      <sheetData sheetId="2495" refreshError="1"/>
      <sheetData sheetId="2496" refreshError="1"/>
      <sheetData sheetId="2497" refreshError="1"/>
      <sheetData sheetId="2498" refreshError="1"/>
      <sheetData sheetId="2499" refreshError="1"/>
      <sheetData sheetId="2500" refreshError="1"/>
      <sheetData sheetId="2501" refreshError="1"/>
      <sheetData sheetId="2502" refreshError="1"/>
      <sheetData sheetId="2503" refreshError="1"/>
      <sheetData sheetId="2504" refreshError="1"/>
      <sheetData sheetId="2505" refreshError="1"/>
      <sheetData sheetId="2506" refreshError="1"/>
      <sheetData sheetId="2507" refreshError="1"/>
      <sheetData sheetId="2508" refreshError="1"/>
      <sheetData sheetId="2509" refreshError="1"/>
      <sheetData sheetId="2510" refreshError="1"/>
      <sheetData sheetId="2511" refreshError="1"/>
      <sheetData sheetId="2512" refreshError="1"/>
      <sheetData sheetId="2513" refreshError="1"/>
      <sheetData sheetId="2514" refreshError="1"/>
      <sheetData sheetId="2515" refreshError="1"/>
      <sheetData sheetId="2516" refreshError="1"/>
      <sheetData sheetId="2517" refreshError="1"/>
      <sheetData sheetId="2518" refreshError="1"/>
      <sheetData sheetId="2519" refreshError="1"/>
      <sheetData sheetId="2520" refreshError="1"/>
      <sheetData sheetId="2521" refreshError="1"/>
      <sheetData sheetId="2522" refreshError="1"/>
      <sheetData sheetId="2523" refreshError="1"/>
      <sheetData sheetId="2524" refreshError="1"/>
      <sheetData sheetId="2525" refreshError="1"/>
      <sheetData sheetId="2526" refreshError="1"/>
      <sheetData sheetId="2527" refreshError="1"/>
      <sheetData sheetId="2528" refreshError="1"/>
      <sheetData sheetId="2529" refreshError="1"/>
      <sheetData sheetId="2530" refreshError="1"/>
      <sheetData sheetId="2531" refreshError="1"/>
      <sheetData sheetId="2532" refreshError="1"/>
      <sheetData sheetId="2533" refreshError="1"/>
      <sheetData sheetId="2534" refreshError="1"/>
      <sheetData sheetId="2535" refreshError="1"/>
      <sheetData sheetId="2536" refreshError="1"/>
      <sheetData sheetId="2537" refreshError="1"/>
      <sheetData sheetId="2538" refreshError="1"/>
      <sheetData sheetId="2539" refreshError="1"/>
      <sheetData sheetId="2540" refreshError="1"/>
      <sheetData sheetId="2541" refreshError="1"/>
      <sheetData sheetId="2542" refreshError="1"/>
      <sheetData sheetId="2543" refreshError="1"/>
      <sheetData sheetId="2544" refreshError="1"/>
      <sheetData sheetId="2545" refreshError="1"/>
      <sheetData sheetId="2546" refreshError="1"/>
      <sheetData sheetId="2547" refreshError="1"/>
      <sheetData sheetId="2548" refreshError="1"/>
      <sheetData sheetId="2549" refreshError="1"/>
      <sheetData sheetId="2550" refreshError="1"/>
      <sheetData sheetId="2551" refreshError="1"/>
      <sheetData sheetId="2552" refreshError="1"/>
      <sheetData sheetId="2553" refreshError="1"/>
      <sheetData sheetId="2554" refreshError="1"/>
      <sheetData sheetId="2555" refreshError="1"/>
      <sheetData sheetId="2556" refreshError="1"/>
      <sheetData sheetId="2557" refreshError="1"/>
      <sheetData sheetId="2558" refreshError="1"/>
      <sheetData sheetId="2559" refreshError="1"/>
      <sheetData sheetId="2560" refreshError="1"/>
      <sheetData sheetId="2561" refreshError="1"/>
      <sheetData sheetId="2562" refreshError="1"/>
      <sheetData sheetId="2563" refreshError="1"/>
      <sheetData sheetId="2564" refreshError="1"/>
      <sheetData sheetId="2565" refreshError="1"/>
      <sheetData sheetId="2566" refreshError="1"/>
      <sheetData sheetId="2567" refreshError="1"/>
      <sheetData sheetId="2568" refreshError="1"/>
      <sheetData sheetId="2569" refreshError="1"/>
      <sheetData sheetId="2570" refreshError="1"/>
      <sheetData sheetId="2571" refreshError="1"/>
      <sheetData sheetId="2572" refreshError="1"/>
      <sheetData sheetId="2573" refreshError="1"/>
      <sheetData sheetId="2574" refreshError="1"/>
      <sheetData sheetId="2575" refreshError="1"/>
      <sheetData sheetId="2576" refreshError="1"/>
      <sheetData sheetId="2577" refreshError="1"/>
      <sheetData sheetId="2578" refreshError="1"/>
      <sheetData sheetId="2579" refreshError="1"/>
      <sheetData sheetId="2580" refreshError="1"/>
      <sheetData sheetId="2581" refreshError="1"/>
      <sheetData sheetId="2582" refreshError="1"/>
      <sheetData sheetId="2583" refreshError="1"/>
      <sheetData sheetId="2584" refreshError="1"/>
      <sheetData sheetId="2585" refreshError="1"/>
      <sheetData sheetId="2586" refreshError="1"/>
      <sheetData sheetId="2587" refreshError="1"/>
      <sheetData sheetId="2588" refreshError="1"/>
      <sheetData sheetId="2589" refreshError="1"/>
      <sheetData sheetId="2590" refreshError="1"/>
      <sheetData sheetId="2591" refreshError="1"/>
      <sheetData sheetId="2592" refreshError="1"/>
      <sheetData sheetId="2593" refreshError="1"/>
      <sheetData sheetId="2594" refreshError="1"/>
      <sheetData sheetId="2595" refreshError="1"/>
      <sheetData sheetId="2596" refreshError="1"/>
      <sheetData sheetId="2597" refreshError="1"/>
      <sheetData sheetId="2598" refreshError="1"/>
      <sheetData sheetId="2599" refreshError="1"/>
      <sheetData sheetId="2600" refreshError="1"/>
      <sheetData sheetId="2601" refreshError="1"/>
      <sheetData sheetId="2602" refreshError="1"/>
      <sheetData sheetId="2603" refreshError="1"/>
      <sheetData sheetId="2604" refreshError="1"/>
      <sheetData sheetId="2605" refreshError="1"/>
      <sheetData sheetId="2606" refreshError="1"/>
      <sheetData sheetId="2607" refreshError="1"/>
      <sheetData sheetId="2608" refreshError="1"/>
      <sheetData sheetId="2609" refreshError="1"/>
      <sheetData sheetId="2610" refreshError="1"/>
      <sheetData sheetId="2611" refreshError="1"/>
      <sheetData sheetId="2612" refreshError="1"/>
      <sheetData sheetId="2613" refreshError="1"/>
      <sheetData sheetId="2614" refreshError="1"/>
      <sheetData sheetId="2615" refreshError="1"/>
      <sheetData sheetId="2616" refreshError="1"/>
      <sheetData sheetId="2617" refreshError="1"/>
      <sheetData sheetId="2618" refreshError="1"/>
      <sheetData sheetId="2619" refreshError="1"/>
      <sheetData sheetId="2620" refreshError="1"/>
      <sheetData sheetId="2621" refreshError="1"/>
      <sheetData sheetId="2622" refreshError="1"/>
      <sheetData sheetId="2623" refreshError="1"/>
      <sheetData sheetId="2624" refreshError="1"/>
      <sheetData sheetId="2625" refreshError="1"/>
      <sheetData sheetId="2626" refreshError="1"/>
      <sheetData sheetId="2627" refreshError="1"/>
      <sheetData sheetId="2628" refreshError="1"/>
      <sheetData sheetId="2629" refreshError="1"/>
      <sheetData sheetId="2630" refreshError="1"/>
      <sheetData sheetId="2631" refreshError="1"/>
      <sheetData sheetId="2632" refreshError="1"/>
      <sheetData sheetId="2633" refreshError="1"/>
      <sheetData sheetId="2634" refreshError="1"/>
      <sheetData sheetId="2635" refreshError="1"/>
      <sheetData sheetId="2636" refreshError="1"/>
      <sheetData sheetId="2637" refreshError="1"/>
      <sheetData sheetId="2638" refreshError="1"/>
      <sheetData sheetId="2639" refreshError="1"/>
      <sheetData sheetId="2640" refreshError="1"/>
      <sheetData sheetId="2641" refreshError="1"/>
      <sheetData sheetId="2642" refreshError="1"/>
      <sheetData sheetId="2643" refreshError="1"/>
      <sheetData sheetId="2644" refreshError="1"/>
      <sheetData sheetId="2645" refreshError="1"/>
      <sheetData sheetId="2646" refreshError="1"/>
      <sheetData sheetId="2647" refreshError="1"/>
      <sheetData sheetId="2648" refreshError="1"/>
      <sheetData sheetId="2649" refreshError="1"/>
      <sheetData sheetId="2650" refreshError="1"/>
      <sheetData sheetId="2651" refreshError="1"/>
      <sheetData sheetId="2652" refreshError="1"/>
      <sheetData sheetId="2653" refreshError="1"/>
      <sheetData sheetId="2654" refreshError="1"/>
      <sheetData sheetId="2655" refreshError="1"/>
      <sheetData sheetId="2656" refreshError="1"/>
      <sheetData sheetId="2657" refreshError="1"/>
      <sheetData sheetId="2658" refreshError="1"/>
      <sheetData sheetId="2659" refreshError="1"/>
      <sheetData sheetId="2660" refreshError="1"/>
      <sheetData sheetId="2661" refreshError="1"/>
      <sheetData sheetId="2662" refreshError="1"/>
      <sheetData sheetId="2663" refreshError="1"/>
      <sheetData sheetId="2664" refreshError="1"/>
      <sheetData sheetId="2665" refreshError="1"/>
      <sheetData sheetId="2666" refreshError="1"/>
      <sheetData sheetId="2667" refreshError="1"/>
      <sheetData sheetId="2668" refreshError="1"/>
      <sheetData sheetId="2669" refreshError="1"/>
      <sheetData sheetId="2670" refreshError="1"/>
      <sheetData sheetId="2671" refreshError="1"/>
      <sheetData sheetId="2672" refreshError="1"/>
      <sheetData sheetId="2673" refreshError="1"/>
      <sheetData sheetId="2674" refreshError="1"/>
      <sheetData sheetId="2675" refreshError="1"/>
      <sheetData sheetId="2676" refreshError="1"/>
      <sheetData sheetId="2677" refreshError="1"/>
      <sheetData sheetId="2678" refreshError="1"/>
      <sheetData sheetId="2679" refreshError="1"/>
      <sheetData sheetId="2680" refreshError="1"/>
      <sheetData sheetId="2681" refreshError="1"/>
      <sheetData sheetId="2682" refreshError="1"/>
      <sheetData sheetId="2683" refreshError="1"/>
      <sheetData sheetId="2684" refreshError="1"/>
      <sheetData sheetId="2685" refreshError="1"/>
      <sheetData sheetId="2686" refreshError="1"/>
      <sheetData sheetId="2687" refreshError="1"/>
      <sheetData sheetId="2688" refreshError="1"/>
      <sheetData sheetId="2689" refreshError="1"/>
      <sheetData sheetId="2690" refreshError="1"/>
      <sheetData sheetId="2691" refreshError="1"/>
      <sheetData sheetId="2692" refreshError="1"/>
      <sheetData sheetId="2693" refreshError="1"/>
      <sheetData sheetId="2694" refreshError="1"/>
      <sheetData sheetId="2695" refreshError="1"/>
      <sheetData sheetId="2696" refreshError="1"/>
      <sheetData sheetId="2697" refreshError="1"/>
      <sheetData sheetId="2698" refreshError="1"/>
      <sheetData sheetId="2699" refreshError="1"/>
      <sheetData sheetId="2700" refreshError="1"/>
      <sheetData sheetId="2701" refreshError="1"/>
      <sheetData sheetId="2702" refreshError="1"/>
      <sheetData sheetId="2703" refreshError="1"/>
      <sheetData sheetId="2704" refreshError="1"/>
      <sheetData sheetId="2705" refreshError="1"/>
      <sheetData sheetId="2706" refreshError="1"/>
      <sheetData sheetId="2707" refreshError="1"/>
      <sheetData sheetId="2708" refreshError="1"/>
      <sheetData sheetId="2709" refreshError="1"/>
      <sheetData sheetId="2710" refreshError="1"/>
      <sheetData sheetId="2711" refreshError="1"/>
      <sheetData sheetId="2712" refreshError="1"/>
      <sheetData sheetId="2713" refreshError="1"/>
      <sheetData sheetId="2714" refreshError="1"/>
      <sheetData sheetId="2715" refreshError="1"/>
      <sheetData sheetId="2716" refreshError="1"/>
      <sheetData sheetId="2717" refreshError="1"/>
      <sheetData sheetId="2718" refreshError="1"/>
      <sheetData sheetId="2719" refreshError="1"/>
      <sheetData sheetId="2720" refreshError="1"/>
      <sheetData sheetId="2721" refreshError="1"/>
      <sheetData sheetId="2722" refreshError="1"/>
      <sheetData sheetId="2723" refreshError="1"/>
      <sheetData sheetId="2724" refreshError="1"/>
      <sheetData sheetId="2725" refreshError="1"/>
      <sheetData sheetId="2726" refreshError="1"/>
      <sheetData sheetId="2727" refreshError="1"/>
      <sheetData sheetId="2728" refreshError="1"/>
      <sheetData sheetId="2729" refreshError="1"/>
      <sheetData sheetId="2730" refreshError="1"/>
      <sheetData sheetId="2731" refreshError="1"/>
      <sheetData sheetId="2732" refreshError="1"/>
      <sheetData sheetId="2733" refreshError="1"/>
      <sheetData sheetId="2734" refreshError="1"/>
      <sheetData sheetId="2735" refreshError="1"/>
      <sheetData sheetId="2736" refreshError="1"/>
      <sheetData sheetId="2737" refreshError="1"/>
      <sheetData sheetId="2738" refreshError="1"/>
      <sheetData sheetId="2739" refreshError="1"/>
      <sheetData sheetId="2740" refreshError="1"/>
      <sheetData sheetId="2741" refreshError="1"/>
      <sheetData sheetId="2742" refreshError="1"/>
      <sheetData sheetId="2743" refreshError="1"/>
      <sheetData sheetId="2744" refreshError="1"/>
      <sheetData sheetId="2745" refreshError="1"/>
      <sheetData sheetId="2746" refreshError="1"/>
      <sheetData sheetId="2747" refreshError="1"/>
      <sheetData sheetId="2748" refreshError="1"/>
      <sheetData sheetId="2749" refreshError="1"/>
      <sheetData sheetId="2750" refreshError="1"/>
      <sheetData sheetId="2751" refreshError="1"/>
      <sheetData sheetId="2752" refreshError="1"/>
      <sheetData sheetId="2753" refreshError="1"/>
      <sheetData sheetId="2754" refreshError="1"/>
      <sheetData sheetId="2755" refreshError="1"/>
      <sheetData sheetId="2756" refreshError="1"/>
      <sheetData sheetId="2757" refreshError="1"/>
      <sheetData sheetId="2758" refreshError="1"/>
      <sheetData sheetId="2759" refreshError="1"/>
      <sheetData sheetId="2760" refreshError="1"/>
      <sheetData sheetId="2761" refreshError="1"/>
      <sheetData sheetId="2762" refreshError="1"/>
      <sheetData sheetId="2763" refreshError="1"/>
      <sheetData sheetId="2764" refreshError="1"/>
      <sheetData sheetId="2765" refreshError="1"/>
      <sheetData sheetId="2766" refreshError="1"/>
      <sheetData sheetId="2767" refreshError="1"/>
      <sheetData sheetId="2768" refreshError="1"/>
      <sheetData sheetId="2769" refreshError="1"/>
      <sheetData sheetId="2770" refreshError="1"/>
      <sheetData sheetId="2771" refreshError="1"/>
      <sheetData sheetId="2772" refreshError="1"/>
      <sheetData sheetId="2773" refreshError="1"/>
      <sheetData sheetId="2774" refreshError="1"/>
      <sheetData sheetId="2775" refreshError="1"/>
      <sheetData sheetId="2776" refreshError="1"/>
      <sheetData sheetId="2777" refreshError="1"/>
      <sheetData sheetId="2778" refreshError="1"/>
      <sheetData sheetId="2779" refreshError="1"/>
      <sheetData sheetId="2780" refreshError="1"/>
      <sheetData sheetId="2781" refreshError="1"/>
      <sheetData sheetId="2782" refreshError="1"/>
      <sheetData sheetId="2783" refreshError="1"/>
      <sheetData sheetId="2784" refreshError="1"/>
      <sheetData sheetId="2785" refreshError="1"/>
      <sheetData sheetId="2786" refreshError="1"/>
      <sheetData sheetId="2787" refreshError="1"/>
      <sheetData sheetId="2788" refreshError="1"/>
      <sheetData sheetId="2789" refreshError="1"/>
      <sheetData sheetId="2790" refreshError="1"/>
      <sheetData sheetId="2791" refreshError="1"/>
      <sheetData sheetId="2792" refreshError="1"/>
      <sheetData sheetId="2793" refreshError="1"/>
      <sheetData sheetId="2794" refreshError="1"/>
      <sheetData sheetId="2795" refreshError="1"/>
      <sheetData sheetId="2796" refreshError="1"/>
      <sheetData sheetId="2797" refreshError="1"/>
      <sheetData sheetId="2798" refreshError="1"/>
      <sheetData sheetId="2799" refreshError="1"/>
      <sheetData sheetId="2800" refreshError="1"/>
      <sheetData sheetId="2801" refreshError="1"/>
      <sheetData sheetId="2802" refreshError="1"/>
      <sheetData sheetId="2803" refreshError="1"/>
      <sheetData sheetId="2804" refreshError="1"/>
      <sheetData sheetId="2805" refreshError="1"/>
      <sheetData sheetId="2806" refreshError="1"/>
      <sheetData sheetId="2807" refreshError="1"/>
      <sheetData sheetId="2808" refreshError="1"/>
      <sheetData sheetId="2809" refreshError="1"/>
      <sheetData sheetId="2810" refreshError="1"/>
      <sheetData sheetId="2811" refreshError="1"/>
      <sheetData sheetId="2812" refreshError="1"/>
      <sheetData sheetId="2813" refreshError="1"/>
      <sheetData sheetId="2814" refreshError="1"/>
      <sheetData sheetId="2815" refreshError="1"/>
      <sheetData sheetId="2816" refreshError="1"/>
      <sheetData sheetId="2817" refreshError="1"/>
      <sheetData sheetId="2818" refreshError="1"/>
      <sheetData sheetId="2819" refreshError="1"/>
      <sheetData sheetId="2820" refreshError="1"/>
      <sheetData sheetId="2821" refreshError="1"/>
      <sheetData sheetId="2822" refreshError="1"/>
      <sheetData sheetId="2823" refreshError="1"/>
      <sheetData sheetId="2824" refreshError="1"/>
      <sheetData sheetId="2825" refreshError="1"/>
      <sheetData sheetId="2826" refreshError="1"/>
      <sheetData sheetId="2827" refreshError="1"/>
      <sheetData sheetId="2828" refreshError="1"/>
      <sheetData sheetId="2829" refreshError="1"/>
      <sheetData sheetId="2830" refreshError="1"/>
      <sheetData sheetId="2831" refreshError="1"/>
      <sheetData sheetId="2832" refreshError="1"/>
      <sheetData sheetId="2833" refreshError="1"/>
      <sheetData sheetId="2834" refreshError="1"/>
      <sheetData sheetId="2835" refreshError="1"/>
      <sheetData sheetId="2836" refreshError="1"/>
      <sheetData sheetId="2837" refreshError="1"/>
      <sheetData sheetId="2838" refreshError="1"/>
      <sheetData sheetId="2839" refreshError="1"/>
      <sheetData sheetId="2840" refreshError="1"/>
      <sheetData sheetId="2841" refreshError="1"/>
      <sheetData sheetId="2842" refreshError="1"/>
      <sheetData sheetId="2843" refreshError="1"/>
      <sheetData sheetId="2844" refreshError="1"/>
      <sheetData sheetId="2845" refreshError="1"/>
      <sheetData sheetId="2846" refreshError="1"/>
      <sheetData sheetId="2847" refreshError="1"/>
      <sheetData sheetId="2848" refreshError="1"/>
      <sheetData sheetId="2849" refreshError="1"/>
      <sheetData sheetId="2850" refreshError="1"/>
      <sheetData sheetId="2851" refreshError="1"/>
      <sheetData sheetId="2852" refreshError="1"/>
      <sheetData sheetId="2853" refreshError="1"/>
      <sheetData sheetId="2854" refreshError="1"/>
      <sheetData sheetId="2855" refreshError="1"/>
      <sheetData sheetId="2856" refreshError="1"/>
      <sheetData sheetId="2857" refreshError="1"/>
      <sheetData sheetId="2858" refreshError="1"/>
      <sheetData sheetId="2859" refreshError="1"/>
      <sheetData sheetId="2860" refreshError="1"/>
      <sheetData sheetId="2861" refreshError="1"/>
      <sheetData sheetId="2862" refreshError="1"/>
      <sheetData sheetId="2863" refreshError="1"/>
      <sheetData sheetId="2864" refreshError="1"/>
      <sheetData sheetId="2865" refreshError="1"/>
      <sheetData sheetId="2866" refreshError="1"/>
      <sheetData sheetId="2867" refreshError="1"/>
      <sheetData sheetId="2868" refreshError="1"/>
      <sheetData sheetId="2869" refreshError="1"/>
      <sheetData sheetId="2870" refreshError="1"/>
      <sheetData sheetId="2871" refreshError="1"/>
      <sheetData sheetId="2872" refreshError="1"/>
      <sheetData sheetId="2873" refreshError="1"/>
      <sheetData sheetId="2874" refreshError="1"/>
      <sheetData sheetId="2875" refreshError="1"/>
      <sheetData sheetId="2876" refreshError="1"/>
      <sheetData sheetId="2877" refreshError="1"/>
      <sheetData sheetId="2878" refreshError="1"/>
      <sheetData sheetId="2879" refreshError="1"/>
      <sheetData sheetId="2880" refreshError="1"/>
      <sheetData sheetId="2881" refreshError="1"/>
      <sheetData sheetId="2882" refreshError="1"/>
      <sheetData sheetId="2883" refreshError="1"/>
      <sheetData sheetId="2884" refreshError="1"/>
      <sheetData sheetId="2885" refreshError="1"/>
      <sheetData sheetId="2886" refreshError="1"/>
      <sheetData sheetId="2887" refreshError="1"/>
      <sheetData sheetId="2888" refreshError="1"/>
      <sheetData sheetId="2889" refreshError="1"/>
      <sheetData sheetId="2890" refreshError="1"/>
      <sheetData sheetId="2891" refreshError="1"/>
      <sheetData sheetId="2892" refreshError="1"/>
      <sheetData sheetId="2893" refreshError="1"/>
      <sheetData sheetId="2894" refreshError="1"/>
      <sheetData sheetId="2895" refreshError="1"/>
      <sheetData sheetId="2896" refreshError="1"/>
      <sheetData sheetId="2897" refreshError="1"/>
      <sheetData sheetId="2898" refreshError="1"/>
      <sheetData sheetId="2899" refreshError="1"/>
      <sheetData sheetId="2900" refreshError="1"/>
      <sheetData sheetId="2901" refreshError="1"/>
      <sheetData sheetId="2902" refreshError="1"/>
      <sheetData sheetId="2903" refreshError="1"/>
      <sheetData sheetId="2904" refreshError="1"/>
      <sheetData sheetId="2905" refreshError="1"/>
      <sheetData sheetId="2906" refreshError="1"/>
      <sheetData sheetId="2907" refreshError="1"/>
      <sheetData sheetId="2908" refreshError="1"/>
      <sheetData sheetId="2909" refreshError="1"/>
      <sheetData sheetId="2910" refreshError="1"/>
      <sheetData sheetId="2911" refreshError="1"/>
      <sheetData sheetId="2912" refreshError="1"/>
      <sheetData sheetId="2913" refreshError="1"/>
      <sheetData sheetId="2914" refreshError="1"/>
      <sheetData sheetId="2915" refreshError="1"/>
      <sheetData sheetId="2916" refreshError="1"/>
      <sheetData sheetId="2917" refreshError="1"/>
      <sheetData sheetId="2918" refreshError="1"/>
      <sheetData sheetId="2919" refreshError="1"/>
      <sheetData sheetId="2920" refreshError="1"/>
      <sheetData sheetId="2921" refreshError="1"/>
      <sheetData sheetId="2922" refreshError="1"/>
      <sheetData sheetId="2923" refreshError="1"/>
      <sheetData sheetId="2924" refreshError="1"/>
      <sheetData sheetId="2925" refreshError="1"/>
      <sheetData sheetId="2926" refreshError="1"/>
      <sheetData sheetId="2927" refreshError="1"/>
      <sheetData sheetId="2928" refreshError="1"/>
      <sheetData sheetId="2929" refreshError="1"/>
      <sheetData sheetId="2930" refreshError="1"/>
      <sheetData sheetId="2931" refreshError="1"/>
      <sheetData sheetId="2932" refreshError="1"/>
      <sheetData sheetId="2933" refreshError="1"/>
      <sheetData sheetId="2934" refreshError="1"/>
      <sheetData sheetId="2935" refreshError="1"/>
      <sheetData sheetId="2936" refreshError="1"/>
      <sheetData sheetId="2937" refreshError="1"/>
      <sheetData sheetId="2938" refreshError="1"/>
      <sheetData sheetId="2939" refreshError="1"/>
      <sheetData sheetId="2940" refreshError="1"/>
      <sheetData sheetId="2941" refreshError="1"/>
      <sheetData sheetId="2942" refreshError="1"/>
      <sheetData sheetId="2943" refreshError="1"/>
      <sheetData sheetId="2944" refreshError="1"/>
      <sheetData sheetId="2945" refreshError="1"/>
      <sheetData sheetId="2946" refreshError="1"/>
      <sheetData sheetId="2947" refreshError="1"/>
      <sheetData sheetId="2948" refreshError="1"/>
      <sheetData sheetId="2949" refreshError="1"/>
      <sheetData sheetId="2950" refreshError="1"/>
      <sheetData sheetId="2951" refreshError="1"/>
      <sheetData sheetId="2952" refreshError="1"/>
      <sheetData sheetId="2953" refreshError="1"/>
      <sheetData sheetId="2954" refreshError="1"/>
      <sheetData sheetId="2955" refreshError="1"/>
      <sheetData sheetId="2956" refreshError="1"/>
      <sheetData sheetId="2957" refreshError="1"/>
      <sheetData sheetId="2958" refreshError="1"/>
      <sheetData sheetId="2959" refreshError="1"/>
      <sheetData sheetId="2960" refreshError="1"/>
      <sheetData sheetId="2961" refreshError="1"/>
      <sheetData sheetId="2962" refreshError="1"/>
      <sheetData sheetId="2963" refreshError="1"/>
      <sheetData sheetId="2964" refreshError="1"/>
      <sheetData sheetId="2965" refreshError="1"/>
      <sheetData sheetId="2966" refreshError="1"/>
      <sheetData sheetId="2967" refreshError="1"/>
      <sheetData sheetId="2968" refreshError="1"/>
      <sheetData sheetId="2969" refreshError="1"/>
      <sheetData sheetId="2970" refreshError="1"/>
      <sheetData sheetId="2971" refreshError="1"/>
      <sheetData sheetId="2972" refreshError="1"/>
      <sheetData sheetId="2973" refreshError="1"/>
      <sheetData sheetId="2974" refreshError="1"/>
      <sheetData sheetId="2975" refreshError="1"/>
      <sheetData sheetId="2976" refreshError="1"/>
      <sheetData sheetId="2977" refreshError="1"/>
      <sheetData sheetId="2978" refreshError="1"/>
      <sheetData sheetId="2979" refreshError="1"/>
      <sheetData sheetId="2980" refreshError="1"/>
      <sheetData sheetId="2981" refreshError="1"/>
      <sheetData sheetId="2982" refreshError="1"/>
      <sheetData sheetId="2983" refreshError="1"/>
      <sheetData sheetId="2984" refreshError="1"/>
      <sheetData sheetId="2985" refreshError="1"/>
      <sheetData sheetId="2986" refreshError="1"/>
      <sheetData sheetId="2987" refreshError="1"/>
      <sheetData sheetId="2988" refreshError="1"/>
      <sheetData sheetId="2989" refreshError="1"/>
      <sheetData sheetId="2990" refreshError="1"/>
      <sheetData sheetId="2991" refreshError="1"/>
      <sheetData sheetId="2992" refreshError="1"/>
      <sheetData sheetId="2993" refreshError="1"/>
      <sheetData sheetId="2994" refreshError="1"/>
      <sheetData sheetId="2995" refreshError="1"/>
      <sheetData sheetId="2996" refreshError="1"/>
      <sheetData sheetId="2997" refreshError="1"/>
      <sheetData sheetId="2998" refreshError="1"/>
      <sheetData sheetId="2999" refreshError="1"/>
      <sheetData sheetId="3000" refreshError="1"/>
      <sheetData sheetId="3001" refreshError="1"/>
      <sheetData sheetId="3002" refreshError="1"/>
      <sheetData sheetId="3003" refreshError="1"/>
      <sheetData sheetId="3004" refreshError="1"/>
      <sheetData sheetId="3005" refreshError="1"/>
      <sheetData sheetId="3006" refreshError="1"/>
      <sheetData sheetId="3007" refreshError="1"/>
      <sheetData sheetId="3008" refreshError="1"/>
      <sheetData sheetId="3009" refreshError="1"/>
      <sheetData sheetId="3010" refreshError="1"/>
      <sheetData sheetId="3011" refreshError="1"/>
      <sheetData sheetId="3012" refreshError="1"/>
      <sheetData sheetId="3013" refreshError="1"/>
      <sheetData sheetId="3014" refreshError="1"/>
      <sheetData sheetId="3015" refreshError="1"/>
      <sheetData sheetId="3016" refreshError="1"/>
      <sheetData sheetId="3017" refreshError="1"/>
      <sheetData sheetId="3018" refreshError="1"/>
      <sheetData sheetId="3019" refreshError="1"/>
      <sheetData sheetId="3020" refreshError="1"/>
      <sheetData sheetId="3021" refreshError="1"/>
      <sheetData sheetId="3022" refreshError="1"/>
      <sheetData sheetId="3023" refreshError="1"/>
      <sheetData sheetId="3024" refreshError="1"/>
      <sheetData sheetId="3025" refreshError="1"/>
      <sheetData sheetId="3026" refreshError="1"/>
      <sheetData sheetId="3027" refreshError="1"/>
      <sheetData sheetId="3028" refreshError="1"/>
      <sheetData sheetId="3029" refreshError="1"/>
      <sheetData sheetId="3030" refreshError="1"/>
      <sheetData sheetId="3031" refreshError="1"/>
      <sheetData sheetId="3032" refreshError="1"/>
      <sheetData sheetId="3033" refreshError="1"/>
      <sheetData sheetId="3034" refreshError="1"/>
      <sheetData sheetId="3035" refreshError="1"/>
      <sheetData sheetId="3036" refreshError="1"/>
      <sheetData sheetId="3037" refreshError="1"/>
      <sheetData sheetId="3038" refreshError="1"/>
      <sheetData sheetId="3039" refreshError="1"/>
      <sheetData sheetId="3040" refreshError="1"/>
      <sheetData sheetId="3041" refreshError="1"/>
      <sheetData sheetId="3042" refreshError="1"/>
      <sheetData sheetId="3043" refreshError="1"/>
      <sheetData sheetId="3044" refreshError="1"/>
      <sheetData sheetId="3045" refreshError="1"/>
      <sheetData sheetId="3046" refreshError="1"/>
      <sheetData sheetId="3047" refreshError="1"/>
      <sheetData sheetId="3048" refreshError="1"/>
      <sheetData sheetId="3049" refreshError="1"/>
      <sheetData sheetId="3050" refreshError="1"/>
      <sheetData sheetId="3051" refreshError="1"/>
      <sheetData sheetId="3052" refreshError="1"/>
      <sheetData sheetId="3053" refreshError="1"/>
      <sheetData sheetId="3054" refreshError="1"/>
      <sheetData sheetId="3055" refreshError="1"/>
      <sheetData sheetId="3056" refreshError="1"/>
      <sheetData sheetId="3057" refreshError="1"/>
      <sheetData sheetId="3058" refreshError="1"/>
      <sheetData sheetId="3059" refreshError="1"/>
      <sheetData sheetId="3060" refreshError="1"/>
      <sheetData sheetId="3061" refreshError="1"/>
      <sheetData sheetId="3062" refreshError="1"/>
      <sheetData sheetId="3063" refreshError="1"/>
      <sheetData sheetId="3064" refreshError="1"/>
      <sheetData sheetId="3065" refreshError="1"/>
      <sheetData sheetId="3066" refreshError="1"/>
      <sheetData sheetId="3067" refreshError="1"/>
      <sheetData sheetId="3068" refreshError="1"/>
      <sheetData sheetId="3069" refreshError="1"/>
      <sheetData sheetId="3070" refreshError="1"/>
      <sheetData sheetId="3071" refreshError="1"/>
      <sheetData sheetId="3072" refreshError="1"/>
      <sheetData sheetId="3073" refreshError="1"/>
      <sheetData sheetId="3074" refreshError="1"/>
      <sheetData sheetId="3075" refreshError="1"/>
      <sheetData sheetId="3076" refreshError="1"/>
      <sheetData sheetId="3077" refreshError="1"/>
      <sheetData sheetId="3078" refreshError="1"/>
      <sheetData sheetId="3079" refreshError="1"/>
      <sheetData sheetId="3080" refreshError="1"/>
      <sheetData sheetId="3081" refreshError="1"/>
      <sheetData sheetId="3082" refreshError="1"/>
      <sheetData sheetId="3083" refreshError="1"/>
      <sheetData sheetId="3084" refreshError="1"/>
      <sheetData sheetId="3085" refreshError="1"/>
      <sheetData sheetId="3086" refreshError="1"/>
      <sheetData sheetId="3087" refreshError="1"/>
      <sheetData sheetId="3088" refreshError="1"/>
      <sheetData sheetId="3089" refreshError="1"/>
      <sheetData sheetId="3090" refreshError="1"/>
      <sheetData sheetId="3091" refreshError="1"/>
      <sheetData sheetId="3092" refreshError="1"/>
      <sheetData sheetId="3093" refreshError="1"/>
      <sheetData sheetId="3094" refreshError="1"/>
      <sheetData sheetId="3095" refreshError="1"/>
      <sheetData sheetId="3096" refreshError="1"/>
      <sheetData sheetId="3097" refreshError="1"/>
      <sheetData sheetId="3098" refreshError="1"/>
      <sheetData sheetId="3099" refreshError="1"/>
      <sheetData sheetId="3100" refreshError="1"/>
      <sheetData sheetId="3101" refreshError="1"/>
      <sheetData sheetId="3102" refreshError="1"/>
      <sheetData sheetId="3103" refreshError="1"/>
      <sheetData sheetId="3104" refreshError="1"/>
      <sheetData sheetId="3105" refreshError="1"/>
      <sheetData sheetId="3106" refreshError="1"/>
      <sheetData sheetId="3107" refreshError="1"/>
      <sheetData sheetId="3108" refreshError="1"/>
      <sheetData sheetId="3109" refreshError="1"/>
      <sheetData sheetId="3110" refreshError="1"/>
      <sheetData sheetId="3111" refreshError="1"/>
      <sheetData sheetId="3112" refreshError="1"/>
      <sheetData sheetId="3113" refreshError="1"/>
      <sheetData sheetId="3114" refreshError="1"/>
      <sheetData sheetId="3115" refreshError="1"/>
      <sheetData sheetId="3116" refreshError="1"/>
      <sheetData sheetId="3117" refreshError="1"/>
      <sheetData sheetId="3118" refreshError="1"/>
      <sheetData sheetId="3119" refreshError="1"/>
      <sheetData sheetId="3120" refreshError="1"/>
      <sheetData sheetId="3121" refreshError="1"/>
      <sheetData sheetId="3122" refreshError="1"/>
      <sheetData sheetId="3123" refreshError="1"/>
      <sheetData sheetId="3124" refreshError="1"/>
      <sheetData sheetId="3125" refreshError="1"/>
      <sheetData sheetId="3126" refreshError="1"/>
      <sheetData sheetId="3127" refreshError="1"/>
      <sheetData sheetId="3128" refreshError="1"/>
      <sheetData sheetId="3129" refreshError="1"/>
      <sheetData sheetId="3130" refreshError="1"/>
      <sheetData sheetId="3131" refreshError="1"/>
      <sheetData sheetId="3132" refreshError="1"/>
      <sheetData sheetId="3133" refreshError="1"/>
      <sheetData sheetId="3134" refreshError="1"/>
      <sheetData sheetId="3135" refreshError="1"/>
      <sheetData sheetId="3136" refreshError="1"/>
      <sheetData sheetId="3137" refreshError="1"/>
      <sheetData sheetId="3138" refreshError="1"/>
      <sheetData sheetId="3139" refreshError="1"/>
      <sheetData sheetId="3140" refreshError="1"/>
      <sheetData sheetId="3141" refreshError="1"/>
      <sheetData sheetId="3142" refreshError="1"/>
      <sheetData sheetId="3143" refreshError="1"/>
      <sheetData sheetId="3144" refreshError="1"/>
      <sheetData sheetId="3145" refreshError="1"/>
      <sheetData sheetId="3146" refreshError="1"/>
      <sheetData sheetId="3147" refreshError="1"/>
      <sheetData sheetId="3148" refreshError="1"/>
      <sheetData sheetId="3149" refreshError="1"/>
      <sheetData sheetId="3150" refreshError="1"/>
      <sheetData sheetId="3151" refreshError="1"/>
      <sheetData sheetId="3152" refreshError="1"/>
      <sheetData sheetId="3153" refreshError="1"/>
      <sheetData sheetId="3154" refreshError="1"/>
      <sheetData sheetId="3155" refreshError="1"/>
      <sheetData sheetId="3156" refreshError="1"/>
      <sheetData sheetId="3157" refreshError="1"/>
      <sheetData sheetId="3158" refreshError="1"/>
      <sheetData sheetId="3159" refreshError="1"/>
      <sheetData sheetId="3160" refreshError="1"/>
      <sheetData sheetId="3161" refreshError="1"/>
      <sheetData sheetId="3162" refreshError="1"/>
      <sheetData sheetId="3163" refreshError="1"/>
      <sheetData sheetId="3164" refreshError="1"/>
      <sheetData sheetId="3165" refreshError="1"/>
      <sheetData sheetId="3166" refreshError="1"/>
      <sheetData sheetId="3167" refreshError="1"/>
      <sheetData sheetId="3168" refreshError="1"/>
      <sheetData sheetId="3169" refreshError="1"/>
      <sheetData sheetId="3170" refreshError="1"/>
      <sheetData sheetId="3171" refreshError="1"/>
      <sheetData sheetId="3172" refreshError="1"/>
      <sheetData sheetId="3173" refreshError="1"/>
      <sheetData sheetId="3174" refreshError="1"/>
      <sheetData sheetId="3175" refreshError="1"/>
      <sheetData sheetId="3176" refreshError="1"/>
      <sheetData sheetId="3177" refreshError="1"/>
      <sheetData sheetId="3178" refreshError="1"/>
      <sheetData sheetId="3179" refreshError="1"/>
      <sheetData sheetId="3180" refreshError="1"/>
      <sheetData sheetId="3181" refreshError="1"/>
      <sheetData sheetId="3182" refreshError="1"/>
      <sheetData sheetId="3183" refreshError="1"/>
      <sheetData sheetId="3184" refreshError="1"/>
      <sheetData sheetId="3185" refreshError="1"/>
      <sheetData sheetId="3186" refreshError="1"/>
      <sheetData sheetId="3187" refreshError="1"/>
      <sheetData sheetId="3188" refreshError="1"/>
      <sheetData sheetId="3189" refreshError="1"/>
      <sheetData sheetId="3190" refreshError="1"/>
      <sheetData sheetId="3191" refreshError="1"/>
      <sheetData sheetId="3192" refreshError="1"/>
      <sheetData sheetId="3193" refreshError="1"/>
      <sheetData sheetId="3194" refreshError="1"/>
      <sheetData sheetId="3195" refreshError="1"/>
      <sheetData sheetId="3196" refreshError="1"/>
      <sheetData sheetId="3197" refreshError="1"/>
      <sheetData sheetId="3198" refreshError="1"/>
      <sheetData sheetId="3199" refreshError="1"/>
      <sheetData sheetId="3200" refreshError="1"/>
      <sheetData sheetId="3201" refreshError="1"/>
      <sheetData sheetId="3202" refreshError="1"/>
      <sheetData sheetId="3203" refreshError="1"/>
      <sheetData sheetId="3204" refreshError="1"/>
      <sheetData sheetId="3205" refreshError="1"/>
      <sheetData sheetId="3206" refreshError="1"/>
      <sheetData sheetId="3207" refreshError="1"/>
      <sheetData sheetId="3208" refreshError="1"/>
      <sheetData sheetId="3209" refreshError="1"/>
      <sheetData sheetId="3210" refreshError="1"/>
      <sheetData sheetId="3211" refreshError="1"/>
      <sheetData sheetId="3212" refreshError="1"/>
      <sheetData sheetId="3213" refreshError="1"/>
      <sheetData sheetId="3214" refreshError="1"/>
      <sheetData sheetId="3215" refreshError="1"/>
      <sheetData sheetId="3216" refreshError="1"/>
      <sheetData sheetId="3217" refreshError="1"/>
      <sheetData sheetId="3218" refreshError="1"/>
      <sheetData sheetId="3219" refreshError="1"/>
      <sheetData sheetId="3220" refreshError="1"/>
      <sheetData sheetId="3221" refreshError="1"/>
      <sheetData sheetId="3222" refreshError="1"/>
      <sheetData sheetId="3223" refreshError="1"/>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refreshError="1"/>
      <sheetData sheetId="3233" refreshError="1"/>
      <sheetData sheetId="3234" refreshError="1"/>
      <sheetData sheetId="3235" refreshError="1"/>
      <sheetData sheetId="3236" refreshError="1"/>
      <sheetData sheetId="3237" refreshError="1"/>
      <sheetData sheetId="3238" refreshError="1"/>
      <sheetData sheetId="3239" refreshError="1"/>
      <sheetData sheetId="3240" refreshError="1"/>
      <sheetData sheetId="3241" refreshError="1"/>
      <sheetData sheetId="3242" refreshError="1"/>
      <sheetData sheetId="3243" refreshError="1"/>
      <sheetData sheetId="3244" refreshError="1"/>
      <sheetData sheetId="3245" refreshError="1"/>
      <sheetData sheetId="3246" refreshError="1"/>
      <sheetData sheetId="3247" refreshError="1"/>
      <sheetData sheetId="3248" refreshError="1"/>
      <sheetData sheetId="3249" refreshError="1"/>
      <sheetData sheetId="3250" refreshError="1"/>
      <sheetData sheetId="3251" refreshError="1"/>
      <sheetData sheetId="3252" refreshError="1"/>
      <sheetData sheetId="3253" refreshError="1"/>
      <sheetData sheetId="3254" refreshError="1"/>
      <sheetData sheetId="3255" refreshError="1"/>
      <sheetData sheetId="3256" refreshError="1"/>
      <sheetData sheetId="3257" refreshError="1"/>
      <sheetData sheetId="3258" refreshError="1"/>
      <sheetData sheetId="3259" refreshError="1"/>
      <sheetData sheetId="3260" refreshError="1"/>
      <sheetData sheetId="3261" refreshError="1"/>
      <sheetData sheetId="3262" refreshError="1"/>
      <sheetData sheetId="3263" refreshError="1"/>
      <sheetData sheetId="3264" refreshError="1"/>
      <sheetData sheetId="3265" refreshError="1"/>
      <sheetData sheetId="3266" refreshError="1"/>
      <sheetData sheetId="3267" refreshError="1"/>
      <sheetData sheetId="3268" refreshError="1"/>
      <sheetData sheetId="3269" refreshError="1"/>
      <sheetData sheetId="3270" refreshError="1"/>
      <sheetData sheetId="3271" refreshError="1"/>
      <sheetData sheetId="3272" refreshError="1"/>
      <sheetData sheetId="3273" refreshError="1"/>
      <sheetData sheetId="3274" refreshError="1"/>
      <sheetData sheetId="3275" refreshError="1"/>
      <sheetData sheetId="3276" refreshError="1"/>
      <sheetData sheetId="3277" refreshError="1"/>
      <sheetData sheetId="3278" refreshError="1"/>
      <sheetData sheetId="3279" refreshError="1"/>
      <sheetData sheetId="3280" refreshError="1"/>
      <sheetData sheetId="3281" refreshError="1"/>
      <sheetData sheetId="3282" refreshError="1"/>
      <sheetData sheetId="3283" refreshError="1"/>
      <sheetData sheetId="3284" refreshError="1"/>
      <sheetData sheetId="3285" refreshError="1"/>
      <sheetData sheetId="3286" refreshError="1"/>
      <sheetData sheetId="3287" refreshError="1"/>
      <sheetData sheetId="3288" refreshError="1"/>
      <sheetData sheetId="3289" refreshError="1"/>
      <sheetData sheetId="3290" refreshError="1"/>
      <sheetData sheetId="3291" refreshError="1"/>
      <sheetData sheetId="3292" refreshError="1"/>
      <sheetData sheetId="3293" refreshError="1"/>
      <sheetData sheetId="3294" refreshError="1"/>
      <sheetData sheetId="3295" refreshError="1"/>
      <sheetData sheetId="3296" refreshError="1"/>
      <sheetData sheetId="3297" refreshError="1"/>
      <sheetData sheetId="3298" refreshError="1"/>
      <sheetData sheetId="3299" refreshError="1"/>
      <sheetData sheetId="3300" refreshError="1"/>
      <sheetData sheetId="3301" refreshError="1"/>
      <sheetData sheetId="3302" refreshError="1"/>
      <sheetData sheetId="3303" refreshError="1"/>
      <sheetData sheetId="3304" refreshError="1"/>
      <sheetData sheetId="3305" refreshError="1"/>
      <sheetData sheetId="3306" refreshError="1"/>
      <sheetData sheetId="3307" refreshError="1"/>
      <sheetData sheetId="3308" refreshError="1"/>
      <sheetData sheetId="3309" refreshError="1"/>
      <sheetData sheetId="3310" refreshError="1"/>
      <sheetData sheetId="3311" refreshError="1"/>
      <sheetData sheetId="3312" refreshError="1"/>
      <sheetData sheetId="3313" refreshError="1"/>
      <sheetData sheetId="3314" refreshError="1"/>
      <sheetData sheetId="3315" refreshError="1"/>
      <sheetData sheetId="3316" refreshError="1"/>
      <sheetData sheetId="3317" refreshError="1"/>
      <sheetData sheetId="3318" refreshError="1"/>
      <sheetData sheetId="3319" refreshError="1"/>
      <sheetData sheetId="3320" refreshError="1"/>
      <sheetData sheetId="3321" refreshError="1"/>
      <sheetData sheetId="3322" refreshError="1"/>
      <sheetData sheetId="3323" refreshError="1"/>
      <sheetData sheetId="3324" refreshError="1"/>
      <sheetData sheetId="3325" refreshError="1"/>
      <sheetData sheetId="3326" refreshError="1"/>
      <sheetData sheetId="3327" refreshError="1"/>
      <sheetData sheetId="3328" refreshError="1"/>
      <sheetData sheetId="3329" refreshError="1"/>
      <sheetData sheetId="3330" refreshError="1"/>
      <sheetData sheetId="3331" refreshError="1"/>
      <sheetData sheetId="3332" refreshError="1"/>
      <sheetData sheetId="3333" refreshError="1"/>
      <sheetData sheetId="3334" refreshError="1"/>
      <sheetData sheetId="3335" refreshError="1"/>
      <sheetData sheetId="3336" refreshError="1"/>
      <sheetData sheetId="3337" refreshError="1"/>
      <sheetData sheetId="3338" refreshError="1"/>
      <sheetData sheetId="3339" refreshError="1"/>
      <sheetData sheetId="3340" refreshError="1"/>
      <sheetData sheetId="3341" refreshError="1"/>
      <sheetData sheetId="3342" refreshError="1"/>
      <sheetData sheetId="3343" refreshError="1"/>
      <sheetData sheetId="3344" refreshError="1"/>
      <sheetData sheetId="3345" refreshError="1"/>
      <sheetData sheetId="3346" refreshError="1"/>
      <sheetData sheetId="3347" refreshError="1"/>
      <sheetData sheetId="3348" refreshError="1"/>
      <sheetData sheetId="3349" refreshError="1"/>
      <sheetData sheetId="3350" refreshError="1"/>
      <sheetData sheetId="3351" refreshError="1"/>
      <sheetData sheetId="3352" refreshError="1"/>
      <sheetData sheetId="3353" refreshError="1"/>
      <sheetData sheetId="3354" refreshError="1"/>
      <sheetData sheetId="3355" refreshError="1"/>
      <sheetData sheetId="3356" refreshError="1"/>
      <sheetData sheetId="3357" refreshError="1"/>
      <sheetData sheetId="3358" refreshError="1"/>
      <sheetData sheetId="3359" refreshError="1"/>
      <sheetData sheetId="3360" refreshError="1"/>
      <sheetData sheetId="3361" refreshError="1"/>
      <sheetData sheetId="3362" refreshError="1"/>
      <sheetData sheetId="3363" refreshError="1"/>
      <sheetData sheetId="3364" refreshError="1"/>
      <sheetData sheetId="3365" refreshError="1"/>
      <sheetData sheetId="3366" refreshError="1"/>
      <sheetData sheetId="3367" refreshError="1"/>
      <sheetData sheetId="3368" refreshError="1"/>
      <sheetData sheetId="3369" refreshError="1"/>
      <sheetData sheetId="3370" refreshError="1"/>
      <sheetData sheetId="3371" refreshError="1"/>
      <sheetData sheetId="3372" refreshError="1"/>
      <sheetData sheetId="3373" refreshError="1"/>
      <sheetData sheetId="3374" refreshError="1"/>
      <sheetData sheetId="3375" refreshError="1"/>
      <sheetData sheetId="3376" refreshError="1"/>
      <sheetData sheetId="3377" refreshError="1"/>
      <sheetData sheetId="3378" refreshError="1"/>
      <sheetData sheetId="3379" refreshError="1"/>
      <sheetData sheetId="3380" refreshError="1"/>
      <sheetData sheetId="3381" refreshError="1"/>
      <sheetData sheetId="3382" refreshError="1"/>
      <sheetData sheetId="3383" refreshError="1"/>
      <sheetData sheetId="3384" refreshError="1"/>
      <sheetData sheetId="3385" refreshError="1"/>
      <sheetData sheetId="3386" refreshError="1"/>
      <sheetData sheetId="3387" refreshError="1"/>
      <sheetData sheetId="3388" refreshError="1"/>
      <sheetData sheetId="3389" refreshError="1"/>
      <sheetData sheetId="3390" refreshError="1"/>
      <sheetData sheetId="3391" refreshError="1"/>
      <sheetData sheetId="3392" refreshError="1"/>
      <sheetData sheetId="3393" refreshError="1"/>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refreshError="1"/>
      <sheetData sheetId="3470" refreshError="1"/>
      <sheetData sheetId="3471" refreshError="1"/>
      <sheetData sheetId="3472" refreshError="1"/>
      <sheetData sheetId="3473" refreshError="1"/>
      <sheetData sheetId="3474" refreshError="1"/>
      <sheetData sheetId="3475" refreshError="1"/>
      <sheetData sheetId="3476" refreshError="1"/>
      <sheetData sheetId="3477" refreshError="1"/>
      <sheetData sheetId="3478" refreshError="1"/>
      <sheetData sheetId="3479" refreshError="1"/>
      <sheetData sheetId="3480" refreshError="1"/>
      <sheetData sheetId="3481" refreshError="1"/>
      <sheetData sheetId="3482" refreshError="1"/>
      <sheetData sheetId="3483" refreshError="1"/>
      <sheetData sheetId="3484" refreshError="1"/>
      <sheetData sheetId="3485" refreshError="1"/>
      <sheetData sheetId="3486" refreshError="1"/>
      <sheetData sheetId="3487" refreshError="1"/>
      <sheetData sheetId="3488" refreshError="1"/>
      <sheetData sheetId="3489" refreshError="1"/>
      <sheetData sheetId="3490" refreshError="1"/>
      <sheetData sheetId="3491" refreshError="1"/>
      <sheetData sheetId="3492" refreshError="1"/>
      <sheetData sheetId="3493" refreshError="1"/>
      <sheetData sheetId="3494" refreshError="1"/>
      <sheetData sheetId="3495" refreshError="1"/>
      <sheetData sheetId="3496" refreshError="1"/>
      <sheetData sheetId="3497" refreshError="1"/>
      <sheetData sheetId="3498" refreshError="1"/>
      <sheetData sheetId="3499" refreshError="1"/>
      <sheetData sheetId="3500" refreshError="1"/>
      <sheetData sheetId="3501" refreshError="1"/>
      <sheetData sheetId="3502" refreshError="1"/>
      <sheetData sheetId="3503" refreshError="1"/>
      <sheetData sheetId="3504" refreshError="1"/>
      <sheetData sheetId="3505" refreshError="1"/>
      <sheetData sheetId="3506" refreshError="1"/>
      <sheetData sheetId="3507" refreshError="1"/>
      <sheetData sheetId="3508" refreshError="1"/>
      <sheetData sheetId="3509" refreshError="1"/>
      <sheetData sheetId="3510" refreshError="1"/>
      <sheetData sheetId="3511" refreshError="1"/>
      <sheetData sheetId="3512" refreshError="1"/>
      <sheetData sheetId="3513" refreshError="1"/>
      <sheetData sheetId="3514" refreshError="1"/>
      <sheetData sheetId="3515" refreshError="1"/>
      <sheetData sheetId="3516" refreshError="1"/>
      <sheetData sheetId="3517" refreshError="1"/>
      <sheetData sheetId="3518" refreshError="1"/>
      <sheetData sheetId="3519" refreshError="1"/>
      <sheetData sheetId="3520" refreshError="1"/>
      <sheetData sheetId="3521" refreshError="1"/>
      <sheetData sheetId="3522" refreshError="1"/>
      <sheetData sheetId="3523" refreshError="1"/>
      <sheetData sheetId="3524" refreshError="1"/>
      <sheetData sheetId="3525" refreshError="1"/>
      <sheetData sheetId="3526" refreshError="1"/>
      <sheetData sheetId="3527" refreshError="1"/>
      <sheetData sheetId="3528" refreshError="1"/>
      <sheetData sheetId="3529" refreshError="1"/>
      <sheetData sheetId="3530" refreshError="1"/>
      <sheetData sheetId="3531" refreshError="1"/>
      <sheetData sheetId="3532" refreshError="1"/>
      <sheetData sheetId="3533" refreshError="1"/>
      <sheetData sheetId="3534" refreshError="1"/>
      <sheetData sheetId="3535" refreshError="1"/>
      <sheetData sheetId="3536" refreshError="1"/>
      <sheetData sheetId="3537" refreshError="1"/>
      <sheetData sheetId="3538" refreshError="1"/>
      <sheetData sheetId="3539" refreshError="1"/>
      <sheetData sheetId="3540" refreshError="1"/>
      <sheetData sheetId="3541" refreshError="1"/>
      <sheetData sheetId="3542" refreshError="1"/>
      <sheetData sheetId="3543" refreshError="1"/>
      <sheetData sheetId="3544" refreshError="1"/>
      <sheetData sheetId="3545" refreshError="1"/>
      <sheetData sheetId="3546" refreshError="1"/>
      <sheetData sheetId="3547" refreshError="1"/>
      <sheetData sheetId="3548" refreshError="1"/>
      <sheetData sheetId="3549" refreshError="1"/>
      <sheetData sheetId="3550" refreshError="1"/>
      <sheetData sheetId="3551" refreshError="1"/>
      <sheetData sheetId="3552" refreshError="1"/>
      <sheetData sheetId="3553" refreshError="1"/>
      <sheetData sheetId="3554" refreshError="1"/>
      <sheetData sheetId="3555" refreshError="1"/>
      <sheetData sheetId="3556" refreshError="1"/>
      <sheetData sheetId="3557" refreshError="1"/>
      <sheetData sheetId="3558" refreshError="1"/>
      <sheetData sheetId="3559" refreshError="1"/>
      <sheetData sheetId="3560" refreshError="1"/>
      <sheetData sheetId="3561" refreshError="1"/>
      <sheetData sheetId="3562" refreshError="1"/>
      <sheetData sheetId="3563" refreshError="1"/>
      <sheetData sheetId="3564" refreshError="1"/>
      <sheetData sheetId="3565" refreshError="1"/>
      <sheetData sheetId="3566" refreshError="1"/>
      <sheetData sheetId="3567" refreshError="1"/>
      <sheetData sheetId="3568" refreshError="1"/>
      <sheetData sheetId="3569" refreshError="1"/>
      <sheetData sheetId="3570" refreshError="1"/>
      <sheetData sheetId="3571" refreshError="1"/>
      <sheetData sheetId="3572" refreshError="1"/>
      <sheetData sheetId="3573" refreshError="1"/>
      <sheetData sheetId="3574" refreshError="1"/>
      <sheetData sheetId="3575" refreshError="1"/>
      <sheetData sheetId="3576" refreshError="1"/>
      <sheetData sheetId="3577" refreshError="1"/>
      <sheetData sheetId="3578" refreshError="1"/>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refreshError="1"/>
      <sheetData sheetId="3603" refreshError="1"/>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refreshError="1"/>
      <sheetData sheetId="3618" refreshError="1"/>
      <sheetData sheetId="3619" refreshError="1"/>
      <sheetData sheetId="3620" refreshError="1"/>
      <sheetData sheetId="3621" refreshError="1"/>
      <sheetData sheetId="3622" refreshError="1"/>
      <sheetData sheetId="3623" refreshError="1"/>
      <sheetData sheetId="3624" refreshError="1"/>
      <sheetData sheetId="3625" refreshError="1"/>
      <sheetData sheetId="3626" refreshError="1"/>
      <sheetData sheetId="3627" refreshError="1"/>
      <sheetData sheetId="3628" refreshError="1"/>
      <sheetData sheetId="3629" refreshError="1"/>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refreshError="1"/>
      <sheetData sheetId="3678" refreshError="1"/>
      <sheetData sheetId="3679" refreshError="1"/>
      <sheetData sheetId="3680" refreshError="1"/>
      <sheetData sheetId="3681" refreshError="1"/>
      <sheetData sheetId="3682" refreshError="1"/>
      <sheetData sheetId="3683" refreshError="1"/>
      <sheetData sheetId="3684" refreshError="1"/>
      <sheetData sheetId="3685" refreshError="1"/>
      <sheetData sheetId="3686" refreshError="1"/>
      <sheetData sheetId="3687" refreshError="1"/>
      <sheetData sheetId="3688" refreshError="1"/>
      <sheetData sheetId="3689" refreshError="1"/>
      <sheetData sheetId="3690" refreshError="1"/>
      <sheetData sheetId="3691" refreshError="1"/>
      <sheetData sheetId="3692" refreshError="1"/>
      <sheetData sheetId="3693" refreshError="1"/>
      <sheetData sheetId="3694" refreshError="1"/>
      <sheetData sheetId="3695" refreshError="1"/>
      <sheetData sheetId="3696" refreshError="1"/>
      <sheetData sheetId="3697" refreshError="1"/>
      <sheetData sheetId="3698" refreshError="1"/>
      <sheetData sheetId="3699" refreshError="1"/>
      <sheetData sheetId="3700" refreshError="1"/>
      <sheetData sheetId="3701" refreshError="1"/>
      <sheetData sheetId="3702" refreshError="1"/>
      <sheetData sheetId="3703" refreshError="1"/>
      <sheetData sheetId="3704" refreshError="1"/>
      <sheetData sheetId="3705" refreshError="1"/>
      <sheetData sheetId="3706" refreshError="1"/>
      <sheetData sheetId="3707" refreshError="1"/>
      <sheetData sheetId="3708" refreshError="1"/>
      <sheetData sheetId="3709" refreshError="1"/>
      <sheetData sheetId="3710" refreshError="1"/>
      <sheetData sheetId="3711" refreshError="1"/>
      <sheetData sheetId="3712" refreshError="1"/>
      <sheetData sheetId="3713" refreshError="1"/>
      <sheetData sheetId="3714" refreshError="1"/>
      <sheetData sheetId="3715" refreshError="1"/>
      <sheetData sheetId="3716" refreshError="1"/>
      <sheetData sheetId="3717" refreshError="1"/>
      <sheetData sheetId="3718" refreshError="1"/>
      <sheetData sheetId="3719" refreshError="1"/>
      <sheetData sheetId="3720" refreshError="1"/>
      <sheetData sheetId="3721" refreshError="1"/>
      <sheetData sheetId="3722" refreshError="1"/>
      <sheetData sheetId="3723" refreshError="1"/>
      <sheetData sheetId="3724" refreshError="1"/>
      <sheetData sheetId="3725" refreshError="1"/>
      <sheetData sheetId="3726" refreshError="1"/>
      <sheetData sheetId="3727" refreshError="1"/>
      <sheetData sheetId="3728" refreshError="1"/>
      <sheetData sheetId="3729" refreshError="1"/>
      <sheetData sheetId="3730" refreshError="1"/>
      <sheetData sheetId="3731" refreshError="1"/>
      <sheetData sheetId="3732" refreshError="1"/>
      <sheetData sheetId="3733" refreshError="1"/>
      <sheetData sheetId="3734" refreshError="1"/>
      <sheetData sheetId="3735" refreshError="1"/>
      <sheetData sheetId="3736" refreshError="1"/>
      <sheetData sheetId="3737" refreshError="1"/>
      <sheetData sheetId="3738" refreshError="1"/>
      <sheetData sheetId="3739" refreshError="1"/>
      <sheetData sheetId="3740" refreshError="1"/>
      <sheetData sheetId="3741" refreshError="1"/>
      <sheetData sheetId="3742" refreshError="1"/>
      <sheetData sheetId="3743" refreshError="1"/>
      <sheetData sheetId="3744" refreshError="1"/>
      <sheetData sheetId="3745" refreshError="1"/>
      <sheetData sheetId="3746" refreshError="1"/>
      <sheetData sheetId="3747" refreshError="1"/>
      <sheetData sheetId="3748" refreshError="1"/>
      <sheetData sheetId="3749" refreshError="1"/>
      <sheetData sheetId="3750" refreshError="1"/>
      <sheetData sheetId="3751" refreshError="1"/>
      <sheetData sheetId="3752" refreshError="1"/>
      <sheetData sheetId="3753" refreshError="1"/>
      <sheetData sheetId="3754" refreshError="1"/>
      <sheetData sheetId="3755" refreshError="1"/>
      <sheetData sheetId="3756" refreshError="1"/>
      <sheetData sheetId="3757" refreshError="1"/>
      <sheetData sheetId="3758" refreshError="1"/>
      <sheetData sheetId="3759" refreshError="1"/>
      <sheetData sheetId="3760" refreshError="1"/>
      <sheetData sheetId="3761" refreshError="1"/>
      <sheetData sheetId="3762" refreshError="1"/>
      <sheetData sheetId="3763" refreshError="1"/>
      <sheetData sheetId="3764" refreshError="1"/>
      <sheetData sheetId="3765" refreshError="1"/>
      <sheetData sheetId="3766" refreshError="1"/>
      <sheetData sheetId="3767" refreshError="1"/>
      <sheetData sheetId="3768" refreshError="1"/>
      <sheetData sheetId="3769" refreshError="1"/>
      <sheetData sheetId="3770" refreshError="1"/>
      <sheetData sheetId="3771" refreshError="1"/>
      <sheetData sheetId="3772" refreshError="1"/>
      <sheetData sheetId="3773" refreshError="1"/>
      <sheetData sheetId="3774" refreshError="1"/>
      <sheetData sheetId="3775" refreshError="1"/>
      <sheetData sheetId="3776" refreshError="1"/>
      <sheetData sheetId="3777" refreshError="1"/>
      <sheetData sheetId="3778" refreshError="1"/>
      <sheetData sheetId="3779" refreshError="1"/>
      <sheetData sheetId="3780" refreshError="1"/>
      <sheetData sheetId="3781" refreshError="1"/>
      <sheetData sheetId="3782" refreshError="1"/>
      <sheetData sheetId="3783" refreshError="1"/>
      <sheetData sheetId="3784" refreshError="1"/>
      <sheetData sheetId="3785" refreshError="1"/>
      <sheetData sheetId="3786" refreshError="1"/>
      <sheetData sheetId="3787" refreshError="1"/>
      <sheetData sheetId="3788" refreshError="1"/>
      <sheetData sheetId="3789" refreshError="1"/>
      <sheetData sheetId="3790" refreshError="1"/>
      <sheetData sheetId="3791" refreshError="1"/>
      <sheetData sheetId="3792" refreshError="1"/>
      <sheetData sheetId="3793" refreshError="1"/>
      <sheetData sheetId="3794" refreshError="1"/>
      <sheetData sheetId="3795" refreshError="1"/>
      <sheetData sheetId="3796" refreshError="1"/>
      <sheetData sheetId="3797" refreshError="1"/>
      <sheetData sheetId="3798" refreshError="1"/>
      <sheetData sheetId="3799" refreshError="1"/>
      <sheetData sheetId="3800" refreshError="1"/>
      <sheetData sheetId="3801" refreshError="1"/>
      <sheetData sheetId="3802" refreshError="1"/>
      <sheetData sheetId="3803" refreshError="1"/>
      <sheetData sheetId="3804" refreshError="1"/>
      <sheetData sheetId="3805" refreshError="1"/>
      <sheetData sheetId="3806" refreshError="1"/>
      <sheetData sheetId="3807" refreshError="1"/>
      <sheetData sheetId="3808" refreshError="1"/>
      <sheetData sheetId="3809" refreshError="1"/>
      <sheetData sheetId="3810" refreshError="1"/>
      <sheetData sheetId="3811" refreshError="1"/>
      <sheetData sheetId="3812" refreshError="1"/>
      <sheetData sheetId="3813" refreshError="1"/>
      <sheetData sheetId="3814" refreshError="1"/>
      <sheetData sheetId="3815" refreshError="1"/>
      <sheetData sheetId="3816" refreshError="1"/>
      <sheetData sheetId="3817" refreshError="1"/>
      <sheetData sheetId="3818" refreshError="1"/>
      <sheetData sheetId="3819" refreshError="1"/>
      <sheetData sheetId="3820" refreshError="1"/>
      <sheetData sheetId="3821" refreshError="1"/>
      <sheetData sheetId="3822" refreshError="1"/>
      <sheetData sheetId="3823" refreshError="1"/>
      <sheetData sheetId="3824" refreshError="1"/>
      <sheetData sheetId="3825" refreshError="1"/>
      <sheetData sheetId="3826" refreshError="1"/>
      <sheetData sheetId="3827" refreshError="1"/>
      <sheetData sheetId="3828" refreshError="1"/>
      <sheetData sheetId="3829" refreshError="1"/>
      <sheetData sheetId="3830" refreshError="1"/>
      <sheetData sheetId="3831" refreshError="1"/>
      <sheetData sheetId="3832" refreshError="1"/>
      <sheetData sheetId="3833" refreshError="1"/>
      <sheetData sheetId="3834" refreshError="1"/>
      <sheetData sheetId="3835" refreshError="1"/>
      <sheetData sheetId="3836" refreshError="1"/>
      <sheetData sheetId="3837" refreshError="1"/>
      <sheetData sheetId="3838" refreshError="1"/>
      <sheetData sheetId="3839" refreshError="1"/>
      <sheetData sheetId="3840" refreshError="1"/>
      <sheetData sheetId="3841" refreshError="1"/>
      <sheetData sheetId="3842" refreshError="1"/>
      <sheetData sheetId="3843" refreshError="1"/>
      <sheetData sheetId="3844" refreshError="1"/>
      <sheetData sheetId="3845" refreshError="1"/>
      <sheetData sheetId="3846" refreshError="1"/>
      <sheetData sheetId="3847" refreshError="1"/>
      <sheetData sheetId="3848" refreshError="1"/>
      <sheetData sheetId="3849" refreshError="1"/>
      <sheetData sheetId="3850" refreshError="1"/>
      <sheetData sheetId="3851" refreshError="1"/>
      <sheetData sheetId="3852" refreshError="1"/>
      <sheetData sheetId="3853" refreshError="1"/>
      <sheetData sheetId="3854" refreshError="1"/>
      <sheetData sheetId="3855" refreshError="1"/>
      <sheetData sheetId="3856" refreshError="1"/>
      <sheetData sheetId="3857" refreshError="1"/>
      <sheetData sheetId="3858" refreshError="1"/>
      <sheetData sheetId="3859" refreshError="1"/>
      <sheetData sheetId="3860" refreshError="1"/>
      <sheetData sheetId="3861" refreshError="1"/>
      <sheetData sheetId="3862" refreshError="1"/>
      <sheetData sheetId="3863" refreshError="1"/>
      <sheetData sheetId="3864" refreshError="1"/>
      <sheetData sheetId="3865" refreshError="1"/>
      <sheetData sheetId="3866" refreshError="1"/>
      <sheetData sheetId="3867" refreshError="1"/>
      <sheetData sheetId="3868" refreshError="1"/>
      <sheetData sheetId="3869" refreshError="1"/>
      <sheetData sheetId="3870" refreshError="1"/>
      <sheetData sheetId="3871" refreshError="1"/>
      <sheetData sheetId="3872" refreshError="1"/>
      <sheetData sheetId="3873" refreshError="1"/>
      <sheetData sheetId="3874" refreshError="1"/>
      <sheetData sheetId="3875" refreshError="1"/>
      <sheetData sheetId="3876" refreshError="1"/>
      <sheetData sheetId="3877" refreshError="1"/>
      <sheetData sheetId="3878" refreshError="1"/>
      <sheetData sheetId="3879" refreshError="1"/>
      <sheetData sheetId="3880" refreshError="1"/>
      <sheetData sheetId="3881" refreshError="1"/>
      <sheetData sheetId="3882" refreshError="1"/>
      <sheetData sheetId="3883" refreshError="1"/>
      <sheetData sheetId="3884" refreshError="1"/>
      <sheetData sheetId="3885" refreshError="1"/>
      <sheetData sheetId="3886" refreshError="1"/>
      <sheetData sheetId="3887" refreshError="1"/>
      <sheetData sheetId="3888" refreshError="1"/>
      <sheetData sheetId="3889" refreshError="1"/>
      <sheetData sheetId="3890" refreshError="1"/>
      <sheetData sheetId="3891" refreshError="1"/>
      <sheetData sheetId="3892" refreshError="1"/>
      <sheetData sheetId="3893" refreshError="1"/>
      <sheetData sheetId="3894" refreshError="1"/>
      <sheetData sheetId="3895" refreshError="1"/>
      <sheetData sheetId="3896" refreshError="1"/>
      <sheetData sheetId="3897" refreshError="1"/>
      <sheetData sheetId="3898" refreshError="1"/>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refreshError="1"/>
      <sheetData sheetId="3970" refreshError="1"/>
      <sheetData sheetId="3971" refreshError="1"/>
      <sheetData sheetId="3972" refreshError="1"/>
      <sheetData sheetId="3973" refreshError="1"/>
      <sheetData sheetId="3974" refreshError="1"/>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refreshError="1"/>
      <sheetData sheetId="3987" refreshError="1"/>
      <sheetData sheetId="3988" refreshError="1"/>
      <sheetData sheetId="3989" refreshError="1"/>
      <sheetData sheetId="3990" refreshError="1"/>
      <sheetData sheetId="3991" refreshError="1"/>
      <sheetData sheetId="3992" refreshError="1"/>
      <sheetData sheetId="3993" refreshError="1"/>
      <sheetData sheetId="3994" refreshError="1"/>
      <sheetData sheetId="3995" refreshError="1"/>
      <sheetData sheetId="3996" refreshError="1"/>
      <sheetData sheetId="3997" refreshError="1"/>
      <sheetData sheetId="3998" refreshError="1"/>
      <sheetData sheetId="3999" refreshError="1"/>
      <sheetData sheetId="4000" refreshError="1"/>
      <sheetData sheetId="4001" refreshError="1"/>
      <sheetData sheetId="4002" refreshError="1"/>
      <sheetData sheetId="4003" refreshError="1"/>
      <sheetData sheetId="4004" refreshError="1"/>
      <sheetData sheetId="4005" refreshError="1"/>
      <sheetData sheetId="4006" refreshError="1"/>
      <sheetData sheetId="4007" refreshError="1"/>
      <sheetData sheetId="4008" refreshError="1"/>
      <sheetData sheetId="4009" refreshError="1"/>
      <sheetData sheetId="4010" refreshError="1"/>
      <sheetData sheetId="4011" refreshError="1"/>
      <sheetData sheetId="4012" refreshError="1"/>
      <sheetData sheetId="4013" refreshError="1"/>
      <sheetData sheetId="4014" refreshError="1"/>
      <sheetData sheetId="4015" refreshError="1"/>
      <sheetData sheetId="4016" refreshError="1"/>
      <sheetData sheetId="4017" refreshError="1"/>
      <sheetData sheetId="4018" refreshError="1"/>
      <sheetData sheetId="4019" refreshError="1"/>
      <sheetData sheetId="4020" refreshError="1"/>
      <sheetData sheetId="4021" refreshError="1"/>
      <sheetData sheetId="4022" refreshError="1"/>
      <sheetData sheetId="4023" refreshError="1"/>
      <sheetData sheetId="4024" refreshError="1"/>
      <sheetData sheetId="4025" refreshError="1"/>
      <sheetData sheetId="4026" refreshError="1"/>
      <sheetData sheetId="4027" refreshError="1"/>
      <sheetData sheetId="4028" refreshError="1"/>
      <sheetData sheetId="4029" refreshError="1"/>
      <sheetData sheetId="4030" refreshError="1"/>
      <sheetData sheetId="4031" refreshError="1"/>
      <sheetData sheetId="4032" refreshError="1"/>
      <sheetData sheetId="4033" refreshError="1"/>
      <sheetData sheetId="4034" refreshError="1"/>
      <sheetData sheetId="4035" refreshError="1"/>
      <sheetData sheetId="4036" refreshError="1"/>
      <sheetData sheetId="4037" refreshError="1"/>
      <sheetData sheetId="4038" refreshError="1"/>
      <sheetData sheetId="4039" refreshError="1"/>
      <sheetData sheetId="4040" refreshError="1"/>
      <sheetData sheetId="4041" refreshError="1"/>
      <sheetData sheetId="4042" refreshError="1"/>
      <sheetData sheetId="4043" refreshError="1"/>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refreshError="1"/>
      <sheetData sheetId="4077" refreshError="1"/>
      <sheetData sheetId="4078" refreshError="1"/>
      <sheetData sheetId="4079" refreshError="1"/>
      <sheetData sheetId="4080" refreshError="1"/>
      <sheetData sheetId="4081" refreshError="1"/>
      <sheetData sheetId="4082" refreshError="1"/>
      <sheetData sheetId="4083" refreshError="1"/>
      <sheetData sheetId="4084" refreshError="1"/>
      <sheetData sheetId="4085" refreshError="1"/>
      <sheetData sheetId="4086" refreshError="1"/>
      <sheetData sheetId="4087" refreshError="1"/>
      <sheetData sheetId="4088" refreshError="1"/>
      <sheetData sheetId="4089" refreshError="1"/>
      <sheetData sheetId="4090" refreshError="1"/>
      <sheetData sheetId="4091" refreshError="1"/>
      <sheetData sheetId="4092" refreshError="1"/>
      <sheetData sheetId="4093" refreshError="1"/>
      <sheetData sheetId="4094" refreshError="1"/>
      <sheetData sheetId="4095" refreshError="1"/>
      <sheetData sheetId="4096" refreshError="1"/>
      <sheetData sheetId="4097" refreshError="1"/>
      <sheetData sheetId="4098" refreshError="1"/>
      <sheetData sheetId="4099" refreshError="1"/>
      <sheetData sheetId="4100" refreshError="1"/>
      <sheetData sheetId="4101" refreshError="1"/>
      <sheetData sheetId="4102" refreshError="1"/>
      <sheetData sheetId="4103" refreshError="1"/>
      <sheetData sheetId="4104" refreshError="1"/>
      <sheetData sheetId="4105" refreshError="1"/>
      <sheetData sheetId="4106" refreshError="1"/>
      <sheetData sheetId="4107" refreshError="1"/>
      <sheetData sheetId="4108" refreshError="1"/>
      <sheetData sheetId="4109" refreshError="1"/>
      <sheetData sheetId="4110" refreshError="1"/>
      <sheetData sheetId="4111"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全指标"/>
      <sheetName val="基础数据"/>
      <sheetName val="规划"/>
      <sheetName val="安置房建设成本"/>
      <sheetName val="前期费用"/>
      <sheetName val="征地费148"/>
      <sheetName val="拆迁费"/>
      <sheetName val="征地费全转"/>
      <sheetName val="拆迁费 (新)"/>
      <sheetName val="其他费用"/>
      <sheetName val="资金计划"/>
      <sheetName val="其他指标"/>
      <sheetName val="棚改土地成本"/>
      <sheetName val="收益分析"/>
      <sheetName val="剩余法"/>
      <sheetName val="工业招拍挂案例"/>
      <sheetName val="横道图"/>
      <sheetName val="Sheet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基础资料"/>
      <sheetName val="初评审批"/>
      <sheetName val="成本法（1栋）"/>
      <sheetName val="成本法（20)"/>
      <sheetName val="成本法（21栋)"/>
      <sheetName val="修正计算表（联排）"/>
      <sheetName val="修正计算表（独栋)"/>
      <sheetName val="#REF!"/>
      <sheetName val="下拉选择字段"/>
      <sheetName val="基本情况"/>
      <sheetName val="估价方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22">
          <cell r="B22">
            <v>0</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分项成本测算"/>
      <sheetName val="起步区土地成本测算"/>
      <sheetName val="起步区各村情况"/>
      <sheetName val="规划文本数据"/>
      <sheetName val="2020年启动项目投资"/>
      <sheetName val="2021年启动项目投资"/>
      <sheetName val="2022年启动项目投资"/>
    </sheetNames>
    <sheetDataSet>
      <sheetData sheetId="0"/>
      <sheetData sheetId="1">
        <row r="4">
          <cell r="K4">
            <v>57.23</v>
          </cell>
        </row>
      </sheetData>
      <sheetData sheetId="2"/>
      <sheetData sheetId="3"/>
      <sheetData sheetId="4">
        <row r="4">
          <cell r="H4">
            <v>945183</v>
          </cell>
          <cell r="I4">
            <v>960000</v>
          </cell>
          <cell r="J4">
            <v>4800</v>
          </cell>
        </row>
        <row r="11">
          <cell r="H11">
            <v>948144</v>
          </cell>
          <cell r="I11">
            <v>368690</v>
          </cell>
          <cell r="J11">
            <v>1985520</v>
          </cell>
        </row>
        <row r="29">
          <cell r="H29">
            <v>723917.7</v>
          </cell>
          <cell r="I29">
            <v>59680</v>
          </cell>
          <cell r="J29">
            <v>0</v>
          </cell>
        </row>
        <row r="41">
          <cell r="H41">
            <v>265680.705</v>
          </cell>
          <cell r="I41">
            <v>0</v>
          </cell>
          <cell r="J41">
            <v>0</v>
          </cell>
        </row>
      </sheetData>
      <sheetData sheetId="5">
        <row r="4">
          <cell r="H4">
            <v>647817</v>
          </cell>
          <cell r="I4">
            <v>0</v>
          </cell>
          <cell r="J4">
            <v>0</v>
          </cell>
        </row>
        <row r="10">
          <cell r="H10">
            <v>497308</v>
          </cell>
          <cell r="I10">
            <v>241008</v>
          </cell>
          <cell r="J10">
            <v>0</v>
          </cell>
        </row>
        <row r="18">
          <cell r="H18">
            <v>915018</v>
          </cell>
          <cell r="I18">
            <v>22840</v>
          </cell>
          <cell r="J18">
            <v>0</v>
          </cell>
        </row>
        <row r="39">
          <cell r="H39">
            <v>150030.11</v>
          </cell>
          <cell r="I39">
            <v>0</v>
          </cell>
          <cell r="J39">
            <v>0</v>
          </cell>
        </row>
      </sheetData>
      <sheetData sheetId="6">
        <row r="4">
          <cell r="H4">
            <v>200400</v>
          </cell>
          <cell r="I4">
            <v>72520</v>
          </cell>
          <cell r="J4">
            <v>0</v>
          </cell>
        </row>
      </sheetData>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comments" Target="../comments1.xml"/></Relationships>
</file>

<file path=xl/worksheets/_rels/sheet10.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8.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9.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10.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2.xml"/></Relationships>
</file>

<file path=xl/worksheets/_rels/sheet42.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3.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45.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4.xml"/></Relationships>
</file>

<file path=xl/worksheets/_rels/sheet46.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8.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6.xml"/></Relationships>
</file>

<file path=xl/worksheets/_rels/sheet49.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7.xml"/></Relationships>
</file>

<file path=xl/worksheets/_rels/sheet50.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8.xml"/></Relationships>
</file>

<file path=xl/worksheets/_rels/sheet51.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9.xml"/></Relationships>
</file>

<file path=xl/worksheets/_rels/sheet52.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20.xml"/></Relationships>
</file>

<file path=xl/worksheets/_rels/sheet53.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1.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6.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2.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13.xml"/><Relationship Id="rId1" Type="http://schemas.openxmlformats.org/officeDocument/2006/relationships/comments" Target="../comments23.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67.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4.xml"/></Relationships>
</file>

<file path=xl/worksheets/_rels/sheet68.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5.xml"/></Relationships>
</file>

<file path=xl/worksheets/_rels/sheet69.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6.xml"/></Relationships>
</file>

<file path=xl/worksheets/_rels/sheet70.xml.rels><?xml version="1.0" encoding="UTF-8" standalone="yes"?>
<Relationships xmlns="http://schemas.openxmlformats.org/package/2006/relationships"><Relationship Id="rId2" Type="http://schemas.openxmlformats.org/officeDocument/2006/relationships/vmlDrawing" Target="../drawings/vmlDrawing31.vml"/><Relationship Id="rId1" Type="http://schemas.openxmlformats.org/officeDocument/2006/relationships/comments" Target="../comments27.xml"/></Relationships>
</file>

<file path=xl/worksheets/_rels/sheet71.xml.rels><?xml version="1.0" encoding="UTF-8" standalone="yes"?>
<Relationships xmlns="http://schemas.openxmlformats.org/package/2006/relationships"><Relationship Id="rId2" Type="http://schemas.openxmlformats.org/officeDocument/2006/relationships/vmlDrawing" Target="../drawings/vmlDrawing32.vml"/><Relationship Id="rId1" Type="http://schemas.openxmlformats.org/officeDocument/2006/relationships/comments" Target="../comments2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C76"/>
  <sheetViews>
    <sheetView zoomScale="80" zoomScaleNormal="80" topLeftCell="A31" workbookViewId="0">
      <selection activeCell="A76" sqref="A76:B76"/>
    </sheetView>
  </sheetViews>
  <sheetFormatPr defaultColWidth="9" defaultRowHeight="14.25"/>
  <cols>
    <col min="1" max="1" width="36.45" style="3583" customWidth="1"/>
    <col min="2" max="2" width="78.2666666666667" style="3584" customWidth="1"/>
    <col min="3" max="18" width="9" style="3585"/>
    <col min="19" max="19" width="17.9083333333333" style="3585" customWidth="1"/>
    <col min="20" max="51" width="9" style="3585"/>
    <col min="52" max="52" width="13.2666666666667" style="3585" customWidth="1"/>
    <col min="53" max="53" width="13.45" style="3585" customWidth="1"/>
    <col min="54" max="54" width="11.6333333333333" style="3585" customWidth="1"/>
    <col min="55" max="55" width="13.45" style="3585" customWidth="1"/>
    <col min="56" max="16384" width="9" style="3585"/>
  </cols>
  <sheetData>
    <row r="1" s="3579" customFormat="1" ht="16.5" spans="1:2">
      <c r="A1" s="3586" t="s">
        <v>0</v>
      </c>
      <c r="B1" s="3587" t="s">
        <v>1</v>
      </c>
    </row>
    <row r="2" s="3580" customFormat="1" ht="15" spans="1:55">
      <c r="A2" s="3588" t="s">
        <v>2</v>
      </c>
      <c r="B2" s="3589" t="str">
        <f>'预评函-封皮'!B37</f>
        <v>出让国有建设用地使用权预评估</v>
      </c>
      <c r="AX2" s="3599"/>
      <c r="AZ2" s="3599"/>
      <c r="BA2" s="3600"/>
      <c r="BC2" s="3600"/>
    </row>
    <row r="3" spans="1:2">
      <c r="A3" s="3590" t="s">
        <v>3</v>
      </c>
      <c r="B3" s="3591">
        <f>'预评函-封皮'!B40</f>
        <v>0</v>
      </c>
    </row>
    <row r="4" s="3581" customFormat="1" spans="1:14">
      <c r="A4" s="3590" t="s">
        <v>4</v>
      </c>
      <c r="B4" s="3591" t="str">
        <f>'预评函-封皮'!B46</f>
        <v>土地估价师、土地估价师</v>
      </c>
      <c r="N4" s="3581" t="str">
        <f>'预评函-1'!A28</f>
        <v>本次估价的“抵押净值”是指估价对象“抵押价格”减去估价对象在估价期日以“土地销售收入”为基数计算的预计抵押权实现进行处置时需缴纳的各项费用、税金等相关费用后的价格。</v>
      </c>
    </row>
    <row r="5" s="3579" customFormat="1" ht="15" spans="1:2">
      <c r="A5" s="3592" t="s">
        <v>5</v>
      </c>
      <c r="B5" s="3593" t="str">
        <f>'预评函-封皮'!B49</f>
        <v>康正预评字号</v>
      </c>
    </row>
    <row r="6" s="3582" customFormat="1" ht="15" spans="1:39">
      <c r="A6" s="3588" t="s">
        <v>6</v>
      </c>
      <c r="B6" s="3589" t="str">
        <f>'预评函-1'!A4</f>
        <v>受贵公司委托，我公司对出让国有建设用地使用权进行了预评估。</v>
      </c>
      <c r="AM6" s="3597"/>
    </row>
    <row r="7" spans="1:2">
      <c r="A7" s="3590" t="s">
        <v>7</v>
      </c>
      <c r="B7" s="3591" t="str">
        <f>'预评函-1'!A6</f>
        <v>估价对象为使用的、位于出让国有建设用地使用权。根据《国有土地使用证》[]，估价对象（分摊）出让国有建设用地使用权面积为101349.03平方米。根据《建设工程规划许可证》[]、《出让合同》[]，估价对象规划建筑面积为220401.41平方米。</v>
      </c>
    </row>
    <row r="8" spans="1:2">
      <c r="A8" s="3590" t="s">
        <v>8</v>
      </c>
      <c r="B8" s="3591" t="str">
        <f>'预评函-1'!A7</f>
        <v>简述项目推广名，项目类型（用途），估价对象分布，各用途面积明细情况：XX用途建筑面积XX平方米，XX用途建筑面积XX平方米，……。复杂面积清单需设‘附表’列示：抵押物清单详见附表。        </v>
      </c>
    </row>
    <row r="9" spans="1:2">
      <c r="A9" s="3590" t="s">
        <v>9</v>
      </c>
      <c r="B9" s="3591" t="str">
        <f>'预评函-1'!A9</f>
        <v>本次评估为委托估价方了解标的物之市场价格提供参考依据而评估出让国有建设用地使用权市场价格。</v>
      </c>
    </row>
    <row r="10" spans="1:2">
      <c r="A10" s="3590" t="s">
        <v>10</v>
      </c>
      <c r="B10" s="3591" t="str">
        <f>'预评函-1'!A11</f>
        <v>2023年11月22日（评估专业人员勘察现场之日）</v>
      </c>
    </row>
    <row r="11" spans="1:2">
      <c r="A11" s="3590" t="s">
        <v>11</v>
      </c>
      <c r="B11" s="3591" t="str">
        <f>'预评函-1'!A14</f>
        <v>根据《国有土地使用证》[]，本次评估估价对象证载（地类）用途为。</v>
      </c>
    </row>
    <row r="12" spans="1:2">
      <c r="A12" s="3590" t="s">
        <v>12</v>
      </c>
      <c r="B12" s="3591" t="str">
        <f>'预评函-1'!A15</f>
        <v>本次评估设定用途即为证载用途。</v>
      </c>
    </row>
    <row r="13" spans="1:2">
      <c r="A13" s="3590" t="s">
        <v>13</v>
      </c>
      <c r="B13" s="3591" t="str">
        <f>'预评函-1'!A17</f>
        <v>根据委托估价方介绍及评估专业人员现场勘查，本次评估估价对象实际土地开发程度为红线外市政基础设施达“七通”（即、、、、、、）、宗地红线内场地平整。</v>
      </c>
    </row>
    <row r="14" spans="1:2">
      <c r="A14" s="3590" t="s">
        <v>14</v>
      </c>
      <c r="B14" s="3591" t="str">
        <f>'预评函-1'!A18</f>
        <v>。本次评估设定土地开发程度为红线外市政基础设施达“七通”、宗地红线内场地平整。</v>
      </c>
    </row>
    <row r="15" spans="1:2">
      <c r="A15" s="3590" t="s">
        <v>15</v>
      </c>
      <c r="B15" s="3591" t="str">
        <f>'预评函-1'!A20</f>
        <v>根据《国有土地使用证》[]，估价对象（分摊）出让国有建设用地使用权面积为101349.03平方米。根据《建设工程规划许可证》[]、《出让合同》[]，估价对象规划建筑面积为220401.41平方米。</v>
      </c>
    </row>
    <row r="16" spans="1:2">
      <c r="A16" s="3590" t="s">
        <v>16</v>
      </c>
      <c r="B16" s="3591"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2095年1月1日、商业2065年1月1日、办公2075年1月1日工业2075年1月1日。截至估价期日，出让国有建设用地使用权剩余土地使用年限为。</v>
      </c>
    </row>
    <row r="17" spans="1:2">
      <c r="A17" s="3590" t="s">
        <v>17</v>
      </c>
      <c r="B17" s="3591" t="str">
        <f>'预评函-1'!A23</f>
        <v>本次评估设定估价对象剩余土地使用年限为。</v>
      </c>
    </row>
    <row r="18" spans="1:2">
      <c r="A18" s="3590" t="s">
        <v>18</v>
      </c>
      <c r="B18" s="3591" t="str">
        <f>'预评函-1'!A25</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row>
    <row r="19" spans="1:2">
      <c r="A19" s="3590" t="s">
        <v>19</v>
      </c>
      <c r="B19" s="3591"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2">
      <c r="A20" s="3590" t="s">
        <v>20</v>
      </c>
      <c r="B20" s="3591" t="str">
        <f>'预评函-1'!A27</f>
        <v>——</v>
      </c>
    </row>
    <row r="21" s="3579" customFormat="1" ht="15" spans="1:2">
      <c r="A21" s="3592" t="s">
        <v>21</v>
      </c>
      <c r="B21" s="3593" t="str">
        <f>'预评函-1'!A28</f>
        <v>本次估价的“抵押净值”是指估价对象“抵押价格”减去估价对象在估价期日以“土地销售收入”为基数计算的预计抵押权实现进行处置时需缴纳的各项费用、税金等相关费用后的价格。</v>
      </c>
    </row>
    <row r="22" ht="15" spans="1:2">
      <c r="A22" s="3594" t="s">
        <v>22</v>
      </c>
      <c r="B22" s="3595"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2">
      <c r="A23" s="3590" t="s">
        <v>23</v>
      </c>
      <c r="B23" s="3591" t="str">
        <f>'预评函-2'!K2</f>
        <v>估价期日：2023年11月22日</v>
      </c>
    </row>
    <row r="24" spans="1:2">
      <c r="A24" s="3590" t="s">
        <v>24</v>
      </c>
      <c r="B24" s="3591" t="str">
        <f>'预评函-2'!R2</f>
        <v>估价期日的国有建设用地使用权性质：出让</v>
      </c>
    </row>
    <row r="25" spans="1:2">
      <c r="A25" s="3590" t="s">
        <v>25</v>
      </c>
      <c r="B25" s="3591" t="str">
        <f>'预评函-2'!A3</f>
        <v>估价期日土地使用者</v>
      </c>
    </row>
    <row r="26" spans="1:2">
      <c r="A26" s="3590" t="s">
        <v>26</v>
      </c>
      <c r="B26" s="3591" t="str">
        <f>'预评函-2'!A5</f>
        <v>中信开发</v>
      </c>
    </row>
    <row r="27" spans="1:2">
      <c r="A27" s="3590" t="s">
        <v>27</v>
      </c>
      <c r="B27" s="3591" t="str">
        <f>'预评函-2'!B3</f>
        <v>宗地编号/不动产单元号</v>
      </c>
    </row>
    <row r="28" spans="1:2">
      <c r="A28" s="3590" t="s">
        <v>28</v>
      </c>
      <c r="B28" s="3591" t="str">
        <f>'预评函-2'!B5</f>
        <v>11111111111</v>
      </c>
    </row>
    <row r="29" spans="1:2">
      <c r="A29" s="3590" t="s">
        <v>29</v>
      </c>
      <c r="B29" s="3591">
        <f>'预评函-2'!C5</f>
        <v>22</v>
      </c>
    </row>
    <row r="30" spans="1:2">
      <c r="A30" s="3590" t="s">
        <v>30</v>
      </c>
      <c r="B30" s="3591" t="str">
        <f>'预评函-2'!D3</f>
        <v>土地使用证编号/不动产权证书编号</v>
      </c>
    </row>
    <row r="31" spans="1:2">
      <c r="A31" s="3590" t="s">
        <v>31</v>
      </c>
      <c r="B31" s="3591" t="str">
        <f>'预评函-2'!D5</f>
        <v>京国土字第111号</v>
      </c>
    </row>
    <row r="32" spans="1:48">
      <c r="A32" s="3590" t="s">
        <v>32</v>
      </c>
      <c r="B32" s="3591">
        <f>'预评函-2'!E5</f>
        <v>0</v>
      </c>
      <c r="AV32" s="3598"/>
    </row>
    <row r="33" spans="1:2">
      <c r="A33" s="3590" t="s">
        <v>33</v>
      </c>
      <c r="B33" s="3591">
        <f>'预评函-2'!F5</f>
        <v>258</v>
      </c>
    </row>
    <row r="34" spans="1:2">
      <c r="A34" s="3590" t="s">
        <v>34</v>
      </c>
      <c r="B34" s="3591">
        <f>'预评函-2'!G5</f>
        <v>0</v>
      </c>
    </row>
    <row r="35" spans="1:2">
      <c r="A35" s="3590" t="s">
        <v>35</v>
      </c>
      <c r="B35" s="3591">
        <f>'预评函-2'!H5</f>
        <v>1.5</v>
      </c>
    </row>
    <row r="36" spans="1:2">
      <c r="A36" s="3590" t="s">
        <v>36</v>
      </c>
      <c r="B36" s="3591">
        <f>'预评函-2'!I5</f>
        <v>1.5</v>
      </c>
    </row>
    <row r="37" spans="1:2">
      <c r="A37" s="3590" t="s">
        <v>37</v>
      </c>
      <c r="B37" s="3591">
        <f>'预评函-2'!J5</f>
        <v>1.5</v>
      </c>
    </row>
    <row r="38" spans="1:2">
      <c r="A38" s="3590" t="s">
        <v>38</v>
      </c>
      <c r="B38" s="3591" t="str">
        <f>'预评函-2'!K5</f>
        <v>红线外七通、宗地红线内</v>
      </c>
    </row>
    <row r="39" spans="1:2">
      <c r="A39" s="3590" t="s">
        <v>39</v>
      </c>
      <c r="B39" s="3591" t="str">
        <f>'预评函-2'!L5</f>
        <v>红线外七通、宗地红线内场地</v>
      </c>
    </row>
    <row r="40" spans="1:2">
      <c r="A40" s="3590" t="s">
        <v>40</v>
      </c>
      <c r="B40" s="3591" t="str">
        <f>'预评函-2'!M3</f>
        <v>（剩余）土地使用年限/年</v>
      </c>
    </row>
    <row r="41" spans="1:2">
      <c r="A41" s="3590" t="s">
        <v>41</v>
      </c>
      <c r="B41" s="3591">
        <f>'预评函-2'!M5</f>
        <v>0</v>
      </c>
    </row>
    <row r="42" spans="1:2">
      <c r="A42" s="3590" t="s">
        <v>42</v>
      </c>
      <c r="B42" s="3591" t="str">
        <f>'预评函-2'!N3</f>
        <v>（分摊）出让国有建设用地使用权面积/㎡</v>
      </c>
    </row>
    <row r="43" spans="1:2">
      <c r="A43" s="3590" t="s">
        <v>43</v>
      </c>
      <c r="B43" s="3591">
        <f>'预评函-2'!N5</f>
        <v>101349.03</v>
      </c>
    </row>
    <row r="44" spans="1:2">
      <c r="A44" s="3590" t="s">
        <v>44</v>
      </c>
      <c r="B44" s="3591" t="str">
        <f>'预评函-2'!O3</f>
        <v>规划建筑面积/㎡</v>
      </c>
    </row>
    <row r="45" spans="1:2">
      <c r="A45" s="3590" t="s">
        <v>45</v>
      </c>
      <c r="B45" s="3591">
        <f>'预评函-2'!O5</f>
        <v>220401.41</v>
      </c>
    </row>
    <row r="46" spans="1:2">
      <c r="A46" s="3590" t="s">
        <v>46</v>
      </c>
      <c r="B46" s="3591" t="e">
        <f ca="1">'预评函-2'!P5</f>
        <v>#REF!</v>
      </c>
    </row>
    <row r="47" spans="1:2">
      <c r="A47" s="3590" t="s">
        <v>47</v>
      </c>
      <c r="B47" s="3591" t="e">
        <f ca="1">'预评函-2'!Q5</f>
        <v>#REF!</v>
      </c>
    </row>
    <row r="48" spans="1:2">
      <c r="A48" s="3590" t="s">
        <v>48</v>
      </c>
      <c r="B48" s="3591" t="e">
        <f ca="1">'预评函-2'!R5</f>
        <v>#REF!</v>
      </c>
    </row>
    <row r="49" spans="1:2">
      <c r="A49" s="3590" t="s">
        <v>49</v>
      </c>
      <c r="B49" s="3591" t="str">
        <f>'预评函-2'!A6</f>
        <v>抵押价格</v>
      </c>
    </row>
    <row r="50" spans="1:2">
      <c r="A50" s="3590" t="s">
        <v>50</v>
      </c>
      <c r="B50" s="3591" t="str">
        <f ca="1">'预评函-2'!R6</f>
        <v>——</v>
      </c>
    </row>
    <row r="51" spans="1:2">
      <c r="A51" s="3590" t="s">
        <v>51</v>
      </c>
      <c r="B51" s="3591" t="str">
        <f>'预评函-2'!A7</f>
        <v>——</v>
      </c>
    </row>
    <row r="52" spans="1:2">
      <c r="A52" s="3590" t="s">
        <v>52</v>
      </c>
      <c r="B52" s="3591" t="str">
        <f ca="1">'预评函-2'!R7</f>
        <v>——</v>
      </c>
    </row>
    <row r="53" spans="1:2">
      <c r="A53" s="3590" t="s">
        <v>53</v>
      </c>
      <c r="B53" s="3591">
        <f>'预评函-2'!A8</f>
        <v>0</v>
      </c>
    </row>
    <row r="54" s="3579" customFormat="1" ht="15" spans="1:2">
      <c r="A54" s="3592" t="s">
        <v>54</v>
      </c>
      <c r="B54" s="3593" t="str">
        <f ca="1">'预评函-2'!R8</f>
        <v>——</v>
      </c>
    </row>
    <row r="55" ht="15" spans="1:2">
      <c r="A55" s="3594" t="s">
        <v>55</v>
      </c>
      <c r="B55" s="3595" t="str">
        <f>'预评函-3'!A2</f>
        <v>1.权利限制：根据估价对象《不动产权证书》原件、《国有土地使用权》复印件，截至估价期日，估价对象抵押权未见登记。未设定租赁等其他他项权利。</v>
      </c>
    </row>
    <row r="56" spans="1:2">
      <c r="A56" s="3590" t="s">
        <v>56</v>
      </c>
      <c r="B56" s="3591" t="str">
        <f>'预评函-3'!A3</f>
        <v>2.基础设施条件：估价对象实际开发程度为红线外七通、宗地红线内；本次评估设定开发程度为红线外七通、宗地红线内场地。</v>
      </c>
    </row>
    <row r="57" spans="1:2">
      <c r="A57" s="3590" t="s">
        <v>57</v>
      </c>
      <c r="B57" s="3591" t="str">
        <f>'预评函-3'!A4</f>
        <v>3.估价规划限制条件：详见《建设工程规划许可证》[]、《出让合同》[]。</v>
      </c>
    </row>
    <row r="58" s="3579" customFormat="1" ht="15" spans="1:2">
      <c r="A58" s="3592" t="s">
        <v>58</v>
      </c>
      <c r="B58" s="3593" t="str">
        <f>'预评函-3'!A5</f>
        <v>4.影响价格的其他限定条件：无。</v>
      </c>
    </row>
    <row r="59" ht="15" spans="1:2">
      <c r="A59" s="3594" t="s">
        <v>59</v>
      </c>
      <c r="B59" s="3595" t="str">
        <f>'预评函-3'!A8</f>
        <v>2.本次评估设定估价对象宗地权属无争议，未被查封或者以其他形式限制其房地产权利，未设定抵押权等他项权利，不涉及第三方权利义务。</v>
      </c>
    </row>
    <row r="60" spans="1:2">
      <c r="A60" s="3590" t="s">
        <v>60</v>
      </c>
      <c r="B60" s="3591" t="str">
        <f>'预评函-3'!A9</f>
        <v>——</v>
      </c>
    </row>
    <row r="61" spans="1:2">
      <c r="A61" s="3590" t="s">
        <v>61</v>
      </c>
      <c r="B61" s="3591" t="str">
        <f>'预评函-3'!A10</f>
        <v>——</v>
      </c>
    </row>
    <row r="62" spans="1:2">
      <c r="A62" s="3590" t="s">
        <v>62</v>
      </c>
      <c r="B62" s="3591" t="str">
        <f>'预评函-3'!A11</f>
        <v>——</v>
      </c>
    </row>
    <row r="63" spans="1:2">
      <c r="A63" s="3590" t="s">
        <v>63</v>
      </c>
      <c r="B63" s="359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590" t="s">
        <v>64</v>
      </c>
      <c r="B64" s="3596" t="str">
        <f>'预评函-3'!A13</f>
        <v>（3）。</v>
      </c>
    </row>
    <row r="65" spans="1:2">
      <c r="A65" s="3590" t="s">
        <v>65</v>
      </c>
      <c r="B65" s="3591" t="str">
        <f>'预评函-3'!A14</f>
        <v>——</v>
      </c>
    </row>
    <row r="66" spans="1:2">
      <c r="A66" s="3590" t="s">
        <v>66</v>
      </c>
      <c r="B66" s="359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590" t="s">
        <v>67</v>
      </c>
      <c r="B67" s="359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3579" customFormat="1" ht="15" spans="1:2">
      <c r="A68" s="3592" t="s">
        <v>68</v>
      </c>
      <c r="B68" s="3601">
        <f>'预评函-3'!D30</f>
        <v>42558</v>
      </c>
    </row>
    <row r="69" ht="15" spans="1:2">
      <c r="A69" s="3594" t="s">
        <v>69</v>
      </c>
      <c r="B69" s="3595" t="str">
        <f>'预评函-3'!A20</f>
        <v>土地估价师</v>
      </c>
    </row>
    <row r="70" spans="1:2">
      <c r="A70" s="3590" t="s">
        <v>69</v>
      </c>
      <c r="B70" s="3591">
        <f ca="1">'预评函-3'!B20</f>
        <v>0</v>
      </c>
    </row>
    <row r="71" spans="1:2">
      <c r="A71" s="3590" t="s">
        <v>70</v>
      </c>
      <c r="B71" s="3591" t="str">
        <f>'预评函-3'!A21</f>
        <v>土地估价师</v>
      </c>
    </row>
    <row r="72" s="3579" customFormat="1" ht="15" spans="1:2">
      <c r="A72" s="3592" t="s">
        <v>70</v>
      </c>
      <c r="B72" s="3593">
        <f ca="1">'预评函-3'!B21</f>
        <v>0</v>
      </c>
    </row>
    <row r="73" ht="15" spans="1:2">
      <c r="A73" s="3594" t="s">
        <v>71</v>
      </c>
      <c r="B73" s="3595"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590" t="s">
        <v>72</v>
      </c>
      <c r="B74" s="3591" t="str">
        <f>'预评函-1 (储备)'!A18</f>
        <v>由于本次评估估价目的是评估储备国有建设用地使用权的“抵押价格”，因此本次评估设定土地开发程度为红线外市政基础设施达“七通”、宗地红线内场地平整。</v>
      </c>
    </row>
    <row r="75" s="3579" customFormat="1" ht="15" spans="1:2">
      <c r="A75" s="3592" t="s">
        <v>73</v>
      </c>
      <c r="B75" s="359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ht="15" spans="1:2">
      <c r="A76" s="3583" t="s">
        <v>74</v>
      </c>
      <c r="B76" s="3584" t="str">
        <f>'预评函-3'!A25</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7" workbookViewId="0">
      <selection activeCell="B37" sqref="B37:I37"/>
    </sheetView>
  </sheetViews>
  <sheetFormatPr defaultColWidth="9" defaultRowHeight="13.5"/>
  <cols>
    <col min="1" max="1" width="3.45" style="3576" customWidth="1"/>
    <col min="2" max="2" width="10.725" style="3576" customWidth="1"/>
    <col min="3" max="4" width="11.6333333333333" style="3576" customWidth="1"/>
    <col min="5" max="5" width="6.63333333333333" style="3576" customWidth="1"/>
    <col min="6" max="16384" width="9" style="3576"/>
  </cols>
  <sheetData>
    <row r="36" spans="1:2">
      <c r="A36" s="3575" t="s">
        <v>75</v>
      </c>
      <c r="B36" s="3575" t="s">
        <v>76</v>
      </c>
    </row>
    <row r="37" ht="28.5" customHeight="1" spans="1:9">
      <c r="A37" s="3575"/>
      <c r="B37" s="3577" t="str">
        <f>项目基本情况!B1</f>
        <v>出让国有建设用地使用权预评估</v>
      </c>
      <c r="C37" s="3577"/>
      <c r="D37" s="3577"/>
      <c r="E37" s="3577"/>
      <c r="F37" s="3577"/>
      <c r="G37" s="3577"/>
      <c r="H37" s="3577"/>
      <c r="I37" s="3577"/>
    </row>
    <row r="38" spans="1:2">
      <c r="A38" s="3578"/>
      <c r="B38" s="3578"/>
    </row>
    <row r="39" spans="1:2">
      <c r="A39" s="3575" t="s">
        <v>75</v>
      </c>
      <c r="B39" s="3575" t="s">
        <v>77</v>
      </c>
    </row>
    <row r="40" spans="1:2">
      <c r="A40" s="3575"/>
      <c r="B40" s="3575">
        <f>项目基本情况!B5</f>
        <v>0</v>
      </c>
    </row>
    <row r="41" spans="1:2">
      <c r="A41" s="3575"/>
      <c r="B41" s="3575"/>
    </row>
    <row r="42" spans="1:2">
      <c r="A42" s="3575" t="s">
        <v>75</v>
      </c>
      <c r="B42" s="3575" t="s">
        <v>78</v>
      </c>
    </row>
    <row r="43" spans="1:2">
      <c r="A43" s="3575"/>
      <c r="B43" s="3575" t="s">
        <v>79</v>
      </c>
    </row>
    <row r="44" spans="1:2">
      <c r="A44" s="3575"/>
      <c r="B44" s="3575"/>
    </row>
    <row r="45" spans="1:2">
      <c r="A45" s="3575" t="s">
        <v>75</v>
      </c>
      <c r="B45" s="3575" t="s">
        <v>80</v>
      </c>
    </row>
    <row r="46" s="3575" customFormat="1" ht="12.75" spans="2:2">
      <c r="B46" s="3575" t="str">
        <f>项目基本情况!K4</f>
        <v>土地估价师、土地估价师</v>
      </c>
    </row>
    <row r="47" spans="1:2">
      <c r="A47" s="3575"/>
      <c r="B47" s="3575"/>
    </row>
    <row r="48" spans="1:2">
      <c r="A48" s="3575" t="s">
        <v>75</v>
      </c>
      <c r="B48" s="3575" t="s">
        <v>81</v>
      </c>
    </row>
    <row r="49" spans="2:2">
      <c r="B49" s="3575" t="str">
        <f>"康正预评字"&amp;项目基本情况!B2&amp;"号"</f>
        <v>康正预评字号</v>
      </c>
    </row>
  </sheetData>
  <sheetProtection sheet="1" formatCells="0" formatRows="0" objects="1" scenarios="1"/>
  <mergeCells count="1">
    <mergeCell ref="B37:I37"/>
  </mergeCells>
  <printOptions horizontalCentered="1"/>
  <pageMargins left="0.984251968503937" right="0.78740157480315" top="1.18110236220472" bottom="0.905511811023622" header="0.866141732283464" footer="0.590551181102362"/>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2"/>
  <sheetViews>
    <sheetView view="pageLayout" zoomScale="80" zoomScaleNormal="100" topLeftCell="A25" workbookViewId="0">
      <selection activeCell="A30" sqref="A30"/>
    </sheetView>
  </sheetViews>
  <sheetFormatPr defaultColWidth="9" defaultRowHeight="13.5" outlineLevelCol="3"/>
  <cols>
    <col min="1" max="1" width="84" style="3560" customWidth="1"/>
    <col min="2" max="2" width="9" style="3560"/>
    <col min="3" max="4" width="9.63333333333333" style="3560" customWidth="1"/>
    <col min="5" max="16384" width="9" style="3560"/>
  </cols>
  <sheetData>
    <row r="1" ht="22.5" spans="1:1">
      <c r="A1" s="3561" t="s">
        <v>82</v>
      </c>
    </row>
    <row r="3" ht="18.75" spans="1:1">
      <c r="A3" s="3562" t="str">
        <f>项目基本情况!B5&amp;"："</f>
        <v>：</v>
      </c>
    </row>
    <row r="4" ht="18.75" spans="1:1">
      <c r="A4" s="3563" t="str">
        <f>"受贵公司委托，我公司对"&amp;项目基本情况!K2&amp;项目基本情况!B9&amp;"进行了预评估。"</f>
        <v>受贵公司委托，我公司对出让国有建设用地使用权进行了预评估。</v>
      </c>
    </row>
    <row r="5" ht="18.75" spans="1:1">
      <c r="A5" s="3564" t="s">
        <v>83</v>
      </c>
    </row>
    <row r="6" ht="75" spans="1:1">
      <c r="A6" s="3563"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101349.03平方米。根据《建设工程规划许可证》[]、《出让合同》[]，估价对象规划建筑面积为220401.41平方米。</v>
      </c>
    </row>
    <row r="7" ht="56.25" spans="1:1">
      <c r="A7" s="3574" t="s">
        <v>84</v>
      </c>
    </row>
    <row r="8" ht="18.75" spans="1:1">
      <c r="A8" s="3564" t="s">
        <v>85</v>
      </c>
    </row>
    <row r="9" ht="37.5" spans="1:1">
      <c r="A9" s="3563" t="str">
        <f>IF(项目基本情况!B8="抵押",IF(项目基本情况!B5=项目基本情况!B6,定义!C51,定义!B51),定义!D51)</f>
        <v>本次评估为委托估价方了解标的物之市场价格提供参考依据而评估出让国有建设用地使用权市场价格。</v>
      </c>
    </row>
    <row r="10" ht="18.75" spans="1:1">
      <c r="A10" s="3562" t="s">
        <v>86</v>
      </c>
    </row>
    <row r="11" ht="18.75" spans="1:1">
      <c r="A11" s="3566" t="str">
        <f>TEXT(项目基本情况!D3,"yyyy年m月d日;;")&amp;IF(项目基本情况!B3=项目基本情况!D3,"（评估专业人员勘察现场之日）","")</f>
        <v>2023年11月22日（评估专业人员勘察现场之日）</v>
      </c>
    </row>
    <row r="12" ht="18.75" spans="1:1">
      <c r="A12" s="3562" t="s">
        <v>87</v>
      </c>
    </row>
    <row r="13" ht="18.75" spans="1:1">
      <c r="A13" s="3563" t="s">
        <v>88</v>
      </c>
    </row>
    <row r="14" ht="18.75" spans="1:4">
      <c r="A14" s="3563" t="str">
        <f>"根据"&amp;项目基本情况!F12&amp;"，本次评估估价对象证载（地类）用途为"&amp;项目基本情况!B12&amp;"。"</f>
        <v>根据《国有土地使用证》[]，本次评估估价对象证载（地类）用途为。</v>
      </c>
      <c r="C14" s="3567"/>
      <c r="D14" s="3568"/>
    </row>
    <row r="15" ht="18.75" spans="1:4">
      <c r="A15" s="356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567"/>
      <c r="D15" s="3568"/>
    </row>
    <row r="16" ht="18.75" spans="1:1">
      <c r="A16" s="3563" t="s">
        <v>89</v>
      </c>
    </row>
    <row r="17" ht="56.25" spans="1:1">
      <c r="A17" s="356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37.5" spans="1:1">
      <c r="A18" s="3563"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ht="18.75" spans="1:1">
      <c r="A19" s="3563" t="s">
        <v>90</v>
      </c>
    </row>
    <row r="20" ht="56.25" spans="1:1">
      <c r="A20" s="356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根据《国有土地使用证》[]，估价对象（分摊）出让国有建设用地使用权面积为101349.03平方米。根据《建设工程规划许可证》[]、《出让合同》[]，估价对象规划建筑面积为220401.41平方米。</v>
      </c>
    </row>
    <row r="21" ht="18.75" spans="1:1">
      <c r="A21" s="3563" t="s">
        <v>91</v>
      </c>
    </row>
    <row r="22" ht="93.75" spans="1:1">
      <c r="A22" s="3563"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2095年1月1日、商业2065年1月1日、办公2075年1月1日工业2075年1月1日。截至估价期日，出让国有建设用地使用权剩余土地使用年限为。</v>
      </c>
    </row>
    <row r="23" ht="18.75" spans="1:1">
      <c r="A23" s="3563" t="str">
        <f>IF(项目基本情况!B16="出让","本次评估设定估价对象剩余土地使用年限为"&amp;项目基本情况!D20&amp;"。","")</f>
        <v>本次评估设定估价对象剩余土地使用年限为。</v>
      </c>
    </row>
    <row r="24" ht="18.75" spans="1:1">
      <c r="A24" s="3563" t="s">
        <v>92</v>
      </c>
    </row>
    <row r="25" ht="75" spans="1:1">
      <c r="A25" s="3563" t="str">
        <f>定义!C53</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row>
    <row r="26" ht="93.75" spans="1:1">
      <c r="A26" s="3563"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ht="18.75" spans="1:1">
      <c r="A27" s="3563"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ht="56.25" spans="1:1">
      <c r="A28" s="3563"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ht="18.75" spans="1:1">
      <c r="A29" s="3562" t="s">
        <v>93</v>
      </c>
    </row>
    <row r="30" ht="75" spans="1:1">
      <c r="A30" s="356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572"/>
    </row>
    <row r="32" ht="18.75" spans="1:1">
      <c r="A32" s="3573" t="s">
        <v>94</v>
      </c>
    </row>
  </sheetData>
  <sheetProtection sheet="1" formatCells="0" formatRows="0" insertRows="0" deleteRows="0" objects="1" scenarios="1"/>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2"/>
  <sheetViews>
    <sheetView view="pageLayout" zoomScale="80" zoomScaleNormal="100" topLeftCell="A24" workbookViewId="0">
      <selection activeCell="A30" sqref="A30"/>
    </sheetView>
  </sheetViews>
  <sheetFormatPr defaultColWidth="9" defaultRowHeight="13.5" outlineLevelCol="3"/>
  <cols>
    <col min="1" max="1" width="84" style="3560" customWidth="1"/>
    <col min="2" max="2" width="9" style="3560"/>
    <col min="3" max="4" width="9.63333333333333" style="3560" customWidth="1"/>
    <col min="5" max="16384" width="9" style="3560"/>
  </cols>
  <sheetData>
    <row r="1" ht="22.5" spans="1:1">
      <c r="A1" s="3561" t="s">
        <v>82</v>
      </c>
    </row>
    <row r="3" ht="18.75" spans="1:1">
      <c r="A3" s="3562" t="str">
        <f>项目基本情况!B5&amp;"："</f>
        <v>：</v>
      </c>
    </row>
    <row r="4" ht="18.75" spans="1:1">
      <c r="A4" s="3563" t="str">
        <f>"受贵公司委托，我公司对"&amp;项目基本情况!K2&amp;项目基本情况!B9&amp;"进行了预评估。"</f>
        <v>受贵公司委托，我公司对出让国有建设用地使用权进行了预评估。</v>
      </c>
    </row>
    <row r="5" ht="18.75" spans="1:1">
      <c r="A5" s="3564" t="s">
        <v>83</v>
      </c>
    </row>
    <row r="6" ht="75" spans="1:1">
      <c r="A6" s="3563"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101349.03平方米。根据《建设工程规划许可证》[]、《出让合同》[]，估价对象规划建筑面积为220401.41平方米。</v>
      </c>
    </row>
    <row r="7" ht="93.75" spans="1:1">
      <c r="A7" s="3565" t="s">
        <v>95</v>
      </c>
    </row>
    <row r="8" ht="18.75" spans="1:1">
      <c r="A8" s="3564" t="s">
        <v>85</v>
      </c>
    </row>
    <row r="9" ht="37.5" spans="1:1">
      <c r="A9" s="3563" t="str">
        <f>IF(项目基本情况!B8="抵押",IF(项目基本情况!B5=项目基本情况!B6,定义!C51,定义!B51),定义!D51)</f>
        <v>本次评估为委托估价方了解标的物之市场价格提供参考依据而评估出让国有建设用地使用权市场价格。</v>
      </c>
    </row>
    <row r="10" ht="18.75" spans="1:1">
      <c r="A10" s="3562" t="s">
        <v>86</v>
      </c>
    </row>
    <row r="11" ht="18.75" spans="1:1">
      <c r="A11" s="3566" t="str">
        <f>TEXT(项目基本情况!D3,"yyyy年m月d日;;")&amp;IF(项目基本情况!B3=项目基本情况!D3,"（评估专业人员勘察现场之日）","")</f>
        <v>2023年11月22日（评估专业人员勘察现场之日）</v>
      </c>
    </row>
    <row r="12" ht="18.75" spans="1:1">
      <c r="A12" s="3562" t="s">
        <v>87</v>
      </c>
    </row>
    <row r="13" ht="18.75" spans="1:1">
      <c r="A13" s="3563" t="s">
        <v>96</v>
      </c>
    </row>
    <row r="14" ht="18.75" spans="1:4">
      <c r="A14" s="3563" t="str">
        <f>"根据"&amp;项目基本情况!F12&amp;"，本次评估估价对象证载（地类）用途为"&amp;项目基本情况!B12&amp;"。"</f>
        <v>根据《国有土地使用证》[]，本次评估估价对象证载（地类）用途为。</v>
      </c>
      <c r="C14" s="3567"/>
      <c r="D14" s="3568"/>
    </row>
    <row r="15" ht="18.75" spans="1:4">
      <c r="A15" s="356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567"/>
      <c r="D15" s="3568"/>
    </row>
    <row r="16" ht="18.75" spans="1:1">
      <c r="A16" s="3563" t="s">
        <v>89</v>
      </c>
    </row>
    <row r="17" ht="56.25" spans="1:1">
      <c r="A17" s="356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56.25" spans="1:1">
      <c r="A18" s="3563"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ht="18.75" spans="1:1">
      <c r="A19" s="3563" t="s">
        <v>90</v>
      </c>
    </row>
    <row r="20" ht="56.25" spans="1:1">
      <c r="A20" s="356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根据《国有土地使用证》[]，估价对象（分摊）出让国有建设用地使用权面积为101349.03平方米。根据《建设工程规划许可证》[]、《出让合同》[]，估价对象规划建筑面积为220401.41平方米。</v>
      </c>
    </row>
    <row r="21" ht="93.75" spans="1:1">
      <c r="A21" s="357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ht="18.75" spans="1:1">
      <c r="A22" s="3563" t="s">
        <v>91</v>
      </c>
    </row>
    <row r="23" ht="18.75" spans="1:1">
      <c r="A23" s="3571" t="s">
        <v>97</v>
      </c>
    </row>
    <row r="24" ht="18.75" spans="1:1">
      <c r="A24" s="3563" t="s">
        <v>92</v>
      </c>
    </row>
    <row r="25" ht="75" spans="1:1">
      <c r="A25" s="3563" t="str">
        <f>定义!C53</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row>
    <row r="26" ht="93.75" spans="1:1">
      <c r="A26" s="3563"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ht="18.75" spans="1:1">
      <c r="A27" s="3563"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ht="56.25" spans="1:1">
      <c r="A28" s="3563" t="str">
        <f>IF(项目基本情况!E9="——","",定义!C57)</f>
        <v>本次估价的“抵押净值”是指估价对象“抵押价格”减去估价对象在估价期日以“土地销售收入”为基数计算的预计抵押权实现进行处置时需缴纳的各项费用、税金等相关费用后的价格。</v>
      </c>
    </row>
    <row r="29" ht="18.75" spans="1:1">
      <c r="A29" s="3562" t="s">
        <v>93</v>
      </c>
    </row>
    <row r="30" ht="75" spans="1:1">
      <c r="A30" s="356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572"/>
    </row>
    <row r="32" ht="18.75" spans="1:1">
      <c r="A32" s="3573" t="s">
        <v>94</v>
      </c>
    </row>
  </sheetData>
  <sheetProtection sheet="1" formatCells="0" formatRows="0" insertRows="0" deleteRows="0" objects="1" scenarios="1"/>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R37"/>
  <sheetViews>
    <sheetView view="pageLayout" zoomScale="90" zoomScaleNormal="100" workbookViewId="0">
      <selection activeCell="A6" sqref="A6:Q6"/>
    </sheetView>
  </sheetViews>
  <sheetFormatPr defaultColWidth="9" defaultRowHeight="13.5"/>
  <cols>
    <col min="1" max="1" width="7.90833333333333" customWidth="1"/>
    <col min="2" max="2" width="6.45" customWidth="1"/>
    <col min="4" max="4" width="7.09166666666667" customWidth="1"/>
    <col min="5" max="7" width="7.45" customWidth="1"/>
    <col min="8" max="10" width="6.36666666666667" customWidth="1"/>
  </cols>
  <sheetData>
    <row r="1" ht="18.75" spans="1:18">
      <c r="A1" s="3541" t="s">
        <v>98</v>
      </c>
      <c r="B1" s="3541"/>
      <c r="C1" s="3541"/>
      <c r="D1" s="3541"/>
      <c r="E1" s="3541"/>
      <c r="F1" s="3541"/>
      <c r="G1" s="3541"/>
      <c r="H1" s="3541"/>
      <c r="I1" s="3541"/>
      <c r="J1" s="3541"/>
      <c r="K1" s="3541"/>
      <c r="L1" s="3541"/>
      <c r="M1" s="3541"/>
      <c r="N1" s="3541"/>
      <c r="O1" s="3541"/>
      <c r="P1" s="3541"/>
      <c r="Q1" s="3541"/>
      <c r="R1" s="3541"/>
    </row>
    <row r="2" spans="1:18">
      <c r="A2" s="3542" t="s">
        <v>99</v>
      </c>
      <c r="B2" s="3542"/>
      <c r="C2" s="3542"/>
      <c r="D2" s="3542"/>
      <c r="E2" s="3542"/>
      <c r="F2" s="3542"/>
      <c r="G2" s="3542"/>
      <c r="H2" s="3542"/>
      <c r="I2" s="3552"/>
      <c r="J2" s="3552"/>
      <c r="K2" s="3556" t="str">
        <f>"估价期日："&amp;TEXT(项目基本情况!D3,"yyyy年m月d日;;")</f>
        <v>估价期日：2023年11月22日</v>
      </c>
      <c r="L2" s="3542"/>
      <c r="M2" s="3542"/>
      <c r="N2" s="3542"/>
      <c r="O2" s="3542"/>
      <c r="P2" s="3542"/>
      <c r="Q2" s="3542"/>
      <c r="R2" s="3556" t="str">
        <f>"估价期日的国有建设用地使用权性质："&amp;项目基本情况!B16</f>
        <v>估价期日的国有建设用地使用权性质：出让</v>
      </c>
    </row>
    <row r="3" ht="23.25" customHeight="1" spans="1:18">
      <c r="A3" s="3543" t="s">
        <v>100</v>
      </c>
      <c r="B3" s="3543" t="s">
        <v>101</v>
      </c>
      <c r="C3" s="3544" t="s">
        <v>102</v>
      </c>
      <c r="D3" s="3543" t="s">
        <v>103</v>
      </c>
      <c r="E3" s="3545" t="s">
        <v>104</v>
      </c>
      <c r="F3" s="3545"/>
      <c r="G3" s="3545"/>
      <c r="H3" s="3545" t="s">
        <v>105</v>
      </c>
      <c r="I3" s="3545"/>
      <c r="J3" s="3545"/>
      <c r="K3" s="3544" t="s">
        <v>106</v>
      </c>
      <c r="L3" s="3544" t="s">
        <v>107</v>
      </c>
      <c r="M3" s="3543" t="s">
        <v>108</v>
      </c>
      <c r="N3" s="3543" t="str">
        <f>"（分摊）"&amp;项目基本情况!B16&amp;"国有建设用地使用权面积/㎡"</f>
        <v>（分摊）出让国有建设用地使用权面积/㎡</v>
      </c>
      <c r="O3" s="3543" t="s">
        <v>109</v>
      </c>
      <c r="P3" s="3544" t="s">
        <v>110</v>
      </c>
      <c r="Q3" s="3544" t="s">
        <v>111</v>
      </c>
      <c r="R3" s="3544" t="s">
        <v>112</v>
      </c>
    </row>
    <row r="4" ht="36.75" customHeight="1" spans="1:18">
      <c r="A4" s="3543"/>
      <c r="B4" s="3543"/>
      <c r="C4" s="3544"/>
      <c r="D4" s="3543"/>
      <c r="E4" s="3545" t="s">
        <v>113</v>
      </c>
      <c r="F4" s="3545" t="s">
        <v>114</v>
      </c>
      <c r="G4" s="3545" t="s">
        <v>115</v>
      </c>
      <c r="H4" s="3545" t="s">
        <v>116</v>
      </c>
      <c r="I4" s="3545" t="s">
        <v>117</v>
      </c>
      <c r="J4" s="3545" t="s">
        <v>115</v>
      </c>
      <c r="K4" s="3544"/>
      <c r="L4" s="3544"/>
      <c r="M4" s="3543"/>
      <c r="N4" s="3543"/>
      <c r="O4" s="3543"/>
      <c r="P4" s="3544"/>
      <c r="Q4" s="3544"/>
      <c r="R4" s="3544"/>
    </row>
    <row r="5" ht="135" customHeight="1" spans="1:18">
      <c r="A5" s="3546" t="s">
        <v>118</v>
      </c>
      <c r="B5" s="3547" t="s">
        <v>119</v>
      </c>
      <c r="C5" s="3548">
        <v>22</v>
      </c>
      <c r="D5" s="3544" t="s">
        <v>120</v>
      </c>
      <c r="E5" s="3545">
        <f>项目基本情况!B12</f>
        <v>0</v>
      </c>
      <c r="F5" s="3544">
        <v>258</v>
      </c>
      <c r="G5" s="3545">
        <f>项目基本情况!B13</f>
        <v>0</v>
      </c>
      <c r="H5" s="3544">
        <v>1.5</v>
      </c>
      <c r="I5" s="3544">
        <v>1.5</v>
      </c>
      <c r="J5" s="3544">
        <v>1.5</v>
      </c>
      <c r="K5" s="3545" t="str">
        <f>"红线外"&amp;项目基本情况!T40&amp;"、宗地红线内"&amp;项目基本情况!B35</f>
        <v>红线外七通、宗地红线内</v>
      </c>
      <c r="L5" s="3545" t="str">
        <f>"红线外"&amp;项目基本情况!T40&amp;"、宗地红线内场地"&amp;项目基本情况!D36</f>
        <v>红线外七通、宗地红线内场地</v>
      </c>
      <c r="M5" s="3545">
        <f>IF(项目基本情况!B16="出让",项目基本情况!D20,"——")</f>
        <v>0</v>
      </c>
      <c r="N5" s="3545">
        <f>项目基本情况!C22</f>
        <v>101349.03</v>
      </c>
      <c r="O5" s="3545">
        <f>项目基本情况!C21</f>
        <v>220401.41</v>
      </c>
      <c r="P5" s="3545" t="e">
        <f ca="1">结果表!E42</f>
        <v>#REF!</v>
      </c>
      <c r="Q5" s="3545" t="e">
        <f ca="1">结果表!D42</f>
        <v>#REF!</v>
      </c>
      <c r="R5" s="3557" t="e">
        <f ca="1">结果表!C42</f>
        <v>#REF!</v>
      </c>
    </row>
    <row r="6" spans="1:18">
      <c r="A6" s="3549" t="str">
        <f>IF(项目基本情况!B9="市场价格","——","抵押价格")</f>
        <v>抵押价格</v>
      </c>
      <c r="B6" s="3550"/>
      <c r="C6" s="3550"/>
      <c r="D6" s="3550"/>
      <c r="E6" s="3550"/>
      <c r="F6" s="3550"/>
      <c r="G6" s="3550"/>
      <c r="H6" s="3550"/>
      <c r="I6" s="3550"/>
      <c r="J6" s="3550"/>
      <c r="K6" s="3550"/>
      <c r="L6" s="3550"/>
      <c r="M6" s="3550"/>
      <c r="N6" s="3550"/>
      <c r="O6" s="3550"/>
      <c r="P6" s="3550"/>
      <c r="Q6" s="3558"/>
      <c r="R6" s="3559" t="str">
        <f ca="1">结果表!O39</f>
        <v>——</v>
      </c>
    </row>
    <row r="7" spans="1:18">
      <c r="A7" s="3549" t="str">
        <f>IF(项目基本情况!B9="市场价格","——",IF(项目基本情况!E8="已注销及未注销","抵押担保权已注销时的抵押价格","——"))</f>
        <v>——</v>
      </c>
      <c r="B7" s="3550"/>
      <c r="C7" s="3550"/>
      <c r="D7" s="3550"/>
      <c r="E7" s="3550"/>
      <c r="F7" s="3550"/>
      <c r="G7" s="3550"/>
      <c r="H7" s="3550"/>
      <c r="I7" s="3550"/>
      <c r="J7" s="3550"/>
      <c r="K7" s="3550"/>
      <c r="L7" s="3550"/>
      <c r="M7" s="3550"/>
      <c r="N7" s="3550"/>
      <c r="O7" s="3550"/>
      <c r="P7" s="3550"/>
      <c r="Q7" s="3558"/>
      <c r="R7" s="3559" t="str">
        <f ca="1">结果表!O40</f>
        <v>——</v>
      </c>
    </row>
    <row r="8" spans="1:18">
      <c r="A8" s="3549">
        <f>IF(项目基本情况!B9="市场价格","——",项目基本情况!E9)</f>
        <v>0</v>
      </c>
      <c r="B8" s="3550"/>
      <c r="C8" s="3550"/>
      <c r="D8" s="3550"/>
      <c r="E8" s="3550"/>
      <c r="F8" s="3550"/>
      <c r="G8" s="3550"/>
      <c r="H8" s="3550"/>
      <c r="I8" s="3550"/>
      <c r="J8" s="3550"/>
      <c r="K8" s="3550"/>
      <c r="L8" s="3550"/>
      <c r="M8" s="3550"/>
      <c r="N8" s="3550"/>
      <c r="O8" s="3550"/>
      <c r="P8" s="3550"/>
      <c r="Q8" s="3558"/>
      <c r="R8" s="3559" t="str">
        <f ca="1">结果表!O41</f>
        <v>——</v>
      </c>
    </row>
    <row r="9" spans="1:18">
      <c r="A9" s="3551" t="s">
        <v>121</v>
      </c>
      <c r="B9" s="3542"/>
      <c r="C9" s="3542"/>
      <c r="D9" s="3542"/>
      <c r="E9" s="3542"/>
      <c r="F9" s="3542"/>
      <c r="G9" s="3542"/>
      <c r="H9" s="3542"/>
      <c r="I9" s="3542"/>
      <c r="J9" s="3542"/>
      <c r="K9" s="3542"/>
      <c r="L9" s="3542"/>
      <c r="M9" s="3542"/>
      <c r="N9" s="3542"/>
      <c r="O9" s="3542"/>
      <c r="P9" s="3542"/>
      <c r="Q9" s="3542"/>
      <c r="R9" s="3542"/>
    </row>
    <row r="10" spans="1:18">
      <c r="A10" s="3552"/>
      <c r="B10" s="3542"/>
      <c r="C10" s="3542"/>
      <c r="D10" s="3542"/>
      <c r="E10" s="3542"/>
      <c r="F10" s="3542"/>
      <c r="G10" s="3542"/>
      <c r="H10" s="3542"/>
      <c r="I10" s="3542"/>
      <c r="J10" s="3542"/>
      <c r="K10" s="3542"/>
      <c r="L10" s="3542"/>
      <c r="M10" s="3542"/>
      <c r="N10" s="3542"/>
      <c r="O10" s="3542"/>
      <c r="P10" s="3542"/>
      <c r="Q10" s="3542"/>
      <c r="R10" s="3542"/>
    </row>
    <row r="11" spans="1:18">
      <c r="A11" s="3552" t="s">
        <v>94</v>
      </c>
      <c r="B11" s="3553"/>
      <c r="C11" s="3553"/>
      <c r="D11" s="3553"/>
      <c r="E11" s="3553"/>
      <c r="F11" s="3553"/>
      <c r="G11" s="3553"/>
      <c r="H11" s="3553"/>
      <c r="I11" s="3553"/>
      <c r="J11" s="3553"/>
      <c r="K11" s="3553"/>
      <c r="L11" s="3553"/>
      <c r="M11" s="3553"/>
      <c r="N11" s="3553"/>
      <c r="O11" s="3553"/>
      <c r="P11" s="3553"/>
      <c r="Q11" s="3553"/>
      <c r="R11" s="3553"/>
    </row>
    <row r="12" spans="1:18">
      <c r="A12" s="606"/>
      <c r="B12" s="606"/>
      <c r="C12" s="606"/>
      <c r="D12" s="606"/>
      <c r="E12" s="606"/>
      <c r="F12" s="606"/>
      <c r="G12" s="606"/>
      <c r="H12" s="606"/>
      <c r="I12" s="606"/>
      <c r="J12" s="606"/>
      <c r="K12" s="606"/>
      <c r="L12" s="606"/>
      <c r="M12" s="606"/>
      <c r="N12" s="606"/>
      <c r="O12" s="606"/>
      <c r="P12" s="606"/>
      <c r="Q12" s="606"/>
      <c r="R12" s="606"/>
    </row>
    <row r="13" ht="16.5" customHeight="1" spans="1:18">
      <c r="A13" s="606"/>
      <c r="B13" s="606"/>
      <c r="C13" s="606"/>
      <c r="D13" s="606"/>
      <c r="E13" s="606"/>
      <c r="F13" s="606"/>
      <c r="G13" s="606"/>
      <c r="H13" s="606"/>
      <c r="I13" s="606"/>
      <c r="J13" s="606"/>
      <c r="K13" s="606"/>
      <c r="L13" s="606"/>
      <c r="M13" s="606"/>
      <c r="N13" s="606"/>
      <c r="O13" s="606"/>
      <c r="P13" s="606"/>
      <c r="Q13" s="606"/>
      <c r="R13" s="606"/>
    </row>
    <row r="14" spans="1:18">
      <c r="A14" s="606"/>
      <c r="B14" s="606"/>
      <c r="C14" s="606"/>
      <c r="D14" s="606"/>
      <c r="E14" s="606"/>
      <c r="F14" s="606"/>
      <c r="G14" s="606"/>
      <c r="H14" s="606"/>
      <c r="I14" s="606"/>
      <c r="J14" s="606"/>
      <c r="K14" s="606"/>
      <c r="L14" s="606"/>
      <c r="M14" s="606"/>
      <c r="N14" s="606"/>
      <c r="O14" s="606"/>
      <c r="P14" s="606"/>
      <c r="Q14" s="606"/>
      <c r="R14" s="606"/>
    </row>
    <row r="15" spans="1:1">
      <c r="A15" s="3554"/>
    </row>
    <row r="16" spans="1:1">
      <c r="A16" s="3554"/>
    </row>
    <row r="17" spans="1:1">
      <c r="A17" s="3554"/>
    </row>
    <row r="18" spans="1:1">
      <c r="A18" s="3554"/>
    </row>
    <row r="19" spans="1:1">
      <c r="A19" s="3554"/>
    </row>
    <row r="20" spans="1:1">
      <c r="A20" s="3555"/>
    </row>
    <row r="21" spans="1:1">
      <c r="A21" s="3555"/>
    </row>
    <row r="22" spans="1:1">
      <c r="A22" s="3554"/>
    </row>
    <row r="23" spans="1:1">
      <c r="A23" s="3554"/>
    </row>
    <row r="24" spans="1:1">
      <c r="A24" s="3554"/>
    </row>
    <row r="25" spans="1:1">
      <c r="A25" s="3554"/>
    </row>
    <row r="26" spans="1:1">
      <c r="A26" s="3554"/>
    </row>
    <row r="27" spans="1:1">
      <c r="A27" s="3554"/>
    </row>
    <row r="28" spans="1:1">
      <c r="A28" s="3554"/>
    </row>
    <row r="29" spans="1:1">
      <c r="A29" s="3554"/>
    </row>
    <row r="30" spans="1:1">
      <c r="A30" s="3554"/>
    </row>
    <row r="31" spans="1:1">
      <c r="A31" s="3554"/>
    </row>
    <row r="32" spans="1:1">
      <c r="A32" s="3554"/>
    </row>
    <row r="33" spans="1:1">
      <c r="A33" s="3554"/>
    </row>
    <row r="34" spans="1:1">
      <c r="A34" s="3554"/>
    </row>
    <row r="35" spans="1:1">
      <c r="A35" s="3554"/>
    </row>
    <row r="36" spans="1:1">
      <c r="A36" s="3554"/>
    </row>
    <row r="37" spans="1:1">
      <c r="A37" s="3554"/>
    </row>
  </sheetData>
  <sheetProtection sheet="1" objects="1" scenarios="1"/>
  <mergeCells count="18">
    <mergeCell ref="A1:R1"/>
    <mergeCell ref="E3:G3"/>
    <mergeCell ref="H3:J3"/>
    <mergeCell ref="A6:Q6"/>
    <mergeCell ref="A7:Q7"/>
    <mergeCell ref="A8:Q8"/>
    <mergeCell ref="A3:A4"/>
    <mergeCell ref="B3:B4"/>
    <mergeCell ref="C3:C4"/>
    <mergeCell ref="D3:D4"/>
    <mergeCell ref="K3:K4"/>
    <mergeCell ref="L3:L4"/>
    <mergeCell ref="M3:M4"/>
    <mergeCell ref="N3:N4"/>
    <mergeCell ref="O3:O4"/>
    <mergeCell ref="P3:P4"/>
    <mergeCell ref="Q3:Q4"/>
    <mergeCell ref="R3:R4"/>
  </mergeCells>
  <printOptions horizontalCentered="1"/>
  <pageMargins left="0.118110236220472" right="0.118110236220472" top="1.18110236220472" bottom="0.984251968503937" header="0.78740157480315"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0"/>
  <sheetViews>
    <sheetView view="pageLayout" zoomScale="80" zoomScaleNormal="100" topLeftCell="A10" workbookViewId="0">
      <selection activeCell="A17" sqref="A17:D17"/>
    </sheetView>
  </sheetViews>
  <sheetFormatPr defaultColWidth="9" defaultRowHeight="14.25" outlineLevelCol="3"/>
  <cols>
    <col min="1" max="1" width="15.725" style="3531" customWidth="1"/>
    <col min="2" max="3" width="21.3666666666667" style="3531" customWidth="1"/>
    <col min="4" max="4" width="19.9083333333333" style="3531" customWidth="1"/>
    <col min="5" max="16384" width="9" style="3531"/>
  </cols>
  <sheetData>
    <row r="1" spans="1:1">
      <c r="A1" s="3531" t="s">
        <v>122</v>
      </c>
    </row>
    <row r="2" ht="47.25" customHeight="1" spans="1:4">
      <c r="A2" s="3532" t="str">
        <f>"1.权利限制："&amp;项目基本情况!L24&amp;"未设定租赁等其他他项权利。"</f>
        <v>1.权利限制：根据估价对象《不动产权证书》原件、《国有土地使用权》复印件，截至估价期日，估价对象抵押权未见登记。未设定租赁等其他他项权利。</v>
      </c>
      <c r="B2" s="3532"/>
      <c r="C2" s="3532"/>
      <c r="D2" s="3532"/>
    </row>
    <row r="3" ht="48" customHeight="1" spans="1:1">
      <c r="A3" s="3531"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row>
    <row r="4" ht="36.75" customHeight="1" spans="1:1">
      <c r="A4" s="3531" t="str">
        <f>"3.估价规划限制条件：详见"&amp;项目基本情况!E21&amp;"。"</f>
        <v>3.估价规划限制条件：详见《建设工程规划许可证》[]、《出让合同》[]。</v>
      </c>
    </row>
    <row r="5" spans="1:4">
      <c r="A5" s="3533" t="s">
        <v>123</v>
      </c>
      <c r="B5" s="3533"/>
      <c r="C5" s="3533"/>
      <c r="D5" s="3533"/>
    </row>
    <row r="6" spans="1:1">
      <c r="A6" s="3531" t="s">
        <v>124</v>
      </c>
    </row>
    <row r="7" ht="33" customHeight="1" spans="1:1">
      <c r="A7" s="3531" t="s">
        <v>125</v>
      </c>
    </row>
    <row r="8" ht="32.25" customHeight="1" spans="1:1">
      <c r="A8" s="353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row>
    <row r="9" ht="33.75" customHeight="1" spans="1:1">
      <c r="A9" s="3531" t="str">
        <f>IF(项目基本情况!B8="抵押","3.抵押双方在办理抵押登记手续时，应使用本公司出具的正式《土地估价报告》，特提请报告使用者注意。","——")</f>
        <v>——</v>
      </c>
    </row>
    <row r="10" spans="1:1">
      <c r="A10" s="3531" t="str">
        <f>IF(项目基本情况!B8="抵押","4.估价师所知悉的法定优先受偿款情况为：","——")</f>
        <v>——</v>
      </c>
    </row>
    <row r="11" ht="37.5" customHeight="1" spans="1:1">
      <c r="A11" s="3531" t="str">
        <f>IF(项目基本情况!B8="抵押","（1）"&amp;CONCATENATE(项目基本情况!L24,项目基本情况!L25,项目基本情况!L26),"——")</f>
        <v>——</v>
      </c>
    </row>
    <row r="12" ht="168" customHeight="1" spans="1:4">
      <c r="A12" s="3533" t="s">
        <v>126</v>
      </c>
      <c r="B12" s="3533"/>
      <c r="C12" s="3533"/>
      <c r="D12" s="3533"/>
    </row>
    <row r="13" spans="1:4">
      <c r="A13" s="3534" t="s">
        <v>127</v>
      </c>
      <c r="B13" s="3534"/>
      <c r="C13" s="3534"/>
      <c r="D13" s="3534"/>
    </row>
    <row r="14" spans="1:1">
      <c r="A14" s="3531" t="str">
        <f>IF(项目基本情况!B8="抵押","综上，"&amp;结果表!K47,"——")</f>
        <v>——</v>
      </c>
    </row>
    <row r="15" ht="58.5" customHeight="1" spans="1:1">
      <c r="A15" s="353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16" ht="70.5" customHeight="1" spans="1:1">
      <c r="A16" s="353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17" spans="1:1">
      <c r="A17" s="3531" t="s">
        <v>128</v>
      </c>
    </row>
    <row r="18" spans="1:1">
      <c r="A18" s="3531" t="s">
        <v>129</v>
      </c>
    </row>
    <row r="19" spans="1:4">
      <c r="A19" s="3535" t="s">
        <v>130</v>
      </c>
      <c r="B19" s="3535" t="s">
        <v>131</v>
      </c>
      <c r="C19" s="3535" t="s">
        <v>132</v>
      </c>
      <c r="D19" s="3535" t="s">
        <v>133</v>
      </c>
    </row>
    <row r="20" spans="1:4">
      <c r="A20" s="3535" t="str">
        <f>项目基本情况!B4</f>
        <v>土地估价师</v>
      </c>
      <c r="B20" s="3535">
        <f ca="1">项目基本情况!C4</f>
        <v>0</v>
      </c>
      <c r="C20" s="3536"/>
      <c r="D20" s="3537" t="s">
        <v>134</v>
      </c>
    </row>
    <row r="21" spans="1:4">
      <c r="A21" s="3535" t="str">
        <f>项目基本情况!D4</f>
        <v>土地估价师</v>
      </c>
      <c r="B21" s="3535">
        <f ca="1">项目基本情况!E4</f>
        <v>0</v>
      </c>
      <c r="C21" s="3536"/>
      <c r="D21" s="3537" t="s">
        <v>134</v>
      </c>
    </row>
    <row r="23" spans="1:1">
      <c r="A23" s="3531" t="s">
        <v>135</v>
      </c>
    </row>
    <row r="24" spans="1:4">
      <c r="A24" s="3535" t="s">
        <v>130</v>
      </c>
      <c r="B24" s="3535" t="s">
        <v>136</v>
      </c>
      <c r="C24" s="3535" t="s">
        <v>132</v>
      </c>
      <c r="D24" s="3535" t="s">
        <v>133</v>
      </c>
    </row>
    <row r="25" spans="1:4">
      <c r="A25" s="3538" t="s">
        <v>137</v>
      </c>
      <c r="B25" s="3535" t="s">
        <v>138</v>
      </c>
      <c r="C25" s="3536"/>
      <c r="D25" s="3537" t="s">
        <v>134</v>
      </c>
    </row>
    <row r="29" spans="4:4">
      <c r="D29" s="3539" t="s">
        <v>99</v>
      </c>
    </row>
    <row r="30" spans="4:4">
      <c r="D30" s="3540">
        <v>42558</v>
      </c>
    </row>
  </sheetData>
  <sheetProtection sheet="1" formatCells="0" formatRows="0" insertRows="0" deleteRows="0" objects="1" scenarios="1"/>
  <mergeCells count="19">
    <mergeCell ref="A1:D1"/>
    <mergeCell ref="A2:D2"/>
    <mergeCell ref="A3:D3"/>
    <mergeCell ref="A4:D4"/>
    <mergeCell ref="A5:D5"/>
    <mergeCell ref="A6:D6"/>
    <mergeCell ref="A7:D7"/>
    <mergeCell ref="A8:D8"/>
    <mergeCell ref="A9:D9"/>
    <mergeCell ref="A10:D10"/>
    <mergeCell ref="A11:D11"/>
    <mergeCell ref="A12:D12"/>
    <mergeCell ref="A13:D13"/>
    <mergeCell ref="A14:D14"/>
    <mergeCell ref="A15:D15"/>
    <mergeCell ref="A16:D16"/>
    <mergeCell ref="A17:D17"/>
    <mergeCell ref="A18:D18"/>
    <mergeCell ref="A23:D23"/>
  </mergeCells>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6"/>
  <sheetViews>
    <sheetView workbookViewId="0">
      <pane ySplit="1" topLeftCell="A2" activePane="bottomLeft" state="frozen"/>
      <selection/>
      <selection pane="bottomLeft" activeCell="D26" sqref="D26"/>
    </sheetView>
  </sheetViews>
  <sheetFormatPr defaultColWidth="14.45" defaultRowHeight="15.75" outlineLevelCol="6"/>
  <cols>
    <col min="1" max="1" width="14.45" style="3500" customWidth="1"/>
    <col min="2" max="16384" width="14.45" style="2426"/>
  </cols>
  <sheetData>
    <row r="1" s="3499" customFormat="1" ht="18.75" spans="1:1">
      <c r="A1" s="3501" t="s">
        <v>139</v>
      </c>
    </row>
    <row r="3" ht="14.25" spans="1:7">
      <c r="A3" s="3502" t="s">
        <v>140</v>
      </c>
      <c r="B3" s="2426" t="s">
        <v>141</v>
      </c>
      <c r="G3" s="3503"/>
    </row>
    <row r="4" spans="7:7">
      <c r="G4" s="3503"/>
    </row>
    <row r="5" ht="14.25" spans="1:7">
      <c r="A5" s="3504" t="s">
        <v>142</v>
      </c>
      <c r="B5" s="2426" t="s">
        <v>143</v>
      </c>
      <c r="G5" s="3503"/>
    </row>
    <row r="6" spans="7:7">
      <c r="G6" s="3503"/>
    </row>
    <row r="7" ht="14.25" spans="1:7">
      <c r="A7" s="3505" t="s">
        <v>144</v>
      </c>
      <c r="B7" s="2426" t="s">
        <v>145</v>
      </c>
      <c r="G7" s="3503"/>
    </row>
    <row r="8" spans="7:7">
      <c r="G8" s="3503"/>
    </row>
    <row r="9" ht="14.25" spans="1:2">
      <c r="A9" s="3506" t="s">
        <v>146</v>
      </c>
      <c r="B9" s="2426" t="s">
        <v>147</v>
      </c>
    </row>
    <row r="11" ht="14.25" spans="1:2">
      <c r="A11" s="3507" t="s">
        <v>148</v>
      </c>
      <c r="B11" s="3508" t="s">
        <v>149</v>
      </c>
    </row>
    <row r="13" ht="14.25" spans="1:1">
      <c r="A13" s="3509" t="s">
        <v>150</v>
      </c>
    </row>
    <row r="15" ht="13.5" spans="1:3">
      <c r="A15" s="3510" t="s">
        <v>151</v>
      </c>
      <c r="B15" s="3511" t="s">
        <v>152</v>
      </c>
      <c r="C15" s="3512"/>
    </row>
    <row r="16" ht="13.5" spans="1:3">
      <c r="A16" s="3510"/>
      <c r="B16" s="3513" t="s">
        <v>153</v>
      </c>
      <c r="C16" s="3513" t="s">
        <v>151</v>
      </c>
    </row>
    <row r="17" ht="13.5" spans="1:3">
      <c r="A17" s="3510"/>
      <c r="B17" s="3513"/>
      <c r="C17" s="3513" t="s">
        <v>154</v>
      </c>
    </row>
    <row r="18" ht="13.5" spans="1:3">
      <c r="A18" s="3510"/>
      <c r="B18" s="3513"/>
      <c r="C18" s="3513" t="s">
        <v>155</v>
      </c>
    </row>
    <row r="19" ht="13.5" spans="1:3">
      <c r="A19" s="3510"/>
      <c r="B19" s="3514" t="s">
        <v>156</v>
      </c>
      <c r="C19" s="3512"/>
    </row>
    <row r="20" ht="14.25" spans="1:3">
      <c r="A20" s="3515" t="s">
        <v>157</v>
      </c>
      <c r="B20" s="3516"/>
      <c r="C20" s="3517"/>
    </row>
    <row r="21" ht="13.5" spans="1:3">
      <c r="A21" s="3518" t="s">
        <v>158</v>
      </c>
      <c r="B21" s="3514" t="s">
        <v>159</v>
      </c>
      <c r="C21" s="3512"/>
    </row>
    <row r="22" ht="13.5" spans="1:3">
      <c r="A22" s="3518"/>
      <c r="B22" s="3514" t="s">
        <v>160</v>
      </c>
      <c r="C22" s="3512"/>
    </row>
    <row r="23" ht="13.5" spans="1:3">
      <c r="A23" s="3518"/>
      <c r="B23" s="3514" t="s">
        <v>161</v>
      </c>
      <c r="C23" s="3512"/>
    </row>
    <row r="24" ht="13.5" spans="1:3">
      <c r="A24" s="3518"/>
      <c r="B24" s="3519" t="s">
        <v>162</v>
      </c>
      <c r="C24" s="3520" t="s">
        <v>163</v>
      </c>
    </row>
    <row r="25" ht="13.5" spans="1:3">
      <c r="A25" s="3518"/>
      <c r="B25" s="3521"/>
      <c r="C25" s="3520" t="s">
        <v>164</v>
      </c>
    </row>
    <row r="26" ht="13.5" spans="1:3">
      <c r="A26" s="3518"/>
      <c r="B26" s="3521"/>
      <c r="C26" s="3520" t="s">
        <v>165</v>
      </c>
    </row>
    <row r="27" ht="13.5" spans="1:3">
      <c r="A27" s="3518"/>
      <c r="B27" s="3521"/>
      <c r="C27" s="3520" t="s">
        <v>166</v>
      </c>
    </row>
    <row r="28" ht="13.5" spans="1:3">
      <c r="A28" s="3518"/>
      <c r="B28" s="3521"/>
      <c r="C28" s="3520" t="s">
        <v>167</v>
      </c>
    </row>
    <row r="29" ht="13.5" spans="1:3">
      <c r="A29" s="3518"/>
      <c r="B29" s="3521"/>
      <c r="C29" s="3520" t="s">
        <v>168</v>
      </c>
    </row>
    <row r="30" ht="13.5" spans="1:3">
      <c r="A30" s="3518"/>
      <c r="B30" s="3521"/>
      <c r="C30" s="3520" t="s">
        <v>169</v>
      </c>
    </row>
    <row r="31" ht="13.5" spans="1:3">
      <c r="A31" s="3518"/>
      <c r="B31" s="3521"/>
      <c r="C31" s="3520" t="s">
        <v>170</v>
      </c>
    </row>
    <row r="32" ht="13.5" spans="1:3">
      <c r="A32" s="3518"/>
      <c r="B32" s="3521"/>
      <c r="C32" s="3520" t="s">
        <v>171</v>
      </c>
    </row>
    <row r="33" ht="13.5" spans="1:3">
      <c r="A33" s="3518"/>
      <c r="B33" s="3522" t="s">
        <v>172</v>
      </c>
      <c r="C33" s="3520" t="s">
        <v>173</v>
      </c>
    </row>
    <row r="34" ht="14.25" spans="1:3">
      <c r="A34" s="3518"/>
      <c r="B34" s="3523"/>
      <c r="C34" s="3524" t="s">
        <v>174</v>
      </c>
    </row>
    <row r="35" ht="13.5" spans="1:3">
      <c r="A35" s="3518"/>
      <c r="B35" s="3523"/>
      <c r="C35" s="3525" t="s">
        <v>175</v>
      </c>
    </row>
    <row r="36" ht="13.5" spans="1:3">
      <c r="A36" s="3518"/>
      <c r="B36" s="3523"/>
      <c r="C36" s="3525" t="s">
        <v>176</v>
      </c>
    </row>
    <row r="37" ht="13.5" spans="1:3">
      <c r="A37" s="3518"/>
      <c r="B37" s="3526"/>
      <c r="C37" s="3527" t="s">
        <v>177</v>
      </c>
    </row>
    <row r="38" spans="1:1">
      <c r="A38" s="3528" t="s">
        <v>178</v>
      </c>
    </row>
    <row r="41" spans="1:1">
      <c r="A41" s="3528" t="s">
        <v>179</v>
      </c>
    </row>
    <row r="42" ht="14.25" spans="1:1">
      <c r="A42" s="3529" t="s">
        <v>180</v>
      </c>
    </row>
    <row r="43" ht="14.25" spans="1:1">
      <c r="A43" s="3529" t="s">
        <v>181</v>
      </c>
    </row>
    <row r="44" ht="14.25" spans="1:1">
      <c r="A44" s="3529" t="s">
        <v>182</v>
      </c>
    </row>
    <row r="45" ht="14.25" spans="1:1">
      <c r="A45" s="3530" t="s">
        <v>183</v>
      </c>
    </row>
    <row r="46" ht="14.25" spans="1:1">
      <c r="A46" s="3529" t="s">
        <v>184</v>
      </c>
    </row>
  </sheetData>
  <sheetProtection password="C66D" sheet="1" formatCells="0" formatColumns="0" formatRows="0" objects="1" scenarios="1"/>
  <mergeCells count="10">
    <mergeCell ref="B15:C15"/>
    <mergeCell ref="B19:C19"/>
    <mergeCell ref="B21:C21"/>
    <mergeCell ref="B22:C22"/>
    <mergeCell ref="B23:C23"/>
    <mergeCell ref="A15:A19"/>
    <mergeCell ref="A21:A37"/>
    <mergeCell ref="B16:B18"/>
    <mergeCell ref="B24:B32"/>
    <mergeCell ref="B33:B37"/>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22"/>
  <sheetViews>
    <sheetView view="pageBreakPreview" zoomScale="80" zoomScaleNormal="100" workbookViewId="0">
      <selection activeCell="E5" sqref="E5"/>
    </sheetView>
  </sheetViews>
  <sheetFormatPr defaultColWidth="22.6333333333333" defaultRowHeight="20.25" customHeight="1" outlineLevelCol="6"/>
  <cols>
    <col min="1" max="1" width="24.725" style="3474" customWidth="1"/>
    <col min="2" max="2" width="22.725" style="3474" customWidth="1"/>
    <col min="3" max="3" width="25.725" style="3474" customWidth="1"/>
    <col min="4" max="4" width="22.6333333333333" style="3474"/>
    <col min="5" max="5" width="22.725" style="3474" customWidth="1"/>
    <col min="6" max="6" width="25.6333333333333" style="3474" customWidth="1"/>
    <col min="7" max="16384" width="22.6333333333333" style="3474"/>
  </cols>
  <sheetData>
    <row r="1" customHeight="1" spans="1:7">
      <c r="A1" s="3475"/>
      <c r="B1" s="3475"/>
      <c r="C1" s="3475"/>
      <c r="D1" s="3475"/>
      <c r="E1" s="3475"/>
      <c r="F1" s="3475"/>
      <c r="G1" s="3475"/>
    </row>
    <row r="2" customHeight="1" spans="1:7">
      <c r="A2" s="3476" t="s">
        <v>185</v>
      </c>
      <c r="B2" s="3477">
        <f ca="1">TODAY()</f>
        <v>45267</v>
      </c>
      <c r="C2" s="3478" t="s">
        <v>186</v>
      </c>
      <c r="D2" s="3478"/>
      <c r="E2" s="3475"/>
      <c r="F2" s="3475"/>
      <c r="G2" s="3475"/>
    </row>
    <row r="3" customHeight="1" spans="1:7">
      <c r="A3" s="3479" t="s">
        <v>129</v>
      </c>
      <c r="B3" s="3480" t="s">
        <v>187</v>
      </c>
      <c r="C3" s="3481" t="s">
        <v>188</v>
      </c>
      <c r="D3" s="3482" t="s">
        <v>189</v>
      </c>
      <c r="E3" s="3480" t="s">
        <v>190</v>
      </c>
      <c r="F3" s="3480" t="s">
        <v>188</v>
      </c>
      <c r="G3" s="3475"/>
    </row>
    <row r="4" customHeight="1" spans="1:7">
      <c r="A4" s="3480" t="s">
        <v>191</v>
      </c>
      <c r="B4" s="3480" t="str">
        <f ca="1">IF(C4&lt;B2,"已过期",1119970066)</f>
        <v>已过期</v>
      </c>
      <c r="C4" s="3483">
        <v>44876</v>
      </c>
      <c r="D4" s="3484" t="s">
        <v>191</v>
      </c>
      <c r="E4" s="3480">
        <f ca="1">IF(F4&lt;B2,"已过期",96010014)</f>
        <v>96010014</v>
      </c>
      <c r="F4" s="3485">
        <v>47118</v>
      </c>
      <c r="G4" s="3475"/>
    </row>
    <row r="5" customHeight="1" spans="1:7">
      <c r="A5" s="3480" t="s">
        <v>192</v>
      </c>
      <c r="B5" s="3480" t="str">
        <f ca="1">IF(C5&lt;B2,"已过期",1119970111)</f>
        <v>已过期</v>
      </c>
      <c r="C5" s="3483">
        <v>44876</v>
      </c>
      <c r="D5" s="3484" t="s">
        <v>192</v>
      </c>
      <c r="E5" s="3480">
        <f ca="1">IF(F5&lt;B2,"已过期",94010078)</f>
        <v>94010078</v>
      </c>
      <c r="F5" s="3485">
        <v>46387</v>
      </c>
      <c r="G5" s="3475"/>
    </row>
    <row r="6" customHeight="1" spans="1:7">
      <c r="A6" s="3480" t="s">
        <v>193</v>
      </c>
      <c r="B6" s="3480" t="str">
        <f ca="1">IF(C6&lt;B2,"已过期",1120050019)</f>
        <v>已过期</v>
      </c>
      <c r="C6" s="3483">
        <v>44395</v>
      </c>
      <c r="D6" s="3484" t="s">
        <v>193</v>
      </c>
      <c r="E6" s="3480">
        <f ca="1">IF(F6&lt;B2,"已过期",2002110030)</f>
        <v>2002110030</v>
      </c>
      <c r="F6" s="3485">
        <v>46387</v>
      </c>
      <c r="G6" s="3475"/>
    </row>
    <row r="7" customHeight="1" spans="1:7">
      <c r="A7" s="3480" t="s">
        <v>194</v>
      </c>
      <c r="B7" s="3480" t="str">
        <f ca="1">IF(C7&lt;B2,"已过期",1120000080)</f>
        <v>已过期</v>
      </c>
      <c r="C7" s="3483">
        <v>44876</v>
      </c>
      <c r="D7" s="3484" t="s">
        <v>194</v>
      </c>
      <c r="E7" s="3480">
        <f ca="1">IF(F7&lt;B2,"已过期",2000110082)</f>
        <v>2000110082</v>
      </c>
      <c r="F7" s="3485">
        <v>46387</v>
      </c>
      <c r="G7" s="3475"/>
    </row>
    <row r="8" customHeight="1" spans="1:7">
      <c r="A8" s="3480" t="s">
        <v>195</v>
      </c>
      <c r="B8" s="3480" t="str">
        <f ca="1">IF(C8&lt;B2,"已过期",1419970001)</f>
        <v>已过期</v>
      </c>
      <c r="C8" s="3483">
        <v>44899</v>
      </c>
      <c r="D8" s="3484" t="s">
        <v>195</v>
      </c>
      <c r="E8" s="3480">
        <f ca="1">IF(F8&lt;B2,"已过期",2002110125)</f>
        <v>2002110125</v>
      </c>
      <c r="F8" s="3485">
        <v>47118</v>
      </c>
      <c r="G8" s="3475"/>
    </row>
    <row r="9" customHeight="1" spans="1:7">
      <c r="A9" s="3480" t="s">
        <v>196</v>
      </c>
      <c r="B9" s="3480" t="str">
        <f ca="1">IF(C9&lt;B2,"已过期",1120060040)</f>
        <v>已过期</v>
      </c>
      <c r="C9" s="3483">
        <v>44554</v>
      </c>
      <c r="D9" s="3484" t="s">
        <v>196</v>
      </c>
      <c r="E9" s="3480">
        <f ca="1">IF(F9&lt;B2,"已过期",2004110096)</f>
        <v>2004110096</v>
      </c>
      <c r="F9" s="3485">
        <v>47118</v>
      </c>
      <c r="G9" s="3475"/>
    </row>
    <row r="10" customHeight="1" spans="1:7">
      <c r="A10" s="3480" t="s">
        <v>197</v>
      </c>
      <c r="B10" s="3480" t="str">
        <f ca="1">IF(C10&lt;B2,"已过期",1120100036)</f>
        <v>已过期</v>
      </c>
      <c r="C10" s="3483">
        <v>44675</v>
      </c>
      <c r="D10" s="3484" t="s">
        <v>197</v>
      </c>
      <c r="E10" s="3480">
        <f ca="1">IF(F10&lt;B2,"已过期",2010110070)</f>
        <v>2010110070</v>
      </c>
      <c r="F10" s="3485">
        <v>47907</v>
      </c>
      <c r="G10" s="3475"/>
    </row>
    <row r="11" customHeight="1" spans="1:7">
      <c r="A11" s="3480" t="s">
        <v>198</v>
      </c>
      <c r="B11" s="3480" t="str">
        <f ca="1">IF(C11&lt;B2,"已过期",1120070131)</f>
        <v>已过期</v>
      </c>
      <c r="C11" s="3483">
        <v>44849</v>
      </c>
      <c r="D11" s="3484" t="s">
        <v>198</v>
      </c>
      <c r="E11" s="3480">
        <f ca="1">IF(F11&lt;B2,"已过期",2014110011)</f>
        <v>2014110011</v>
      </c>
      <c r="F11" s="3485">
        <v>49302</v>
      </c>
      <c r="G11" s="3475"/>
    </row>
    <row r="12" customHeight="1" spans="1:7">
      <c r="A12" s="3480" t="s">
        <v>199</v>
      </c>
      <c r="B12" s="3480" t="str">
        <f ca="1">IF(C12&lt;B2,"已过期",1120040230)</f>
        <v>已过期</v>
      </c>
      <c r="C12" s="3483">
        <v>44864</v>
      </c>
      <c r="D12" s="3484" t="s">
        <v>199</v>
      </c>
      <c r="E12" s="3480">
        <f ca="1">IF(F12&lt;B2,"已过期",98030020)</f>
        <v>98030020</v>
      </c>
      <c r="F12" s="3485">
        <v>47118</v>
      </c>
      <c r="G12" s="3475"/>
    </row>
    <row r="13" customHeight="1" spans="1:7">
      <c r="A13" s="3480"/>
      <c r="B13" s="3480"/>
      <c r="C13" s="3483"/>
      <c r="D13" s="3484" t="s">
        <v>200</v>
      </c>
      <c r="E13" s="3480">
        <f ca="1">IF(F13&lt;B2,"已过期",2011110090)</f>
        <v>2011110090</v>
      </c>
      <c r="F13" s="3485">
        <v>48302</v>
      </c>
      <c r="G13" s="3475"/>
    </row>
    <row r="14" customHeight="1" spans="1:7">
      <c r="A14" s="3480" t="s">
        <v>201</v>
      </c>
      <c r="B14" s="3480" t="str">
        <f ca="1">IF(C14&lt;B2,"已过期",1120020033)</f>
        <v>已过期</v>
      </c>
      <c r="C14" s="3483">
        <v>44339</v>
      </c>
      <c r="D14" s="3484" t="s">
        <v>201</v>
      </c>
      <c r="E14" s="3480">
        <f ca="1">IF(F14&lt;B2,"已过期",2000110137)</f>
        <v>2000110137</v>
      </c>
      <c r="F14" s="3485">
        <v>46387</v>
      </c>
      <c r="G14" s="3475"/>
    </row>
    <row r="15" customHeight="1" spans="1:7">
      <c r="A15" s="3480" t="s">
        <v>202</v>
      </c>
      <c r="B15" s="3480" t="str">
        <f ca="1">IF(C14&lt;B2,"已过期",1119980106)</f>
        <v>已过期</v>
      </c>
      <c r="C15" s="3483">
        <v>44969</v>
      </c>
      <c r="D15" s="3484"/>
      <c r="E15" s="3480"/>
      <c r="F15" s="3480"/>
      <c r="G15" s="3475"/>
    </row>
    <row r="16" customHeight="1" spans="1:7">
      <c r="A16" s="3486" t="s">
        <v>138</v>
      </c>
      <c r="B16" s="3486" t="s">
        <v>138</v>
      </c>
      <c r="C16" s="3483"/>
      <c r="D16" s="3487" t="s">
        <v>138</v>
      </c>
      <c r="E16" s="3480" t="s">
        <v>138</v>
      </c>
      <c r="F16" s="3485"/>
      <c r="G16" s="3475"/>
    </row>
    <row r="17" customHeight="1" spans="1:7">
      <c r="A17" s="3488" t="s">
        <v>203</v>
      </c>
      <c r="B17" s="3489"/>
      <c r="C17" s="3489"/>
      <c r="D17" s="3489"/>
      <c r="E17" s="3489"/>
      <c r="F17" s="3489"/>
      <c r="G17" s="3475"/>
    </row>
    <row r="18" customHeight="1" spans="1:7">
      <c r="A18" s="3480" t="s">
        <v>204</v>
      </c>
      <c r="B18" s="3480"/>
      <c r="C18" s="3481"/>
      <c r="D18" s="3484" t="s">
        <v>205</v>
      </c>
      <c r="E18" s="3480"/>
      <c r="F18" s="3480"/>
      <c r="G18" s="3475"/>
    </row>
    <row r="19" s="3473" customFormat="1" customHeight="1" spans="1:7">
      <c r="A19" s="3490" t="s">
        <v>206</v>
      </c>
      <c r="B19" s="3480" t="s">
        <v>207</v>
      </c>
      <c r="C19" s="3481" t="s">
        <v>188</v>
      </c>
      <c r="D19" s="3484" t="s">
        <v>206</v>
      </c>
      <c r="E19" s="3480" t="s">
        <v>207</v>
      </c>
      <c r="F19" s="3480" t="s">
        <v>188</v>
      </c>
      <c r="G19" s="3476"/>
    </row>
    <row r="20" s="3473" customFormat="1" customHeight="1" spans="1:7">
      <c r="A20" s="3491" t="s">
        <v>208</v>
      </c>
      <c r="B20" s="3491" t="s">
        <v>209</v>
      </c>
      <c r="C20" s="3492">
        <v>44820</v>
      </c>
      <c r="D20" s="3493" t="s">
        <v>210</v>
      </c>
      <c r="E20" s="3491" t="s">
        <v>211</v>
      </c>
      <c r="F20" s="3494">
        <v>44377</v>
      </c>
      <c r="G20" s="3476"/>
    </row>
    <row r="21" s="3473" customFormat="1" customHeight="1" spans="1:7">
      <c r="A21" s="3491"/>
      <c r="B21" s="3491"/>
      <c r="C21" s="3495"/>
      <c r="D21" s="3493" t="s">
        <v>212</v>
      </c>
      <c r="E21" s="3491" t="s">
        <v>213</v>
      </c>
      <c r="F21" s="3494">
        <v>44012</v>
      </c>
      <c r="G21" s="3476"/>
    </row>
    <row r="22" customHeight="1" spans="1:7">
      <c r="A22" s="3475"/>
      <c r="B22" s="3475"/>
      <c r="C22" s="3496"/>
      <c r="D22" s="3497"/>
      <c r="E22" s="3475"/>
      <c r="F22" s="3498" t="s">
        <v>214</v>
      </c>
      <c r="G22" s="3475"/>
    </row>
  </sheetData>
  <sheetProtection password="CEE9" sheet="1" objects="1" scenarios="1"/>
  <mergeCells count="3">
    <mergeCell ref="A17:F17"/>
    <mergeCell ref="A18:C18"/>
    <mergeCell ref="D18:F18"/>
  </mergeCells>
  <conditionalFormatting sqref="C4">
    <cfRule type="expression" dxfId="0" priority="1">
      <formula>AND($C4-TODAY()&lt;30,TODAY()&lt;$C4)</formula>
    </cfRule>
    <cfRule type="cellIs" dxfId="1" priority="2" stopIfTrue="1" operator="lessThan">
      <formula>$B$2</formula>
    </cfRule>
  </conditionalFormatting>
  <conditionalFormatting sqref="C6">
    <cfRule type="expression" dxfId="0" priority="82">
      <formula>AND($C6-TODAY()&lt;30,TODAY()&lt;$C6)</formula>
    </cfRule>
    <cfRule type="cellIs" dxfId="1" priority="83" stopIfTrue="1" operator="lessThan">
      <formula>$B$2</formula>
    </cfRule>
  </conditionalFormatting>
  <conditionalFormatting sqref="F11">
    <cfRule type="cellIs" dxfId="1" priority="79" stopIfTrue="1" operator="lessThan">
      <formula>$B$2</formula>
    </cfRule>
  </conditionalFormatting>
  <conditionalFormatting sqref="B12">
    <cfRule type="cellIs" dxfId="2" priority="48" stopIfTrue="1" operator="equal">
      <formula>"已过期"</formula>
    </cfRule>
  </conditionalFormatting>
  <conditionalFormatting sqref="C12">
    <cfRule type="expression" dxfId="0" priority="51">
      <formula>AND($C12-TODAY()&lt;30,TODAY()&lt;$C12)</formula>
    </cfRule>
    <cfRule type="cellIs" dxfId="1" priority="52" stopIfTrue="1" operator="lessThan">
      <formula>$B$2</formula>
    </cfRule>
    <cfRule type="cellIs" dxfId="1" priority="54" stopIfTrue="1" operator="lessThan">
      <formula>$B$2</formula>
    </cfRule>
  </conditionalFormatting>
  <conditionalFormatting sqref="E12">
    <cfRule type="cellIs" dxfId="2" priority="38" stopIfTrue="1" operator="equal">
      <formula>"已过期"</formula>
    </cfRule>
  </conditionalFormatting>
  <conditionalFormatting sqref="F12">
    <cfRule type="cellIs" dxfId="1" priority="37" stopIfTrue="1" operator="lessThan">
      <formula>$B$2</formula>
    </cfRule>
  </conditionalFormatting>
  <conditionalFormatting sqref="F13">
    <cfRule type="cellIs" dxfId="1" priority="113" stopIfTrue="1" operator="lessThan">
      <formula>$B$2</formula>
    </cfRule>
  </conditionalFormatting>
  <conditionalFormatting sqref="C14">
    <cfRule type="expression" dxfId="0" priority="60">
      <formula>AND($C14-TODAY()&lt;30,TODAY()&lt;$C14)</formula>
    </cfRule>
    <cfRule type="cellIs" dxfId="1" priority="61" stopIfTrue="1" operator="lessThan">
      <formula>$B$2</formula>
    </cfRule>
  </conditionalFormatting>
  <conditionalFormatting sqref="F14">
    <cfRule type="cellIs" dxfId="1" priority="114" stopIfTrue="1" operator="lessThan">
      <formula>$B$2</formula>
    </cfRule>
  </conditionalFormatting>
  <conditionalFormatting sqref="C16:D16">
    <cfRule type="expression" dxfId="0" priority="142">
      <formula>AND($C16-TODAY()&lt;30,TODAY()&lt;$C16)</formula>
    </cfRule>
  </conditionalFormatting>
  <conditionalFormatting sqref="C20">
    <cfRule type="expression" dxfId="0" priority="148">
      <formula>AND($C20-TODAY()&lt;30,TODAY()&lt;$C20)</formula>
    </cfRule>
  </conditionalFormatting>
  <conditionalFormatting sqref="F20">
    <cfRule type="cellIs" dxfId="1" priority="108" stopIfTrue="1" operator="lessThan">
      <formula>$B$2</formula>
    </cfRule>
    <cfRule type="expression" dxfId="0" priority="152">
      <formula>AND($E20-TODAY()&lt;30,TODAY()&lt;$E20)</formula>
    </cfRule>
  </conditionalFormatting>
  <conditionalFormatting sqref="F21">
    <cfRule type="cellIs" dxfId="1" priority="13" stopIfTrue="1" operator="lessThan">
      <formula>$B$2</formula>
    </cfRule>
    <cfRule type="expression" dxfId="0" priority="14">
      <formula>AND($E21-TODAY()&lt;30,TODAY()&lt;$E21)</formula>
    </cfRule>
  </conditionalFormatting>
  <conditionalFormatting sqref="C7:C8">
    <cfRule type="expression" dxfId="0" priority="3">
      <formula>AND($C7-TODAY()&lt;30,TODAY()&lt;$C7)</formula>
    </cfRule>
    <cfRule type="cellIs" dxfId="1" priority="4" stopIfTrue="1" operator="lessThan">
      <formula>$B$2</formula>
    </cfRule>
    <cfRule type="expression" dxfId="0" priority="5">
      <formula>AND($C7-TODAY()&lt;30,TODAY()&lt;$C7)</formula>
    </cfRule>
    <cfRule type="cellIs" dxfId="1" priority="6" stopIfTrue="1" operator="lessThan">
      <formula>$B$2</formula>
    </cfRule>
  </conditionalFormatting>
  <conditionalFormatting sqref="C9:C10">
    <cfRule type="expression" dxfId="0" priority="33">
      <formula>AND($C9-TODAY()&lt;30,TODAY()&lt;$C9)</formula>
    </cfRule>
    <cfRule type="cellIs" dxfId="1" priority="34" stopIfTrue="1" operator="lessThan">
      <formula>$B$2</formula>
    </cfRule>
  </conditionalFormatting>
  <conditionalFormatting sqref="B4:B11 E4:E11 E13:E15 B13:B15">
    <cfRule type="cellIs" dxfId="2" priority="111" stopIfTrue="1" operator="equal">
      <formula>"已过期"</formula>
    </cfRule>
  </conditionalFormatting>
  <conditionalFormatting sqref="C20 F4 C5 C13">
    <cfRule type="cellIs" dxfId="1" priority="150" stopIfTrue="1" operator="lessThan">
      <formula>$B$2</formula>
    </cfRule>
  </conditionalFormatting>
  <conditionalFormatting sqref="C16:D16 C5 C12:C13">
    <cfRule type="expression" dxfId="0" priority="149">
      <formula>AND($C5-TODAY()&lt;30,TODAY()&lt;$C5)</formula>
    </cfRule>
  </conditionalFormatting>
  <conditionalFormatting sqref="F5 F7 F9">
    <cfRule type="cellIs" dxfId="1" priority="144" stopIfTrue="1" operator="lessThan">
      <formula>$B$2</formula>
    </cfRule>
  </conditionalFormatting>
  <conditionalFormatting sqref="F6 F8 F10 C16:D16">
    <cfRule type="cellIs" dxfId="1" priority="143" stopIfTrue="1" operator="lessThan">
      <formula>$B$2</formula>
    </cfRule>
  </conditionalFormatting>
  <conditionalFormatting sqref="C11 C15">
    <cfRule type="expression" dxfId="0" priority="80">
      <formula>AND($C11-TODAY()&lt;30,TODAY()&lt;$C11)</formula>
    </cfRule>
    <cfRule type="cellIs" dxfId="1" priority="81" stopIfTrue="1" operator="lessThan">
      <formula>$B$2</formula>
    </cfRule>
  </conditionalFormatting>
  <pageMargins left="0.7" right="0.7" top="0.75" bottom="0.75" header="0.3" footer="0.3"/>
  <pageSetup paperSize="9" scale="93"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58"/>
  <sheetViews>
    <sheetView topLeftCell="A7" workbookViewId="0">
      <selection activeCell="X31" sqref="X31"/>
    </sheetView>
  </sheetViews>
  <sheetFormatPr defaultColWidth="9" defaultRowHeight="14.25"/>
  <cols>
    <col min="1" max="1" width="10.3666666666667" style="3451" customWidth="1"/>
    <col min="2" max="2" width="25" style="2426" customWidth="1"/>
    <col min="3" max="3" width="18.9083333333333" style="2618" hidden="1" customWidth="1"/>
    <col min="4" max="4" width="5.45" style="3452" hidden="1" customWidth="1"/>
    <col min="5" max="5" width="7.09166666666667" style="3452" hidden="1" customWidth="1"/>
    <col min="6" max="6" width="10.6333333333333" style="3452" hidden="1" customWidth="1"/>
    <col min="7" max="7" width="7.45" style="3452" hidden="1" customWidth="1"/>
    <col min="8" max="8" width="9" style="2618" hidden="1" customWidth="1"/>
    <col min="9" max="9" width="11.6333333333333" style="2618" hidden="1" customWidth="1"/>
    <col min="10" max="10" width="9" style="2618" hidden="1" customWidth="1"/>
    <col min="11" max="19" width="9" style="3452" hidden="1" customWidth="1"/>
    <col min="20" max="22" width="9" style="2618" hidden="1" customWidth="1"/>
    <col min="23" max="23" width="9" style="2618" customWidth="1"/>
    <col min="24" max="24" width="14.6333333333333" style="2426" customWidth="1"/>
    <col min="25" max="25" width="7.26666666666667" style="2426" customWidth="1"/>
    <col min="26" max="16384" width="9" style="2426"/>
  </cols>
  <sheetData>
    <row r="1" s="3450" customFormat="1" ht="27" spans="1:23">
      <c r="A1" s="3453" t="s">
        <v>215</v>
      </c>
      <c r="B1" s="3454" t="s">
        <v>216</v>
      </c>
      <c r="C1" s="3455" t="s">
        <v>217</v>
      </c>
      <c r="D1" s="3456" t="s">
        <v>218</v>
      </c>
      <c r="E1" s="3456" t="s">
        <v>219</v>
      </c>
      <c r="F1" s="3456" t="s">
        <v>220</v>
      </c>
      <c r="G1" s="3456" t="s">
        <v>221</v>
      </c>
      <c r="H1" s="3456" t="s">
        <v>222</v>
      </c>
      <c r="I1" s="3456" t="s">
        <v>223</v>
      </c>
      <c r="J1" s="3456" t="s">
        <v>224</v>
      </c>
      <c r="K1" s="3456" t="s">
        <v>225</v>
      </c>
      <c r="L1" s="3456" t="s">
        <v>226</v>
      </c>
      <c r="M1" s="3456" t="s">
        <v>227</v>
      </c>
      <c r="N1" s="3456" t="s">
        <v>228</v>
      </c>
      <c r="O1" s="3456" t="s">
        <v>229</v>
      </c>
      <c r="P1" s="3456" t="s">
        <v>230</v>
      </c>
      <c r="Q1" s="3470" t="s">
        <v>231</v>
      </c>
      <c r="R1" s="3471" t="s">
        <v>232</v>
      </c>
      <c r="S1" s="3456" t="s">
        <v>233</v>
      </c>
      <c r="T1" s="3149" t="s">
        <v>234</v>
      </c>
      <c r="U1" s="3456" t="s">
        <v>235</v>
      </c>
      <c r="V1" s="3456" t="s">
        <v>236</v>
      </c>
      <c r="W1" s="3472" t="s">
        <v>237</v>
      </c>
    </row>
    <row r="2" spans="1:23">
      <c r="A2" s="3457" t="s">
        <v>238</v>
      </c>
      <c r="B2" s="3457" t="s">
        <v>239</v>
      </c>
      <c r="C2" s="3458" t="s">
        <v>240</v>
      </c>
      <c r="D2" s="3452" t="s">
        <v>241</v>
      </c>
      <c r="E2" s="3452" t="s">
        <v>242</v>
      </c>
      <c r="F2" s="3452" t="s">
        <v>243</v>
      </c>
      <c r="G2" s="3452">
        <v>40</v>
      </c>
      <c r="H2" s="3452" t="s">
        <v>243</v>
      </c>
      <c r="I2" s="3452" t="s">
        <v>244</v>
      </c>
      <c r="J2" s="3452" t="s">
        <v>245</v>
      </c>
      <c r="K2" s="3452" t="s">
        <v>246</v>
      </c>
      <c r="L2" s="3452" t="s">
        <v>246</v>
      </c>
      <c r="M2" s="3452" t="s">
        <v>246</v>
      </c>
      <c r="N2" s="3452" t="s">
        <v>246</v>
      </c>
      <c r="O2" s="3452" t="s">
        <v>246</v>
      </c>
      <c r="P2" s="3469" t="s">
        <v>246</v>
      </c>
      <c r="Q2" s="3452" t="s">
        <v>246</v>
      </c>
      <c r="R2" s="3469" t="s">
        <v>247</v>
      </c>
      <c r="S2" s="3452" t="s">
        <v>246</v>
      </c>
      <c r="T2" s="3452" t="s">
        <v>248</v>
      </c>
      <c r="U2" s="3452" t="s">
        <v>246</v>
      </c>
      <c r="V2" s="3452" t="s">
        <v>249</v>
      </c>
      <c r="W2" s="3452" t="s">
        <v>250</v>
      </c>
    </row>
    <row r="3" spans="1:23">
      <c r="A3" s="3457" t="s">
        <v>251</v>
      </c>
      <c r="B3" s="3459" t="s">
        <v>252</v>
      </c>
      <c r="C3" s="3458" t="s">
        <v>253</v>
      </c>
      <c r="D3" s="3452" t="s">
        <v>254</v>
      </c>
      <c r="E3" s="3452" t="s">
        <v>138</v>
      </c>
      <c r="F3" s="3452" t="s">
        <v>255</v>
      </c>
      <c r="G3" s="3452">
        <v>50</v>
      </c>
      <c r="H3" s="3452" t="s">
        <v>255</v>
      </c>
      <c r="I3" s="3452" t="s">
        <v>256</v>
      </c>
      <c r="J3" s="3452" t="s">
        <v>257</v>
      </c>
      <c r="K3" s="3452" t="s">
        <v>258</v>
      </c>
      <c r="L3" s="3452" t="s">
        <v>258</v>
      </c>
      <c r="M3" s="3452" t="s">
        <v>258</v>
      </c>
      <c r="N3" s="3452" t="s">
        <v>258</v>
      </c>
      <c r="O3" s="3452" t="s">
        <v>258</v>
      </c>
      <c r="P3" s="3469" t="s">
        <v>258</v>
      </c>
      <c r="Q3" s="3452" t="s">
        <v>258</v>
      </c>
      <c r="R3" s="3469" t="s">
        <v>259</v>
      </c>
      <c r="S3" s="3452" t="s">
        <v>258</v>
      </c>
      <c r="T3" s="3452" t="s">
        <v>260</v>
      </c>
      <c r="U3" s="3452" t="s">
        <v>258</v>
      </c>
      <c r="V3" s="3452" t="s">
        <v>261</v>
      </c>
      <c r="W3" s="3452" t="s">
        <v>262</v>
      </c>
    </row>
    <row r="4" spans="1:23">
      <c r="A4" s="3457" t="s">
        <v>263</v>
      </c>
      <c r="B4" s="3457" t="s">
        <v>264</v>
      </c>
      <c r="C4" s="3458" t="s">
        <v>265</v>
      </c>
      <c r="D4" s="3452" t="s">
        <v>138</v>
      </c>
      <c r="E4" s="3452" t="s">
        <v>266</v>
      </c>
      <c r="F4" s="3452" t="s">
        <v>267</v>
      </c>
      <c r="G4" s="3452">
        <v>70</v>
      </c>
      <c r="H4" s="3452" t="s">
        <v>267</v>
      </c>
      <c r="I4" s="3452" t="s">
        <v>268</v>
      </c>
      <c r="K4" s="3452" t="s">
        <v>269</v>
      </c>
      <c r="L4" s="3452" t="s">
        <v>269</v>
      </c>
      <c r="M4" s="3452" t="s">
        <v>269</v>
      </c>
      <c r="N4" s="3452" t="s">
        <v>269</v>
      </c>
      <c r="O4" s="3452" t="s">
        <v>269</v>
      </c>
      <c r="P4" s="3469" t="s">
        <v>269</v>
      </c>
      <c r="Q4" s="3452" t="s">
        <v>269</v>
      </c>
      <c r="R4" s="3469" t="s">
        <v>270</v>
      </c>
      <c r="S4" s="3452" t="s">
        <v>269</v>
      </c>
      <c r="T4" s="3452" t="s">
        <v>271</v>
      </c>
      <c r="U4" s="3452" t="s">
        <v>269</v>
      </c>
      <c r="W4" s="3452" t="s">
        <v>272</v>
      </c>
    </row>
    <row r="5" spans="1:23">
      <c r="A5" s="3457" t="s">
        <v>273</v>
      </c>
      <c r="B5" s="3457" t="s">
        <v>274</v>
      </c>
      <c r="C5" s="3458" t="s">
        <v>275</v>
      </c>
      <c r="F5" s="3452" t="s">
        <v>276</v>
      </c>
      <c r="H5" s="3452" t="s">
        <v>277</v>
      </c>
      <c r="I5" s="3452" t="s">
        <v>278</v>
      </c>
      <c r="K5" s="3452" t="s">
        <v>279</v>
      </c>
      <c r="L5" s="3452" t="s">
        <v>279</v>
      </c>
      <c r="M5" s="3452" t="s">
        <v>279</v>
      </c>
      <c r="N5" s="3452" t="s">
        <v>279</v>
      </c>
      <c r="O5" s="3452" t="s">
        <v>279</v>
      </c>
      <c r="P5" s="3469" t="s">
        <v>279</v>
      </c>
      <c r="Q5" s="3452" t="s">
        <v>279</v>
      </c>
      <c r="R5" s="3469" t="s">
        <v>280</v>
      </c>
      <c r="S5" s="3452" t="s">
        <v>279</v>
      </c>
      <c r="T5" s="3452" t="s">
        <v>281</v>
      </c>
      <c r="U5" s="3452" t="s">
        <v>279</v>
      </c>
      <c r="W5" s="3452" t="s">
        <v>282</v>
      </c>
    </row>
    <row r="6" spans="1:23">
      <c r="A6" s="3457" t="s">
        <v>283</v>
      </c>
      <c r="B6" s="3460" t="s">
        <v>173</v>
      </c>
      <c r="C6" s="3461" t="s">
        <v>284</v>
      </c>
      <c r="F6" s="3452" t="s">
        <v>277</v>
      </c>
      <c r="H6" s="3452" t="s">
        <v>285</v>
      </c>
      <c r="I6" s="3452" t="s">
        <v>286</v>
      </c>
      <c r="K6" s="3452" t="s">
        <v>287</v>
      </c>
      <c r="L6" s="3452" t="s">
        <v>287</v>
      </c>
      <c r="M6" s="3452" t="s">
        <v>287</v>
      </c>
      <c r="N6" s="3452" t="s">
        <v>287</v>
      </c>
      <c r="O6" s="3452" t="s">
        <v>287</v>
      </c>
      <c r="P6" s="3469" t="s">
        <v>287</v>
      </c>
      <c r="Q6" s="3452" t="s">
        <v>287</v>
      </c>
      <c r="R6" s="3469" t="s">
        <v>288</v>
      </c>
      <c r="S6" s="3452" t="s">
        <v>287</v>
      </c>
      <c r="T6" s="3452"/>
      <c r="U6" s="3452" t="s">
        <v>287</v>
      </c>
      <c r="W6" s="3452" t="s">
        <v>289</v>
      </c>
    </row>
    <row r="7" spans="1:9">
      <c r="A7" s="3457" t="s">
        <v>290</v>
      </c>
      <c r="B7" s="3457" t="s">
        <v>291</v>
      </c>
      <c r="C7" s="3458" t="s">
        <v>292</v>
      </c>
      <c r="F7" s="3452" t="s">
        <v>293</v>
      </c>
      <c r="H7" s="3452" t="s">
        <v>276</v>
      </c>
      <c r="I7" s="3452" t="s">
        <v>294</v>
      </c>
    </row>
    <row r="8" spans="1:9">
      <c r="A8" s="3457" t="s">
        <v>295</v>
      </c>
      <c r="B8" s="3457" t="s">
        <v>296</v>
      </c>
      <c r="C8" s="3458" t="s">
        <v>297</v>
      </c>
      <c r="F8" s="3452" t="s">
        <v>298</v>
      </c>
      <c r="H8" s="3452"/>
      <c r="I8" s="3452" t="s">
        <v>299</v>
      </c>
    </row>
    <row r="9" spans="1:8">
      <c r="A9" s="3457" t="s">
        <v>300</v>
      </c>
      <c r="B9" s="3457" t="s">
        <v>301</v>
      </c>
      <c r="C9" s="3458" t="s">
        <v>302</v>
      </c>
      <c r="F9" s="3452" t="s">
        <v>285</v>
      </c>
      <c r="H9" s="3452"/>
    </row>
    <row r="10" spans="1:6">
      <c r="A10" s="3457" t="s">
        <v>303</v>
      </c>
      <c r="B10" s="3457" t="s">
        <v>304</v>
      </c>
      <c r="C10" s="3458" t="s">
        <v>305</v>
      </c>
      <c r="F10" s="3452" t="s">
        <v>138</v>
      </c>
    </row>
    <row r="11" spans="1:3">
      <c r="A11" s="3457" t="s">
        <v>306</v>
      </c>
      <c r="B11" s="3457" t="s">
        <v>307</v>
      </c>
      <c r="C11" s="3458" t="s">
        <v>308</v>
      </c>
    </row>
    <row r="12" spans="1:3">
      <c r="A12" s="3457" t="s">
        <v>309</v>
      </c>
      <c r="B12" s="3457" t="s">
        <v>310</v>
      </c>
      <c r="C12" s="3458" t="s">
        <v>311</v>
      </c>
    </row>
    <row r="13" spans="1:3">
      <c r="A13" s="3457" t="s">
        <v>312</v>
      </c>
      <c r="B13" s="3457" t="s">
        <v>313</v>
      </c>
      <c r="C13" s="3458" t="s">
        <v>314</v>
      </c>
    </row>
    <row r="14" spans="1:3">
      <c r="A14" s="3457" t="s">
        <v>315</v>
      </c>
      <c r="B14" s="3457" t="s">
        <v>316</v>
      </c>
      <c r="C14" s="3462" t="s">
        <v>138</v>
      </c>
    </row>
    <row r="15" spans="1:3">
      <c r="A15" s="3457" t="s">
        <v>317</v>
      </c>
      <c r="B15" s="3457" t="s">
        <v>318</v>
      </c>
      <c r="C15" s="3462"/>
    </row>
    <row r="16" spans="1:3">
      <c r="A16" s="3457" t="s">
        <v>319</v>
      </c>
      <c r="B16" s="3457" t="s">
        <v>320</v>
      </c>
      <c r="C16" s="3462"/>
    </row>
    <row r="17" spans="1:3">
      <c r="A17" s="3457" t="s">
        <v>321</v>
      </c>
      <c r="B17" s="3457" t="s">
        <v>322</v>
      </c>
      <c r="C17" s="3462"/>
    </row>
    <row r="18" spans="1:3">
      <c r="A18" s="3457" t="s">
        <v>323</v>
      </c>
      <c r="B18" s="3463" t="s">
        <v>324</v>
      </c>
      <c r="C18" s="3462"/>
    </row>
    <row r="19" spans="1:3">
      <c r="A19" s="3457" t="s">
        <v>325</v>
      </c>
      <c r="B19" s="3463" t="s">
        <v>326</v>
      </c>
      <c r="C19" s="3462"/>
    </row>
    <row r="20" spans="1:3">
      <c r="A20" s="3457" t="s">
        <v>277</v>
      </c>
      <c r="B20" s="3463" t="s">
        <v>171</v>
      </c>
      <c r="C20" s="3462"/>
    </row>
    <row r="21" spans="1:3">
      <c r="A21" s="3457" t="s">
        <v>327</v>
      </c>
      <c r="B21" s="3457" t="s">
        <v>328</v>
      </c>
      <c r="C21" s="3462"/>
    </row>
    <row r="22" spans="1:3">
      <c r="A22" s="3457" t="s">
        <v>329</v>
      </c>
      <c r="B22" s="3457" t="s">
        <v>330</v>
      </c>
      <c r="C22" s="3462"/>
    </row>
    <row r="23" spans="1:3">
      <c r="A23" s="3457" t="s">
        <v>331</v>
      </c>
      <c r="B23" s="3457" t="s">
        <v>332</v>
      </c>
      <c r="C23" s="3462"/>
    </row>
    <row r="24" spans="1:3">
      <c r="A24" s="3457" t="s">
        <v>138</v>
      </c>
      <c r="B24" s="3463" t="s">
        <v>333</v>
      </c>
      <c r="C24" s="3462"/>
    </row>
    <row r="25" spans="1:3">
      <c r="A25" s="3457" t="s">
        <v>334</v>
      </c>
      <c r="B25" s="3457" t="s">
        <v>335</v>
      </c>
      <c r="C25" s="3462"/>
    </row>
    <row r="26" spans="1:3">
      <c r="A26" s="3457" t="s">
        <v>336</v>
      </c>
      <c r="B26" s="3457" t="s">
        <v>337</v>
      </c>
      <c r="C26" s="3462"/>
    </row>
    <row r="27" spans="1:3">
      <c r="A27" s="3457" t="s">
        <v>338</v>
      </c>
      <c r="B27" s="3457" t="s">
        <v>339</v>
      </c>
      <c r="C27" s="3462"/>
    </row>
    <row r="28" spans="1:3">
      <c r="A28" s="3457" t="s">
        <v>338</v>
      </c>
      <c r="B28" s="3457" t="s">
        <v>340</v>
      </c>
      <c r="C28" s="3462"/>
    </row>
    <row r="29" spans="1:3">
      <c r="A29" s="3457" t="s">
        <v>338</v>
      </c>
      <c r="B29" s="3457" t="s">
        <v>341</v>
      </c>
      <c r="C29" s="3462"/>
    </row>
    <row r="30" spans="1:3">
      <c r="A30" s="3457" t="s">
        <v>338</v>
      </c>
      <c r="B30" s="3457" t="s">
        <v>338</v>
      </c>
      <c r="C30" s="3462"/>
    </row>
    <row r="31" spans="1:3">
      <c r="A31" s="3457" t="s">
        <v>338</v>
      </c>
      <c r="B31" s="3457" t="s">
        <v>338</v>
      </c>
      <c r="C31" s="3462"/>
    </row>
    <row r="32" spans="1:3">
      <c r="A32" s="3457" t="s">
        <v>338</v>
      </c>
      <c r="B32" s="3457" t="s">
        <v>338</v>
      </c>
      <c r="C32" s="3462"/>
    </row>
    <row r="33" spans="1:3">
      <c r="A33" s="3457" t="s">
        <v>338</v>
      </c>
      <c r="B33" s="3457" t="s">
        <v>338</v>
      </c>
      <c r="C33" s="3462"/>
    </row>
    <row r="34" spans="1:3">
      <c r="A34" s="3457" t="s">
        <v>338</v>
      </c>
      <c r="B34" s="3457" t="s">
        <v>338</v>
      </c>
      <c r="C34" s="3462"/>
    </row>
    <row r="35" spans="1:3">
      <c r="A35" s="3457" t="s">
        <v>338</v>
      </c>
      <c r="B35" s="3457" t="s">
        <v>338</v>
      </c>
      <c r="C35" s="3462"/>
    </row>
    <row r="36" spans="1:3">
      <c r="A36" s="3457" t="s">
        <v>338</v>
      </c>
      <c r="B36" s="3457" t="s">
        <v>338</v>
      </c>
      <c r="C36" s="3462"/>
    </row>
    <row r="37" spans="1:3">
      <c r="A37" s="3457" t="s">
        <v>338</v>
      </c>
      <c r="B37" s="3457" t="s">
        <v>338</v>
      </c>
      <c r="C37" s="3462"/>
    </row>
    <row r="38" spans="1:3">
      <c r="A38" s="3457" t="s">
        <v>338</v>
      </c>
      <c r="B38" s="3457" t="s">
        <v>338</v>
      </c>
      <c r="C38" s="3462"/>
    </row>
    <row r="39" spans="1:3">
      <c r="A39" s="3457" t="s">
        <v>338</v>
      </c>
      <c r="B39" s="3457" t="s">
        <v>338</v>
      </c>
      <c r="C39" s="3462"/>
    </row>
    <row r="40" spans="1:3">
      <c r="A40" s="3457" t="s">
        <v>338</v>
      </c>
      <c r="B40" s="3457" t="s">
        <v>338</v>
      </c>
      <c r="C40" s="3462"/>
    </row>
    <row r="41" spans="1:3">
      <c r="A41" s="3457" t="s">
        <v>338</v>
      </c>
      <c r="B41" s="3457" t="s">
        <v>338</v>
      </c>
      <c r="C41" s="3462"/>
    </row>
    <row r="42" spans="1:3">
      <c r="A42" s="3457" t="s">
        <v>338</v>
      </c>
      <c r="B42" s="3457" t="s">
        <v>338</v>
      </c>
      <c r="C42" s="3462"/>
    </row>
    <row r="43" spans="1:3">
      <c r="A43" s="3457" t="s">
        <v>338</v>
      </c>
      <c r="B43" s="3457" t="s">
        <v>338</v>
      </c>
      <c r="C43" s="3462"/>
    </row>
    <row r="44" spans="1:3">
      <c r="A44" s="3457" t="s">
        <v>338</v>
      </c>
      <c r="B44" s="3457" t="s">
        <v>338</v>
      </c>
      <c r="C44" s="3462"/>
    </row>
    <row r="45" spans="1:3">
      <c r="A45" s="3457" t="s">
        <v>338</v>
      </c>
      <c r="B45" s="3457" t="s">
        <v>338</v>
      </c>
      <c r="C45" s="3462"/>
    </row>
    <row r="46" spans="1:3">
      <c r="A46" s="3457" t="s">
        <v>338</v>
      </c>
      <c r="B46" s="3457" t="s">
        <v>338</v>
      </c>
      <c r="C46" s="3462"/>
    </row>
    <row r="47" spans="1:3">
      <c r="A47" s="3457" t="s">
        <v>338</v>
      </c>
      <c r="B47" s="3457" t="s">
        <v>338</v>
      </c>
      <c r="C47" s="3462"/>
    </row>
    <row r="48" spans="1:3">
      <c r="A48" s="3457" t="s">
        <v>338</v>
      </c>
      <c r="B48" s="3457" t="s">
        <v>338</v>
      </c>
      <c r="C48" s="3462"/>
    </row>
    <row r="49" spans="1:3">
      <c r="A49" s="3457" t="s">
        <v>338</v>
      </c>
      <c r="B49" s="3457" t="s">
        <v>338</v>
      </c>
      <c r="C49" s="3462"/>
    </row>
    <row r="50" spans="1:3">
      <c r="A50" s="3457" t="s">
        <v>338</v>
      </c>
      <c r="B50" s="3457" t="s">
        <v>338</v>
      </c>
      <c r="C50" s="3462"/>
    </row>
    <row r="51" ht="13.5" spans="1:5">
      <c r="A51" s="3464" t="s">
        <v>342</v>
      </c>
      <c r="B51" s="3465"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46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466"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466"/>
    </row>
    <row r="52" ht="13.5" spans="1:5">
      <c r="A52" s="3464" t="s">
        <v>343</v>
      </c>
      <c r="B52" s="3466" t="s">
        <v>344</v>
      </c>
      <c r="C52" s="3465" t="s">
        <v>345</v>
      </c>
      <c r="D52" s="3465" t="s">
        <v>346</v>
      </c>
      <c r="E52" s="3466"/>
    </row>
    <row r="53" ht="13.5" spans="1:5">
      <c r="A53" s="3467" t="s">
        <v>347</v>
      </c>
      <c r="B53" s="3465" t="s">
        <v>348</v>
      </c>
      <c r="C53" s="3465"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c r="D53" s="3466"/>
      <c r="E53" s="3466"/>
    </row>
    <row r="54" ht="13.5" spans="1:5">
      <c r="A54" s="3467"/>
      <c r="B54" s="3465" t="s">
        <v>349</v>
      </c>
      <c r="C54" s="3465"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466"/>
      <c r="E54" s="3466"/>
    </row>
    <row r="55" ht="13.5" spans="1:5">
      <c r="A55" s="3467"/>
      <c r="B55" s="3465" t="s">
        <v>350</v>
      </c>
      <c r="C55" s="3465"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466"/>
      <c r="E55" s="3466"/>
    </row>
    <row r="56" ht="13.5" spans="1:5">
      <c r="A56" s="3467"/>
      <c r="B56" s="3465" t="s">
        <v>351</v>
      </c>
      <c r="C56" s="3465"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466"/>
      <c r="E56" s="3466"/>
    </row>
    <row r="57" ht="13.5" spans="1:5">
      <c r="A57" s="3467"/>
      <c r="B57" s="3465" t="s">
        <v>352</v>
      </c>
      <c r="C57" s="346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466"/>
      <c r="E57" s="3466"/>
    </row>
    <row r="58" spans="1:4">
      <c r="A58" s="3468" t="s">
        <v>353</v>
      </c>
      <c r="B58" s="3465" t="s">
        <v>354</v>
      </c>
      <c r="C58" s="2618" t="s">
        <v>355</v>
      </c>
      <c r="D58" s="2719" t="s">
        <v>356</v>
      </c>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B58"/>
  <sheetViews>
    <sheetView view="pageBreakPreview" zoomScale="70" zoomScaleNormal="100" workbookViewId="0">
      <selection activeCell="I23" sqref="I23"/>
    </sheetView>
  </sheetViews>
  <sheetFormatPr defaultColWidth="10" defaultRowHeight="14.25"/>
  <cols>
    <col min="1" max="1" width="15.3666666666667" style="3257" customWidth="1"/>
    <col min="2" max="2" width="13.9083333333333" style="3257" customWidth="1"/>
    <col min="3" max="3" width="12.6333333333333" style="3257" customWidth="1"/>
    <col min="4" max="4" width="11.9083333333333" style="3257" customWidth="1"/>
    <col min="5" max="5" width="12.45" style="3257" customWidth="1"/>
    <col min="6" max="6" width="11.3666666666667" style="3257" customWidth="1"/>
    <col min="7" max="7" width="12.3666666666667" style="3257" customWidth="1"/>
    <col min="8" max="8" width="10" style="3257" customWidth="1"/>
    <col min="9" max="9" width="12.45" style="3258" customWidth="1"/>
    <col min="10" max="10" width="10" style="3257" customWidth="1"/>
    <col min="11" max="11" width="10" style="3259" customWidth="1"/>
    <col min="12" max="13" width="10" style="3260" customWidth="1"/>
    <col min="14" max="14" width="10" style="3261" customWidth="1"/>
    <col min="15" max="15" width="10" style="3262" customWidth="1"/>
    <col min="16" max="17" width="10" style="3261"/>
    <col min="18" max="18" width="10" style="3261" customWidth="1"/>
    <col min="19" max="28" width="10" style="3261"/>
    <col min="29" max="16384" width="10" style="3257"/>
  </cols>
  <sheetData>
    <row r="1" ht="15" spans="1:21">
      <c r="A1" s="3263" t="s">
        <v>357</v>
      </c>
      <c r="B1" s="3264" t="str">
        <f>IF(B10="北京市","北京市",C10)&amp;F10&amp;B16&amp;"国有建设用地使用权"&amp;B9&amp;"预评估"</f>
        <v>出让国有建设用地使用权预评估</v>
      </c>
      <c r="C1" s="3265"/>
      <c r="D1" s="3265"/>
      <c r="E1" s="3265"/>
      <c r="F1" s="3265"/>
      <c r="G1" s="3265"/>
      <c r="H1" s="3265"/>
      <c r="I1" s="3417"/>
      <c r="J1" s="3268"/>
      <c r="K1" s="3418" t="str">
        <f>IF(B10="北京市","北京市",C10)&amp;F10&amp;B16&amp;"国有建设用地使用权"&amp;B9</f>
        <v>出让国有建设用地使用权</v>
      </c>
      <c r="L1" s="3419"/>
      <c r="M1" s="3419"/>
      <c r="N1" s="3306"/>
      <c r="O1" s="3420"/>
      <c r="P1" s="3306"/>
      <c r="Q1" s="3306"/>
      <c r="R1" s="3306"/>
      <c r="S1" s="3306"/>
      <c r="T1" s="3306"/>
      <c r="U1" s="3306"/>
    </row>
    <row r="2" spans="1:21">
      <c r="A2" s="3266" t="s">
        <v>358</v>
      </c>
      <c r="B2" s="3267"/>
      <c r="D2" s="3268"/>
      <c r="E2" s="3268"/>
      <c r="F2" s="3268"/>
      <c r="G2" s="3268"/>
      <c r="H2" s="3268"/>
      <c r="I2" s="3421"/>
      <c r="J2" s="3268"/>
      <c r="K2" s="3418" t="str">
        <f>IF(B10="北京市","北京市",C10)&amp;F10&amp;B16&amp;"国有建设用地使用权"</f>
        <v>出让国有建设用地使用权</v>
      </c>
      <c r="L2" s="3419"/>
      <c r="M2" s="3419"/>
      <c r="N2" s="3306"/>
      <c r="O2" s="3420"/>
      <c r="P2" s="3306"/>
      <c r="Q2" s="3306"/>
      <c r="R2" s="3306"/>
      <c r="S2" s="3306"/>
      <c r="T2" s="3306"/>
      <c r="U2" s="3306"/>
    </row>
    <row r="3" spans="1:21">
      <c r="A3" s="3269" t="s">
        <v>359</v>
      </c>
      <c r="B3" s="3270">
        <v>45252</v>
      </c>
      <c r="C3" s="3271" t="s">
        <v>360</v>
      </c>
      <c r="D3" s="3270">
        <f>B3</f>
        <v>45252</v>
      </c>
      <c r="E3" s="3268"/>
      <c r="F3" s="3268"/>
      <c r="G3" s="3268"/>
      <c r="H3" s="3268"/>
      <c r="I3" s="3421"/>
      <c r="J3" s="3268"/>
      <c r="K3" s="3422"/>
      <c r="L3" s="3419"/>
      <c r="M3" s="3419"/>
      <c r="N3" s="3306"/>
      <c r="O3" s="3420"/>
      <c r="P3" s="3306"/>
      <c r="Q3" s="3306"/>
      <c r="R3" s="3306"/>
      <c r="S3" s="3306"/>
      <c r="T3" s="3306"/>
      <c r="U3" s="3306"/>
    </row>
    <row r="4" ht="15" spans="1:21">
      <c r="A4" s="3272" t="s">
        <v>361</v>
      </c>
      <c r="B4" s="3273" t="s">
        <v>189</v>
      </c>
      <c r="C4" s="3274">
        <f ca="1">SUMIF(土地估价师,B4,估价师及机构信息!E3:E16)</f>
        <v>0</v>
      </c>
      <c r="D4" s="3273" t="s">
        <v>189</v>
      </c>
      <c r="E4" s="3274">
        <f ca="1">SUMIF(土地估价师,D4,估价师及机构信息!E3:E16)</f>
        <v>0</v>
      </c>
      <c r="F4" s="3273" t="s">
        <v>138</v>
      </c>
      <c r="G4" s="3274">
        <f ca="1">SUMIF(土地估价师,F4,估价师及机构信息!E3:E16)</f>
        <v>0</v>
      </c>
      <c r="H4" s="3273" t="s">
        <v>138</v>
      </c>
      <c r="I4" s="3274">
        <f ca="1">SUMIF(土地估价师,H4,估价师及机构信息!E3:E16)</f>
        <v>0</v>
      </c>
      <c r="J4" s="3268"/>
      <c r="K4" s="3418" t="str">
        <f>IF(AND(F4="——",H4="——"),B4&amp;"、"&amp;D4,IF(AND(F4&lt;&gt;"——",H4="——"),B4&amp;"、"&amp;D4&amp;"、"&amp;F4,B4&amp;"、"&amp;D4&amp;"、"&amp;F4&amp;"、"&amp;H4))</f>
        <v>土地估价师、土地估价师</v>
      </c>
      <c r="L4" s="3419"/>
      <c r="M4" s="3419"/>
      <c r="N4" s="3306"/>
      <c r="O4" s="3420"/>
      <c r="P4" s="3306"/>
      <c r="Q4" s="3306"/>
      <c r="R4" s="3306"/>
      <c r="S4" s="3306"/>
      <c r="T4" s="3306"/>
      <c r="U4" s="3306"/>
    </row>
    <row r="5" ht="15" spans="1:21">
      <c r="A5" s="3275" t="s">
        <v>362</v>
      </c>
      <c r="B5" s="3276"/>
      <c r="C5" s="3277"/>
      <c r="D5" s="3278"/>
      <c r="E5" s="3268"/>
      <c r="F5" s="3268"/>
      <c r="G5" s="3268"/>
      <c r="H5" s="3268"/>
      <c r="I5" s="3421"/>
      <c r="J5" s="3268"/>
      <c r="K5" s="3422"/>
      <c r="L5" s="3419"/>
      <c r="M5" s="3419"/>
      <c r="N5" s="3306"/>
      <c r="O5" s="3420"/>
      <c r="P5" s="3306"/>
      <c r="Q5" s="3306"/>
      <c r="R5" s="3306"/>
      <c r="S5" s="3306"/>
      <c r="T5" s="3306"/>
      <c r="U5" s="3306"/>
    </row>
    <row r="6" spans="1:21">
      <c r="A6" s="3279" t="s">
        <v>363</v>
      </c>
      <c r="B6" s="3276"/>
      <c r="C6" s="3280"/>
      <c r="D6" s="3281"/>
      <c r="E6" s="3268"/>
      <c r="F6" s="3268"/>
      <c r="G6" s="3268"/>
      <c r="H6" s="3268"/>
      <c r="I6" s="3421"/>
      <c r="J6" s="3268"/>
      <c r="K6" s="3423" t="str">
        <f>IF(COUNTIF(B6,"*上海银行*"),"上海银行","")</f>
        <v/>
      </c>
      <c r="L6" s="3419"/>
      <c r="M6" s="3419"/>
      <c r="N6" s="3306"/>
      <c r="O6" s="3420"/>
      <c r="P6" s="3306"/>
      <c r="Q6" s="3306"/>
      <c r="R6" s="3306"/>
      <c r="S6" s="3306"/>
      <c r="T6" s="3306"/>
      <c r="U6" s="3306"/>
    </row>
    <row r="7" spans="1:21">
      <c r="A7" s="3282" t="s">
        <v>364</v>
      </c>
      <c r="B7" s="3276"/>
      <c r="C7" s="3280"/>
      <c r="D7" s="3281"/>
      <c r="E7" s="3268"/>
      <c r="F7" s="3268"/>
      <c r="G7" s="3268"/>
      <c r="H7" s="3268"/>
      <c r="I7" s="3421"/>
      <c r="J7" s="3268"/>
      <c r="K7" s="3422"/>
      <c r="L7" s="3419"/>
      <c r="M7" s="3419"/>
      <c r="N7" s="3306"/>
      <c r="O7" s="3420"/>
      <c r="P7" s="3306"/>
      <c r="Q7" s="3306"/>
      <c r="R7" s="3306"/>
      <c r="S7" s="3306"/>
      <c r="T7" s="3306"/>
      <c r="U7" s="3306"/>
    </row>
    <row r="8" spans="1:21">
      <c r="A8" s="3283" t="s">
        <v>342</v>
      </c>
      <c r="B8" s="3284"/>
      <c r="C8" s="3285"/>
      <c r="D8" s="3286" t="s">
        <v>365</v>
      </c>
      <c r="E8" s="3287"/>
      <c r="F8" s="3288"/>
      <c r="G8" s="3268"/>
      <c r="H8" s="3268"/>
      <c r="I8" s="3421"/>
      <c r="J8" s="3268"/>
      <c r="K8" s="3422"/>
      <c r="L8" s="3419"/>
      <c r="M8" s="3419"/>
      <c r="N8" s="3306"/>
      <c r="O8" s="3420"/>
      <c r="P8" s="3306"/>
      <c r="Q8" s="3306"/>
      <c r="R8" s="3306"/>
      <c r="S8" s="3306"/>
      <c r="T8" s="3306"/>
      <c r="U8" s="3306"/>
    </row>
    <row r="9" ht="15" spans="1:21">
      <c r="A9" s="3289" t="s">
        <v>366</v>
      </c>
      <c r="B9" s="3290"/>
      <c r="C9" s="3291"/>
      <c r="D9" s="3292"/>
      <c r="E9" s="3290"/>
      <c r="F9" s="3293"/>
      <c r="G9" s="3294"/>
      <c r="H9" s="3294"/>
      <c r="I9" s="3424"/>
      <c r="J9" s="3268"/>
      <c r="K9" s="3422"/>
      <c r="L9" s="3419"/>
      <c r="M9" s="3419"/>
      <c r="N9" s="3306"/>
      <c r="O9" s="3420"/>
      <c r="P9" s="3306"/>
      <c r="Q9" s="3306"/>
      <c r="R9" s="3306"/>
      <c r="S9" s="3306"/>
      <c r="T9" s="3306"/>
      <c r="U9" s="3306"/>
    </row>
    <row r="10" ht="15" spans="1:21">
      <c r="A10" s="3295" t="s">
        <v>367</v>
      </c>
      <c r="B10" s="3296"/>
      <c r="C10" s="3297"/>
      <c r="D10" s="3278"/>
      <c r="E10" s="3298" t="s">
        <v>368</v>
      </c>
      <c r="F10" s="3299"/>
      <c r="G10" s="3300"/>
      <c r="H10" s="3301"/>
      <c r="I10" s="3278"/>
      <c r="J10" s="3268"/>
      <c r="K10" s="3422"/>
      <c r="L10" s="3419"/>
      <c r="M10" s="3419"/>
      <c r="N10" s="3306"/>
      <c r="O10" s="3420"/>
      <c r="P10" s="3306"/>
      <c r="Q10" s="3306"/>
      <c r="R10" s="3306"/>
      <c r="S10" s="3306"/>
      <c r="T10" s="3306"/>
      <c r="U10" s="3306"/>
    </row>
    <row r="11" spans="1:21">
      <c r="A11" s="3302" t="s">
        <v>369</v>
      </c>
      <c r="B11" s="3303" t="s">
        <v>370</v>
      </c>
      <c r="C11" s="3304"/>
      <c r="D11" s="3305"/>
      <c r="E11" s="3306"/>
      <c r="F11" s="3306"/>
      <c r="G11" s="3306"/>
      <c r="H11" s="3306"/>
      <c r="I11" s="3306"/>
      <c r="J11" s="3268"/>
      <c r="K11" s="3422"/>
      <c r="L11" s="3419"/>
      <c r="M11" s="3419"/>
      <c r="N11" s="3306"/>
      <c r="O11" s="3420"/>
      <c r="P11" s="3306"/>
      <c r="Q11" s="3306"/>
      <c r="R11" s="3306"/>
      <c r="S11" s="3306"/>
      <c r="T11" s="3306"/>
      <c r="U11" s="3306"/>
    </row>
    <row r="12" spans="1:21">
      <c r="A12" s="3307" t="s">
        <v>371</v>
      </c>
      <c r="B12" s="3308"/>
      <c r="C12" s="3309"/>
      <c r="D12" s="3310"/>
      <c r="E12" s="3311" t="s">
        <v>372</v>
      </c>
      <c r="F12" s="3312" t="s">
        <v>373</v>
      </c>
      <c r="G12" s="3313"/>
      <c r="H12" s="3313"/>
      <c r="I12" s="3425"/>
      <c r="J12" s="3268"/>
      <c r="K12" s="3422"/>
      <c r="L12" s="3419"/>
      <c r="M12" s="3419"/>
      <c r="N12" s="3306"/>
      <c r="O12" s="3420"/>
      <c r="P12" s="3306"/>
      <c r="Q12" s="3306"/>
      <c r="R12" s="3306"/>
      <c r="S12" s="3306"/>
      <c r="T12" s="3306"/>
      <c r="U12" s="3306"/>
    </row>
    <row r="13" spans="1:21">
      <c r="A13" s="3314" t="s">
        <v>374</v>
      </c>
      <c r="B13" s="3308"/>
      <c r="C13" s="3309"/>
      <c r="D13" s="3310"/>
      <c r="E13" s="3311" t="s">
        <v>372</v>
      </c>
      <c r="F13" s="3312" t="s">
        <v>375</v>
      </c>
      <c r="G13" s="3313"/>
      <c r="H13" s="3313"/>
      <c r="I13" s="3425"/>
      <c r="J13" s="3268"/>
      <c r="K13" s="3422"/>
      <c r="L13" s="3419"/>
      <c r="M13" s="3419"/>
      <c r="N13" s="3306"/>
      <c r="O13" s="3420"/>
      <c r="P13" s="3306"/>
      <c r="Q13" s="3306"/>
      <c r="R13" s="3306"/>
      <c r="S13" s="3306"/>
      <c r="T13" s="3306"/>
      <c r="U13" s="3306"/>
    </row>
    <row r="14" spans="1:21">
      <c r="A14" s="3269" t="s">
        <v>376</v>
      </c>
      <c r="B14" s="3311"/>
      <c r="C14" s="3315"/>
      <c r="D14" s="3316" t="str">
        <f>IF(C14="不一致","是否符合证载地类范围","")</f>
        <v/>
      </c>
      <c r="E14" s="3311"/>
      <c r="F14" s="3317"/>
      <c r="G14" s="3318"/>
      <c r="H14" s="3318"/>
      <c r="I14" s="3426"/>
      <c r="J14" s="3268"/>
      <c r="K14" s="3422"/>
      <c r="L14" s="3419"/>
      <c r="M14" s="3419"/>
      <c r="N14" s="3306"/>
      <c r="O14" s="3420"/>
      <c r="P14" s="3306"/>
      <c r="Q14" s="3306"/>
      <c r="R14" s="3306"/>
      <c r="S14" s="3306"/>
      <c r="T14" s="3306"/>
      <c r="U14" s="3306"/>
    </row>
    <row r="15" hidden="1" spans="1:21">
      <c r="A15" s="3319"/>
      <c r="B15" s="3279"/>
      <c r="C15" s="3279"/>
      <c r="D15" s="3320" t="s">
        <v>377</v>
      </c>
      <c r="E15" s="3320" t="s">
        <v>378</v>
      </c>
      <c r="F15" s="3320" t="s">
        <v>379</v>
      </c>
      <c r="G15" s="3321" t="s">
        <v>380</v>
      </c>
      <c r="H15" s="3321" t="s">
        <v>381</v>
      </c>
      <c r="I15" s="3321" t="s">
        <v>164</v>
      </c>
      <c r="J15" s="3268"/>
      <c r="K15" s="3422"/>
      <c r="L15" s="3419"/>
      <c r="M15" s="3419"/>
      <c r="N15" s="3306"/>
      <c r="O15" s="3420"/>
      <c r="P15" s="3306"/>
      <c r="Q15" s="3306"/>
      <c r="R15" s="3306"/>
      <c r="S15" s="3306"/>
      <c r="T15" s="3306"/>
      <c r="U15" s="3306"/>
    </row>
    <row r="16" ht="28.5" spans="1:21">
      <c r="A16" s="3322" t="s">
        <v>382</v>
      </c>
      <c r="B16" s="3323" t="s">
        <v>383</v>
      </c>
      <c r="C16" s="3311" t="s">
        <v>354</v>
      </c>
      <c r="D16" s="3320" t="s">
        <v>377</v>
      </c>
      <c r="E16" s="3324" t="s">
        <v>378</v>
      </c>
      <c r="F16" s="3324" t="s">
        <v>379</v>
      </c>
      <c r="G16" s="3324"/>
      <c r="H16" s="3324"/>
      <c r="I16" s="3321" t="s">
        <v>164</v>
      </c>
      <c r="J16" s="3268"/>
      <c r="K16" s="3321" t="str">
        <f>IF(D17="","",D16&amp;TEXT(D17,"yyyy年m月d日;;"))</f>
        <v>住宅2095年1月1日</v>
      </c>
      <c r="L16" s="3311" t="str">
        <f>IF(OR(K16="",M16=""),"","、")</f>
        <v>、</v>
      </c>
      <c r="M16" s="3321" t="str">
        <f>IF(E17="","",E16&amp;TEXT(E17,"yyyy年m月d日;;"))</f>
        <v>商业2065年1月1日</v>
      </c>
      <c r="N16" s="3311" t="str">
        <f>IF(OR(M16="",O16=""),"","、")</f>
        <v>、</v>
      </c>
      <c r="O16" s="3321" t="str">
        <f>IF(F17="","",F16&amp;TEXT(F17,"yyyy年m月d日;;"))</f>
        <v>办公2075年1月1日</v>
      </c>
      <c r="P16" s="3311" t="str">
        <f>IF(OR(O16="",Q16=""),"","、")</f>
        <v/>
      </c>
      <c r="Q16" s="3321" t="str">
        <f>IF(G17="","",G16&amp;TEXT(G17,"yyyy年m月d日;;"))</f>
        <v/>
      </c>
      <c r="R16" s="3311" t="str">
        <f>IF(OR(Q16="",S16=""),"","、")</f>
        <v/>
      </c>
      <c r="S16" s="3321" t="str">
        <f>IF(H17="","",H16&amp;TEXT(H17,"yyyy年m月d日;;"))</f>
        <v/>
      </c>
      <c r="T16" s="3311" t="str">
        <f>IF(OR(S16="",U16=""),"","、")</f>
        <v/>
      </c>
      <c r="U16" s="3321" t="str">
        <f>IF(I17="","",I16&amp;TEXT(I17,"yyyy年m月d日;;"))</f>
        <v>工业2075年1月1日</v>
      </c>
    </row>
    <row r="17" spans="1:21">
      <c r="A17" s="3325"/>
      <c r="B17" s="3326"/>
      <c r="C17" s="3327" t="s">
        <v>384</v>
      </c>
      <c r="D17" s="3328">
        <v>71225</v>
      </c>
      <c r="E17" s="3328">
        <v>60268</v>
      </c>
      <c r="F17" s="3328">
        <v>63920</v>
      </c>
      <c r="G17" s="3328"/>
      <c r="H17" s="3328"/>
      <c r="I17" s="3328">
        <f>F17</f>
        <v>63920</v>
      </c>
      <c r="J17" s="3268"/>
      <c r="K17" s="3427" t="str">
        <f>CONCATENATE(K16,L16,M16,N16,O16,P16,Q16,R16,S16,T16,,U16)</f>
        <v>住宅2095年1月1日、商业2065年1月1日、办公2075年1月1日工业2075年1月1日</v>
      </c>
      <c r="L17" s="3419"/>
      <c r="M17" s="3419"/>
      <c r="N17" s="3306"/>
      <c r="O17" s="3420"/>
      <c r="P17" s="3306"/>
      <c r="Q17" s="3306"/>
      <c r="R17" s="3306"/>
      <c r="S17" s="3306"/>
      <c r="T17" s="3306"/>
      <c r="U17" s="3306"/>
    </row>
    <row r="18" spans="1:21">
      <c r="A18" s="3325"/>
      <c r="B18" s="3326"/>
      <c r="C18" s="3327" t="s">
        <v>385</v>
      </c>
      <c r="D18" s="3329">
        <v>70</v>
      </c>
      <c r="E18" s="3329">
        <v>40</v>
      </c>
      <c r="F18" s="3330">
        <v>40</v>
      </c>
      <c r="G18" s="3329"/>
      <c r="H18" s="3329"/>
      <c r="I18" s="3329">
        <v>50</v>
      </c>
      <c r="J18" s="3268"/>
      <c r="K18" s="3422"/>
      <c r="L18" s="3419"/>
      <c r="M18" s="3419"/>
      <c r="N18" s="3306"/>
      <c r="O18" s="3420"/>
      <c r="P18" s="3306"/>
      <c r="Q18" s="3306"/>
      <c r="R18" s="3306"/>
      <c r="S18" s="3306"/>
      <c r="T18" s="3306"/>
      <c r="U18" s="3306"/>
    </row>
    <row r="19" spans="1:21">
      <c r="A19" s="3325"/>
      <c r="B19" s="3326"/>
      <c r="C19" s="3266" t="s">
        <v>386</v>
      </c>
      <c r="D19" s="3331">
        <f>IF(B16="出让",IF(D17="","",ROUNDDOWN(MIN((D17-$D$3)/365,D18),2)),D18)</f>
        <v>70</v>
      </c>
      <c r="E19" s="3332">
        <f>IF(B16="出让",IF(E17="","",ROUNDDOWN(MIN((E17-$D$3)/365,E18),2)),E18)</f>
        <v>40</v>
      </c>
      <c r="F19" s="3332">
        <f>IF(B16="出让",IF(F17="","",ROUNDDOWN(MIN((F17-$D$3)/365,F18),2)),F18)</f>
        <v>40</v>
      </c>
      <c r="G19" s="3332" t="str">
        <f>IF(B16="出让",IF(G17="","",ROUNDDOWN(MIN((G17-$D$3)/365,G18),2)),G18)</f>
        <v/>
      </c>
      <c r="H19" s="3332" t="str">
        <f>IF(B16="出让",IF(H17="","",ROUNDDOWN(MIN((H17-$D$3)/365,H18),2)),H18)</f>
        <v/>
      </c>
      <c r="I19" s="3332">
        <f>IF(B16="出让",IF(I17="","",ROUNDDOWN(MIN((I17-$D$3)/365,I18),2)),I18)</f>
        <v>50</v>
      </c>
      <c r="J19" s="3268"/>
      <c r="K19" s="3422"/>
      <c r="L19" s="3419"/>
      <c r="M19" s="3419"/>
      <c r="N19" s="3306"/>
      <c r="O19" s="3420"/>
      <c r="P19" s="3306"/>
      <c r="Q19" s="3306"/>
      <c r="R19" s="3306"/>
      <c r="S19" s="3306"/>
      <c r="T19" s="3306"/>
      <c r="U19" s="3306"/>
    </row>
    <row r="20" spans="1:21">
      <c r="A20" s="3333"/>
      <c r="B20" s="3334"/>
      <c r="C20" s="3335" t="s">
        <v>387</v>
      </c>
      <c r="D20" s="3336"/>
      <c r="E20" s="3337"/>
      <c r="F20" s="3337"/>
      <c r="G20" s="3337"/>
      <c r="H20" s="3337"/>
      <c r="I20" s="3428"/>
      <c r="J20" s="3268"/>
      <c r="K20" s="3422"/>
      <c r="L20" s="3419"/>
      <c r="M20" s="3419"/>
      <c r="N20" s="3306"/>
      <c r="O20" s="3420"/>
      <c r="P20" s="3306"/>
      <c r="Q20" s="3306"/>
      <c r="R20" s="3306"/>
      <c r="S20" s="3306"/>
      <c r="T20" s="3306"/>
      <c r="U20" s="3306"/>
    </row>
    <row r="21" spans="1:21">
      <c r="A21" s="3325" t="s">
        <v>388</v>
      </c>
      <c r="B21" s="3338" t="s">
        <v>389</v>
      </c>
      <c r="C21" s="3339">
        <f>'数据-汇总表'!E3</f>
        <v>220401.41</v>
      </c>
      <c r="D21" s="3340" t="s">
        <v>390</v>
      </c>
      <c r="E21" s="3341" t="s">
        <v>391</v>
      </c>
      <c r="F21" s="3342"/>
      <c r="G21" s="3342"/>
      <c r="H21" s="3342"/>
      <c r="I21" s="3429"/>
      <c r="J21" s="3268"/>
      <c r="K21" s="3422"/>
      <c r="L21" s="3419"/>
      <c r="M21" s="3419"/>
      <c r="N21" s="3306"/>
      <c r="O21" s="3420"/>
      <c r="P21" s="3306"/>
      <c r="Q21" s="3306"/>
      <c r="R21" s="3306"/>
      <c r="S21" s="3306"/>
      <c r="T21" s="3306"/>
      <c r="U21" s="3306"/>
    </row>
    <row r="22" spans="1:21">
      <c r="A22" s="3343" t="s">
        <v>138</v>
      </c>
      <c r="B22" s="3269" t="s">
        <v>392</v>
      </c>
      <c r="C22" s="3321">
        <f>'数据-汇总表'!D3</f>
        <v>101349.03</v>
      </c>
      <c r="D22" s="3314" t="s">
        <v>390</v>
      </c>
      <c r="E22" s="3341" t="s">
        <v>373</v>
      </c>
      <c r="F22" s="3342"/>
      <c r="G22" s="3342"/>
      <c r="H22" s="3342"/>
      <c r="I22" s="3429"/>
      <c r="J22" s="3268"/>
      <c r="K22" s="3422"/>
      <c r="L22" s="3419"/>
      <c r="M22" s="3419"/>
      <c r="N22" s="3306"/>
      <c r="O22" s="3420"/>
      <c r="P22" s="3306"/>
      <c r="Q22" s="3306"/>
      <c r="R22" s="3306"/>
      <c r="S22" s="3306"/>
      <c r="T22" s="3306"/>
      <c r="U22" s="3306"/>
    </row>
    <row r="23" ht="43.5" spans="1:21">
      <c r="A23" s="3344" t="s">
        <v>393</v>
      </c>
      <c r="B23" s="3345" t="s">
        <v>394</v>
      </c>
      <c r="C23" s="3346"/>
      <c r="D23" s="3347" t="s">
        <v>395</v>
      </c>
      <c r="E23" s="3348"/>
      <c r="F23" s="3349" t="str">
        <f>IF(AND(C23="是",E23="否"),"是否提供他项权证或相关说明","")</f>
        <v/>
      </c>
      <c r="G23" s="3350"/>
      <c r="H23" s="3268"/>
      <c r="I23" s="3421"/>
      <c r="J23" s="3268"/>
      <c r="K23" s="3422"/>
      <c r="L23" s="3419"/>
      <c r="M23" s="3419"/>
      <c r="N23" s="3306"/>
      <c r="O23" s="3420"/>
      <c r="P23" s="3306"/>
      <c r="Q23" s="3306"/>
      <c r="R23" s="3306"/>
      <c r="S23" s="3306"/>
      <c r="T23" s="3306"/>
      <c r="U23" s="3306"/>
    </row>
    <row r="24" spans="1:21">
      <c r="A24" s="3351" t="s">
        <v>372</v>
      </c>
      <c r="B24" s="3352" t="s">
        <v>396</v>
      </c>
      <c r="C24" s="3353"/>
      <c r="D24" s="3354" t="s">
        <v>397</v>
      </c>
      <c r="E24" s="3355"/>
      <c r="F24" s="3356" t="s">
        <v>398</v>
      </c>
      <c r="G24" s="3268"/>
      <c r="H24" s="3268"/>
      <c r="I24" s="3421"/>
      <c r="J24" s="3268"/>
      <c r="K24" s="3430" t="s">
        <v>399</v>
      </c>
      <c r="L24" s="343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432"/>
      <c r="N24" s="3306"/>
      <c r="O24" s="3420"/>
      <c r="P24" s="3306"/>
      <c r="Q24" s="3306"/>
      <c r="R24" s="3306"/>
      <c r="S24" s="3306"/>
      <c r="T24" s="3306"/>
      <c r="U24" s="3306"/>
    </row>
    <row r="25" ht="28.5" spans="1:21">
      <c r="A25" s="3357"/>
      <c r="B25" s="3358" t="s">
        <v>400</v>
      </c>
      <c r="C25" s="3359" t="s">
        <v>401</v>
      </c>
      <c r="D25" s="3360"/>
      <c r="E25" s="3361" t="s">
        <v>138</v>
      </c>
      <c r="F25" s="3362"/>
      <c r="G25" s="3268"/>
      <c r="H25" s="3268"/>
      <c r="I25" s="3421"/>
      <c r="J25" s="3268"/>
      <c r="K25" s="3430"/>
      <c r="L25" s="343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432"/>
      <c r="N25" s="3306"/>
      <c r="O25" s="3420"/>
      <c r="P25" s="3306"/>
      <c r="Q25" s="3306"/>
      <c r="R25" s="3306"/>
      <c r="S25" s="3306"/>
      <c r="T25" s="3306"/>
      <c r="U25" s="3306"/>
    </row>
    <row r="26" ht="29.25" spans="1:21">
      <c r="A26" s="3363"/>
      <c r="B26" s="3364" t="s">
        <v>402</v>
      </c>
      <c r="C26" s="3359" t="s">
        <v>403</v>
      </c>
      <c r="D26" s="3268"/>
      <c r="E26" s="3268"/>
      <c r="F26" s="3365"/>
      <c r="G26" s="3268"/>
      <c r="H26" s="3268"/>
      <c r="I26" s="3421"/>
      <c r="J26" s="3268"/>
      <c r="K26" s="3430"/>
      <c r="L26" s="343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432"/>
      <c r="N26" s="3306"/>
      <c r="O26" s="3420"/>
      <c r="P26" s="3306"/>
      <c r="Q26" s="3306"/>
      <c r="R26" s="3306"/>
      <c r="S26" s="3306"/>
      <c r="T26" s="3306"/>
      <c r="U26" s="3306"/>
    </row>
    <row r="27" spans="1:21">
      <c r="A27" s="3366" t="s">
        <v>404</v>
      </c>
      <c r="B27" s="3367" t="s">
        <v>405</v>
      </c>
      <c r="C27" s="3368"/>
      <c r="D27" s="3369" t="s">
        <v>405</v>
      </c>
      <c r="E27" s="3370"/>
      <c r="F27" s="3365"/>
      <c r="G27" s="3268"/>
      <c r="H27" s="3268"/>
      <c r="I27" s="3421"/>
      <c r="J27" s="3268"/>
      <c r="K27" s="3422"/>
      <c r="L27" s="3419"/>
      <c r="M27" s="3419"/>
      <c r="N27" s="3306"/>
      <c r="O27" s="3420"/>
      <c r="P27" s="3306"/>
      <c r="Q27" s="3306"/>
      <c r="R27" s="3306"/>
      <c r="S27" s="3306"/>
      <c r="T27" s="3306"/>
      <c r="U27" s="3306"/>
    </row>
    <row r="28" spans="1:21">
      <c r="A28" s="3371"/>
      <c r="B28" s="3367" t="s">
        <v>406</v>
      </c>
      <c r="C28" s="3372"/>
      <c r="D28" s="3373" t="s">
        <v>406</v>
      </c>
      <c r="E28" s="3374"/>
      <c r="F28" s="3365"/>
      <c r="G28" s="3268"/>
      <c r="H28" s="3268"/>
      <c r="I28" s="3421"/>
      <c r="J28" s="3268"/>
      <c r="K28" s="3422"/>
      <c r="L28" s="3419"/>
      <c r="M28" s="3419"/>
      <c r="N28" s="3306"/>
      <c r="O28" s="3420"/>
      <c r="P28" s="3306"/>
      <c r="Q28" s="3306"/>
      <c r="R28" s="3306"/>
      <c r="S28" s="3306"/>
      <c r="T28" s="3306"/>
      <c r="U28" s="3306"/>
    </row>
    <row r="29" spans="1:21">
      <c r="A29" s="3371"/>
      <c r="B29" s="3367" t="s">
        <v>407</v>
      </c>
      <c r="C29" s="3372"/>
      <c r="D29" s="3373" t="s">
        <v>407</v>
      </c>
      <c r="E29" s="3374"/>
      <c r="F29" s="3365"/>
      <c r="G29" s="3268"/>
      <c r="H29" s="3268"/>
      <c r="I29" s="3421"/>
      <c r="J29" s="3268"/>
      <c r="K29" s="3422"/>
      <c r="L29" s="3419"/>
      <c r="M29" s="3419"/>
      <c r="N29" s="3306"/>
      <c r="O29" s="3420"/>
      <c r="P29" s="3306"/>
      <c r="Q29" s="3306"/>
      <c r="R29" s="3306"/>
      <c r="S29" s="3306"/>
      <c r="T29" s="3306"/>
      <c r="U29" s="3306"/>
    </row>
    <row r="30" ht="15" spans="1:21">
      <c r="A30" s="3375"/>
      <c r="B30" s="3376" t="s">
        <v>408</v>
      </c>
      <c r="C30" s="3377"/>
      <c r="D30" s="3378" t="s">
        <v>408</v>
      </c>
      <c r="E30" s="3379"/>
      <c r="F30" s="3380"/>
      <c r="G30" s="3294"/>
      <c r="H30" s="3294"/>
      <c r="I30" s="3424"/>
      <c r="J30" s="3268"/>
      <c r="K30" s="3422"/>
      <c r="L30" s="3419"/>
      <c r="M30" s="3419"/>
      <c r="N30" s="3306"/>
      <c r="O30" s="3420"/>
      <c r="P30" s="3306"/>
      <c r="Q30" s="3306"/>
      <c r="R30" s="3306"/>
      <c r="S30" s="3306"/>
      <c r="T30" s="3306"/>
      <c r="U30" s="3306"/>
    </row>
    <row r="31" ht="15" spans="1:21">
      <c r="A31" s="3325" t="s">
        <v>409</v>
      </c>
      <c r="B31" s="3338" t="s">
        <v>410</v>
      </c>
      <c r="C31" s="3381"/>
      <c r="D31" s="3296"/>
      <c r="E31" s="3268"/>
      <c r="F31" s="3268"/>
      <c r="G31" s="3268"/>
      <c r="H31" s="3268"/>
      <c r="I31" s="3421"/>
      <c r="J31" s="3268"/>
      <c r="K31" s="3433"/>
      <c r="L31" s="3306"/>
      <c r="M31" s="3306"/>
      <c r="N31" s="3306"/>
      <c r="O31" s="3306"/>
      <c r="P31" s="3306"/>
      <c r="Q31" s="3306"/>
      <c r="R31" s="3306"/>
      <c r="S31" s="3306"/>
      <c r="T31" s="3306"/>
      <c r="U31" s="3306"/>
    </row>
    <row r="32" spans="1:21">
      <c r="A32" s="3325"/>
      <c r="B32" s="3269" t="s">
        <v>411</v>
      </c>
      <c r="C32" s="3296"/>
      <c r="D32" s="3382"/>
      <c r="E32" s="3268"/>
      <c r="F32" s="3268"/>
      <c r="G32" s="3268"/>
      <c r="H32" s="3268"/>
      <c r="I32" s="3421"/>
      <c r="J32" s="3268"/>
      <c r="K32" s="3433"/>
      <c r="L32" s="3306"/>
      <c r="M32" s="3306"/>
      <c r="N32" s="3306"/>
      <c r="O32" s="3306"/>
      <c r="P32" s="3306"/>
      <c r="Q32" s="3306"/>
      <c r="R32" s="3306"/>
      <c r="S32" s="3306"/>
      <c r="T32" s="3306"/>
      <c r="U32" s="3306"/>
    </row>
    <row r="33" spans="1:21">
      <c r="A33" s="3325"/>
      <c r="B33" s="3269" t="s">
        <v>412</v>
      </c>
      <c r="C33" s="3383"/>
      <c r="D33" s="3384"/>
      <c r="E33" s="3268"/>
      <c r="F33" s="3268"/>
      <c r="G33" s="3268"/>
      <c r="H33" s="3268"/>
      <c r="I33" s="3421"/>
      <c r="J33" s="3268"/>
      <c r="K33" s="3433"/>
      <c r="L33" s="3306"/>
      <c r="M33" s="3306"/>
      <c r="N33" s="3306"/>
      <c r="O33" s="3306"/>
      <c r="P33" s="3306"/>
      <c r="Q33" s="3306"/>
      <c r="R33" s="3306"/>
      <c r="S33" s="3306"/>
      <c r="T33" s="3306"/>
      <c r="U33" s="3306"/>
    </row>
    <row r="34" spans="1:21">
      <c r="A34" s="3338"/>
      <c r="B34" s="3269" t="s">
        <v>413</v>
      </c>
      <c r="C34" s="3385"/>
      <c r="D34" s="3386"/>
      <c r="E34" s="3268"/>
      <c r="F34" s="3268"/>
      <c r="G34" s="3268"/>
      <c r="H34" s="3268"/>
      <c r="I34" s="3421"/>
      <c r="J34" s="3268"/>
      <c r="K34" s="3433"/>
      <c r="L34" s="3306"/>
      <c r="M34" s="3306"/>
      <c r="N34" s="3306"/>
      <c r="O34" s="3306"/>
      <c r="P34" s="3306"/>
      <c r="Q34" s="3306"/>
      <c r="R34" s="3306"/>
      <c r="S34" s="3306"/>
      <c r="T34" s="3306"/>
      <c r="U34" s="3306"/>
    </row>
    <row r="35" spans="1:21">
      <c r="A35" s="3319" t="s">
        <v>414</v>
      </c>
      <c r="B35" s="3324"/>
      <c r="C35" s="3387" t="str">
        <f>IF(B35="场地平整","——","具体情况：")</f>
        <v>具体情况：</v>
      </c>
      <c r="D35" s="3388"/>
      <c r="E35" s="3389"/>
      <c r="F35" s="3389"/>
      <c r="G35" s="3389"/>
      <c r="H35" s="3389"/>
      <c r="I35" s="3434"/>
      <c r="J35" s="3268"/>
      <c r="K35" s="3435"/>
      <c r="L35" s="3419"/>
      <c r="M35" s="3419"/>
      <c r="N35" s="3306"/>
      <c r="O35" s="3420"/>
      <c r="P35" s="3306"/>
      <c r="Q35" s="3306"/>
      <c r="R35" s="3306"/>
      <c r="S35" s="3306"/>
      <c r="T35" s="3306"/>
      <c r="U35" s="3306"/>
    </row>
    <row r="36" spans="1:21">
      <c r="A36" s="3325"/>
      <c r="B36" s="3387" t="s">
        <v>415</v>
      </c>
      <c r="C36" s="3390"/>
      <c r="D36" s="3391"/>
      <c r="E36" s="3392"/>
      <c r="F36" s="3392"/>
      <c r="G36" s="3314" t="str">
        <f>IF(B35="场地未平整","估价结果处理","")</f>
        <v/>
      </c>
      <c r="H36" s="3393"/>
      <c r="I36" s="3393"/>
      <c r="J36" s="3268"/>
      <c r="K36" s="3435"/>
      <c r="L36" s="3419"/>
      <c r="M36" s="3419"/>
      <c r="N36" s="3306"/>
      <c r="O36" s="3420"/>
      <c r="P36" s="3306"/>
      <c r="Q36" s="3306"/>
      <c r="R36" s="3306"/>
      <c r="S36" s="3306"/>
      <c r="T36" s="3306"/>
      <c r="U36" s="3306"/>
    </row>
    <row r="37" ht="28.5" spans="1:21">
      <c r="A37" s="3325"/>
      <c r="B37" s="3344" t="s">
        <v>416</v>
      </c>
      <c r="C37" s="3394" t="s">
        <v>417</v>
      </c>
      <c r="D37" s="3395"/>
      <c r="E37" s="3396"/>
      <c r="F37" s="3268"/>
      <c r="G37" s="3268"/>
      <c r="H37" s="3268"/>
      <c r="I37" s="3421"/>
      <c r="J37" s="3268"/>
      <c r="K37" s="3435"/>
      <c r="L37" s="3306"/>
      <c r="M37" s="3306"/>
      <c r="N37" s="3306"/>
      <c r="O37" s="3306"/>
      <c r="P37" s="3306"/>
      <c r="Q37" s="3306"/>
      <c r="R37" s="3306"/>
      <c r="S37" s="3306"/>
      <c r="T37" s="3306"/>
      <c r="U37" s="3306"/>
    </row>
    <row r="38" spans="1:21">
      <c r="A38" s="3325"/>
      <c r="B38" s="3397"/>
      <c r="C38" s="3282" t="s">
        <v>418</v>
      </c>
      <c r="D38" s="3398">
        <f>ROUNDDOWN(MIN(('数据-取费表'!$B$2-D37)/365,D34),1)</f>
        <v>123.9</v>
      </c>
      <c r="E38" s="3399" t="s">
        <v>419</v>
      </c>
      <c r="F38" s="3268"/>
      <c r="G38" s="3268"/>
      <c r="H38" s="3268"/>
      <c r="I38" s="3421"/>
      <c r="J38" s="3268"/>
      <c r="K38" s="3435"/>
      <c r="L38" s="3306"/>
      <c r="M38" s="3306"/>
      <c r="N38" s="3306"/>
      <c r="O38" s="3306"/>
      <c r="P38" s="3306"/>
      <c r="Q38" s="3306"/>
      <c r="R38" s="3306"/>
      <c r="S38" s="3306"/>
      <c r="T38" s="3306"/>
      <c r="U38" s="3306"/>
    </row>
    <row r="39" spans="1:21">
      <c r="A39" s="3338"/>
      <c r="B39" s="3400"/>
      <c r="C39" s="3401" t="str">
        <f>IF(D38&lt;1,"不存在土地闲置",IF(B35="宗地内已开工建设","已开工，不存在土地闲置","估价对象已涉嫌土地闲置"))</f>
        <v>估价对象已涉嫌土地闲置</v>
      </c>
      <c r="D39" s="3318"/>
      <c r="E39" s="3402"/>
      <c r="F39" s="3268"/>
      <c r="G39" s="3268"/>
      <c r="H39" s="3268"/>
      <c r="I39" s="3421"/>
      <c r="J39" s="3268"/>
      <c r="K39" s="3422"/>
      <c r="L39" s="3419"/>
      <c r="M39" s="3419"/>
      <c r="N39" s="3306"/>
      <c r="O39" s="3420"/>
      <c r="P39" s="3306"/>
      <c r="Q39" s="3306"/>
      <c r="R39" s="3306"/>
      <c r="S39" s="3306"/>
      <c r="T39" s="3306"/>
      <c r="U39" s="3306"/>
    </row>
    <row r="40" spans="1:21">
      <c r="A40" s="3314" t="s">
        <v>420</v>
      </c>
      <c r="B40" s="3403"/>
      <c r="C40" s="3403"/>
      <c r="D40" s="3403"/>
      <c r="E40" s="3403"/>
      <c r="F40" s="3403"/>
      <c r="G40" s="3403"/>
      <c r="H40" s="3403"/>
      <c r="I40" s="3421"/>
      <c r="J40" s="3268"/>
      <c r="K40" s="3416">
        <f>COUNTIF(B40:H40,"——")</f>
        <v>0</v>
      </c>
      <c r="L40" s="3311" t="s">
        <v>421</v>
      </c>
      <c r="M40" s="3415" t="s">
        <v>422</v>
      </c>
      <c r="N40" s="3415" t="s">
        <v>288</v>
      </c>
      <c r="O40" s="3415" t="s">
        <v>280</v>
      </c>
      <c r="P40" s="3415" t="s">
        <v>270</v>
      </c>
      <c r="Q40" s="3415" t="s">
        <v>259</v>
      </c>
      <c r="R40" s="3415" t="s">
        <v>247</v>
      </c>
      <c r="S40" s="3416" t="s">
        <v>423</v>
      </c>
      <c r="T40" s="3447" t="str">
        <f>NUMBERSTRING(7-K40,1)&amp;"通"</f>
        <v>七通</v>
      </c>
      <c r="U40" s="3306"/>
    </row>
    <row r="41" spans="1:21">
      <c r="A41" s="3279"/>
      <c r="B41" s="3320" t="s">
        <v>424</v>
      </c>
      <c r="C41" s="3320"/>
      <c r="D41" s="3320"/>
      <c r="E41" s="3320"/>
      <c r="F41" s="3404">
        <f>C10</f>
        <v>0</v>
      </c>
      <c r="G41" s="3268"/>
      <c r="H41" s="3268"/>
      <c r="I41" s="3421"/>
      <c r="J41" s="3268"/>
      <c r="K41" s="3311"/>
      <c r="L41" s="3415">
        <f>B40</f>
        <v>0</v>
      </c>
      <c r="M41" s="3316" t="str">
        <f>B40&amp;"、"&amp;C40</f>
        <v>、</v>
      </c>
      <c r="N41" s="3436" t="str">
        <f>B40&amp;"、"&amp;C40&amp;"、"&amp;D40</f>
        <v>、、</v>
      </c>
      <c r="O41" s="3436" t="str">
        <f>B40&amp;"、"&amp;C40&amp;"、"&amp;D40&amp;"、"&amp;E40</f>
        <v>、、、</v>
      </c>
      <c r="P41" s="3436" t="str">
        <f>B40&amp;"、"&amp;C40&amp;"、"&amp;D40&amp;"、"&amp;E40&amp;"、"&amp;F40</f>
        <v>、、、、</v>
      </c>
      <c r="Q41" s="3436" t="str">
        <f>B40&amp;"、"&amp;C40&amp;"、"&amp;D40&amp;"、"&amp;E40&amp;"、"&amp;F40&amp;"、"&amp;G40</f>
        <v>、、、、、</v>
      </c>
      <c r="R41" s="3436" t="str">
        <f>B40&amp;"、"&amp;C40&amp;"、"&amp;D40&amp;"、"&amp;E40&amp;"、"&amp;F40&amp;"、"&amp;G40&amp;"、"&amp;H40</f>
        <v>、、、、、、</v>
      </c>
      <c r="S41" s="3416"/>
      <c r="T41" s="3316" t="str">
        <f>IF(T40="一通",L41,IF(T40="二通",M41,IF(T40="三通",N41,IF(T40="四通",O41,IF(T40="五通",P41,IF(T40="六通",Q41,R41))))))</f>
        <v>、、、、、、</v>
      </c>
      <c r="U41" s="3306"/>
    </row>
    <row r="42" spans="1:21">
      <c r="A42" s="3405"/>
      <c r="B42" s="3320" t="s">
        <v>378</v>
      </c>
      <c r="C42" s="3320" t="s">
        <v>379</v>
      </c>
      <c r="D42" s="3320" t="s">
        <v>377</v>
      </c>
      <c r="E42" s="3311" t="s">
        <v>164</v>
      </c>
      <c r="F42" s="3406"/>
      <c r="G42" s="3268"/>
      <c r="H42" s="3268"/>
      <c r="I42" s="3421"/>
      <c r="J42" s="3268"/>
      <c r="K42" s="3422"/>
      <c r="L42" s="3419"/>
      <c r="M42" s="3419"/>
      <c r="N42" s="3306"/>
      <c r="O42" s="3420"/>
      <c r="P42" s="3306"/>
      <c r="Q42" s="3306"/>
      <c r="R42" s="3306"/>
      <c r="S42" s="3306"/>
      <c r="T42" s="3306"/>
      <c r="U42" s="3306"/>
    </row>
    <row r="43" spans="1:21">
      <c r="A43" s="3407" t="s">
        <v>217</v>
      </c>
      <c r="B43" s="3408"/>
      <c r="C43" s="3408"/>
      <c r="D43" s="3408"/>
      <c r="E43" s="3408"/>
      <c r="F43" s="3409"/>
      <c r="G43" s="3268"/>
      <c r="H43" s="3268"/>
      <c r="I43" s="3421"/>
      <c r="J43" s="3268"/>
      <c r="K43" s="3422"/>
      <c r="L43" s="3419"/>
      <c r="M43" s="3419"/>
      <c r="N43" s="3306"/>
      <c r="O43" s="3420"/>
      <c r="P43" s="3306"/>
      <c r="Q43" s="3306"/>
      <c r="R43" s="3306"/>
      <c r="S43" s="3306"/>
      <c r="T43" s="3306"/>
      <c r="U43" s="3306"/>
    </row>
    <row r="44" spans="1:21">
      <c r="A44" s="3407" t="s">
        <v>425</v>
      </c>
      <c r="B44" s="3408"/>
      <c r="C44" s="3408"/>
      <c r="D44" s="3408"/>
      <c r="E44" s="3391"/>
      <c r="F44" s="3409"/>
      <c r="G44" s="3268"/>
      <c r="H44" s="3268"/>
      <c r="I44" s="3421"/>
      <c r="J44" s="3268"/>
      <c r="K44" s="3422"/>
      <c r="L44" s="3419"/>
      <c r="M44" s="3419"/>
      <c r="N44" s="3306"/>
      <c r="O44" s="3420"/>
      <c r="P44" s="3306"/>
      <c r="Q44" s="3306"/>
      <c r="R44" s="3306"/>
      <c r="S44" s="3306"/>
      <c r="T44" s="3306"/>
      <c r="U44" s="3306"/>
    </row>
    <row r="45" s="3256" customFormat="1" ht="21" spans="1:28">
      <c r="A45" s="3410" t="s">
        <v>426</v>
      </c>
      <c r="B45" s="3411"/>
      <c r="C45" s="3411"/>
      <c r="D45" s="3411"/>
      <c r="E45" s="3411"/>
      <c r="F45" s="3411"/>
      <c r="G45" s="3412"/>
      <c r="H45" s="3412"/>
      <c r="I45" s="3437"/>
      <c r="J45" s="3438"/>
      <c r="K45" s="3439"/>
      <c r="L45" s="3440"/>
      <c r="M45" s="3440"/>
      <c r="N45" s="3412"/>
      <c r="O45" s="3437"/>
      <c r="P45" s="3412"/>
      <c r="Q45" s="3412"/>
      <c r="R45" s="3412"/>
      <c r="S45" s="3412"/>
      <c r="T45" s="3412"/>
      <c r="U45" s="3412"/>
      <c r="V45" s="3448"/>
      <c r="W45" s="3448"/>
      <c r="X45" s="3448"/>
      <c r="Y45" s="3448"/>
      <c r="Z45" s="3448"/>
      <c r="AA45" s="3448"/>
      <c r="AB45" s="3448"/>
    </row>
    <row r="46" spans="1:21">
      <c r="A46" s="3266"/>
      <c r="B46" s="3266"/>
      <c r="C46" s="3266"/>
      <c r="D46" s="3266"/>
      <c r="E46" s="3266"/>
      <c r="F46" s="3266"/>
      <c r="G46" s="3266"/>
      <c r="H46" s="3266"/>
      <c r="I46" s="3441"/>
      <c r="J46" s="3266"/>
      <c r="K46" s="3422"/>
      <c r="L46" s="3419"/>
      <c r="M46" s="3419"/>
      <c r="N46" s="3306"/>
      <c r="O46" s="3420"/>
      <c r="P46" s="3306"/>
      <c r="Q46" s="3306"/>
      <c r="R46" s="3306"/>
      <c r="S46" s="3306"/>
      <c r="T46" s="3306"/>
      <c r="U46" s="3306"/>
    </row>
    <row r="47" spans="1:21">
      <c r="A47" s="3413" t="s">
        <v>427</v>
      </c>
      <c r="B47" s="3414"/>
      <c r="C47" s="3402"/>
      <c r="D47" s="3266"/>
      <c r="E47" s="3266"/>
      <c r="F47" s="3266"/>
      <c r="G47" s="3266"/>
      <c r="H47" s="3266"/>
      <c r="I47" s="3441"/>
      <c r="J47" s="3266"/>
      <c r="K47" s="3422"/>
      <c r="L47" s="3419"/>
      <c r="M47" s="3419"/>
      <c r="N47" s="3306"/>
      <c r="O47" s="3420"/>
      <c r="P47" s="3306"/>
      <c r="Q47" s="3306"/>
      <c r="R47" s="3306"/>
      <c r="S47" s="3306"/>
      <c r="T47" s="3306"/>
      <c r="U47" s="3306"/>
    </row>
    <row r="48" ht="28.5" spans="1:21">
      <c r="A48" s="3311" t="s">
        <v>428</v>
      </c>
      <c r="B48" s="3321" t="s">
        <v>429</v>
      </c>
      <c r="C48" s="3321" t="s">
        <v>430</v>
      </c>
      <c r="D48" s="3321" t="s">
        <v>431</v>
      </c>
      <c r="E48" s="3321" t="s">
        <v>432</v>
      </c>
      <c r="F48" s="3321" t="s">
        <v>433</v>
      </c>
      <c r="G48" s="3321" t="s">
        <v>434</v>
      </c>
      <c r="H48" s="3321" t="s">
        <v>435</v>
      </c>
      <c r="I48" s="3321" t="s">
        <v>436</v>
      </c>
      <c r="J48" s="3442" t="s">
        <v>437</v>
      </c>
      <c r="K48" s="3443" t="s">
        <v>438</v>
      </c>
      <c r="L48" s="3443" t="s">
        <v>439</v>
      </c>
      <c r="M48" s="3443" t="s">
        <v>440</v>
      </c>
      <c r="N48" s="3444" t="s">
        <v>441</v>
      </c>
      <c r="O48" s="3444" t="s">
        <v>442</v>
      </c>
      <c r="P48" s="3444" t="s">
        <v>443</v>
      </c>
      <c r="Q48" s="3449" t="s">
        <v>444</v>
      </c>
      <c r="R48" s="3449" t="s">
        <v>445</v>
      </c>
      <c r="S48" s="3306"/>
      <c r="T48" s="3306"/>
      <c r="U48" s="3306"/>
    </row>
    <row r="49" spans="1:21">
      <c r="A49" s="3415"/>
      <c r="B49" s="3416"/>
      <c r="C49" s="3416"/>
      <c r="D49" s="3416"/>
      <c r="E49" s="3416"/>
      <c r="F49" s="3416"/>
      <c r="G49" s="3416"/>
      <c r="H49" s="3416"/>
      <c r="I49" s="3416"/>
      <c r="J49" s="3445"/>
      <c r="K49" s="3409"/>
      <c r="L49" s="3409"/>
      <c r="M49" s="3406"/>
      <c r="N49" s="3406"/>
      <c r="O49" s="3406"/>
      <c r="P49" s="3406"/>
      <c r="Q49" s="3406"/>
      <c r="R49" s="3406"/>
      <c r="S49" s="3306"/>
      <c r="T49" s="3306"/>
      <c r="U49" s="3306"/>
    </row>
    <row r="50" spans="1:21">
      <c r="A50" s="3415"/>
      <c r="B50" s="3415"/>
      <c r="C50" s="3416"/>
      <c r="D50" s="3416"/>
      <c r="E50" s="3416"/>
      <c r="F50" s="3416"/>
      <c r="G50" s="3416"/>
      <c r="H50" s="3416"/>
      <c r="I50" s="3416"/>
      <c r="J50" s="3445"/>
      <c r="K50" s="3409"/>
      <c r="L50" s="3409"/>
      <c r="M50" s="3406"/>
      <c r="N50" s="3406"/>
      <c r="O50" s="3406"/>
      <c r="P50" s="3406"/>
      <c r="Q50" s="3406"/>
      <c r="R50" s="3406"/>
      <c r="S50" s="3306"/>
      <c r="T50" s="3306"/>
      <c r="U50" s="3306"/>
    </row>
    <row r="51" spans="1:21">
      <c r="A51" s="3415"/>
      <c r="B51" s="3415"/>
      <c r="C51" s="3416"/>
      <c r="D51" s="3416"/>
      <c r="E51" s="3416"/>
      <c r="F51" s="3416"/>
      <c r="G51" s="3416"/>
      <c r="H51" s="3416"/>
      <c r="I51" s="3416"/>
      <c r="J51" s="3445"/>
      <c r="K51" s="3409"/>
      <c r="L51" s="3409"/>
      <c r="M51" s="3406"/>
      <c r="N51" s="3406"/>
      <c r="O51" s="3406"/>
      <c r="P51" s="3406"/>
      <c r="Q51" s="3406"/>
      <c r="R51" s="3406"/>
      <c r="S51" s="3306"/>
      <c r="T51" s="3306"/>
      <c r="U51" s="3306"/>
    </row>
    <row r="52" spans="1:21">
      <c r="A52" s="3415"/>
      <c r="B52" s="3415"/>
      <c r="C52" s="3416"/>
      <c r="D52" s="3416"/>
      <c r="E52" s="3416"/>
      <c r="F52" s="3416"/>
      <c r="G52" s="3416"/>
      <c r="H52" s="3416"/>
      <c r="I52" s="3416"/>
      <c r="J52" s="3445"/>
      <c r="K52" s="3409"/>
      <c r="L52" s="3409"/>
      <c r="M52" s="3406"/>
      <c r="N52" s="3406"/>
      <c r="O52" s="3406"/>
      <c r="P52" s="3406"/>
      <c r="Q52" s="3406"/>
      <c r="R52" s="3406"/>
      <c r="S52" s="3306"/>
      <c r="T52" s="3306"/>
      <c r="U52" s="3306"/>
    </row>
    <row r="53" spans="1:21">
      <c r="A53" s="3415"/>
      <c r="B53" s="3415"/>
      <c r="C53" s="3416"/>
      <c r="D53" s="3416"/>
      <c r="E53" s="3416"/>
      <c r="F53" s="3416"/>
      <c r="G53" s="3416"/>
      <c r="H53" s="3416"/>
      <c r="I53" s="3416"/>
      <c r="J53" s="3445"/>
      <c r="K53" s="3409"/>
      <c r="L53" s="3409"/>
      <c r="M53" s="3406"/>
      <c r="N53" s="3406"/>
      <c r="O53" s="3406"/>
      <c r="P53" s="3406"/>
      <c r="Q53" s="3406"/>
      <c r="R53" s="3406"/>
      <c r="S53" s="3306"/>
      <c r="T53" s="3306"/>
      <c r="U53" s="3306"/>
    </row>
    <row r="54" spans="1:21">
      <c r="A54" s="3415"/>
      <c r="B54" s="3415"/>
      <c r="C54" s="3415"/>
      <c r="D54" s="3415"/>
      <c r="E54" s="3415"/>
      <c r="F54" s="3416"/>
      <c r="G54" s="3415"/>
      <c r="H54" s="3415"/>
      <c r="I54" s="3415"/>
      <c r="J54" s="3446"/>
      <c r="K54" s="3409"/>
      <c r="L54" s="3409"/>
      <c r="M54" s="3409"/>
      <c r="N54" s="3393"/>
      <c r="O54" s="3393"/>
      <c r="P54" s="3393"/>
      <c r="Q54" s="3393"/>
      <c r="R54" s="3393"/>
      <c r="S54" s="3306"/>
      <c r="T54" s="3306"/>
      <c r="U54" s="3306"/>
    </row>
    <row r="55" spans="1:21">
      <c r="A55" s="3415"/>
      <c r="B55" s="3415"/>
      <c r="C55" s="3415"/>
      <c r="D55" s="3415"/>
      <c r="E55" s="3415"/>
      <c r="F55" s="3416"/>
      <c r="G55" s="3415"/>
      <c r="H55" s="3415"/>
      <c r="I55" s="3415"/>
      <c r="J55" s="3446"/>
      <c r="K55" s="3409"/>
      <c r="L55" s="3409"/>
      <c r="M55" s="3409"/>
      <c r="N55" s="3393"/>
      <c r="O55" s="3393"/>
      <c r="P55" s="3393"/>
      <c r="Q55" s="3393"/>
      <c r="R55" s="3393"/>
      <c r="S55" s="3306"/>
      <c r="T55" s="3306"/>
      <c r="U55" s="3306"/>
    </row>
    <row r="56" spans="1:21">
      <c r="A56" s="3415"/>
      <c r="B56" s="3415"/>
      <c r="C56" s="3415"/>
      <c r="D56" s="3415"/>
      <c r="E56" s="3415"/>
      <c r="F56" s="3416"/>
      <c r="G56" s="3415"/>
      <c r="H56" s="3415"/>
      <c r="I56" s="3415"/>
      <c r="J56" s="3446"/>
      <c r="K56" s="3409"/>
      <c r="L56" s="3409"/>
      <c r="M56" s="3409"/>
      <c r="N56" s="3393"/>
      <c r="O56" s="3393"/>
      <c r="P56" s="3393"/>
      <c r="Q56" s="3393"/>
      <c r="R56" s="3393"/>
      <c r="S56" s="3306"/>
      <c r="T56" s="3306"/>
      <c r="U56" s="3306"/>
    </row>
    <row r="57" spans="1:21">
      <c r="A57" s="3415"/>
      <c r="B57" s="3415"/>
      <c r="C57" s="3415"/>
      <c r="D57" s="3415"/>
      <c r="E57" s="3415"/>
      <c r="F57" s="3416"/>
      <c r="G57" s="3415"/>
      <c r="H57" s="3415"/>
      <c r="I57" s="3415"/>
      <c r="J57" s="3446"/>
      <c r="K57" s="3409"/>
      <c r="L57" s="3409"/>
      <c r="M57" s="3409"/>
      <c r="N57" s="3393"/>
      <c r="O57" s="3393"/>
      <c r="P57" s="3393"/>
      <c r="Q57" s="3393"/>
      <c r="R57" s="3393"/>
      <c r="S57" s="3306"/>
      <c r="T57" s="3306"/>
      <c r="U57" s="3306"/>
    </row>
    <row r="58" spans="1:21">
      <c r="A58" s="3415"/>
      <c r="B58" s="3415"/>
      <c r="C58" s="3415"/>
      <c r="D58" s="3415"/>
      <c r="E58" s="3415"/>
      <c r="F58" s="3416"/>
      <c r="G58" s="3415"/>
      <c r="H58" s="3415"/>
      <c r="I58" s="3415"/>
      <c r="J58" s="3446"/>
      <c r="K58" s="3409"/>
      <c r="L58" s="3409"/>
      <c r="M58" s="3409"/>
      <c r="N58" s="3393"/>
      <c r="O58" s="3393"/>
      <c r="P58" s="3393"/>
      <c r="Q58" s="3393"/>
      <c r="R58" s="3393"/>
      <c r="S58" s="3306"/>
      <c r="T58" s="3306"/>
      <c r="U58" s="3306"/>
    </row>
  </sheetData>
  <sheetProtection password="CEE9" sheet="1" formatCells="0" formatColumns="0" formatRows="0" objects="1" scenarios="1"/>
  <mergeCells count="23">
    <mergeCell ref="B1:I1"/>
    <mergeCell ref="B12:D12"/>
    <mergeCell ref="F12:I12"/>
    <mergeCell ref="B13:D13"/>
    <mergeCell ref="F13:I13"/>
    <mergeCell ref="D20:I20"/>
    <mergeCell ref="E21:I21"/>
    <mergeCell ref="E22:I22"/>
    <mergeCell ref="B24:C24"/>
    <mergeCell ref="D24:E24"/>
    <mergeCell ref="C31:D31"/>
    <mergeCell ref="C34:D34"/>
    <mergeCell ref="D35:I35"/>
    <mergeCell ref="B36:C36"/>
    <mergeCell ref="E36:F36"/>
    <mergeCell ref="H36:I36"/>
    <mergeCell ref="B41:E41"/>
    <mergeCell ref="A31:A34"/>
    <mergeCell ref="A35:A39"/>
    <mergeCell ref="B37:B39"/>
    <mergeCell ref="D8:D9"/>
    <mergeCell ref="K24:K26"/>
    <mergeCell ref="S40:S41"/>
  </mergeCells>
  <dataValidations count="30">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B16">
      <formula1>"出让,储备,划拨"</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D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判定</formula1>
    </dataValidation>
    <dataValidation type="list" allowBlank="1" showInputMessage="1" showErrorMessage="1" sqref="B25 B26">
      <formula1>"《房屋所有权证》,《国有土地使用证》,《不动产权证书》,——"</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s>
  <pageMargins left="0.25" right="0.25" top="0.75" bottom="0.75" header="0.3" footer="0.3"/>
  <pageSetup paperSize="9" scale="82" fitToHeight="0" orientation="portrait"/>
  <headerFooter/>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zoomScale="80" zoomScaleNormal="80" topLeftCell="A40" workbookViewId="0">
      <selection activeCell="J65" sqref="J65"/>
    </sheetView>
  </sheetViews>
  <sheetFormatPr defaultColWidth="9.45" defaultRowHeight="13.5"/>
  <cols>
    <col min="1" max="6" width="9.45" customWidth="1"/>
    <col min="7" max="7" width="11" customWidth="1"/>
    <col min="8" max="8" width="9.45" customWidth="1"/>
  </cols>
  <sheetData/>
  <pageMargins left="0.75" right="0.75" top="1" bottom="1" header="0.5" footer="0.5"/>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9"/>
  <sheetViews>
    <sheetView workbookViewId="0">
      <selection activeCell="F18" sqref="F18"/>
    </sheetView>
  </sheetViews>
  <sheetFormatPr defaultColWidth="9" defaultRowHeight="13.5"/>
  <cols>
    <col min="1" max="1" width="12.0916666666667" style="606" customWidth="1"/>
    <col min="2" max="2" width="10.6333333333333" style="606" customWidth="1"/>
    <col min="3" max="3" width="15.725" style="606" customWidth="1"/>
    <col min="4" max="7" width="9.45" style="606" customWidth="1"/>
    <col min="8" max="13" width="9.09166666666667" style="606" customWidth="1"/>
    <col min="14" max="16384" width="9" style="606"/>
  </cols>
  <sheetData>
    <row r="1" ht="14.25" spans="1:13">
      <c r="A1" s="3253" t="s">
        <v>446</v>
      </c>
      <c r="B1" s="3253" t="s">
        <v>447</v>
      </c>
      <c r="C1" s="3253" t="s">
        <v>429</v>
      </c>
      <c r="D1" s="3254" t="s">
        <v>448</v>
      </c>
      <c r="E1" s="3254" t="s">
        <v>389</v>
      </c>
      <c r="F1" s="3254"/>
      <c r="G1" s="3254"/>
      <c r="H1" s="3254"/>
      <c r="I1" s="3254"/>
      <c r="J1" s="3254"/>
      <c r="K1" s="3254"/>
      <c r="L1" s="3254"/>
      <c r="M1" s="3254"/>
    </row>
    <row r="2" ht="27" customHeight="1" spans="1:13">
      <c r="A2" s="3253"/>
      <c r="B2" s="3253"/>
      <c r="C2" s="3253"/>
      <c r="D2" s="3254"/>
      <c r="E2" s="3254" t="s">
        <v>449</v>
      </c>
      <c r="F2" s="3254" t="s">
        <v>450</v>
      </c>
      <c r="G2" s="3254"/>
      <c r="H2" s="3254"/>
      <c r="I2" s="3254"/>
      <c r="J2" s="3254" t="s">
        <v>451</v>
      </c>
      <c r="K2" s="3254"/>
      <c r="L2" s="3254"/>
      <c r="M2" s="3254"/>
    </row>
    <row r="3" ht="28.5" spans="1:13">
      <c r="A3" s="3253"/>
      <c r="B3" s="3253"/>
      <c r="C3" s="3253"/>
      <c r="D3" s="3254"/>
      <c r="E3" s="3254"/>
      <c r="F3" s="3255" t="s">
        <v>452</v>
      </c>
      <c r="G3" s="3255" t="s">
        <v>453</v>
      </c>
      <c r="H3" s="3255" t="s">
        <v>454</v>
      </c>
      <c r="I3" s="3255" t="s">
        <v>455</v>
      </c>
      <c r="J3" s="3255" t="s">
        <v>452</v>
      </c>
      <c r="K3" s="3255" t="s">
        <v>456</v>
      </c>
      <c r="L3" s="3255" t="s">
        <v>457</v>
      </c>
      <c r="M3" s="3255" t="s">
        <v>458</v>
      </c>
    </row>
    <row r="4" ht="42.75" spans="1:13">
      <c r="A4" s="3255" t="s">
        <v>459</v>
      </c>
      <c r="B4" s="3255" t="s">
        <v>460</v>
      </c>
      <c r="C4" s="3255" t="s">
        <v>461</v>
      </c>
      <c r="D4" s="3254">
        <v>3807.94</v>
      </c>
      <c r="E4" s="3254">
        <v>20666.91</v>
      </c>
      <c r="F4" s="3254">
        <v>19673</v>
      </c>
      <c r="G4" s="3254">
        <v>0</v>
      </c>
      <c r="H4" s="3254">
        <v>19673</v>
      </c>
      <c r="I4" s="3254">
        <v>0</v>
      </c>
      <c r="J4" s="3254">
        <v>993.91</v>
      </c>
      <c r="K4" s="3254">
        <v>0</v>
      </c>
      <c r="L4" s="3254">
        <v>0</v>
      </c>
      <c r="M4" s="3254">
        <v>993.91</v>
      </c>
    </row>
    <row r="5" ht="42.75" spans="1:13">
      <c r="A5" s="3255" t="s">
        <v>459</v>
      </c>
      <c r="B5" s="3255" t="s">
        <v>462</v>
      </c>
      <c r="C5" s="3255" t="s">
        <v>463</v>
      </c>
      <c r="D5" s="3254">
        <v>3667.86</v>
      </c>
      <c r="E5" s="3254">
        <v>19906.61</v>
      </c>
      <c r="F5" s="3254">
        <v>18792.87</v>
      </c>
      <c r="G5" s="3254">
        <v>18792.87</v>
      </c>
      <c r="H5" s="3254">
        <v>0</v>
      </c>
      <c r="I5" s="3254">
        <v>0</v>
      </c>
      <c r="J5" s="3254">
        <v>1113.74</v>
      </c>
      <c r="K5" s="3254">
        <v>55.59</v>
      </c>
      <c r="L5" s="3254">
        <v>0</v>
      </c>
      <c r="M5" s="3254">
        <v>1058.15</v>
      </c>
    </row>
    <row r="6" ht="42.75" spans="1:13">
      <c r="A6" s="3255" t="s">
        <v>459</v>
      </c>
      <c r="B6" s="3255" t="s">
        <v>462</v>
      </c>
      <c r="C6" s="3255" t="s">
        <v>464</v>
      </c>
      <c r="D6" s="3254">
        <v>2067.52</v>
      </c>
      <c r="E6" s="3254">
        <v>11221.06</v>
      </c>
      <c r="F6" s="3254">
        <v>9934.13</v>
      </c>
      <c r="G6" s="3254">
        <v>9934.13</v>
      </c>
      <c r="H6" s="3254">
        <v>0</v>
      </c>
      <c r="I6" s="3254">
        <v>0</v>
      </c>
      <c r="J6" s="3254">
        <v>1286.93</v>
      </c>
      <c r="K6" s="3254">
        <v>0</v>
      </c>
      <c r="L6" s="3254">
        <v>0</v>
      </c>
      <c r="M6" s="3254">
        <v>1286.93</v>
      </c>
    </row>
    <row r="7" ht="42.75" spans="1:13">
      <c r="A7" s="3255" t="s">
        <v>459</v>
      </c>
      <c r="B7" s="3255" t="s">
        <v>462</v>
      </c>
      <c r="C7" s="3255" t="s">
        <v>465</v>
      </c>
      <c r="D7" s="3254">
        <v>8.18</v>
      </c>
      <c r="E7" s="3254">
        <v>44.41</v>
      </c>
      <c r="F7" s="3254">
        <v>0</v>
      </c>
      <c r="G7" s="3254">
        <v>0</v>
      </c>
      <c r="H7" s="3254">
        <v>0</v>
      </c>
      <c r="I7" s="3254">
        <v>0</v>
      </c>
      <c r="J7" s="3254">
        <v>44.41</v>
      </c>
      <c r="K7" s="3254">
        <v>44.41</v>
      </c>
      <c r="L7" s="3254">
        <v>0</v>
      </c>
      <c r="M7" s="3254">
        <v>0</v>
      </c>
    </row>
    <row r="8" ht="42.75" spans="1:13">
      <c r="A8" s="3255" t="s">
        <v>459</v>
      </c>
      <c r="B8" s="3255" t="s">
        <v>462</v>
      </c>
      <c r="C8" s="3255" t="s">
        <v>455</v>
      </c>
      <c r="D8" s="3254">
        <v>2455.53</v>
      </c>
      <c r="E8" s="3254">
        <v>13326.96</v>
      </c>
      <c r="F8" s="3254">
        <v>9231.05</v>
      </c>
      <c r="G8" s="3254">
        <v>0</v>
      </c>
      <c r="H8" s="3254">
        <v>0</v>
      </c>
      <c r="I8" s="3254">
        <v>9231.05</v>
      </c>
      <c r="J8" s="3254">
        <v>4095.91</v>
      </c>
      <c r="K8" s="3254">
        <v>0</v>
      </c>
      <c r="L8" s="3254">
        <v>3320.79</v>
      </c>
      <c r="M8" s="3254">
        <v>775.12</v>
      </c>
    </row>
    <row r="9" ht="27" customHeight="1" spans="1:13">
      <c r="A9" s="3254" t="s">
        <v>466</v>
      </c>
      <c r="B9" s="3254"/>
      <c r="C9" s="3254"/>
      <c r="D9" s="3254">
        <v>12007.03</v>
      </c>
      <c r="E9" s="3254">
        <v>65165.95</v>
      </c>
      <c r="F9" s="3254">
        <v>57631.05</v>
      </c>
      <c r="G9" s="3254">
        <v>28727</v>
      </c>
      <c r="H9" s="3254">
        <v>19673</v>
      </c>
      <c r="I9" s="3254">
        <v>9231.05</v>
      </c>
      <c r="J9" s="3254">
        <v>7534.9</v>
      </c>
      <c r="K9" s="3254">
        <v>100</v>
      </c>
      <c r="L9" s="3254">
        <v>3320.79</v>
      </c>
      <c r="M9" s="3254">
        <v>4114.11</v>
      </c>
    </row>
  </sheetData>
  <mergeCells count="9">
    <mergeCell ref="E1:M1"/>
    <mergeCell ref="F2:I2"/>
    <mergeCell ref="J2:M2"/>
    <mergeCell ref="A9:C9"/>
    <mergeCell ref="A1:A3"/>
    <mergeCell ref="B1:B3"/>
    <mergeCell ref="C1:C3"/>
    <mergeCell ref="D1:D3"/>
    <mergeCell ref="E2:E3"/>
  </mergeCells>
  <pageMargins left="0.7" right="0.7" top="0.75" bottom="0.75" header="0.3" footer="0.3"/>
  <headerFooter/>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78"/>
  <sheetViews>
    <sheetView view="pageBreakPreview" zoomScaleNormal="100" workbookViewId="0">
      <pane xSplit="4" ySplit="12" topLeftCell="E13" activePane="bottomRight" state="frozen"/>
      <selection/>
      <selection pane="topRight"/>
      <selection pane="bottomLeft"/>
      <selection pane="bottomRight" activeCell="AD13" sqref="AD13:AD20"/>
    </sheetView>
  </sheetViews>
  <sheetFormatPr defaultColWidth="8.90833333333333" defaultRowHeight="14.25"/>
  <cols>
    <col min="1" max="1" width="10.6333333333333" style="3148" customWidth="1"/>
    <col min="2" max="2" width="11" style="3148" customWidth="1"/>
    <col min="3" max="3" width="10.3666666666667" style="3148" customWidth="1"/>
    <col min="4" max="4" width="9.09166666666667" style="3148" customWidth="1"/>
    <col min="5" max="8" width="10" style="3148" customWidth="1"/>
    <col min="9" max="9" width="10.6333333333333" style="3148" customWidth="1"/>
    <col min="10" max="10" width="9.45" style="3148" hidden="1" customWidth="1"/>
    <col min="11" max="11" width="11" style="3148" customWidth="1"/>
    <col min="12" max="12" width="9.45" style="3148" hidden="1" customWidth="1"/>
    <col min="13" max="13" width="9.45" style="3148" customWidth="1"/>
    <col min="14" max="14" width="9.45" style="3148" hidden="1" customWidth="1"/>
    <col min="15" max="15" width="9.90833333333333" style="3148" hidden="1" customWidth="1"/>
    <col min="16" max="16" width="9.725" style="3148" hidden="1" customWidth="1"/>
    <col min="17" max="17" width="9.36666666666667" style="3148" hidden="1" customWidth="1"/>
    <col min="18" max="18" width="9.26666666666667" style="3148" hidden="1" customWidth="1"/>
    <col min="19" max="19" width="10.9083333333333" style="3148" hidden="1" customWidth="1"/>
    <col min="20" max="21" width="10.725" style="3148" hidden="1" customWidth="1"/>
    <col min="22" max="22" width="10.9083333333333" style="3148" hidden="1" customWidth="1"/>
    <col min="23" max="27" width="10.725" style="3148" hidden="1" customWidth="1"/>
    <col min="28" max="28" width="10.9083333333333" style="3148" hidden="1" customWidth="1"/>
    <col min="29" max="29" width="11" style="3148" customWidth="1"/>
    <col min="30" max="30" width="10" style="3148" customWidth="1"/>
    <col min="31" max="31" width="9.725" style="3148" customWidth="1"/>
    <col min="32" max="46" width="9.45" style="3148" customWidth="1"/>
    <col min="47" max="47" width="18.0916666666667" style="3148" customWidth="1"/>
    <col min="48" max="50" width="9.725" style="3148" customWidth="1"/>
    <col min="51" max="55" width="10.45" style="3148" customWidth="1"/>
    <col min="56" max="56" width="9.45" style="3148" customWidth="1"/>
    <col min="57" max="63" width="9.09166666666667" style="3148" customWidth="1"/>
    <col min="64" max="64" width="9.45" style="3148" customWidth="1"/>
    <col min="65" max="65" width="9.09166666666667" style="3148" customWidth="1"/>
    <col min="66" max="66" width="9.45" style="3148" customWidth="1"/>
    <col min="67" max="69" width="9.09166666666667" style="3148" customWidth="1"/>
    <col min="70" max="70" width="9.45" style="3148" customWidth="1"/>
    <col min="71" max="71" width="9" style="3148" customWidth="1"/>
    <col min="72" max="72" width="9.09166666666667" style="3148" customWidth="1"/>
    <col min="73" max="16384" width="8.90833333333333" style="3148"/>
  </cols>
  <sheetData>
    <row r="1" ht="20.25" spans="1:72">
      <c r="A1" s="2551" t="s">
        <v>467</v>
      </c>
      <c r="B1" s="3149"/>
      <c r="C1" s="3149"/>
      <c r="D1" s="3149"/>
      <c r="E1" s="3149"/>
      <c r="F1" s="3149"/>
      <c r="G1" s="3149"/>
      <c r="H1" s="3149"/>
      <c r="I1" s="3149"/>
      <c r="J1" s="3149"/>
      <c r="K1" s="3149"/>
      <c r="L1" s="3149"/>
      <c r="M1" s="3149"/>
      <c r="N1" s="3149"/>
      <c r="O1" s="3149"/>
      <c r="P1" s="3149"/>
      <c r="Q1" s="3149"/>
      <c r="R1" s="3149"/>
      <c r="S1" s="3149"/>
      <c r="T1" s="3149"/>
      <c r="U1" s="3149"/>
      <c r="V1" s="3149"/>
      <c r="W1" s="3149"/>
      <c r="X1" s="3149"/>
      <c r="Y1" s="3149"/>
      <c r="Z1" s="3149"/>
      <c r="AA1" s="3149"/>
      <c r="AB1" s="3149"/>
      <c r="AC1" s="3149"/>
      <c r="AD1" s="3149"/>
      <c r="AE1" s="3149"/>
      <c r="AF1" s="3149"/>
      <c r="AG1" s="3149"/>
      <c r="AH1" s="3149"/>
      <c r="AI1" s="3149"/>
      <c r="AJ1" s="3149"/>
      <c r="AK1" s="3149"/>
      <c r="AL1" s="3149"/>
      <c r="AM1" s="3149"/>
      <c r="AN1" s="3149"/>
      <c r="AO1" s="3149"/>
      <c r="AP1" s="3149"/>
      <c r="AQ1" s="3149"/>
      <c r="AR1" s="3149"/>
      <c r="AS1" s="3149"/>
      <c r="AT1" s="3149"/>
      <c r="AU1" s="3149"/>
      <c r="AV1" s="3217" t="s">
        <v>468</v>
      </c>
      <c r="AW1" s="3149"/>
      <c r="AX1" s="3149"/>
      <c r="AY1" s="3149"/>
      <c r="AZ1" s="3149"/>
      <c r="BA1" s="3149"/>
      <c r="BB1" s="3149"/>
      <c r="BC1" s="3149"/>
      <c r="BD1" s="3149"/>
      <c r="BE1" s="3149"/>
      <c r="BF1" s="3149"/>
      <c r="BG1" s="3149"/>
      <c r="BH1" s="3149"/>
      <c r="BI1" s="3149"/>
      <c r="BJ1" s="3149"/>
      <c r="BK1" s="3149"/>
      <c r="BL1" s="3149"/>
      <c r="BM1" s="3149"/>
      <c r="BN1" s="3149"/>
      <c r="BO1" s="3149"/>
      <c r="BP1" s="3149"/>
      <c r="BQ1" s="3149"/>
      <c r="BR1" s="3149"/>
      <c r="BS1" s="3149"/>
      <c r="BT1" s="3149"/>
    </row>
    <row r="2" s="185" customFormat="1" ht="24" spans="1:72">
      <c r="A2" s="128" t="s">
        <v>469</v>
      </c>
      <c r="B2" s="128" t="s">
        <v>470</v>
      </c>
      <c r="C2" s="128" t="s">
        <v>471</v>
      </c>
      <c r="D2" s="2654"/>
      <c r="E2" s="120"/>
      <c r="F2" s="2654"/>
      <c r="G2" s="2654"/>
      <c r="H2" s="2654"/>
      <c r="I2" s="2654"/>
      <c r="J2" s="2654"/>
      <c r="K2" s="2654"/>
      <c r="L2" s="2654"/>
      <c r="M2" s="2654"/>
      <c r="N2" s="2654"/>
      <c r="O2" s="2654"/>
      <c r="P2" s="2654"/>
      <c r="Q2" s="2654"/>
      <c r="R2" s="2654"/>
      <c r="S2" s="2654"/>
      <c r="T2" s="2654"/>
      <c r="U2" s="2654"/>
      <c r="V2" s="2654"/>
      <c r="W2" s="2654"/>
      <c r="X2" s="2654"/>
      <c r="Y2" s="2654"/>
      <c r="Z2" s="2654"/>
      <c r="AA2" s="2654"/>
      <c r="AB2" s="2654"/>
      <c r="AC2" s="2654"/>
      <c r="AD2" s="2654"/>
      <c r="AE2" s="2654"/>
      <c r="AF2" s="2654"/>
      <c r="AG2" s="2654"/>
      <c r="AH2" s="2654"/>
      <c r="AI2" s="2654"/>
      <c r="AJ2" s="2654"/>
      <c r="AK2" s="2654"/>
      <c r="AL2" s="2654"/>
      <c r="AM2" s="2654"/>
      <c r="AN2" s="2654"/>
      <c r="AO2" s="2654"/>
      <c r="AP2" s="2654"/>
      <c r="AQ2" s="2654"/>
      <c r="AR2" s="2654"/>
      <c r="AS2" s="2654"/>
      <c r="AT2" s="2654"/>
      <c r="AU2" s="2654"/>
      <c r="AV2" s="2654"/>
      <c r="AW2" s="2654"/>
      <c r="AX2" s="2654"/>
      <c r="AY2" s="3233" t="s">
        <v>472</v>
      </c>
      <c r="AZ2" s="3234" t="s">
        <v>473</v>
      </c>
      <c r="BA2" s="3235" t="s">
        <v>474</v>
      </c>
      <c r="BB2" s="2654"/>
      <c r="BC2" s="2654"/>
      <c r="BD2" s="2654"/>
      <c r="BE2" s="2654"/>
      <c r="BF2" s="2654"/>
      <c r="BG2" s="2654"/>
      <c r="BH2" s="2654"/>
      <c r="BI2" s="2654"/>
      <c r="BJ2" s="2654"/>
      <c r="BK2" s="2654"/>
      <c r="BL2" s="2654"/>
      <c r="BM2" s="2654"/>
      <c r="BN2" s="2654"/>
      <c r="BO2" s="2654"/>
      <c r="BP2" s="2654"/>
      <c r="BQ2" s="2654"/>
      <c r="BR2" s="2654"/>
      <c r="BS2" s="2654"/>
      <c r="BT2" s="2654"/>
    </row>
    <row r="3" s="185" customFormat="1" ht="12.75" spans="1:72">
      <c r="A3" s="3150">
        <f>地块信息表!D23</f>
        <v>101349.03</v>
      </c>
      <c r="B3" s="3151">
        <f>IF(C3="否",G5-AT5,G5)</f>
        <v>220401.41</v>
      </c>
      <c r="C3" s="3152" t="s">
        <v>475</v>
      </c>
      <c r="D3" s="2654"/>
      <c r="E3" s="2654"/>
      <c r="F3" s="2654"/>
      <c r="G3" s="2654"/>
      <c r="H3" s="2654"/>
      <c r="I3" s="2654"/>
      <c r="J3" s="2654"/>
      <c r="K3" s="2654"/>
      <c r="L3" s="2654"/>
      <c r="M3" s="2654"/>
      <c r="N3" s="2654"/>
      <c r="O3" s="2654"/>
      <c r="P3" s="2654"/>
      <c r="Q3" s="2654"/>
      <c r="R3" s="2654"/>
      <c r="S3" s="2654"/>
      <c r="T3" s="2654"/>
      <c r="U3" s="2654"/>
      <c r="V3" s="2654"/>
      <c r="W3" s="2654"/>
      <c r="X3" s="2654"/>
      <c r="Y3" s="2654"/>
      <c r="Z3" s="2654"/>
      <c r="AA3" s="2654"/>
      <c r="AB3" s="2654"/>
      <c r="AC3" s="2654"/>
      <c r="AD3" s="2654"/>
      <c r="AE3" s="2654"/>
      <c r="AF3" s="2654"/>
      <c r="AG3" s="2654"/>
      <c r="AH3" s="2654"/>
      <c r="AI3" s="2654"/>
      <c r="AJ3" s="2654"/>
      <c r="AK3" s="2654"/>
      <c r="AL3" s="2654"/>
      <c r="AM3" s="2654"/>
      <c r="AN3" s="2654"/>
      <c r="AO3" s="2654"/>
      <c r="AP3" s="2654"/>
      <c r="AQ3" s="2654"/>
      <c r="AR3" s="2654"/>
      <c r="AS3" s="2654"/>
      <c r="AT3" s="2654"/>
      <c r="AU3" s="2654"/>
      <c r="AV3" s="2654"/>
      <c r="AW3" s="2654"/>
      <c r="AX3" s="2654"/>
      <c r="AY3" s="3236"/>
      <c r="AZ3" s="91"/>
      <c r="BA3" s="3237"/>
      <c r="BB3" s="2654"/>
      <c r="BC3" s="2654"/>
      <c r="BD3" s="2654"/>
      <c r="BE3" s="2654"/>
      <c r="BF3" s="2654"/>
      <c r="BG3" s="2654"/>
      <c r="BH3" s="2654"/>
      <c r="BI3" s="2654"/>
      <c r="BJ3" s="2654"/>
      <c r="BK3" s="2654"/>
      <c r="BL3" s="2654"/>
      <c r="BM3" s="2654"/>
      <c r="BN3" s="2654"/>
      <c r="BO3" s="2654"/>
      <c r="BP3" s="2654"/>
      <c r="BQ3" s="2654"/>
      <c r="BR3" s="2654"/>
      <c r="BS3" s="2654"/>
      <c r="BT3" s="2654"/>
    </row>
    <row r="4" s="185" customFormat="1" ht="13.5" spans="1:72">
      <c r="A4" s="3153"/>
      <c r="B4" s="3154"/>
      <c r="C4" s="3155"/>
      <c r="D4" s="2654"/>
      <c r="E4" s="2654"/>
      <c r="F4" s="2654"/>
      <c r="G4" s="2654"/>
      <c r="H4" s="2654"/>
      <c r="I4" s="2654"/>
      <c r="J4" s="2654"/>
      <c r="K4" s="2654"/>
      <c r="L4" s="2654"/>
      <c r="M4" s="2654"/>
      <c r="N4" s="2654"/>
      <c r="O4" s="2654"/>
      <c r="P4" s="2654"/>
      <c r="Q4" s="2654"/>
      <c r="R4" s="2654"/>
      <c r="S4" s="2654"/>
      <c r="T4" s="2654"/>
      <c r="U4" s="2654"/>
      <c r="V4" s="2654"/>
      <c r="W4" s="2654"/>
      <c r="X4" s="2654"/>
      <c r="Y4" s="2654"/>
      <c r="Z4" s="2654"/>
      <c r="AA4" s="2654"/>
      <c r="AB4" s="2654"/>
      <c r="AC4" s="2654"/>
      <c r="AD4" s="2654"/>
      <c r="AE4" s="2654"/>
      <c r="AF4" s="2654"/>
      <c r="AG4" s="2654"/>
      <c r="AH4" s="2654"/>
      <c r="AI4" s="2654"/>
      <c r="AJ4" s="2654"/>
      <c r="AK4" s="2654"/>
      <c r="AL4" s="2654"/>
      <c r="AM4" s="2654"/>
      <c r="AN4" s="2654"/>
      <c r="AO4" s="2654"/>
      <c r="AP4" s="2654"/>
      <c r="AQ4" s="2654"/>
      <c r="AR4" s="2654"/>
      <c r="AS4" s="2654"/>
      <c r="AT4" s="2654"/>
      <c r="AU4" s="2654"/>
      <c r="AV4" s="2654"/>
      <c r="AW4" s="2654"/>
      <c r="AX4" s="2654"/>
      <c r="AY4" s="2654"/>
      <c r="AZ4" s="2654"/>
      <c r="BA4" s="3238"/>
      <c r="BB4" s="2654"/>
      <c r="BC4" s="2654"/>
      <c r="BD4" s="2654"/>
      <c r="BE4" s="2654"/>
      <c r="BF4" s="2654"/>
      <c r="BG4" s="2654"/>
      <c r="BH4" s="2654"/>
      <c r="BI4" s="2654"/>
      <c r="BJ4" s="2654"/>
      <c r="BK4" s="2654"/>
      <c r="BL4" s="2654"/>
      <c r="BM4" s="2654"/>
      <c r="BN4" s="2654"/>
      <c r="BO4" s="2654"/>
      <c r="BP4" s="2654"/>
      <c r="BQ4" s="2654"/>
      <c r="BR4" s="2654"/>
      <c r="BS4" s="2654"/>
      <c r="BT4" s="2654"/>
    </row>
    <row r="5" s="185" customFormat="1" ht="12.75" spans="1:72">
      <c r="A5" s="857" t="s">
        <v>476</v>
      </c>
      <c r="B5" s="964"/>
      <c r="C5" s="964"/>
      <c r="D5" s="2566"/>
      <c r="E5" s="3156" t="s">
        <v>138</v>
      </c>
      <c r="F5" s="3156">
        <f>SUM(F13:F572)</f>
        <v>0</v>
      </c>
      <c r="G5" s="3156">
        <f>SUM(G13:G572)</f>
        <v>220401.41</v>
      </c>
      <c r="H5" s="3156">
        <f t="shared" ref="H5:AT5" si="0">SUM(H13:H641)</f>
        <v>210801.41</v>
      </c>
      <c r="I5" s="3156">
        <f t="shared" si="0"/>
        <v>186962.11</v>
      </c>
      <c r="J5" s="3156">
        <f t="shared" si="0"/>
        <v>0</v>
      </c>
      <c r="K5" s="3156">
        <f t="shared" si="0"/>
        <v>23839.3</v>
      </c>
      <c r="L5" s="3156">
        <f t="shared" si="0"/>
        <v>0</v>
      </c>
      <c r="M5" s="3156">
        <f t="shared" si="0"/>
        <v>0</v>
      </c>
      <c r="N5" s="3156">
        <f t="shared" si="0"/>
        <v>0</v>
      </c>
      <c r="O5" s="3156">
        <f t="shared" si="0"/>
        <v>0</v>
      </c>
      <c r="P5" s="3156">
        <f t="shared" si="0"/>
        <v>0</v>
      </c>
      <c r="Q5" s="3156">
        <f t="shared" si="0"/>
        <v>0</v>
      </c>
      <c r="R5" s="3156">
        <f t="shared" si="0"/>
        <v>0</v>
      </c>
      <c r="S5" s="3156">
        <f t="shared" si="0"/>
        <v>0</v>
      </c>
      <c r="T5" s="3156">
        <f t="shared" si="0"/>
        <v>0</v>
      </c>
      <c r="U5" s="3156">
        <f t="shared" si="0"/>
        <v>0</v>
      </c>
      <c r="V5" s="3156">
        <f t="shared" si="0"/>
        <v>0</v>
      </c>
      <c r="W5" s="3156">
        <f t="shared" si="0"/>
        <v>0</v>
      </c>
      <c r="X5" s="3156">
        <f t="shared" si="0"/>
        <v>0</v>
      </c>
      <c r="Y5" s="3156">
        <f t="shared" si="0"/>
        <v>0</v>
      </c>
      <c r="Z5" s="3156">
        <f t="shared" si="0"/>
        <v>0</v>
      </c>
      <c r="AA5" s="3156">
        <f t="shared" si="0"/>
        <v>0</v>
      </c>
      <c r="AB5" s="3156">
        <f t="shared" si="0"/>
        <v>0</v>
      </c>
      <c r="AC5" s="3156">
        <f t="shared" si="0"/>
        <v>9600</v>
      </c>
      <c r="AD5" s="3156">
        <f t="shared" si="0"/>
        <v>9600</v>
      </c>
      <c r="AE5" s="3156">
        <f t="shared" si="0"/>
        <v>0</v>
      </c>
      <c r="AF5" s="3156">
        <f t="shared" si="0"/>
        <v>0</v>
      </c>
      <c r="AG5" s="3156">
        <f t="shared" si="0"/>
        <v>0</v>
      </c>
      <c r="AH5" s="3156">
        <f t="shared" si="0"/>
        <v>0</v>
      </c>
      <c r="AI5" s="3156">
        <f t="shared" si="0"/>
        <v>0</v>
      </c>
      <c r="AJ5" s="3156">
        <f t="shared" si="0"/>
        <v>0</v>
      </c>
      <c r="AK5" s="3156">
        <f t="shared" si="0"/>
        <v>0</v>
      </c>
      <c r="AL5" s="3156">
        <f t="shared" si="0"/>
        <v>0</v>
      </c>
      <c r="AM5" s="3156">
        <f t="shared" si="0"/>
        <v>0</v>
      </c>
      <c r="AN5" s="3156">
        <f t="shared" si="0"/>
        <v>0</v>
      </c>
      <c r="AO5" s="3156">
        <f t="shared" si="0"/>
        <v>0</v>
      </c>
      <c r="AP5" s="3156">
        <f t="shared" si="0"/>
        <v>0</v>
      </c>
      <c r="AQ5" s="3156">
        <f t="shared" si="0"/>
        <v>0</v>
      </c>
      <c r="AR5" s="3156">
        <f t="shared" si="0"/>
        <v>0</v>
      </c>
      <c r="AS5" s="3156">
        <f t="shared" si="0"/>
        <v>0</v>
      </c>
      <c r="AT5" s="3156">
        <f t="shared" si="0"/>
        <v>0</v>
      </c>
      <c r="AU5" s="2438"/>
      <c r="AV5" s="857" t="s">
        <v>476</v>
      </c>
      <c r="AW5" s="964"/>
      <c r="AX5" s="964"/>
      <c r="AY5" s="86" t="s">
        <v>138</v>
      </c>
      <c r="AZ5" s="3239">
        <f t="shared" ref="AZ5:BT5" si="1">SUM(AZ13:AZ641)</f>
        <v>220401.41</v>
      </c>
      <c r="BA5" s="3239">
        <f t="shared" si="1"/>
        <v>210801.41</v>
      </c>
      <c r="BB5" s="3239">
        <f t="shared" si="1"/>
        <v>186962.11</v>
      </c>
      <c r="BC5" s="3239">
        <f t="shared" si="1"/>
        <v>23839.3</v>
      </c>
      <c r="BD5" s="3239">
        <f t="shared" si="1"/>
        <v>0</v>
      </c>
      <c r="BE5" s="3239">
        <f t="shared" si="1"/>
        <v>0</v>
      </c>
      <c r="BF5" s="3239">
        <f t="shared" si="1"/>
        <v>0</v>
      </c>
      <c r="BG5" s="3239">
        <f t="shared" si="1"/>
        <v>0</v>
      </c>
      <c r="BH5" s="3239">
        <f t="shared" si="1"/>
        <v>0</v>
      </c>
      <c r="BI5" s="3239">
        <f t="shared" si="1"/>
        <v>0</v>
      </c>
      <c r="BJ5" s="3239">
        <f t="shared" si="1"/>
        <v>0</v>
      </c>
      <c r="BK5" s="3239">
        <f t="shared" si="1"/>
        <v>0</v>
      </c>
      <c r="BL5" s="3239">
        <f t="shared" si="1"/>
        <v>9600</v>
      </c>
      <c r="BM5" s="3239">
        <f t="shared" si="1"/>
        <v>9600</v>
      </c>
      <c r="BN5" s="3239">
        <f t="shared" si="1"/>
        <v>0</v>
      </c>
      <c r="BO5" s="3239">
        <f t="shared" si="1"/>
        <v>0</v>
      </c>
      <c r="BP5" s="3239">
        <f t="shared" si="1"/>
        <v>0</v>
      </c>
      <c r="BQ5" s="3239">
        <f t="shared" si="1"/>
        <v>0</v>
      </c>
      <c r="BR5" s="3239">
        <f t="shared" si="1"/>
        <v>0</v>
      </c>
      <c r="BS5" s="3239">
        <f t="shared" si="1"/>
        <v>0</v>
      </c>
      <c r="BT5" s="3246">
        <f t="shared" si="1"/>
        <v>0</v>
      </c>
    </row>
    <row r="6" s="3146" customFormat="1" ht="12.75" spans="1:72">
      <c r="A6" s="857" t="s">
        <v>477</v>
      </c>
      <c r="B6" s="3157"/>
      <c r="C6" s="3157"/>
      <c r="D6" s="3158"/>
      <c r="E6" s="3156">
        <f>H6+AC6+AT6</f>
        <v>101349.04</v>
      </c>
      <c r="F6" s="3156" t="s">
        <v>138</v>
      </c>
      <c r="G6" s="3156" t="s">
        <v>138</v>
      </c>
      <c r="H6" s="3159">
        <f>SUMIF(I$12:AB$12,"总值",I6:AB6)</f>
        <v>96934.59</v>
      </c>
      <c r="I6" s="3156">
        <f t="shared" ref="I6:AB6" si="2">ROUND($A$3*I5/$B$3,2)</f>
        <v>85972.36</v>
      </c>
      <c r="J6" s="3156">
        <f t="shared" si="2"/>
        <v>0</v>
      </c>
      <c r="K6" s="3156">
        <f t="shared" si="2"/>
        <v>10962.23</v>
      </c>
      <c r="L6" s="3156">
        <f t="shared" si="2"/>
        <v>0</v>
      </c>
      <c r="M6" s="3156">
        <f t="shared" si="2"/>
        <v>0</v>
      </c>
      <c r="N6" s="3156">
        <f t="shared" si="2"/>
        <v>0</v>
      </c>
      <c r="O6" s="3156">
        <f t="shared" si="2"/>
        <v>0</v>
      </c>
      <c r="P6" s="3156">
        <f t="shared" si="2"/>
        <v>0</v>
      </c>
      <c r="Q6" s="3156">
        <f t="shared" si="2"/>
        <v>0</v>
      </c>
      <c r="R6" s="3156">
        <f t="shared" si="2"/>
        <v>0</v>
      </c>
      <c r="S6" s="3156">
        <f t="shared" si="2"/>
        <v>0</v>
      </c>
      <c r="T6" s="3156">
        <f t="shared" si="2"/>
        <v>0</v>
      </c>
      <c r="U6" s="3156">
        <f t="shared" si="2"/>
        <v>0</v>
      </c>
      <c r="V6" s="3156">
        <f t="shared" si="2"/>
        <v>0</v>
      </c>
      <c r="W6" s="3156">
        <f t="shared" si="2"/>
        <v>0</v>
      </c>
      <c r="X6" s="3156">
        <f t="shared" si="2"/>
        <v>0</v>
      </c>
      <c r="Y6" s="3156">
        <f t="shared" si="2"/>
        <v>0</v>
      </c>
      <c r="Z6" s="3156">
        <f t="shared" si="2"/>
        <v>0</v>
      </c>
      <c r="AA6" s="3156">
        <f t="shared" si="2"/>
        <v>0</v>
      </c>
      <c r="AB6" s="3156">
        <f t="shared" si="2"/>
        <v>0</v>
      </c>
      <c r="AC6" s="3159">
        <f>SUMIF(AD$12:AS$12,"总值",AD6:AS6)</f>
        <v>4414.45</v>
      </c>
      <c r="AD6" s="3156">
        <f t="shared" ref="AD6:AS6" si="3">ROUND($A$3*AD5/$B$3,2)</f>
        <v>4414.45</v>
      </c>
      <c r="AE6" s="3156">
        <f t="shared" si="3"/>
        <v>0</v>
      </c>
      <c r="AF6" s="3156">
        <f t="shared" si="3"/>
        <v>0</v>
      </c>
      <c r="AG6" s="3156">
        <f t="shared" si="3"/>
        <v>0</v>
      </c>
      <c r="AH6" s="3156">
        <f t="shared" si="3"/>
        <v>0</v>
      </c>
      <c r="AI6" s="3156">
        <f t="shared" si="3"/>
        <v>0</v>
      </c>
      <c r="AJ6" s="3156">
        <f t="shared" si="3"/>
        <v>0</v>
      </c>
      <c r="AK6" s="3156">
        <f t="shared" si="3"/>
        <v>0</v>
      </c>
      <c r="AL6" s="3156">
        <f t="shared" si="3"/>
        <v>0</v>
      </c>
      <c r="AM6" s="3156">
        <f t="shared" si="3"/>
        <v>0</v>
      </c>
      <c r="AN6" s="3156">
        <f t="shared" si="3"/>
        <v>0</v>
      </c>
      <c r="AO6" s="3156">
        <f t="shared" si="3"/>
        <v>0</v>
      </c>
      <c r="AP6" s="3156">
        <f t="shared" si="3"/>
        <v>0</v>
      </c>
      <c r="AQ6" s="3156">
        <f t="shared" si="3"/>
        <v>0</v>
      </c>
      <c r="AR6" s="3156">
        <f t="shared" si="3"/>
        <v>0</v>
      </c>
      <c r="AS6" s="3156">
        <f t="shared" si="3"/>
        <v>0</v>
      </c>
      <c r="AT6" s="3159">
        <f>IF(C3="是",ROUND($A$3*AT5/$B$3,2),0)</f>
        <v>0</v>
      </c>
      <c r="AU6" s="3218"/>
      <c r="AV6" s="857" t="s">
        <v>477</v>
      </c>
      <c r="AW6" s="3157"/>
      <c r="AX6" s="3157"/>
      <c r="AY6" s="3240">
        <f>IF(AY3&gt;0,AY3,ROUND($A$3*AZ5/$B$3,2))</f>
        <v>101349.03</v>
      </c>
      <c r="AZ6" s="3156" t="s">
        <v>138</v>
      </c>
      <c r="BA6" s="3156">
        <f>ROUND($AY$6*BA5/$AZ$5,2)</f>
        <v>96934.58</v>
      </c>
      <c r="BB6" s="3156">
        <f>ROUND($AY$6*BB5/$AZ$5,2)</f>
        <v>85972.36</v>
      </c>
      <c r="BC6" s="3156">
        <f t="shared" ref="BC6:BH6" si="4">ROUND($AY$6*BC5/$AZ$5,2)</f>
        <v>10962.23</v>
      </c>
      <c r="BD6" s="3156">
        <f t="shared" si="4"/>
        <v>0</v>
      </c>
      <c r="BE6" s="3156">
        <f t="shared" si="4"/>
        <v>0</v>
      </c>
      <c r="BF6" s="3156">
        <f t="shared" si="4"/>
        <v>0</v>
      </c>
      <c r="BG6" s="3156">
        <f t="shared" si="4"/>
        <v>0</v>
      </c>
      <c r="BH6" s="3156">
        <f t="shared" si="4"/>
        <v>0</v>
      </c>
      <c r="BI6" s="3156">
        <f t="shared" ref="BI6:BT6" si="5">ROUND($AY$6*BI5/$AZ$5,2)</f>
        <v>0</v>
      </c>
      <c r="BJ6" s="3156">
        <f t="shared" si="5"/>
        <v>0</v>
      </c>
      <c r="BK6" s="3156">
        <f t="shared" si="5"/>
        <v>0</v>
      </c>
      <c r="BL6" s="3156">
        <f t="shared" si="5"/>
        <v>4414.45</v>
      </c>
      <c r="BM6" s="3156">
        <f t="shared" si="5"/>
        <v>4414.45</v>
      </c>
      <c r="BN6" s="3156">
        <f t="shared" si="5"/>
        <v>0</v>
      </c>
      <c r="BO6" s="3156">
        <f t="shared" si="5"/>
        <v>0</v>
      </c>
      <c r="BP6" s="3156">
        <f t="shared" si="5"/>
        <v>0</v>
      </c>
      <c r="BQ6" s="3156">
        <f t="shared" si="5"/>
        <v>0</v>
      </c>
      <c r="BR6" s="3156">
        <f t="shared" si="5"/>
        <v>0</v>
      </c>
      <c r="BS6" s="3156">
        <f t="shared" si="5"/>
        <v>0</v>
      </c>
      <c r="BT6" s="3247">
        <f t="shared" si="5"/>
        <v>0</v>
      </c>
    </row>
    <row r="7" s="185" customFormat="1" ht="24.75" spans="1:72">
      <c r="A7" s="3160" t="s">
        <v>478</v>
      </c>
      <c r="B7" s="3160" t="s">
        <v>479</v>
      </c>
      <c r="C7" s="3160" t="s">
        <v>480</v>
      </c>
      <c r="D7" s="3160" t="s">
        <v>481</v>
      </c>
      <c r="E7" s="3160" t="s">
        <v>477</v>
      </c>
      <c r="F7" s="3160" t="s">
        <v>482</v>
      </c>
      <c r="G7" s="3161" t="s">
        <v>483</v>
      </c>
      <c r="H7" s="3162"/>
      <c r="I7" s="3162"/>
      <c r="J7" s="3162"/>
      <c r="K7" s="3162"/>
      <c r="L7" s="3162"/>
      <c r="M7" s="3162"/>
      <c r="N7" s="3162"/>
      <c r="O7" s="3162"/>
      <c r="P7" s="3162"/>
      <c r="Q7" s="3162"/>
      <c r="R7" s="3162"/>
      <c r="S7" s="3162"/>
      <c r="T7" s="3162"/>
      <c r="U7" s="3162"/>
      <c r="V7" s="3162"/>
      <c r="W7" s="3162"/>
      <c r="X7" s="3162"/>
      <c r="Y7" s="3162"/>
      <c r="Z7" s="3162"/>
      <c r="AA7" s="3162"/>
      <c r="AB7" s="3162"/>
      <c r="AC7" s="3162"/>
      <c r="AD7" s="3162"/>
      <c r="AE7" s="3162"/>
      <c r="AF7" s="3162"/>
      <c r="AG7" s="3162"/>
      <c r="AH7" s="3162"/>
      <c r="AI7" s="3162"/>
      <c r="AJ7" s="3162"/>
      <c r="AK7" s="3162"/>
      <c r="AL7" s="3162"/>
      <c r="AM7" s="3162"/>
      <c r="AN7" s="3162"/>
      <c r="AO7" s="3162"/>
      <c r="AP7" s="3162"/>
      <c r="AQ7" s="3162"/>
      <c r="AR7" s="3162"/>
      <c r="AS7" s="3162"/>
      <c r="AT7" s="3219"/>
      <c r="AU7" s="3162" t="s">
        <v>484</v>
      </c>
      <c r="AV7" s="2631" t="s">
        <v>478</v>
      </c>
      <c r="AW7" s="2654" t="s">
        <v>479</v>
      </c>
      <c r="AX7" s="2631" t="s">
        <v>480</v>
      </c>
      <c r="AY7" s="964" t="s">
        <v>485</v>
      </c>
      <c r="AZ7" s="3207"/>
      <c r="BA7" s="3162"/>
      <c r="BB7" s="3162"/>
      <c r="BC7" s="3162"/>
      <c r="BD7" s="3162"/>
      <c r="BE7" s="3162"/>
      <c r="BF7" s="3162"/>
      <c r="BG7" s="3162"/>
      <c r="BH7" s="3162"/>
      <c r="BI7" s="3162"/>
      <c r="BJ7" s="3162"/>
      <c r="BK7" s="3162"/>
      <c r="BL7" s="3162"/>
      <c r="BM7" s="3162"/>
      <c r="BN7" s="3162"/>
      <c r="BO7" s="3162"/>
      <c r="BP7" s="3162"/>
      <c r="BQ7" s="3162"/>
      <c r="BR7" s="3162"/>
      <c r="BS7" s="3162"/>
      <c r="BT7" s="3248"/>
    </row>
    <row r="8" s="75" customFormat="1" ht="24" spans="1:72">
      <c r="A8" s="3163"/>
      <c r="B8" s="3163"/>
      <c r="C8" s="3163"/>
      <c r="D8" s="3163"/>
      <c r="E8" s="3163"/>
      <c r="F8" s="3163"/>
      <c r="G8" s="3164" t="s">
        <v>486</v>
      </c>
      <c r="H8" s="3165" t="s">
        <v>487</v>
      </c>
      <c r="I8" s="3183"/>
      <c r="J8" s="127"/>
      <c r="K8" s="127"/>
      <c r="L8" s="127"/>
      <c r="M8" s="127"/>
      <c r="N8" s="127"/>
      <c r="O8" s="127"/>
      <c r="P8" s="127"/>
      <c r="Q8" s="127"/>
      <c r="R8" s="127"/>
      <c r="S8" s="127"/>
      <c r="T8" s="127"/>
      <c r="U8" s="127"/>
      <c r="V8" s="3203"/>
      <c r="W8" s="127"/>
      <c r="X8" s="127"/>
      <c r="Y8" s="127"/>
      <c r="Z8" s="127"/>
      <c r="AA8" s="3203"/>
      <c r="AB8" s="3205"/>
      <c r="AC8" s="1033" t="s">
        <v>488</v>
      </c>
      <c r="AD8" s="3206"/>
      <c r="AE8" s="3207"/>
      <c r="AF8" s="127"/>
      <c r="AG8" s="127"/>
      <c r="AH8" s="127"/>
      <c r="AI8" s="127"/>
      <c r="AJ8" s="127"/>
      <c r="AK8" s="127"/>
      <c r="AL8" s="127"/>
      <c r="AM8" s="127"/>
      <c r="AN8" s="127"/>
      <c r="AO8" s="127"/>
      <c r="AP8" s="127"/>
      <c r="AQ8" s="127"/>
      <c r="AR8" s="127"/>
      <c r="AS8" s="184"/>
      <c r="AT8" s="3220" t="s">
        <v>489</v>
      </c>
      <c r="AU8" s="3163" t="s">
        <v>490</v>
      </c>
      <c r="AV8" s="730"/>
      <c r="AW8" s="120"/>
      <c r="AX8" s="730"/>
      <c r="AY8" s="2654" t="s">
        <v>477</v>
      </c>
      <c r="AZ8" s="126" t="s">
        <v>470</v>
      </c>
      <c r="BA8" s="127"/>
      <c r="BB8" s="127"/>
      <c r="BC8" s="127"/>
      <c r="BD8" s="127"/>
      <c r="BE8" s="127"/>
      <c r="BF8" s="127"/>
      <c r="BG8" s="127"/>
      <c r="BH8" s="127"/>
      <c r="BI8" s="127"/>
      <c r="BJ8" s="127"/>
      <c r="BK8" s="127"/>
      <c r="BL8" s="127"/>
      <c r="BM8" s="127"/>
      <c r="BN8" s="127"/>
      <c r="BO8" s="127"/>
      <c r="BP8" s="127"/>
      <c r="BQ8" s="127"/>
      <c r="BR8" s="127"/>
      <c r="BS8" s="127"/>
      <c r="BT8" s="784"/>
    </row>
    <row r="9" s="75" customFormat="1" ht="12.75" spans="1:72">
      <c r="A9" s="3163"/>
      <c r="B9" s="3163"/>
      <c r="C9" s="3163"/>
      <c r="D9" s="3163"/>
      <c r="E9" s="3163"/>
      <c r="F9" s="3163"/>
      <c r="G9" s="730"/>
      <c r="H9" s="1147" t="s">
        <v>491</v>
      </c>
      <c r="I9" s="3184" t="s">
        <v>492</v>
      </c>
      <c r="J9" s="1033"/>
      <c r="K9" s="3185" t="s">
        <v>492</v>
      </c>
      <c r="L9" s="1033"/>
      <c r="M9" s="3186" t="s">
        <v>492</v>
      </c>
      <c r="N9" s="1033"/>
      <c r="O9" s="3187"/>
      <c r="P9" s="1033"/>
      <c r="Q9" s="3187"/>
      <c r="R9" s="1033"/>
      <c r="S9" s="3187"/>
      <c r="T9" s="1033"/>
      <c r="U9" s="3187"/>
      <c r="V9" s="1033"/>
      <c r="W9" s="3187"/>
      <c r="X9" s="3204"/>
      <c r="Y9" s="3187"/>
      <c r="Z9" s="1033"/>
      <c r="AA9" s="3187"/>
      <c r="AB9" s="1033"/>
      <c r="AC9" s="3164" t="s">
        <v>491</v>
      </c>
      <c r="AD9" s="857" t="s">
        <v>493</v>
      </c>
      <c r="AE9" s="1516"/>
      <c r="AF9" s="857" t="s">
        <v>494</v>
      </c>
      <c r="AG9" s="1516"/>
      <c r="AH9" s="857" t="s">
        <v>493</v>
      </c>
      <c r="AI9" s="1516"/>
      <c r="AJ9" s="857" t="s">
        <v>494</v>
      </c>
      <c r="AK9" s="1516"/>
      <c r="AL9" s="857" t="s">
        <v>493</v>
      </c>
      <c r="AM9" s="1516"/>
      <c r="AN9" s="857" t="s">
        <v>494</v>
      </c>
      <c r="AO9" s="1516"/>
      <c r="AP9" s="3221" t="s">
        <v>493</v>
      </c>
      <c r="AQ9" s="3222"/>
      <c r="AR9" s="3221" t="s">
        <v>494</v>
      </c>
      <c r="AS9" s="3223"/>
      <c r="AT9" s="3163"/>
      <c r="AU9" s="3163" t="s">
        <v>495</v>
      </c>
      <c r="AV9" s="730"/>
      <c r="AW9" s="120"/>
      <c r="AX9" s="730"/>
      <c r="AY9" s="2632"/>
      <c r="AZ9" s="2632" t="s">
        <v>486</v>
      </c>
      <c r="BA9" s="3241" t="s">
        <v>496</v>
      </c>
      <c r="BB9" s="3242"/>
      <c r="BC9" s="805"/>
      <c r="BD9" s="805"/>
      <c r="BE9" s="805"/>
      <c r="BF9" s="805"/>
      <c r="BG9" s="805"/>
      <c r="BH9" s="805"/>
      <c r="BI9" s="805"/>
      <c r="BJ9" s="805"/>
      <c r="BK9" s="3245"/>
      <c r="BL9" s="857" t="s">
        <v>497</v>
      </c>
      <c r="BM9" s="127"/>
      <c r="BN9" s="3183"/>
      <c r="BO9" s="127"/>
      <c r="BP9" s="127"/>
      <c r="BQ9" s="127"/>
      <c r="BR9" s="127"/>
      <c r="BS9" s="127"/>
      <c r="BT9" s="784"/>
    </row>
    <row r="10" s="75" customFormat="1" ht="12.75" spans="1:72">
      <c r="A10" s="3163"/>
      <c r="B10" s="3163"/>
      <c r="C10" s="3163"/>
      <c r="D10" s="3163"/>
      <c r="E10" s="3163"/>
      <c r="F10" s="3163"/>
      <c r="G10" s="730"/>
      <c r="H10" s="2632"/>
      <c r="I10" s="3184" t="s">
        <v>377</v>
      </c>
      <c r="J10" s="1033"/>
      <c r="K10" s="3188" t="s">
        <v>378</v>
      </c>
      <c r="L10" s="1033"/>
      <c r="M10" s="3189" t="s">
        <v>164</v>
      </c>
      <c r="N10" s="1033"/>
      <c r="O10" s="3190"/>
      <c r="P10" s="1033"/>
      <c r="Q10" s="3190"/>
      <c r="R10" s="1033"/>
      <c r="S10" s="3190"/>
      <c r="T10" s="1033"/>
      <c r="U10" s="3190"/>
      <c r="V10" s="1033"/>
      <c r="W10" s="3190"/>
      <c r="X10" s="1033"/>
      <c r="Y10" s="3190"/>
      <c r="Z10" s="1033"/>
      <c r="AA10" s="3190"/>
      <c r="AB10" s="1033"/>
      <c r="AC10" s="730"/>
      <c r="AD10" s="2770" t="s">
        <v>231</v>
      </c>
      <c r="AE10" s="3208"/>
      <c r="AF10" s="2770" t="s">
        <v>231</v>
      </c>
      <c r="AG10" s="3208"/>
      <c r="AH10" s="2770" t="s">
        <v>498</v>
      </c>
      <c r="AI10" s="3208"/>
      <c r="AJ10" s="857" t="s">
        <v>499</v>
      </c>
      <c r="AK10" s="3214"/>
      <c r="AL10" s="2770" t="s">
        <v>500</v>
      </c>
      <c r="AM10" s="3215"/>
      <c r="AN10" s="857" t="s">
        <v>501</v>
      </c>
      <c r="AO10" s="1516"/>
      <c r="AP10" s="3221" t="s">
        <v>502</v>
      </c>
      <c r="AQ10" s="3222"/>
      <c r="AR10" s="3221" t="s">
        <v>502</v>
      </c>
      <c r="AS10" s="3222"/>
      <c r="AT10" s="3163"/>
      <c r="AU10" s="3163"/>
      <c r="AV10" s="730"/>
      <c r="AW10" s="120"/>
      <c r="AX10" s="730"/>
      <c r="AY10" s="2632"/>
      <c r="AZ10" s="2632"/>
      <c r="BA10" s="3166" t="s">
        <v>491</v>
      </c>
      <c r="BB10" s="3243" t="str">
        <f>I9</f>
        <v>地上</v>
      </c>
      <c r="BC10" s="819" t="str">
        <f>K9</f>
        <v>地上</v>
      </c>
      <c r="BD10" s="819" t="str">
        <f>M9</f>
        <v>地上</v>
      </c>
      <c r="BE10" s="819">
        <f>O9</f>
        <v>0</v>
      </c>
      <c r="BF10" s="819">
        <f>Q9</f>
        <v>0</v>
      </c>
      <c r="BG10" s="819">
        <f>S9</f>
        <v>0</v>
      </c>
      <c r="BH10" s="819">
        <f>U9</f>
        <v>0</v>
      </c>
      <c r="BI10" s="819">
        <f>W9</f>
        <v>0</v>
      </c>
      <c r="BJ10" s="819">
        <f>Y9</f>
        <v>0</v>
      </c>
      <c r="BK10" s="819">
        <f>AA9</f>
        <v>0</v>
      </c>
      <c r="BL10" s="815" t="s">
        <v>491</v>
      </c>
      <c r="BM10" s="126" t="str">
        <f>AD9</f>
        <v>地上</v>
      </c>
      <c r="BN10" s="819" t="str">
        <f>AF9</f>
        <v>地下</v>
      </c>
      <c r="BO10" s="126" t="str">
        <f>AH9</f>
        <v>地上</v>
      </c>
      <c r="BP10" s="819" t="str">
        <f>AJ9</f>
        <v>地下</v>
      </c>
      <c r="BQ10" s="126" t="str">
        <f>AL9</f>
        <v>地上</v>
      </c>
      <c r="BR10" s="819" t="str">
        <f>AN9</f>
        <v>地下</v>
      </c>
      <c r="BS10" s="126" t="str">
        <f>AP9</f>
        <v>地上</v>
      </c>
      <c r="BT10" s="2643" t="str">
        <f>AR9</f>
        <v>地下</v>
      </c>
    </row>
    <row r="11" s="75" customFormat="1" ht="12.75" spans="1:72">
      <c r="A11" s="3163"/>
      <c r="B11" s="3163"/>
      <c r="C11" s="3163"/>
      <c r="D11" s="3163"/>
      <c r="E11" s="3163"/>
      <c r="F11" s="3163"/>
      <c r="G11" s="730"/>
      <c r="H11" s="3166"/>
      <c r="I11" s="3191" t="s">
        <v>503</v>
      </c>
      <c r="J11" s="3192"/>
      <c r="K11" s="3191"/>
      <c r="L11" s="3192"/>
      <c r="M11" s="3193"/>
      <c r="N11" s="3194"/>
      <c r="O11" s="3195"/>
      <c r="P11" s="3194"/>
      <c r="Q11" s="3195"/>
      <c r="R11" s="3194"/>
      <c r="S11" s="3195"/>
      <c r="T11" s="3194"/>
      <c r="U11" s="3195"/>
      <c r="V11" s="3194"/>
      <c r="W11" s="3195"/>
      <c r="X11" s="3194"/>
      <c r="Y11" s="3195"/>
      <c r="Z11" s="3194"/>
      <c r="AA11" s="3195"/>
      <c r="AB11" s="3194"/>
      <c r="AC11" s="730"/>
      <c r="AD11" s="3209" t="s">
        <v>504</v>
      </c>
      <c r="AE11" s="184"/>
      <c r="AF11" s="3209" t="s">
        <v>504</v>
      </c>
      <c r="AG11" s="184"/>
      <c r="AH11" s="3209" t="s">
        <v>505</v>
      </c>
      <c r="AI11" s="3216"/>
      <c r="AJ11" s="3209" t="s">
        <v>505</v>
      </c>
      <c r="AK11" s="3214"/>
      <c r="AL11" s="126"/>
      <c r="AM11" s="184"/>
      <c r="AN11" s="126"/>
      <c r="AO11" s="184"/>
      <c r="AP11" s="3224"/>
      <c r="AQ11" s="3225"/>
      <c r="AR11" s="3224"/>
      <c r="AS11" s="3225"/>
      <c r="AT11" s="120"/>
      <c r="AU11" s="3163"/>
      <c r="AV11" s="730"/>
      <c r="AW11" s="120"/>
      <c r="AX11" s="730"/>
      <c r="AY11" s="2632"/>
      <c r="AZ11" s="2632"/>
      <c r="BA11" s="2632"/>
      <c r="BB11" s="3205" t="str">
        <f>I10</f>
        <v>住宅</v>
      </c>
      <c r="BC11" s="3205" t="str">
        <f>K10</f>
        <v>商业</v>
      </c>
      <c r="BD11" s="3205" t="str">
        <f>M10</f>
        <v>工业</v>
      </c>
      <c r="BE11" s="3205">
        <f>O10</f>
        <v>0</v>
      </c>
      <c r="BF11" s="3205">
        <f>Q10</f>
        <v>0</v>
      </c>
      <c r="BG11" s="3205">
        <f>S10</f>
        <v>0</v>
      </c>
      <c r="BH11" s="3205">
        <f>U10</f>
        <v>0</v>
      </c>
      <c r="BI11" s="3205">
        <f>W10</f>
        <v>0</v>
      </c>
      <c r="BJ11" s="3205">
        <f>Y10</f>
        <v>0</v>
      </c>
      <c r="BK11" s="3205">
        <f>AA10</f>
        <v>0</v>
      </c>
      <c r="BL11" s="730"/>
      <c r="BM11" s="126" t="str">
        <f>AD10</f>
        <v>公共配套设施</v>
      </c>
      <c r="BN11" s="126" t="str">
        <f>AF10</f>
        <v>公共配套设施</v>
      </c>
      <c r="BO11" s="125" t="str">
        <f>AH10</f>
        <v>物业管理用房</v>
      </c>
      <c r="BP11" s="125" t="str">
        <f>AJ10</f>
        <v>物业管理用房</v>
      </c>
      <c r="BQ11" s="125" t="str">
        <f>AL10</f>
        <v>设备及其他</v>
      </c>
      <c r="BR11" s="125" t="str">
        <f>AN10</f>
        <v>设备及其他</v>
      </c>
      <c r="BS11" s="815" t="str">
        <f>AP10</f>
        <v>未注明</v>
      </c>
      <c r="BT11" s="2633" t="str">
        <f>AR10</f>
        <v>未注明</v>
      </c>
    </row>
    <row r="12" s="185" customFormat="1" ht="12.75" spans="1:72">
      <c r="A12" s="3167"/>
      <c r="B12" s="3167"/>
      <c r="C12" s="3167"/>
      <c r="D12" s="3167"/>
      <c r="E12" s="3167"/>
      <c r="F12" s="3167"/>
      <c r="G12" s="2642"/>
      <c r="H12" s="3168"/>
      <c r="I12" s="2566" t="s">
        <v>506</v>
      </c>
      <c r="J12" s="128" t="s">
        <v>507</v>
      </c>
      <c r="K12" s="128" t="s">
        <v>506</v>
      </c>
      <c r="L12" s="128" t="s">
        <v>507</v>
      </c>
      <c r="M12" s="128" t="s">
        <v>506</v>
      </c>
      <c r="N12" s="128" t="s">
        <v>507</v>
      </c>
      <c r="O12" s="128" t="s">
        <v>506</v>
      </c>
      <c r="P12" s="128" t="s">
        <v>507</v>
      </c>
      <c r="Q12" s="128" t="s">
        <v>506</v>
      </c>
      <c r="R12" s="128" t="s">
        <v>507</v>
      </c>
      <c r="S12" s="128" t="s">
        <v>506</v>
      </c>
      <c r="T12" s="128" t="s">
        <v>507</v>
      </c>
      <c r="U12" s="128" t="s">
        <v>506</v>
      </c>
      <c r="V12" s="2438" t="s">
        <v>507</v>
      </c>
      <c r="W12" s="128" t="s">
        <v>506</v>
      </c>
      <c r="X12" s="128" t="s">
        <v>507</v>
      </c>
      <c r="Y12" s="128" t="s">
        <v>506</v>
      </c>
      <c r="Z12" s="128" t="s">
        <v>507</v>
      </c>
      <c r="AA12" s="128" t="s">
        <v>506</v>
      </c>
      <c r="AB12" s="128" t="s">
        <v>507</v>
      </c>
      <c r="AC12" s="3210"/>
      <c r="AD12" s="2566" t="s">
        <v>506</v>
      </c>
      <c r="AE12" s="128" t="s">
        <v>507</v>
      </c>
      <c r="AF12" s="128" t="s">
        <v>506</v>
      </c>
      <c r="AG12" s="128" t="s">
        <v>507</v>
      </c>
      <c r="AH12" s="128" t="s">
        <v>506</v>
      </c>
      <c r="AI12" s="128" t="s">
        <v>507</v>
      </c>
      <c r="AJ12" s="128" t="s">
        <v>506</v>
      </c>
      <c r="AK12" s="128" t="s">
        <v>507</v>
      </c>
      <c r="AL12" s="128" t="s">
        <v>506</v>
      </c>
      <c r="AM12" s="128" t="s">
        <v>507</v>
      </c>
      <c r="AN12" s="128" t="s">
        <v>506</v>
      </c>
      <c r="AO12" s="128" t="s">
        <v>507</v>
      </c>
      <c r="AP12" s="3226" t="s">
        <v>506</v>
      </c>
      <c r="AQ12" s="3226" t="s">
        <v>507</v>
      </c>
      <c r="AR12" s="3227" t="s">
        <v>506</v>
      </c>
      <c r="AS12" s="3228" t="s">
        <v>507</v>
      </c>
      <c r="AT12" s="3229"/>
      <c r="AU12" s="3167"/>
      <c r="AV12" s="2637"/>
      <c r="AW12" s="2654"/>
      <c r="AX12" s="2637"/>
      <c r="AY12" s="3244"/>
      <c r="AZ12" s="2632"/>
      <c r="BA12" s="3166"/>
      <c r="BB12" s="125" t="str">
        <f>I11</f>
        <v>普通住宅</v>
      </c>
      <c r="BC12" s="1102">
        <f>K11</f>
        <v>0</v>
      </c>
      <c r="BD12" s="1102">
        <f>M11</f>
        <v>0</v>
      </c>
      <c r="BE12" s="3205">
        <f>O11</f>
        <v>0</v>
      </c>
      <c r="BF12" s="3205">
        <f>Q11</f>
        <v>0</v>
      </c>
      <c r="BG12" s="3205">
        <f>S11</f>
        <v>0</v>
      </c>
      <c r="BH12" s="3205">
        <f>U11</f>
        <v>0</v>
      </c>
      <c r="BI12" s="3205">
        <f>W11</f>
        <v>0</v>
      </c>
      <c r="BJ12" s="3205">
        <f>Y11</f>
        <v>0</v>
      </c>
      <c r="BK12" s="3205">
        <f>AA11</f>
        <v>0</v>
      </c>
      <c r="BL12" s="730"/>
      <c r="BM12" s="126" t="str">
        <f>AD11</f>
        <v>（住宅）</v>
      </c>
      <c r="BN12" s="126" t="str">
        <f>AF11</f>
        <v>（住宅）</v>
      </c>
      <c r="BO12" s="125" t="str">
        <f>AH11</f>
        <v>（住宅、计出让金）</v>
      </c>
      <c r="BP12" s="125" t="str">
        <f>AJ11</f>
        <v>（住宅、计出让金）</v>
      </c>
      <c r="BQ12" s="125">
        <f>AL11</f>
        <v>0</v>
      </c>
      <c r="BR12" s="125">
        <f>AN11</f>
        <v>0</v>
      </c>
      <c r="BS12" s="815">
        <f>AP11</f>
        <v>0</v>
      </c>
      <c r="BT12" s="2633">
        <f>AR11</f>
        <v>0</v>
      </c>
    </row>
    <row r="13" s="185" customFormat="1" ht="13.5" spans="1:72">
      <c r="A13" s="3169"/>
      <c r="B13" s="3169"/>
      <c r="C13" s="3170" t="str">
        <f>地块信息表!C7</f>
        <v>E07-06-01</v>
      </c>
      <c r="D13" s="3171" t="s">
        <v>508</v>
      </c>
      <c r="E13" s="3156">
        <f t="shared" ref="E13:E20" si="6">IF($C$3="是",ROUND($A$3*G13/$B$3,2),ROUND($A$3*(G13-AT13)/$B$3,2))</f>
        <v>21700.69</v>
      </c>
      <c r="F13" s="3172"/>
      <c r="G13" s="3173">
        <f t="shared" ref="G13:G20" si="7">H13+AC13+AT13</f>
        <v>47192</v>
      </c>
      <c r="H13" s="3159">
        <f t="shared" ref="H13:H20" si="8">SUMIF(I$12:AB$12,"总值",I13:AB13)</f>
        <v>46292</v>
      </c>
      <c r="I13" s="3196">
        <f>地块信息表!K7</f>
        <v>46292</v>
      </c>
      <c r="J13" s="3196"/>
      <c r="K13" s="3196"/>
      <c r="L13" s="3196"/>
      <c r="M13" s="3196"/>
      <c r="N13" s="3197"/>
      <c r="O13" s="3197"/>
      <c r="P13" s="3197"/>
      <c r="Q13" s="3197"/>
      <c r="R13" s="3197"/>
      <c r="S13" s="3197"/>
      <c r="T13" s="3197"/>
      <c r="U13" s="3197"/>
      <c r="V13" s="3197"/>
      <c r="W13" s="3197"/>
      <c r="X13" s="3197"/>
      <c r="Y13" s="3197"/>
      <c r="Z13" s="3197"/>
      <c r="AA13" s="3197"/>
      <c r="AB13" s="3197"/>
      <c r="AC13" s="3156">
        <f t="shared" ref="AC13:AC20" si="9">SUMIF(AD$12:AS$12,"总值",AD13:AS13)</f>
        <v>900</v>
      </c>
      <c r="AD13" s="3211">
        <f>地块信息表!I7</f>
        <v>900</v>
      </c>
      <c r="AE13" s="3211"/>
      <c r="AF13" s="3211"/>
      <c r="AG13" s="3211"/>
      <c r="AH13" s="3211"/>
      <c r="AI13" s="3211"/>
      <c r="AJ13" s="3211"/>
      <c r="AK13" s="3211"/>
      <c r="AL13" s="3211"/>
      <c r="AM13" s="3211"/>
      <c r="AN13" s="3211"/>
      <c r="AO13" s="3211"/>
      <c r="AP13" s="3211"/>
      <c r="AQ13" s="3211"/>
      <c r="AR13" s="3211"/>
      <c r="AS13" s="3211"/>
      <c r="AT13" s="3230"/>
      <c r="AU13" s="3231"/>
      <c r="AV13" s="128">
        <f t="shared" ref="AV13:AX20" si="10">A13</f>
        <v>0</v>
      </c>
      <c r="AW13" s="128">
        <f t="shared" si="10"/>
        <v>0</v>
      </c>
      <c r="AX13" s="128" t="str">
        <f t="shared" si="10"/>
        <v>E07-06-01</v>
      </c>
      <c r="AY13" s="2566">
        <f t="shared" ref="AY13:AY20" si="11">ROUND($AY$6*AZ13/$AZ$5,2)</f>
        <v>21700.69</v>
      </c>
      <c r="AZ13" s="3156">
        <f t="shared" ref="AZ13:AZ20" si="12">BA13+BL13</f>
        <v>47192</v>
      </c>
      <c r="BA13" s="3156">
        <f t="shared" ref="BA13:BA20" si="13">SUM(BB13:BK13)</f>
        <v>46292</v>
      </c>
      <c r="BB13" s="3156">
        <f t="shared" ref="BB13:BB20" si="14">IF($D13="是",I13-J13,0)</f>
        <v>46292</v>
      </c>
      <c r="BC13" s="3156">
        <f t="shared" ref="BC13:BC20" si="15">IF($D13="是",K13-L13,0)</f>
        <v>0</v>
      </c>
      <c r="BD13" s="3156">
        <f t="shared" ref="BD13:BD20" si="16">IF($D13="是",M13-N13,0)</f>
        <v>0</v>
      </c>
      <c r="BE13" s="3156">
        <f t="shared" ref="BE13:BE20" si="17">IF($D13="是",O13-P13,0)</f>
        <v>0</v>
      </c>
      <c r="BF13" s="3156">
        <f t="shared" ref="BF13:BF20" si="18">IF($D13="是",Q13-R13,0)</f>
        <v>0</v>
      </c>
      <c r="BG13" s="3156">
        <f t="shared" ref="BG13:BG20" si="19">IF($D13="是",S13-T13,0)</f>
        <v>0</v>
      </c>
      <c r="BH13" s="3156">
        <f t="shared" ref="BH13:BH20" si="20">IF($D13="是",U13-V13,0)</f>
        <v>0</v>
      </c>
      <c r="BI13" s="3156">
        <f t="shared" ref="BI13:BI20" si="21">IF($D13="是",W13-X13,0)</f>
        <v>0</v>
      </c>
      <c r="BJ13" s="3156">
        <f t="shared" ref="BJ13:BJ20" si="22">IF($D13="是",Y13-Z13,0)</f>
        <v>0</v>
      </c>
      <c r="BK13" s="3156">
        <f t="shared" ref="BK13:BK20" si="23">IF($D13="是",AA13-AB13,0)</f>
        <v>0</v>
      </c>
      <c r="BL13" s="3156">
        <f t="shared" ref="BL13:BL20" si="24">SUM(BM13:BT13)</f>
        <v>900</v>
      </c>
      <c r="BM13" s="3156">
        <f t="shared" ref="BM13:BM20" si="25">IF($D13="是",AD13-AE13,0)</f>
        <v>900</v>
      </c>
      <c r="BN13" s="3156">
        <f t="shared" ref="BN13:BN20" si="26">IF($D13="是",AF13-AG13,0)</f>
        <v>0</v>
      </c>
      <c r="BO13" s="3156">
        <f t="shared" ref="BO13:BO20" si="27">IF($D13="是",AH13-AI13,0)</f>
        <v>0</v>
      </c>
      <c r="BP13" s="3156">
        <f t="shared" ref="BP13:BP20" si="28">IF($D13="是",AJ13-AK13,0)</f>
        <v>0</v>
      </c>
      <c r="BQ13" s="3156">
        <f t="shared" ref="BQ13:BQ20" si="29">IF($D13="是",AL13-AM13,0)</f>
        <v>0</v>
      </c>
      <c r="BR13" s="3156">
        <f t="shared" ref="BR13:BR20" si="30">IF($D13="是",AN13-AO13,0)</f>
        <v>0</v>
      </c>
      <c r="BS13" s="3156">
        <f t="shared" ref="BS13:BS20" si="31">IF($D13="是",AP13-AQ13,0)</f>
        <v>0</v>
      </c>
      <c r="BT13" s="3247">
        <f t="shared" ref="BT13:BT20" si="32">IF($D13="是",AR13-AS13,0)</f>
        <v>0</v>
      </c>
    </row>
    <row r="14" s="185" customFormat="1" ht="13.5" spans="1:72">
      <c r="A14" s="3169"/>
      <c r="B14" s="3169"/>
      <c r="C14" s="3170" t="str">
        <f>地块信息表!C8</f>
        <v>E07-06-02</v>
      </c>
      <c r="D14" s="3171" t="s">
        <v>508</v>
      </c>
      <c r="E14" s="3156">
        <f t="shared" si="6"/>
        <v>3311.66</v>
      </c>
      <c r="F14" s="3172"/>
      <c r="G14" s="3173">
        <f t="shared" si="7"/>
        <v>7201.8</v>
      </c>
      <c r="H14" s="3159">
        <f t="shared" si="8"/>
        <v>3701.8</v>
      </c>
      <c r="I14" s="3196"/>
      <c r="J14" s="3196"/>
      <c r="K14" s="3196">
        <f>地块信息表!K8</f>
        <v>3701.8</v>
      </c>
      <c r="L14" s="3196"/>
      <c r="M14" s="3196"/>
      <c r="N14" s="3197"/>
      <c r="O14" s="3197"/>
      <c r="P14" s="3197"/>
      <c r="Q14" s="3197"/>
      <c r="R14" s="3197"/>
      <c r="S14" s="3197"/>
      <c r="T14" s="3197"/>
      <c r="U14" s="3197"/>
      <c r="V14" s="3197"/>
      <c r="W14" s="3197"/>
      <c r="X14" s="3197"/>
      <c r="Y14" s="3197"/>
      <c r="Z14" s="3197"/>
      <c r="AA14" s="3197"/>
      <c r="AB14" s="3197"/>
      <c r="AC14" s="3156">
        <f t="shared" si="9"/>
        <v>3500</v>
      </c>
      <c r="AD14" s="3211">
        <f>地块信息表!I8</f>
        <v>3500</v>
      </c>
      <c r="AE14" s="3211"/>
      <c r="AF14" s="3211"/>
      <c r="AG14" s="3211"/>
      <c r="AH14" s="3211"/>
      <c r="AI14" s="3211"/>
      <c r="AJ14" s="3211"/>
      <c r="AK14" s="3211"/>
      <c r="AL14" s="3211"/>
      <c r="AM14" s="3211"/>
      <c r="AN14" s="3211"/>
      <c r="AO14" s="3211"/>
      <c r="AP14" s="3211"/>
      <c r="AQ14" s="3211"/>
      <c r="AR14" s="3211"/>
      <c r="AS14" s="3211"/>
      <c r="AT14" s="3230"/>
      <c r="AU14" s="3231"/>
      <c r="AV14" s="128">
        <f t="shared" si="10"/>
        <v>0</v>
      </c>
      <c r="AW14" s="128">
        <f t="shared" si="10"/>
        <v>0</v>
      </c>
      <c r="AX14" s="128" t="str">
        <f t="shared" si="10"/>
        <v>E07-06-02</v>
      </c>
      <c r="AY14" s="2566">
        <f t="shared" si="11"/>
        <v>3311.66</v>
      </c>
      <c r="AZ14" s="3156">
        <f t="shared" si="12"/>
        <v>7201.8</v>
      </c>
      <c r="BA14" s="3156">
        <f t="shared" si="13"/>
        <v>3701.8</v>
      </c>
      <c r="BB14" s="3156">
        <f t="shared" si="14"/>
        <v>0</v>
      </c>
      <c r="BC14" s="3156">
        <f t="shared" si="15"/>
        <v>3701.8</v>
      </c>
      <c r="BD14" s="3156">
        <f t="shared" si="16"/>
        <v>0</v>
      </c>
      <c r="BE14" s="3156">
        <f t="shared" si="17"/>
        <v>0</v>
      </c>
      <c r="BF14" s="3156">
        <f t="shared" si="18"/>
        <v>0</v>
      </c>
      <c r="BG14" s="3156">
        <f t="shared" si="19"/>
        <v>0</v>
      </c>
      <c r="BH14" s="3156">
        <f t="shared" si="20"/>
        <v>0</v>
      </c>
      <c r="BI14" s="3156">
        <f t="shared" si="21"/>
        <v>0</v>
      </c>
      <c r="BJ14" s="3156">
        <f t="shared" si="22"/>
        <v>0</v>
      </c>
      <c r="BK14" s="3156">
        <f t="shared" si="23"/>
        <v>0</v>
      </c>
      <c r="BL14" s="3156">
        <f t="shared" si="24"/>
        <v>3500</v>
      </c>
      <c r="BM14" s="3156">
        <f t="shared" si="25"/>
        <v>3500</v>
      </c>
      <c r="BN14" s="3156">
        <f t="shared" si="26"/>
        <v>0</v>
      </c>
      <c r="BO14" s="3156">
        <f t="shared" si="27"/>
        <v>0</v>
      </c>
      <c r="BP14" s="3156">
        <f t="shared" si="28"/>
        <v>0</v>
      </c>
      <c r="BQ14" s="3156">
        <f t="shared" si="29"/>
        <v>0</v>
      </c>
      <c r="BR14" s="3156">
        <f t="shared" si="30"/>
        <v>0</v>
      </c>
      <c r="BS14" s="3156">
        <f t="shared" si="31"/>
        <v>0</v>
      </c>
      <c r="BT14" s="3247">
        <f t="shared" si="32"/>
        <v>0</v>
      </c>
    </row>
    <row r="15" s="185" customFormat="1" ht="13.5" spans="1:72">
      <c r="A15" s="3169"/>
      <c r="B15" s="3169"/>
      <c r="C15" s="3170" t="str">
        <f>地块信息表!C9</f>
        <v>E07-06-03</v>
      </c>
      <c r="D15" s="3171" t="s">
        <v>508</v>
      </c>
      <c r="E15" s="3156">
        <f t="shared" si="6"/>
        <v>20201.52</v>
      </c>
      <c r="F15" s="3172"/>
      <c r="G15" s="3173">
        <f t="shared" si="7"/>
        <v>43931.79</v>
      </c>
      <c r="H15" s="3159">
        <f t="shared" si="8"/>
        <v>43931.79</v>
      </c>
      <c r="I15" s="3196">
        <f>地块信息表!K9</f>
        <v>43931.79</v>
      </c>
      <c r="J15" s="3196"/>
      <c r="K15" s="3196"/>
      <c r="L15" s="3196"/>
      <c r="M15" s="3196"/>
      <c r="N15" s="3197"/>
      <c r="O15" s="3197"/>
      <c r="P15" s="3197"/>
      <c r="Q15" s="3197"/>
      <c r="R15" s="3197"/>
      <c r="S15" s="3197"/>
      <c r="T15" s="3197"/>
      <c r="U15" s="3197"/>
      <c r="V15" s="3197"/>
      <c r="W15" s="3197"/>
      <c r="X15" s="3197"/>
      <c r="Y15" s="3197"/>
      <c r="Z15" s="3197"/>
      <c r="AA15" s="3197"/>
      <c r="AB15" s="3197"/>
      <c r="AC15" s="3156">
        <f t="shared" si="9"/>
        <v>0</v>
      </c>
      <c r="AD15" s="3211">
        <f>地块信息表!I9</f>
        <v>0</v>
      </c>
      <c r="AE15" s="3211"/>
      <c r="AF15" s="3211"/>
      <c r="AG15" s="3211"/>
      <c r="AH15" s="3211"/>
      <c r="AI15" s="3211"/>
      <c r="AJ15" s="3211"/>
      <c r="AK15" s="3211"/>
      <c r="AL15" s="3211"/>
      <c r="AM15" s="3211"/>
      <c r="AN15" s="3211"/>
      <c r="AO15" s="3211"/>
      <c r="AP15" s="3211"/>
      <c r="AQ15" s="3211"/>
      <c r="AR15" s="3211"/>
      <c r="AS15" s="3211"/>
      <c r="AT15" s="3230"/>
      <c r="AU15" s="3231"/>
      <c r="AV15" s="128">
        <f t="shared" si="10"/>
        <v>0</v>
      </c>
      <c r="AW15" s="128">
        <f t="shared" si="10"/>
        <v>0</v>
      </c>
      <c r="AX15" s="128" t="str">
        <f t="shared" si="10"/>
        <v>E07-06-03</v>
      </c>
      <c r="AY15" s="2566">
        <f t="shared" si="11"/>
        <v>20201.52</v>
      </c>
      <c r="AZ15" s="3156">
        <f t="shared" si="12"/>
        <v>43931.79</v>
      </c>
      <c r="BA15" s="3156">
        <f t="shared" si="13"/>
        <v>43931.79</v>
      </c>
      <c r="BB15" s="3156">
        <f t="shared" si="14"/>
        <v>43931.79</v>
      </c>
      <c r="BC15" s="3156">
        <f t="shared" si="15"/>
        <v>0</v>
      </c>
      <c r="BD15" s="3156">
        <f t="shared" si="16"/>
        <v>0</v>
      </c>
      <c r="BE15" s="3156">
        <f t="shared" si="17"/>
        <v>0</v>
      </c>
      <c r="BF15" s="3156">
        <f t="shared" si="18"/>
        <v>0</v>
      </c>
      <c r="BG15" s="3156">
        <f t="shared" si="19"/>
        <v>0</v>
      </c>
      <c r="BH15" s="3156">
        <f t="shared" si="20"/>
        <v>0</v>
      </c>
      <c r="BI15" s="3156">
        <f t="shared" si="21"/>
        <v>0</v>
      </c>
      <c r="BJ15" s="3156">
        <f t="shared" si="22"/>
        <v>0</v>
      </c>
      <c r="BK15" s="3156">
        <f t="shared" si="23"/>
        <v>0</v>
      </c>
      <c r="BL15" s="3156">
        <f t="shared" si="24"/>
        <v>0</v>
      </c>
      <c r="BM15" s="3156">
        <f t="shared" si="25"/>
        <v>0</v>
      </c>
      <c r="BN15" s="3156">
        <f t="shared" si="26"/>
        <v>0</v>
      </c>
      <c r="BO15" s="3156">
        <f t="shared" si="27"/>
        <v>0</v>
      </c>
      <c r="BP15" s="3156">
        <f t="shared" si="28"/>
        <v>0</v>
      </c>
      <c r="BQ15" s="3156">
        <f t="shared" si="29"/>
        <v>0</v>
      </c>
      <c r="BR15" s="3156">
        <f t="shared" si="30"/>
        <v>0</v>
      </c>
      <c r="BS15" s="3156">
        <f t="shared" si="31"/>
        <v>0</v>
      </c>
      <c r="BT15" s="3247">
        <f t="shared" si="32"/>
        <v>0</v>
      </c>
    </row>
    <row r="16" s="185" customFormat="1" ht="13.5" spans="1:72">
      <c r="A16" s="3169"/>
      <c r="B16" s="3169"/>
      <c r="C16" s="3170" t="str">
        <f>地块信息表!C10</f>
        <v>E07-06-06</v>
      </c>
      <c r="D16" s="3171" t="s">
        <v>508</v>
      </c>
      <c r="E16" s="3156">
        <f t="shared" si="6"/>
        <v>19586.59</v>
      </c>
      <c r="F16" s="3172"/>
      <c r="G16" s="3173">
        <f t="shared" si="7"/>
        <v>42594.51</v>
      </c>
      <c r="H16" s="3159">
        <f t="shared" si="8"/>
        <v>42594.51</v>
      </c>
      <c r="I16" s="3196">
        <f>地块信息表!K10</f>
        <v>42594.51</v>
      </c>
      <c r="J16" s="3196"/>
      <c r="K16" s="3196"/>
      <c r="L16" s="3196"/>
      <c r="M16" s="3196"/>
      <c r="N16" s="3197"/>
      <c r="O16" s="3197"/>
      <c r="P16" s="3197"/>
      <c r="Q16" s="3197"/>
      <c r="R16" s="3197"/>
      <c r="S16" s="3197"/>
      <c r="T16" s="3197"/>
      <c r="U16" s="3197"/>
      <c r="V16" s="3197"/>
      <c r="W16" s="3197"/>
      <c r="X16" s="3197"/>
      <c r="Y16" s="3197"/>
      <c r="Z16" s="3197"/>
      <c r="AA16" s="3197"/>
      <c r="AB16" s="3197"/>
      <c r="AC16" s="3156">
        <f t="shared" si="9"/>
        <v>0</v>
      </c>
      <c r="AD16" s="3211">
        <f>地块信息表!I10</f>
        <v>0</v>
      </c>
      <c r="AE16" s="3211"/>
      <c r="AF16" s="3211"/>
      <c r="AG16" s="3211"/>
      <c r="AH16" s="3211"/>
      <c r="AI16" s="3211"/>
      <c r="AJ16" s="3211"/>
      <c r="AK16" s="3211"/>
      <c r="AL16" s="3211"/>
      <c r="AM16" s="3211"/>
      <c r="AN16" s="3211"/>
      <c r="AO16" s="3211"/>
      <c r="AP16" s="3211"/>
      <c r="AQ16" s="3211"/>
      <c r="AR16" s="3211"/>
      <c r="AS16" s="3211"/>
      <c r="AT16" s="3230"/>
      <c r="AU16" s="3231"/>
      <c r="AV16" s="128">
        <f t="shared" si="10"/>
        <v>0</v>
      </c>
      <c r="AW16" s="128">
        <f t="shared" si="10"/>
        <v>0</v>
      </c>
      <c r="AX16" s="128" t="str">
        <f t="shared" si="10"/>
        <v>E07-06-06</v>
      </c>
      <c r="AY16" s="2566">
        <f t="shared" si="11"/>
        <v>19586.59</v>
      </c>
      <c r="AZ16" s="3156">
        <f t="shared" si="12"/>
        <v>42594.51</v>
      </c>
      <c r="BA16" s="3156">
        <f t="shared" si="13"/>
        <v>42594.51</v>
      </c>
      <c r="BB16" s="3156">
        <f t="shared" si="14"/>
        <v>42594.51</v>
      </c>
      <c r="BC16" s="3156">
        <f t="shared" si="15"/>
        <v>0</v>
      </c>
      <c r="BD16" s="3156">
        <f t="shared" si="16"/>
        <v>0</v>
      </c>
      <c r="BE16" s="3156">
        <f t="shared" si="17"/>
        <v>0</v>
      </c>
      <c r="BF16" s="3156">
        <f t="shared" si="18"/>
        <v>0</v>
      </c>
      <c r="BG16" s="3156">
        <f t="shared" si="19"/>
        <v>0</v>
      </c>
      <c r="BH16" s="3156">
        <f t="shared" si="20"/>
        <v>0</v>
      </c>
      <c r="BI16" s="3156">
        <f t="shared" si="21"/>
        <v>0</v>
      </c>
      <c r="BJ16" s="3156">
        <f t="shared" si="22"/>
        <v>0</v>
      </c>
      <c r="BK16" s="3156">
        <f t="shared" si="23"/>
        <v>0</v>
      </c>
      <c r="BL16" s="3156">
        <f t="shared" si="24"/>
        <v>0</v>
      </c>
      <c r="BM16" s="3156">
        <f t="shared" si="25"/>
        <v>0</v>
      </c>
      <c r="BN16" s="3156">
        <f t="shared" si="26"/>
        <v>0</v>
      </c>
      <c r="BO16" s="3156">
        <f t="shared" si="27"/>
        <v>0</v>
      </c>
      <c r="BP16" s="3156">
        <f t="shared" si="28"/>
        <v>0</v>
      </c>
      <c r="BQ16" s="3156">
        <f t="shared" si="29"/>
        <v>0</v>
      </c>
      <c r="BR16" s="3156">
        <f t="shared" si="30"/>
        <v>0</v>
      </c>
      <c r="BS16" s="3156">
        <f t="shared" si="31"/>
        <v>0</v>
      </c>
      <c r="BT16" s="3247">
        <f t="shared" si="32"/>
        <v>0</v>
      </c>
    </row>
    <row r="17" s="185" customFormat="1" ht="13.5" spans="1:72">
      <c r="A17" s="3169"/>
      <c r="B17" s="3169"/>
      <c r="C17" s="3170" t="str">
        <f>地块信息表!C11</f>
        <v>E07-06-07</v>
      </c>
      <c r="D17" s="3171" t="s">
        <v>475</v>
      </c>
      <c r="E17" s="3156">
        <f t="shared" si="6"/>
        <v>0</v>
      </c>
      <c r="F17" s="3172"/>
      <c r="G17" s="3173">
        <f t="shared" si="7"/>
        <v>0</v>
      </c>
      <c r="H17" s="3159">
        <f t="shared" si="8"/>
        <v>0</v>
      </c>
      <c r="I17" s="3196"/>
      <c r="J17" s="3196"/>
      <c r="K17" s="3196"/>
      <c r="L17" s="3196"/>
      <c r="M17" s="3196"/>
      <c r="N17" s="3197"/>
      <c r="O17" s="3197"/>
      <c r="P17" s="3197"/>
      <c r="Q17" s="3197"/>
      <c r="R17" s="3197"/>
      <c r="S17" s="3197"/>
      <c r="T17" s="3197"/>
      <c r="U17" s="3197"/>
      <c r="V17" s="3197"/>
      <c r="W17" s="3197"/>
      <c r="X17" s="3197"/>
      <c r="Y17" s="3197"/>
      <c r="Z17" s="3197"/>
      <c r="AA17" s="3197"/>
      <c r="AB17" s="3197"/>
      <c r="AC17" s="3156">
        <f t="shared" si="9"/>
        <v>0</v>
      </c>
      <c r="AD17" s="3211">
        <f>地块信息表!I11</f>
        <v>0</v>
      </c>
      <c r="AE17" s="3211"/>
      <c r="AF17" s="3211"/>
      <c r="AG17" s="3211"/>
      <c r="AH17" s="3211"/>
      <c r="AI17" s="3211"/>
      <c r="AJ17" s="3211"/>
      <c r="AK17" s="3211"/>
      <c r="AL17" s="3211"/>
      <c r="AM17" s="3211"/>
      <c r="AN17" s="3211"/>
      <c r="AO17" s="3211"/>
      <c r="AP17" s="3211"/>
      <c r="AQ17" s="3211"/>
      <c r="AR17" s="3211"/>
      <c r="AS17" s="3211"/>
      <c r="AT17" s="3230"/>
      <c r="AU17" s="3231"/>
      <c r="AV17" s="128">
        <f t="shared" si="10"/>
        <v>0</v>
      </c>
      <c r="AW17" s="128">
        <f t="shared" si="10"/>
        <v>0</v>
      </c>
      <c r="AX17" s="128" t="str">
        <f t="shared" si="10"/>
        <v>E07-06-07</v>
      </c>
      <c r="AY17" s="2566">
        <f t="shared" si="11"/>
        <v>0</v>
      </c>
      <c r="AZ17" s="3156">
        <f t="shared" si="12"/>
        <v>0</v>
      </c>
      <c r="BA17" s="3156">
        <f t="shared" si="13"/>
        <v>0</v>
      </c>
      <c r="BB17" s="3156">
        <f t="shared" si="14"/>
        <v>0</v>
      </c>
      <c r="BC17" s="3156">
        <f t="shared" si="15"/>
        <v>0</v>
      </c>
      <c r="BD17" s="3156">
        <f t="shared" si="16"/>
        <v>0</v>
      </c>
      <c r="BE17" s="3156">
        <f t="shared" si="17"/>
        <v>0</v>
      </c>
      <c r="BF17" s="3156">
        <f t="shared" si="18"/>
        <v>0</v>
      </c>
      <c r="BG17" s="3156">
        <f t="shared" si="19"/>
        <v>0</v>
      </c>
      <c r="BH17" s="3156">
        <f t="shared" si="20"/>
        <v>0</v>
      </c>
      <c r="BI17" s="3156">
        <f t="shared" si="21"/>
        <v>0</v>
      </c>
      <c r="BJ17" s="3156">
        <f t="shared" si="22"/>
        <v>0</v>
      </c>
      <c r="BK17" s="3156">
        <f t="shared" si="23"/>
        <v>0</v>
      </c>
      <c r="BL17" s="3156">
        <f t="shared" si="24"/>
        <v>0</v>
      </c>
      <c r="BM17" s="3156">
        <f t="shared" si="25"/>
        <v>0</v>
      </c>
      <c r="BN17" s="3156">
        <f t="shared" si="26"/>
        <v>0</v>
      </c>
      <c r="BO17" s="3156">
        <f t="shared" si="27"/>
        <v>0</v>
      </c>
      <c r="BP17" s="3156">
        <f t="shared" si="28"/>
        <v>0</v>
      </c>
      <c r="BQ17" s="3156">
        <f t="shared" si="29"/>
        <v>0</v>
      </c>
      <c r="BR17" s="3156">
        <f t="shared" si="30"/>
        <v>0</v>
      </c>
      <c r="BS17" s="3156">
        <f t="shared" si="31"/>
        <v>0</v>
      </c>
      <c r="BT17" s="3247">
        <f t="shared" si="32"/>
        <v>0</v>
      </c>
    </row>
    <row r="18" spans="1:72">
      <c r="A18" s="489"/>
      <c r="B18" s="356"/>
      <c r="C18" s="3170" t="str">
        <f>地块信息表!C12</f>
        <v>E07-06-11</v>
      </c>
      <c r="D18" s="3171" t="s">
        <v>508</v>
      </c>
      <c r="E18" s="3174">
        <f t="shared" si="6"/>
        <v>12212.39</v>
      </c>
      <c r="F18" s="3175"/>
      <c r="G18" s="3176">
        <f t="shared" si="7"/>
        <v>26558</v>
      </c>
      <c r="H18" s="3177">
        <f t="shared" si="8"/>
        <v>26558</v>
      </c>
      <c r="I18" s="3196">
        <f>地块信息表!K12</f>
        <v>26558</v>
      </c>
      <c r="J18" s="3198"/>
      <c r="K18" s="3199"/>
      <c r="L18" s="3198"/>
      <c r="M18" s="3198"/>
      <c r="N18" s="3200"/>
      <c r="O18" s="3200"/>
      <c r="P18" s="3200"/>
      <c r="Q18" s="3200"/>
      <c r="R18" s="3200"/>
      <c r="S18" s="3200"/>
      <c r="T18" s="3200"/>
      <c r="U18" s="3200"/>
      <c r="V18" s="3200"/>
      <c r="W18" s="3200"/>
      <c r="X18" s="3200"/>
      <c r="Y18" s="3200"/>
      <c r="Z18" s="3200"/>
      <c r="AA18" s="3200"/>
      <c r="AB18" s="3200"/>
      <c r="AC18" s="3174">
        <f t="shared" si="9"/>
        <v>0</v>
      </c>
      <c r="AD18" s="3211">
        <f>地块信息表!I12</f>
        <v>0</v>
      </c>
      <c r="AE18" s="3212"/>
      <c r="AF18" s="3180"/>
      <c r="AG18" s="3212"/>
      <c r="AH18" s="3212"/>
      <c r="AI18" s="3212"/>
      <c r="AJ18" s="3212"/>
      <c r="AK18" s="3212"/>
      <c r="AL18" s="3211"/>
      <c r="AM18" s="3211"/>
      <c r="AN18" s="3211"/>
      <c r="AO18" s="3212"/>
      <c r="AP18" s="3212"/>
      <c r="AQ18" s="3212"/>
      <c r="AR18" s="3212"/>
      <c r="AS18" s="3212"/>
      <c r="AT18" s="3175"/>
      <c r="AU18" s="3232"/>
      <c r="AV18" s="466">
        <f t="shared" si="10"/>
        <v>0</v>
      </c>
      <c r="AW18" s="466">
        <f t="shared" si="10"/>
        <v>0</v>
      </c>
      <c r="AX18" s="466" t="str">
        <f t="shared" si="10"/>
        <v>E07-06-11</v>
      </c>
      <c r="AY18" s="385">
        <f t="shared" si="11"/>
        <v>12212.39</v>
      </c>
      <c r="AZ18" s="3174">
        <f t="shared" si="12"/>
        <v>26558</v>
      </c>
      <c r="BA18" s="3174">
        <f t="shared" si="13"/>
        <v>26558</v>
      </c>
      <c r="BB18" s="3174">
        <f t="shared" si="14"/>
        <v>26558</v>
      </c>
      <c r="BC18" s="3174">
        <f t="shared" si="15"/>
        <v>0</v>
      </c>
      <c r="BD18" s="3174">
        <f t="shared" si="16"/>
        <v>0</v>
      </c>
      <c r="BE18" s="3174">
        <f t="shared" si="17"/>
        <v>0</v>
      </c>
      <c r="BF18" s="3174">
        <f t="shared" si="18"/>
        <v>0</v>
      </c>
      <c r="BG18" s="3174">
        <f t="shared" si="19"/>
        <v>0</v>
      </c>
      <c r="BH18" s="3174">
        <f t="shared" si="20"/>
        <v>0</v>
      </c>
      <c r="BI18" s="3174">
        <f t="shared" si="21"/>
        <v>0</v>
      </c>
      <c r="BJ18" s="3174">
        <f t="shared" si="22"/>
        <v>0</v>
      </c>
      <c r="BK18" s="3174">
        <f t="shared" si="23"/>
        <v>0</v>
      </c>
      <c r="BL18" s="3174">
        <f t="shared" si="24"/>
        <v>0</v>
      </c>
      <c r="BM18" s="3174">
        <f t="shared" si="25"/>
        <v>0</v>
      </c>
      <c r="BN18" s="3174">
        <f t="shared" si="26"/>
        <v>0</v>
      </c>
      <c r="BO18" s="3174">
        <f t="shared" si="27"/>
        <v>0</v>
      </c>
      <c r="BP18" s="3174">
        <f t="shared" si="28"/>
        <v>0</v>
      </c>
      <c r="BQ18" s="3174">
        <f t="shared" si="29"/>
        <v>0</v>
      </c>
      <c r="BR18" s="3174">
        <f t="shared" si="30"/>
        <v>0</v>
      </c>
      <c r="BS18" s="3174">
        <f t="shared" si="31"/>
        <v>0</v>
      </c>
      <c r="BT18" s="3249">
        <f t="shared" si="32"/>
        <v>0</v>
      </c>
    </row>
    <row r="19" spans="1:72">
      <c r="A19" s="489"/>
      <c r="B19" s="3178"/>
      <c r="C19" s="3170" t="str">
        <f>地块信息表!C13</f>
        <v>E07-06-12</v>
      </c>
      <c r="D19" s="3171" t="s">
        <v>508</v>
      </c>
      <c r="E19" s="3174">
        <f t="shared" si="6"/>
        <v>12685.01</v>
      </c>
      <c r="F19" s="3175"/>
      <c r="G19" s="3176">
        <f t="shared" si="7"/>
        <v>27585.81</v>
      </c>
      <c r="H19" s="3177">
        <f t="shared" si="8"/>
        <v>27585.81</v>
      </c>
      <c r="I19" s="3196">
        <f>地块信息表!K13</f>
        <v>27585.81</v>
      </c>
      <c r="J19" s="3198"/>
      <c r="K19" s="3199"/>
      <c r="L19" s="3198"/>
      <c r="M19" s="3198"/>
      <c r="N19" s="3200"/>
      <c r="O19" s="3200"/>
      <c r="P19" s="3200"/>
      <c r="Q19" s="3200"/>
      <c r="R19" s="3200"/>
      <c r="S19" s="3200"/>
      <c r="T19" s="3200"/>
      <c r="U19" s="3200"/>
      <c r="V19" s="3200"/>
      <c r="W19" s="3200"/>
      <c r="X19" s="3200"/>
      <c r="Y19" s="3200"/>
      <c r="Z19" s="3200"/>
      <c r="AA19" s="3200"/>
      <c r="AB19" s="3200"/>
      <c r="AC19" s="3174">
        <f t="shared" si="9"/>
        <v>0</v>
      </c>
      <c r="AD19" s="3211">
        <f>地块信息表!I13</f>
        <v>0</v>
      </c>
      <c r="AE19" s="3212"/>
      <c r="AF19" s="3180"/>
      <c r="AG19" s="3212"/>
      <c r="AH19" s="3212"/>
      <c r="AI19" s="3212"/>
      <c r="AJ19" s="3212"/>
      <c r="AK19" s="3212"/>
      <c r="AL19" s="3211"/>
      <c r="AM19" s="3211"/>
      <c r="AN19" s="3211"/>
      <c r="AO19" s="3212"/>
      <c r="AP19" s="3212"/>
      <c r="AQ19" s="3212"/>
      <c r="AR19" s="3212"/>
      <c r="AS19" s="3212"/>
      <c r="AT19" s="3175"/>
      <c r="AU19" s="3232"/>
      <c r="AV19" s="466">
        <f t="shared" si="10"/>
        <v>0</v>
      </c>
      <c r="AW19" s="466">
        <f t="shared" si="10"/>
        <v>0</v>
      </c>
      <c r="AX19" s="466" t="str">
        <f t="shared" si="10"/>
        <v>E07-06-12</v>
      </c>
      <c r="AY19" s="385">
        <f t="shared" si="11"/>
        <v>12685.01</v>
      </c>
      <c r="AZ19" s="3174">
        <f t="shared" si="12"/>
        <v>27585.81</v>
      </c>
      <c r="BA19" s="3174">
        <f t="shared" si="13"/>
        <v>27585.81</v>
      </c>
      <c r="BB19" s="3174">
        <f t="shared" si="14"/>
        <v>27585.81</v>
      </c>
      <c r="BC19" s="3174">
        <f t="shared" si="15"/>
        <v>0</v>
      </c>
      <c r="BD19" s="3174">
        <f t="shared" si="16"/>
        <v>0</v>
      </c>
      <c r="BE19" s="3174">
        <f t="shared" si="17"/>
        <v>0</v>
      </c>
      <c r="BF19" s="3174">
        <f t="shared" si="18"/>
        <v>0</v>
      </c>
      <c r="BG19" s="3174">
        <f t="shared" si="19"/>
        <v>0</v>
      </c>
      <c r="BH19" s="3174">
        <f t="shared" si="20"/>
        <v>0</v>
      </c>
      <c r="BI19" s="3174">
        <f t="shared" si="21"/>
        <v>0</v>
      </c>
      <c r="BJ19" s="3174">
        <f t="shared" si="22"/>
        <v>0</v>
      </c>
      <c r="BK19" s="3174">
        <f t="shared" si="23"/>
        <v>0</v>
      </c>
      <c r="BL19" s="3174">
        <f t="shared" si="24"/>
        <v>0</v>
      </c>
      <c r="BM19" s="3174">
        <f t="shared" si="25"/>
        <v>0</v>
      </c>
      <c r="BN19" s="3174">
        <f t="shared" si="26"/>
        <v>0</v>
      </c>
      <c r="BO19" s="3174">
        <f t="shared" si="27"/>
        <v>0</v>
      </c>
      <c r="BP19" s="3174">
        <f t="shared" si="28"/>
        <v>0</v>
      </c>
      <c r="BQ19" s="3174">
        <f t="shared" si="29"/>
        <v>0</v>
      </c>
      <c r="BR19" s="3174">
        <f t="shared" si="30"/>
        <v>0</v>
      </c>
      <c r="BS19" s="3174">
        <f t="shared" si="31"/>
        <v>0</v>
      </c>
      <c r="BT19" s="3249">
        <f t="shared" si="32"/>
        <v>0</v>
      </c>
    </row>
    <row r="20" spans="1:72">
      <c r="A20" s="489"/>
      <c r="B20" s="3178"/>
      <c r="C20" s="3170" t="str">
        <f>地块信息表!C14</f>
        <v>E07-06-13</v>
      </c>
      <c r="D20" s="3171" t="s">
        <v>508</v>
      </c>
      <c r="E20" s="3174">
        <f t="shared" si="6"/>
        <v>11651.16</v>
      </c>
      <c r="F20" s="3175"/>
      <c r="G20" s="3176">
        <f t="shared" si="7"/>
        <v>25337.5</v>
      </c>
      <c r="H20" s="3177">
        <f t="shared" si="8"/>
        <v>20137.5</v>
      </c>
      <c r="I20" s="3196"/>
      <c r="J20" s="3198"/>
      <c r="K20" s="3196">
        <f>地块信息表!K14</f>
        <v>20137.5</v>
      </c>
      <c r="L20" s="3198"/>
      <c r="M20" s="3198"/>
      <c r="N20" s="3200"/>
      <c r="O20" s="3200"/>
      <c r="P20" s="3200"/>
      <c r="Q20" s="3200"/>
      <c r="R20" s="3200"/>
      <c r="S20" s="3200"/>
      <c r="T20" s="3200"/>
      <c r="U20" s="3200"/>
      <c r="V20" s="3200"/>
      <c r="W20" s="3200"/>
      <c r="X20" s="3200"/>
      <c r="Y20" s="3200"/>
      <c r="Z20" s="3200"/>
      <c r="AA20" s="3200"/>
      <c r="AB20" s="3200"/>
      <c r="AC20" s="3174">
        <f t="shared" si="9"/>
        <v>5200</v>
      </c>
      <c r="AD20" s="3211">
        <f>地块信息表!I14</f>
        <v>5200</v>
      </c>
      <c r="AE20" s="3212"/>
      <c r="AF20" s="3180"/>
      <c r="AG20" s="3212"/>
      <c r="AH20" s="3212"/>
      <c r="AI20" s="3212"/>
      <c r="AJ20" s="3212"/>
      <c r="AK20" s="3212"/>
      <c r="AL20" s="3211"/>
      <c r="AM20" s="3211"/>
      <c r="AN20" s="3211"/>
      <c r="AO20" s="3212"/>
      <c r="AP20" s="3212"/>
      <c r="AQ20" s="3212"/>
      <c r="AR20" s="3212"/>
      <c r="AS20" s="3212"/>
      <c r="AT20" s="3175"/>
      <c r="AU20" s="3232"/>
      <c r="AV20" s="466">
        <f t="shared" si="10"/>
        <v>0</v>
      </c>
      <c r="AW20" s="466">
        <f t="shared" si="10"/>
        <v>0</v>
      </c>
      <c r="AX20" s="466" t="str">
        <f t="shared" si="10"/>
        <v>E07-06-13</v>
      </c>
      <c r="AY20" s="385">
        <f t="shared" si="11"/>
        <v>11651.16</v>
      </c>
      <c r="AZ20" s="3174">
        <f t="shared" si="12"/>
        <v>25337.5</v>
      </c>
      <c r="BA20" s="3174">
        <f t="shared" si="13"/>
        <v>20137.5</v>
      </c>
      <c r="BB20" s="3174">
        <f t="shared" si="14"/>
        <v>0</v>
      </c>
      <c r="BC20" s="3174">
        <f t="shared" si="15"/>
        <v>20137.5</v>
      </c>
      <c r="BD20" s="3174">
        <f t="shared" si="16"/>
        <v>0</v>
      </c>
      <c r="BE20" s="3174">
        <f t="shared" si="17"/>
        <v>0</v>
      </c>
      <c r="BF20" s="3174">
        <f t="shared" si="18"/>
        <v>0</v>
      </c>
      <c r="BG20" s="3174">
        <f t="shared" si="19"/>
        <v>0</v>
      </c>
      <c r="BH20" s="3174">
        <f t="shared" si="20"/>
        <v>0</v>
      </c>
      <c r="BI20" s="3174">
        <f t="shared" si="21"/>
        <v>0</v>
      </c>
      <c r="BJ20" s="3174">
        <f t="shared" si="22"/>
        <v>0</v>
      </c>
      <c r="BK20" s="3174">
        <f t="shared" si="23"/>
        <v>0</v>
      </c>
      <c r="BL20" s="3174">
        <f t="shared" si="24"/>
        <v>5200</v>
      </c>
      <c r="BM20" s="3174">
        <f t="shared" si="25"/>
        <v>5200</v>
      </c>
      <c r="BN20" s="3174">
        <f t="shared" si="26"/>
        <v>0</v>
      </c>
      <c r="BO20" s="3174">
        <f t="shared" si="27"/>
        <v>0</v>
      </c>
      <c r="BP20" s="3174">
        <f t="shared" si="28"/>
        <v>0</v>
      </c>
      <c r="BQ20" s="3174">
        <f t="shared" si="29"/>
        <v>0</v>
      </c>
      <c r="BR20" s="3174">
        <f t="shared" si="30"/>
        <v>0</v>
      </c>
      <c r="BS20" s="3174">
        <f t="shared" si="31"/>
        <v>0</v>
      </c>
      <c r="BT20" s="3249">
        <f t="shared" si="32"/>
        <v>0</v>
      </c>
    </row>
    <row r="21" spans="1:72">
      <c r="A21" s="489"/>
      <c r="B21" s="3179"/>
      <c r="C21" s="3170" t="str">
        <f>地块信息表!C15</f>
        <v>E07-06-14</v>
      </c>
      <c r="D21" s="3171" t="s">
        <v>475</v>
      </c>
      <c r="E21" s="3174">
        <f t="shared" ref="E21:E112" si="33">IF($C$3="是",ROUND($A$3*G21/$B$3,2),ROUND($A$3*(G21-AT21)/$B$3,2))</f>
        <v>0</v>
      </c>
      <c r="F21" s="3175"/>
      <c r="G21" s="3176">
        <f t="shared" ref="G21:G109" si="34">H21+AC21+AT21</f>
        <v>0</v>
      </c>
      <c r="H21" s="3177">
        <f t="shared" ref="H21:H109" si="35">SUMIF(I$12:AB$12,"总值",I21:AB21)</f>
        <v>0</v>
      </c>
      <c r="I21" s="3196"/>
      <c r="J21" s="3198"/>
      <c r="K21" s="3199"/>
      <c r="L21" s="3198"/>
      <c r="M21" s="3198"/>
      <c r="N21" s="3200"/>
      <c r="O21" s="3200"/>
      <c r="P21" s="3200"/>
      <c r="Q21" s="3200"/>
      <c r="R21" s="3200"/>
      <c r="S21" s="3200"/>
      <c r="T21" s="3200"/>
      <c r="U21" s="3200"/>
      <c r="V21" s="3200"/>
      <c r="W21" s="3200"/>
      <c r="X21" s="3200"/>
      <c r="Y21" s="3200"/>
      <c r="Z21" s="3200"/>
      <c r="AA21" s="3200"/>
      <c r="AB21" s="3200"/>
      <c r="AC21" s="3174">
        <f t="shared" ref="AC21:AC109" si="36">SUMIF(AD$12:AS$12,"总值",AD21:AS21)</f>
        <v>0</v>
      </c>
      <c r="AD21" s="3212"/>
      <c r="AE21" s="3212"/>
      <c r="AF21" s="3213"/>
      <c r="AG21" s="3212"/>
      <c r="AH21" s="3212"/>
      <c r="AI21" s="3212"/>
      <c r="AJ21" s="3212"/>
      <c r="AK21" s="3212"/>
      <c r="AL21" s="3211"/>
      <c r="AM21" s="3211"/>
      <c r="AN21" s="3211"/>
      <c r="AO21" s="3212"/>
      <c r="AP21" s="3212"/>
      <c r="AQ21" s="3212"/>
      <c r="AR21" s="3212"/>
      <c r="AS21" s="3212"/>
      <c r="AT21" s="3175"/>
      <c r="AU21" s="3232"/>
      <c r="AV21" s="466">
        <f t="shared" ref="AV21:AV112" si="37">A21</f>
        <v>0</v>
      </c>
      <c r="AW21" s="466">
        <f t="shared" ref="AW21:AW112" si="38">B21</f>
        <v>0</v>
      </c>
      <c r="AX21" s="466" t="str">
        <f t="shared" ref="AX21:AX112" si="39">C21</f>
        <v>E07-06-14</v>
      </c>
      <c r="AY21" s="385">
        <f t="shared" ref="AY21:AY109" si="40">ROUND($AY$6*AZ21/$AZ$5,2)</f>
        <v>0</v>
      </c>
      <c r="AZ21" s="3174">
        <f t="shared" ref="AZ21:AZ109" si="41">BA21+BL21</f>
        <v>0</v>
      </c>
      <c r="BA21" s="3174">
        <f t="shared" ref="BA21:BA109" si="42">SUM(BB21:BK21)</f>
        <v>0</v>
      </c>
      <c r="BB21" s="3174">
        <f t="shared" ref="BB21:BB109" si="43">IF($D21="是",I21-J21,0)</f>
        <v>0</v>
      </c>
      <c r="BC21" s="3174">
        <f t="shared" ref="BC21:BC109" si="44">IF($D21="是",K21-L21,0)</f>
        <v>0</v>
      </c>
      <c r="BD21" s="3174">
        <f t="shared" ref="BD21:BD109" si="45">IF($D21="是",M21-N21,0)</f>
        <v>0</v>
      </c>
      <c r="BE21" s="3174">
        <f t="shared" ref="BE21:BE109" si="46">IF($D21="是",O21-P21,0)</f>
        <v>0</v>
      </c>
      <c r="BF21" s="3174">
        <f t="shared" ref="BF21:BF109" si="47">IF($D21="是",Q21-R21,0)</f>
        <v>0</v>
      </c>
      <c r="BG21" s="3174">
        <f t="shared" ref="BG21:BG109" si="48">IF($D21="是",S21-T21,0)</f>
        <v>0</v>
      </c>
      <c r="BH21" s="3174">
        <f t="shared" ref="BH21:BH109" si="49">IF($D21="是",U21-V21,0)</f>
        <v>0</v>
      </c>
      <c r="BI21" s="3174">
        <f t="shared" ref="BI21:BI109" si="50">IF($D21="是",W21-X21,0)</f>
        <v>0</v>
      </c>
      <c r="BJ21" s="3174">
        <f t="shared" ref="BJ21:BJ109" si="51">IF($D21="是",Y21-Z21,0)</f>
        <v>0</v>
      </c>
      <c r="BK21" s="3174">
        <f t="shared" ref="BK21:BK109" si="52">IF($D21="是",AA21-AB21,0)</f>
        <v>0</v>
      </c>
      <c r="BL21" s="3174">
        <f t="shared" ref="BL21:BL109" si="53">SUM(BM21:BT21)</f>
        <v>0</v>
      </c>
      <c r="BM21" s="3174">
        <f t="shared" ref="BM21:BM109" si="54">IF($D21="是",AD21-AE21,0)</f>
        <v>0</v>
      </c>
      <c r="BN21" s="3174">
        <f t="shared" ref="BN21:BN109" si="55">IF($D21="是",AF21-AG21,0)</f>
        <v>0</v>
      </c>
      <c r="BO21" s="3174">
        <f t="shared" ref="BO21:BO109" si="56">IF($D21="是",AH21-AI21,0)</f>
        <v>0</v>
      </c>
      <c r="BP21" s="3174">
        <f t="shared" ref="BP21:BP109" si="57">IF($D21="是",AJ21-AK21,0)</f>
        <v>0</v>
      </c>
      <c r="BQ21" s="3174">
        <f t="shared" ref="BQ21:BQ109" si="58">IF($D21="是",AL21-AM21,0)</f>
        <v>0</v>
      </c>
      <c r="BR21" s="3174">
        <f t="shared" ref="BR21:BR109" si="59">IF($D21="是",AN21-AO21,0)</f>
        <v>0</v>
      </c>
      <c r="BS21" s="3174">
        <f t="shared" ref="BS21:BS109" si="60">IF($D21="是",AP21-AQ21,0)</f>
        <v>0</v>
      </c>
      <c r="BT21" s="3249">
        <f t="shared" ref="BT21:BT109" si="61">IF($D21="是",AR21-AS21,0)</f>
        <v>0</v>
      </c>
    </row>
    <row r="22" spans="1:72">
      <c r="A22" s="489"/>
      <c r="B22" s="3179"/>
      <c r="C22" s="3170"/>
      <c r="D22" s="3171"/>
      <c r="E22" s="3174">
        <f t="shared" si="33"/>
        <v>0</v>
      </c>
      <c r="F22" s="3175"/>
      <c r="G22" s="3176">
        <f t="shared" si="34"/>
        <v>0</v>
      </c>
      <c r="H22" s="3177">
        <f t="shared" si="35"/>
        <v>0</v>
      </c>
      <c r="I22" s="3199"/>
      <c r="J22" s="3198"/>
      <c r="K22" s="3199"/>
      <c r="L22" s="3198"/>
      <c r="M22" s="3201"/>
      <c r="N22" s="3200"/>
      <c r="O22" s="3200"/>
      <c r="P22" s="3200"/>
      <c r="Q22" s="3200"/>
      <c r="R22" s="3200"/>
      <c r="S22" s="3200"/>
      <c r="T22" s="3200"/>
      <c r="U22" s="3200"/>
      <c r="V22" s="3200"/>
      <c r="W22" s="3200"/>
      <c r="X22" s="3200"/>
      <c r="Y22" s="3200"/>
      <c r="Z22" s="3200"/>
      <c r="AA22" s="3200"/>
      <c r="AB22" s="3200"/>
      <c r="AC22" s="3174">
        <f t="shared" si="36"/>
        <v>0</v>
      </c>
      <c r="AD22" s="3202"/>
      <c r="AE22" s="3212"/>
      <c r="AF22" s="3213"/>
      <c r="AG22" s="3212"/>
      <c r="AH22" s="3212"/>
      <c r="AI22" s="3212"/>
      <c r="AJ22" s="3212"/>
      <c r="AK22" s="3212"/>
      <c r="AL22" s="3211"/>
      <c r="AM22" s="3211"/>
      <c r="AN22" s="3211"/>
      <c r="AO22" s="3212"/>
      <c r="AP22" s="3212"/>
      <c r="AQ22" s="3212"/>
      <c r="AR22" s="3212"/>
      <c r="AS22" s="3212"/>
      <c r="AT22" s="3175"/>
      <c r="AU22" s="3232"/>
      <c r="AV22" s="466">
        <f t="shared" si="37"/>
        <v>0</v>
      </c>
      <c r="AW22" s="466">
        <f t="shared" si="38"/>
        <v>0</v>
      </c>
      <c r="AX22" s="466">
        <f t="shared" si="39"/>
        <v>0</v>
      </c>
      <c r="AY22" s="385">
        <f t="shared" si="40"/>
        <v>0</v>
      </c>
      <c r="AZ22" s="3174">
        <f t="shared" si="41"/>
        <v>0</v>
      </c>
      <c r="BA22" s="3174">
        <f t="shared" si="42"/>
        <v>0</v>
      </c>
      <c r="BB22" s="3174">
        <f t="shared" si="43"/>
        <v>0</v>
      </c>
      <c r="BC22" s="3174">
        <f t="shared" si="44"/>
        <v>0</v>
      </c>
      <c r="BD22" s="3174">
        <f t="shared" si="45"/>
        <v>0</v>
      </c>
      <c r="BE22" s="3174">
        <f t="shared" si="46"/>
        <v>0</v>
      </c>
      <c r="BF22" s="3174">
        <f t="shared" si="47"/>
        <v>0</v>
      </c>
      <c r="BG22" s="3174">
        <f t="shared" si="48"/>
        <v>0</v>
      </c>
      <c r="BH22" s="3174">
        <f t="shared" si="49"/>
        <v>0</v>
      </c>
      <c r="BI22" s="3174">
        <f t="shared" si="50"/>
        <v>0</v>
      </c>
      <c r="BJ22" s="3174">
        <f t="shared" si="51"/>
        <v>0</v>
      </c>
      <c r="BK22" s="3174">
        <f t="shared" si="52"/>
        <v>0</v>
      </c>
      <c r="BL22" s="3174">
        <f t="shared" si="53"/>
        <v>0</v>
      </c>
      <c r="BM22" s="3174">
        <f t="shared" si="54"/>
        <v>0</v>
      </c>
      <c r="BN22" s="3174">
        <f t="shared" si="55"/>
        <v>0</v>
      </c>
      <c r="BO22" s="3174">
        <f t="shared" si="56"/>
        <v>0</v>
      </c>
      <c r="BP22" s="3174">
        <f t="shared" si="57"/>
        <v>0</v>
      </c>
      <c r="BQ22" s="3174">
        <f t="shared" si="58"/>
        <v>0</v>
      </c>
      <c r="BR22" s="3174">
        <f t="shared" si="59"/>
        <v>0</v>
      </c>
      <c r="BS22" s="3174">
        <f t="shared" si="60"/>
        <v>0</v>
      </c>
      <c r="BT22" s="3249">
        <f t="shared" si="61"/>
        <v>0</v>
      </c>
    </row>
    <row r="23" spans="1:72">
      <c r="A23" s="489"/>
      <c r="B23" s="3179"/>
      <c r="C23" s="3170"/>
      <c r="D23" s="3171"/>
      <c r="E23" s="3174">
        <f t="shared" si="33"/>
        <v>0</v>
      </c>
      <c r="F23" s="3175"/>
      <c r="G23" s="3176">
        <f t="shared" si="34"/>
        <v>0</v>
      </c>
      <c r="H23" s="3177">
        <f t="shared" si="35"/>
        <v>0</v>
      </c>
      <c r="I23" s="3199"/>
      <c r="J23" s="3198"/>
      <c r="K23" s="3199"/>
      <c r="L23" s="3198"/>
      <c r="M23" s="3201"/>
      <c r="N23" s="3200"/>
      <c r="O23" s="3200"/>
      <c r="P23" s="3200"/>
      <c r="Q23" s="3200"/>
      <c r="R23" s="3200"/>
      <c r="S23" s="3200"/>
      <c r="T23" s="3200"/>
      <c r="U23" s="3200"/>
      <c r="V23" s="3200"/>
      <c r="W23" s="3200"/>
      <c r="X23" s="3200"/>
      <c r="Y23" s="3200"/>
      <c r="Z23" s="3200"/>
      <c r="AA23" s="3200"/>
      <c r="AB23" s="3200"/>
      <c r="AC23" s="3174">
        <f t="shared" si="36"/>
        <v>0</v>
      </c>
      <c r="AD23" s="3212"/>
      <c r="AE23" s="3212"/>
      <c r="AF23" s="3213"/>
      <c r="AG23" s="3212"/>
      <c r="AH23" s="3212"/>
      <c r="AI23" s="3212"/>
      <c r="AJ23" s="3212"/>
      <c r="AK23" s="3212"/>
      <c r="AL23" s="3211"/>
      <c r="AM23" s="3211"/>
      <c r="AN23" s="3211"/>
      <c r="AO23" s="3212"/>
      <c r="AP23" s="3212"/>
      <c r="AQ23" s="3212"/>
      <c r="AR23" s="3212"/>
      <c r="AS23" s="3212"/>
      <c r="AT23" s="3175"/>
      <c r="AU23" s="3232"/>
      <c r="AV23" s="466">
        <f t="shared" si="37"/>
        <v>0</v>
      </c>
      <c r="AW23" s="466">
        <f t="shared" si="38"/>
        <v>0</v>
      </c>
      <c r="AX23" s="466">
        <f t="shared" si="39"/>
        <v>0</v>
      </c>
      <c r="AY23" s="385">
        <f t="shared" si="40"/>
        <v>0</v>
      </c>
      <c r="AZ23" s="3174">
        <f t="shared" si="41"/>
        <v>0</v>
      </c>
      <c r="BA23" s="3174">
        <f t="shared" si="42"/>
        <v>0</v>
      </c>
      <c r="BB23" s="3174">
        <f t="shared" si="43"/>
        <v>0</v>
      </c>
      <c r="BC23" s="3174">
        <f t="shared" si="44"/>
        <v>0</v>
      </c>
      <c r="BD23" s="3174">
        <f t="shared" si="45"/>
        <v>0</v>
      </c>
      <c r="BE23" s="3174">
        <f t="shared" si="46"/>
        <v>0</v>
      </c>
      <c r="BF23" s="3174">
        <f t="shared" si="47"/>
        <v>0</v>
      </c>
      <c r="BG23" s="3174">
        <f t="shared" si="48"/>
        <v>0</v>
      </c>
      <c r="BH23" s="3174">
        <f t="shared" si="49"/>
        <v>0</v>
      </c>
      <c r="BI23" s="3174">
        <f t="shared" si="50"/>
        <v>0</v>
      </c>
      <c r="BJ23" s="3174">
        <f t="shared" si="51"/>
        <v>0</v>
      </c>
      <c r="BK23" s="3174">
        <f t="shared" si="52"/>
        <v>0</v>
      </c>
      <c r="BL23" s="3174">
        <f t="shared" si="53"/>
        <v>0</v>
      </c>
      <c r="BM23" s="3174">
        <f t="shared" si="54"/>
        <v>0</v>
      </c>
      <c r="BN23" s="3174">
        <f t="shared" si="55"/>
        <v>0</v>
      </c>
      <c r="BO23" s="3174">
        <f t="shared" si="56"/>
        <v>0</v>
      </c>
      <c r="BP23" s="3174">
        <f t="shared" si="57"/>
        <v>0</v>
      </c>
      <c r="BQ23" s="3174">
        <f t="shared" si="58"/>
        <v>0</v>
      </c>
      <c r="BR23" s="3174">
        <f t="shared" si="59"/>
        <v>0</v>
      </c>
      <c r="BS23" s="3174">
        <f t="shared" si="60"/>
        <v>0</v>
      </c>
      <c r="BT23" s="3249">
        <f t="shared" si="61"/>
        <v>0</v>
      </c>
    </row>
    <row r="24" spans="1:72">
      <c r="A24" s="489"/>
      <c r="B24" s="3179"/>
      <c r="C24" s="3170"/>
      <c r="D24" s="3171"/>
      <c r="E24" s="3174">
        <f t="shared" si="33"/>
        <v>0</v>
      </c>
      <c r="F24" s="3175"/>
      <c r="G24" s="3176">
        <f t="shared" si="34"/>
        <v>0</v>
      </c>
      <c r="H24" s="3177">
        <f t="shared" si="35"/>
        <v>0</v>
      </c>
      <c r="I24" s="3199"/>
      <c r="J24" s="3198"/>
      <c r="K24" s="3199"/>
      <c r="L24" s="3198"/>
      <c r="M24" s="3198"/>
      <c r="N24" s="3200"/>
      <c r="O24" s="3202"/>
      <c r="P24" s="3200"/>
      <c r="Q24" s="3200"/>
      <c r="R24" s="3200"/>
      <c r="S24" s="3200"/>
      <c r="T24" s="3200"/>
      <c r="U24" s="3200"/>
      <c r="V24" s="3200"/>
      <c r="W24" s="3200"/>
      <c r="X24" s="3200"/>
      <c r="Y24" s="3200"/>
      <c r="Z24" s="3200"/>
      <c r="AA24" s="3200"/>
      <c r="AB24" s="3200"/>
      <c r="AC24" s="3174">
        <f t="shared" si="36"/>
        <v>0</v>
      </c>
      <c r="AD24" s="3212"/>
      <c r="AE24" s="3212"/>
      <c r="AF24" s="3213"/>
      <c r="AG24" s="3212"/>
      <c r="AH24" s="3212"/>
      <c r="AI24" s="3212"/>
      <c r="AJ24" s="3212"/>
      <c r="AK24" s="3212"/>
      <c r="AL24" s="3211"/>
      <c r="AM24" s="3211"/>
      <c r="AN24" s="3211"/>
      <c r="AO24" s="3212"/>
      <c r="AP24" s="3212"/>
      <c r="AQ24" s="3212"/>
      <c r="AR24" s="3212"/>
      <c r="AS24" s="3212"/>
      <c r="AT24" s="3175"/>
      <c r="AU24" s="3232"/>
      <c r="AV24" s="466">
        <f t="shared" si="37"/>
        <v>0</v>
      </c>
      <c r="AW24" s="466">
        <f t="shared" si="38"/>
        <v>0</v>
      </c>
      <c r="AX24" s="466">
        <f t="shared" si="39"/>
        <v>0</v>
      </c>
      <c r="AY24" s="385">
        <f t="shared" si="40"/>
        <v>0</v>
      </c>
      <c r="AZ24" s="3174">
        <f t="shared" si="41"/>
        <v>0</v>
      </c>
      <c r="BA24" s="3174">
        <f t="shared" si="42"/>
        <v>0</v>
      </c>
      <c r="BB24" s="3174">
        <f t="shared" si="43"/>
        <v>0</v>
      </c>
      <c r="BC24" s="3174">
        <f t="shared" si="44"/>
        <v>0</v>
      </c>
      <c r="BD24" s="3174">
        <f t="shared" si="45"/>
        <v>0</v>
      </c>
      <c r="BE24" s="3174">
        <f t="shared" si="46"/>
        <v>0</v>
      </c>
      <c r="BF24" s="3174">
        <f t="shared" si="47"/>
        <v>0</v>
      </c>
      <c r="BG24" s="3174">
        <f t="shared" si="48"/>
        <v>0</v>
      </c>
      <c r="BH24" s="3174">
        <f t="shared" si="49"/>
        <v>0</v>
      </c>
      <c r="BI24" s="3174">
        <f t="shared" si="50"/>
        <v>0</v>
      </c>
      <c r="BJ24" s="3174">
        <f t="shared" si="51"/>
        <v>0</v>
      </c>
      <c r="BK24" s="3174">
        <f t="shared" si="52"/>
        <v>0</v>
      </c>
      <c r="BL24" s="3174">
        <f t="shared" si="53"/>
        <v>0</v>
      </c>
      <c r="BM24" s="3174">
        <f t="shared" si="54"/>
        <v>0</v>
      </c>
      <c r="BN24" s="3174">
        <f t="shared" si="55"/>
        <v>0</v>
      </c>
      <c r="BO24" s="3174">
        <f t="shared" si="56"/>
        <v>0</v>
      </c>
      <c r="BP24" s="3174">
        <f t="shared" si="57"/>
        <v>0</v>
      </c>
      <c r="BQ24" s="3174">
        <f t="shared" si="58"/>
        <v>0</v>
      </c>
      <c r="BR24" s="3174">
        <f t="shared" si="59"/>
        <v>0</v>
      </c>
      <c r="BS24" s="3174">
        <f t="shared" si="60"/>
        <v>0</v>
      </c>
      <c r="BT24" s="3249">
        <f t="shared" si="61"/>
        <v>0</v>
      </c>
    </row>
    <row r="25" spans="1:72">
      <c r="A25" s="489"/>
      <c r="B25" s="3179"/>
      <c r="C25" s="3180"/>
      <c r="D25" s="3181"/>
      <c r="E25" s="3174">
        <f t="shared" si="33"/>
        <v>0</v>
      </c>
      <c r="F25" s="3175"/>
      <c r="G25" s="3176">
        <f t="shared" si="34"/>
        <v>0</v>
      </c>
      <c r="H25" s="3177">
        <f t="shared" si="35"/>
        <v>0</v>
      </c>
      <c r="I25" s="3180"/>
      <c r="J25" s="3200"/>
      <c r="K25" s="3180"/>
      <c r="L25" s="3200"/>
      <c r="M25" s="3200"/>
      <c r="N25" s="3200"/>
      <c r="O25" s="3200"/>
      <c r="P25" s="3200"/>
      <c r="Q25" s="3200"/>
      <c r="R25" s="3200"/>
      <c r="S25" s="3200"/>
      <c r="T25" s="3200"/>
      <c r="U25" s="3200"/>
      <c r="V25" s="3200"/>
      <c r="W25" s="3200"/>
      <c r="X25" s="3200"/>
      <c r="Y25" s="3200"/>
      <c r="Z25" s="3200"/>
      <c r="AA25" s="3200"/>
      <c r="AB25" s="3200"/>
      <c r="AC25" s="3174">
        <f t="shared" si="36"/>
        <v>0</v>
      </c>
      <c r="AD25" s="3212"/>
      <c r="AE25" s="3212"/>
      <c r="AF25" s="3213"/>
      <c r="AG25" s="3212"/>
      <c r="AH25" s="3212"/>
      <c r="AI25" s="3212"/>
      <c r="AJ25" s="3212"/>
      <c r="AK25" s="3212"/>
      <c r="AL25" s="3212"/>
      <c r="AM25" s="3212"/>
      <c r="AN25" s="3212"/>
      <c r="AO25" s="3212"/>
      <c r="AP25" s="3212"/>
      <c r="AQ25" s="3212"/>
      <c r="AR25" s="3212"/>
      <c r="AS25" s="3212"/>
      <c r="AT25" s="3175"/>
      <c r="AU25" s="3232"/>
      <c r="AV25" s="466">
        <f t="shared" si="37"/>
        <v>0</v>
      </c>
      <c r="AW25" s="466">
        <f t="shared" si="38"/>
        <v>0</v>
      </c>
      <c r="AX25" s="466">
        <f t="shared" si="39"/>
        <v>0</v>
      </c>
      <c r="AY25" s="385">
        <f t="shared" si="40"/>
        <v>0</v>
      </c>
      <c r="AZ25" s="3174">
        <f t="shared" si="41"/>
        <v>0</v>
      </c>
      <c r="BA25" s="3174">
        <f t="shared" si="42"/>
        <v>0</v>
      </c>
      <c r="BB25" s="3174">
        <f t="shared" si="43"/>
        <v>0</v>
      </c>
      <c r="BC25" s="3174">
        <f t="shared" si="44"/>
        <v>0</v>
      </c>
      <c r="BD25" s="3174">
        <f t="shared" si="45"/>
        <v>0</v>
      </c>
      <c r="BE25" s="3174">
        <f t="shared" si="46"/>
        <v>0</v>
      </c>
      <c r="BF25" s="3174">
        <f t="shared" si="47"/>
        <v>0</v>
      </c>
      <c r="BG25" s="3174">
        <f t="shared" si="48"/>
        <v>0</v>
      </c>
      <c r="BH25" s="3174">
        <f t="shared" si="49"/>
        <v>0</v>
      </c>
      <c r="BI25" s="3174">
        <f t="shared" si="50"/>
        <v>0</v>
      </c>
      <c r="BJ25" s="3174">
        <f t="shared" si="51"/>
        <v>0</v>
      </c>
      <c r="BK25" s="3174">
        <f t="shared" si="52"/>
        <v>0</v>
      </c>
      <c r="BL25" s="3174">
        <f t="shared" si="53"/>
        <v>0</v>
      </c>
      <c r="BM25" s="3174">
        <f t="shared" si="54"/>
        <v>0</v>
      </c>
      <c r="BN25" s="3174">
        <f t="shared" si="55"/>
        <v>0</v>
      </c>
      <c r="BO25" s="3174">
        <f t="shared" si="56"/>
        <v>0</v>
      </c>
      <c r="BP25" s="3174">
        <f t="shared" si="57"/>
        <v>0</v>
      </c>
      <c r="BQ25" s="3174">
        <f t="shared" si="58"/>
        <v>0</v>
      </c>
      <c r="BR25" s="3174">
        <f t="shared" si="59"/>
        <v>0</v>
      </c>
      <c r="BS25" s="3174">
        <f t="shared" si="60"/>
        <v>0</v>
      </c>
      <c r="BT25" s="3249">
        <f t="shared" si="61"/>
        <v>0</v>
      </c>
    </row>
    <row r="26" spans="1:72">
      <c r="A26" s="489"/>
      <c r="B26" s="3179"/>
      <c r="C26" s="3180"/>
      <c r="D26" s="3181"/>
      <c r="E26" s="3174">
        <f t="shared" si="33"/>
        <v>0</v>
      </c>
      <c r="F26" s="3175"/>
      <c r="G26" s="3176">
        <f t="shared" si="34"/>
        <v>0</v>
      </c>
      <c r="H26" s="3177">
        <f t="shared" si="35"/>
        <v>0</v>
      </c>
      <c r="I26" s="3180"/>
      <c r="J26" s="3200"/>
      <c r="K26" s="3180"/>
      <c r="L26" s="3200"/>
      <c r="M26" s="3200"/>
      <c r="N26" s="3200"/>
      <c r="O26" s="3200"/>
      <c r="P26" s="3200"/>
      <c r="Q26" s="3200"/>
      <c r="R26" s="3200"/>
      <c r="S26" s="3200"/>
      <c r="T26" s="3200"/>
      <c r="U26" s="3200"/>
      <c r="V26" s="3200"/>
      <c r="W26" s="3200"/>
      <c r="X26" s="3200"/>
      <c r="Y26" s="3200"/>
      <c r="Z26" s="3200"/>
      <c r="AA26" s="3200"/>
      <c r="AB26" s="3200"/>
      <c r="AC26" s="3174">
        <f t="shared" si="36"/>
        <v>0</v>
      </c>
      <c r="AD26" s="3212"/>
      <c r="AE26" s="3212"/>
      <c r="AF26" s="3213"/>
      <c r="AG26" s="3212"/>
      <c r="AH26" s="3212"/>
      <c r="AI26" s="3212"/>
      <c r="AJ26" s="3212"/>
      <c r="AK26" s="3212"/>
      <c r="AL26" s="3212"/>
      <c r="AM26" s="3212"/>
      <c r="AN26" s="3212"/>
      <c r="AO26" s="3212"/>
      <c r="AP26" s="3212"/>
      <c r="AQ26" s="3212"/>
      <c r="AR26" s="3212"/>
      <c r="AS26" s="3212"/>
      <c r="AT26" s="3175"/>
      <c r="AU26" s="3232"/>
      <c r="AV26" s="466">
        <f t="shared" si="37"/>
        <v>0</v>
      </c>
      <c r="AW26" s="466">
        <f t="shared" si="38"/>
        <v>0</v>
      </c>
      <c r="AX26" s="466">
        <f t="shared" si="39"/>
        <v>0</v>
      </c>
      <c r="AY26" s="385">
        <f t="shared" si="40"/>
        <v>0</v>
      </c>
      <c r="AZ26" s="3174">
        <f t="shared" si="41"/>
        <v>0</v>
      </c>
      <c r="BA26" s="3174">
        <f t="shared" si="42"/>
        <v>0</v>
      </c>
      <c r="BB26" s="3174">
        <f t="shared" si="43"/>
        <v>0</v>
      </c>
      <c r="BC26" s="3174">
        <f t="shared" si="44"/>
        <v>0</v>
      </c>
      <c r="BD26" s="3174">
        <f t="shared" si="45"/>
        <v>0</v>
      </c>
      <c r="BE26" s="3174">
        <f t="shared" si="46"/>
        <v>0</v>
      </c>
      <c r="BF26" s="3174">
        <f t="shared" si="47"/>
        <v>0</v>
      </c>
      <c r="BG26" s="3174">
        <f t="shared" si="48"/>
        <v>0</v>
      </c>
      <c r="BH26" s="3174">
        <f t="shared" si="49"/>
        <v>0</v>
      </c>
      <c r="BI26" s="3174">
        <f t="shared" si="50"/>
        <v>0</v>
      </c>
      <c r="BJ26" s="3174">
        <f t="shared" si="51"/>
        <v>0</v>
      </c>
      <c r="BK26" s="3174">
        <f t="shared" si="52"/>
        <v>0</v>
      </c>
      <c r="BL26" s="3174">
        <f t="shared" si="53"/>
        <v>0</v>
      </c>
      <c r="BM26" s="3174">
        <f t="shared" si="54"/>
        <v>0</v>
      </c>
      <c r="BN26" s="3174">
        <f t="shared" si="55"/>
        <v>0</v>
      </c>
      <c r="BO26" s="3174">
        <f t="shared" si="56"/>
        <v>0</v>
      </c>
      <c r="BP26" s="3174">
        <f t="shared" si="57"/>
        <v>0</v>
      </c>
      <c r="BQ26" s="3174">
        <f t="shared" si="58"/>
        <v>0</v>
      </c>
      <c r="BR26" s="3174">
        <f t="shared" si="59"/>
        <v>0</v>
      </c>
      <c r="BS26" s="3174">
        <f t="shared" si="60"/>
        <v>0</v>
      </c>
      <c r="BT26" s="3249">
        <f t="shared" si="61"/>
        <v>0</v>
      </c>
    </row>
    <row r="27" spans="1:72">
      <c r="A27" s="489"/>
      <c r="B27" s="3179"/>
      <c r="C27" s="3180"/>
      <c r="D27" s="3181"/>
      <c r="E27" s="3174">
        <f t="shared" si="33"/>
        <v>0</v>
      </c>
      <c r="F27" s="3175"/>
      <c r="G27" s="3176">
        <f t="shared" si="34"/>
        <v>0</v>
      </c>
      <c r="H27" s="3177">
        <f t="shared" si="35"/>
        <v>0</v>
      </c>
      <c r="I27" s="3180"/>
      <c r="J27" s="3200"/>
      <c r="K27" s="3180"/>
      <c r="L27" s="3200"/>
      <c r="M27" s="3200"/>
      <c r="N27" s="3200"/>
      <c r="O27" s="3200"/>
      <c r="P27" s="3200"/>
      <c r="Q27" s="3200"/>
      <c r="R27" s="3200"/>
      <c r="S27" s="3200"/>
      <c r="T27" s="3200"/>
      <c r="U27" s="3200"/>
      <c r="V27" s="3200"/>
      <c r="W27" s="3200"/>
      <c r="X27" s="3200"/>
      <c r="Y27" s="3200"/>
      <c r="Z27" s="3200"/>
      <c r="AA27" s="3200"/>
      <c r="AB27" s="3200"/>
      <c r="AC27" s="3174">
        <f t="shared" si="36"/>
        <v>0</v>
      </c>
      <c r="AD27" s="3212"/>
      <c r="AE27" s="3212"/>
      <c r="AF27" s="3213"/>
      <c r="AG27" s="3212"/>
      <c r="AH27" s="3212"/>
      <c r="AI27" s="3212"/>
      <c r="AJ27" s="3212"/>
      <c r="AK27" s="3212"/>
      <c r="AL27" s="3212"/>
      <c r="AM27" s="3212"/>
      <c r="AN27" s="3212"/>
      <c r="AO27" s="3212"/>
      <c r="AP27" s="3212"/>
      <c r="AQ27" s="3212"/>
      <c r="AR27" s="3212"/>
      <c r="AS27" s="3212"/>
      <c r="AT27" s="3175"/>
      <c r="AU27" s="3232"/>
      <c r="AV27" s="466">
        <f t="shared" si="37"/>
        <v>0</v>
      </c>
      <c r="AW27" s="466">
        <f t="shared" si="38"/>
        <v>0</v>
      </c>
      <c r="AX27" s="466">
        <f t="shared" si="39"/>
        <v>0</v>
      </c>
      <c r="AY27" s="385">
        <f t="shared" si="40"/>
        <v>0</v>
      </c>
      <c r="AZ27" s="3174">
        <f t="shared" si="41"/>
        <v>0</v>
      </c>
      <c r="BA27" s="3174">
        <f t="shared" si="42"/>
        <v>0</v>
      </c>
      <c r="BB27" s="3174">
        <f t="shared" si="43"/>
        <v>0</v>
      </c>
      <c r="BC27" s="3174">
        <f t="shared" si="44"/>
        <v>0</v>
      </c>
      <c r="BD27" s="3174">
        <f t="shared" si="45"/>
        <v>0</v>
      </c>
      <c r="BE27" s="3174">
        <f t="shared" si="46"/>
        <v>0</v>
      </c>
      <c r="BF27" s="3174">
        <f t="shared" si="47"/>
        <v>0</v>
      </c>
      <c r="BG27" s="3174">
        <f t="shared" si="48"/>
        <v>0</v>
      </c>
      <c r="BH27" s="3174">
        <f t="shared" si="49"/>
        <v>0</v>
      </c>
      <c r="BI27" s="3174">
        <f t="shared" si="50"/>
        <v>0</v>
      </c>
      <c r="BJ27" s="3174">
        <f t="shared" si="51"/>
        <v>0</v>
      </c>
      <c r="BK27" s="3174">
        <f t="shared" si="52"/>
        <v>0</v>
      </c>
      <c r="BL27" s="3174">
        <f t="shared" si="53"/>
        <v>0</v>
      </c>
      <c r="BM27" s="3174">
        <f t="shared" si="54"/>
        <v>0</v>
      </c>
      <c r="BN27" s="3174">
        <f t="shared" si="55"/>
        <v>0</v>
      </c>
      <c r="BO27" s="3174">
        <f t="shared" si="56"/>
        <v>0</v>
      </c>
      <c r="BP27" s="3174">
        <f t="shared" si="57"/>
        <v>0</v>
      </c>
      <c r="BQ27" s="3174">
        <f t="shared" si="58"/>
        <v>0</v>
      </c>
      <c r="BR27" s="3174">
        <f t="shared" si="59"/>
        <v>0</v>
      </c>
      <c r="BS27" s="3174">
        <f t="shared" si="60"/>
        <v>0</v>
      </c>
      <c r="BT27" s="3249">
        <f t="shared" si="61"/>
        <v>0</v>
      </c>
    </row>
    <row r="28" spans="1:72">
      <c r="A28" s="489"/>
      <c r="B28" s="3179"/>
      <c r="C28" s="3180"/>
      <c r="D28" s="3181"/>
      <c r="E28" s="3174">
        <f t="shared" si="33"/>
        <v>0</v>
      </c>
      <c r="F28" s="3175"/>
      <c r="G28" s="3176">
        <f t="shared" si="34"/>
        <v>0</v>
      </c>
      <c r="H28" s="3177">
        <f t="shared" si="35"/>
        <v>0</v>
      </c>
      <c r="I28" s="3180"/>
      <c r="J28" s="3200"/>
      <c r="K28" s="3180"/>
      <c r="L28" s="3200"/>
      <c r="M28" s="3200"/>
      <c r="N28" s="3200"/>
      <c r="O28" s="3200"/>
      <c r="P28" s="3200"/>
      <c r="Q28" s="3200"/>
      <c r="R28" s="3200"/>
      <c r="S28" s="3200"/>
      <c r="T28" s="3200"/>
      <c r="U28" s="3200"/>
      <c r="V28" s="3200"/>
      <c r="W28" s="3200"/>
      <c r="X28" s="3200"/>
      <c r="Y28" s="3200"/>
      <c r="Z28" s="3200"/>
      <c r="AA28" s="3200"/>
      <c r="AB28" s="3200"/>
      <c r="AC28" s="3174">
        <f t="shared" si="36"/>
        <v>0</v>
      </c>
      <c r="AD28" s="3212"/>
      <c r="AE28" s="3212"/>
      <c r="AF28" s="3180"/>
      <c r="AG28" s="3212"/>
      <c r="AH28" s="3212"/>
      <c r="AI28" s="3212"/>
      <c r="AJ28" s="3212"/>
      <c r="AK28" s="3212"/>
      <c r="AL28" s="3212"/>
      <c r="AM28" s="3212"/>
      <c r="AN28" s="3212"/>
      <c r="AO28" s="3212"/>
      <c r="AP28" s="3212"/>
      <c r="AQ28" s="3212"/>
      <c r="AR28" s="3212"/>
      <c r="AS28" s="3212"/>
      <c r="AT28" s="3175"/>
      <c r="AU28" s="3232"/>
      <c r="AV28" s="466">
        <f t="shared" si="37"/>
        <v>0</v>
      </c>
      <c r="AW28" s="466">
        <f t="shared" si="38"/>
        <v>0</v>
      </c>
      <c r="AX28" s="466">
        <f t="shared" si="39"/>
        <v>0</v>
      </c>
      <c r="AY28" s="385">
        <f t="shared" si="40"/>
        <v>0</v>
      </c>
      <c r="AZ28" s="3174">
        <f t="shared" si="41"/>
        <v>0</v>
      </c>
      <c r="BA28" s="3174">
        <f t="shared" si="42"/>
        <v>0</v>
      </c>
      <c r="BB28" s="3174">
        <f t="shared" si="43"/>
        <v>0</v>
      </c>
      <c r="BC28" s="3174">
        <f t="shared" si="44"/>
        <v>0</v>
      </c>
      <c r="BD28" s="3174">
        <f t="shared" si="45"/>
        <v>0</v>
      </c>
      <c r="BE28" s="3174">
        <f t="shared" si="46"/>
        <v>0</v>
      </c>
      <c r="BF28" s="3174">
        <f t="shared" si="47"/>
        <v>0</v>
      </c>
      <c r="BG28" s="3174">
        <f t="shared" si="48"/>
        <v>0</v>
      </c>
      <c r="BH28" s="3174">
        <f t="shared" si="49"/>
        <v>0</v>
      </c>
      <c r="BI28" s="3174">
        <f t="shared" si="50"/>
        <v>0</v>
      </c>
      <c r="BJ28" s="3174">
        <f t="shared" si="51"/>
        <v>0</v>
      </c>
      <c r="BK28" s="3174">
        <f t="shared" si="52"/>
        <v>0</v>
      </c>
      <c r="BL28" s="3174">
        <f t="shared" si="53"/>
        <v>0</v>
      </c>
      <c r="BM28" s="3174">
        <f t="shared" si="54"/>
        <v>0</v>
      </c>
      <c r="BN28" s="3174">
        <f t="shared" si="55"/>
        <v>0</v>
      </c>
      <c r="BO28" s="3174">
        <f t="shared" si="56"/>
        <v>0</v>
      </c>
      <c r="BP28" s="3174">
        <f t="shared" si="57"/>
        <v>0</v>
      </c>
      <c r="BQ28" s="3174">
        <f t="shared" si="58"/>
        <v>0</v>
      </c>
      <c r="BR28" s="3174">
        <f t="shared" si="59"/>
        <v>0</v>
      </c>
      <c r="BS28" s="3174">
        <f t="shared" si="60"/>
        <v>0</v>
      </c>
      <c r="BT28" s="3249">
        <f t="shared" si="61"/>
        <v>0</v>
      </c>
    </row>
    <row r="29" spans="1:72">
      <c r="A29" s="489"/>
      <c r="B29" s="3179"/>
      <c r="C29" s="3180"/>
      <c r="D29" s="3181"/>
      <c r="E29" s="3174">
        <f t="shared" si="33"/>
        <v>0</v>
      </c>
      <c r="F29" s="3175"/>
      <c r="G29" s="3176">
        <f t="shared" si="34"/>
        <v>0</v>
      </c>
      <c r="H29" s="3177">
        <f t="shared" si="35"/>
        <v>0</v>
      </c>
      <c r="I29" s="3180"/>
      <c r="J29" s="3200"/>
      <c r="K29" s="3180"/>
      <c r="L29" s="3200"/>
      <c r="M29" s="3200"/>
      <c r="N29" s="3200"/>
      <c r="O29" s="3200"/>
      <c r="P29" s="3200"/>
      <c r="Q29" s="3200"/>
      <c r="R29" s="3200"/>
      <c r="S29" s="3200"/>
      <c r="T29" s="3200"/>
      <c r="U29" s="3200"/>
      <c r="V29" s="3200"/>
      <c r="W29" s="3200"/>
      <c r="X29" s="3200"/>
      <c r="Y29" s="3200"/>
      <c r="Z29" s="3200"/>
      <c r="AA29" s="3200"/>
      <c r="AB29" s="3200"/>
      <c r="AC29" s="3174">
        <f t="shared" si="36"/>
        <v>0</v>
      </c>
      <c r="AD29" s="3212"/>
      <c r="AE29" s="3212"/>
      <c r="AF29" s="3180"/>
      <c r="AG29" s="3212"/>
      <c r="AH29" s="3212"/>
      <c r="AI29" s="3212"/>
      <c r="AJ29" s="3212"/>
      <c r="AK29" s="3212"/>
      <c r="AL29" s="3212"/>
      <c r="AM29" s="3212"/>
      <c r="AN29" s="3212"/>
      <c r="AO29" s="3212"/>
      <c r="AP29" s="3212"/>
      <c r="AQ29" s="3212"/>
      <c r="AR29" s="3212"/>
      <c r="AS29" s="3212"/>
      <c r="AT29" s="3175"/>
      <c r="AU29" s="3232"/>
      <c r="AV29" s="466">
        <f t="shared" si="37"/>
        <v>0</v>
      </c>
      <c r="AW29" s="466">
        <f t="shared" si="38"/>
        <v>0</v>
      </c>
      <c r="AX29" s="466">
        <f t="shared" si="39"/>
        <v>0</v>
      </c>
      <c r="AY29" s="385">
        <f t="shared" si="40"/>
        <v>0</v>
      </c>
      <c r="AZ29" s="3174">
        <f t="shared" si="41"/>
        <v>0</v>
      </c>
      <c r="BA29" s="3174">
        <f t="shared" si="42"/>
        <v>0</v>
      </c>
      <c r="BB29" s="3174">
        <f t="shared" si="43"/>
        <v>0</v>
      </c>
      <c r="BC29" s="3174">
        <f t="shared" si="44"/>
        <v>0</v>
      </c>
      <c r="BD29" s="3174">
        <f t="shared" si="45"/>
        <v>0</v>
      </c>
      <c r="BE29" s="3174">
        <f t="shared" si="46"/>
        <v>0</v>
      </c>
      <c r="BF29" s="3174">
        <f t="shared" si="47"/>
        <v>0</v>
      </c>
      <c r="BG29" s="3174">
        <f t="shared" si="48"/>
        <v>0</v>
      </c>
      <c r="BH29" s="3174">
        <f t="shared" si="49"/>
        <v>0</v>
      </c>
      <c r="BI29" s="3174">
        <f t="shared" si="50"/>
        <v>0</v>
      </c>
      <c r="BJ29" s="3174">
        <f t="shared" si="51"/>
        <v>0</v>
      </c>
      <c r="BK29" s="3174">
        <f t="shared" si="52"/>
        <v>0</v>
      </c>
      <c r="BL29" s="3174">
        <f t="shared" si="53"/>
        <v>0</v>
      </c>
      <c r="BM29" s="3174">
        <f t="shared" si="54"/>
        <v>0</v>
      </c>
      <c r="BN29" s="3174">
        <f t="shared" si="55"/>
        <v>0</v>
      </c>
      <c r="BO29" s="3174">
        <f t="shared" si="56"/>
        <v>0</v>
      </c>
      <c r="BP29" s="3174">
        <f t="shared" si="57"/>
        <v>0</v>
      </c>
      <c r="BQ29" s="3174">
        <f t="shared" si="58"/>
        <v>0</v>
      </c>
      <c r="BR29" s="3174">
        <f t="shared" si="59"/>
        <v>0</v>
      </c>
      <c r="BS29" s="3174">
        <f t="shared" si="60"/>
        <v>0</v>
      </c>
      <c r="BT29" s="3249">
        <f t="shared" si="61"/>
        <v>0</v>
      </c>
    </row>
    <row r="30" spans="1:72">
      <c r="A30" s="489"/>
      <c r="B30" s="3179"/>
      <c r="C30" s="3180"/>
      <c r="D30" s="3181"/>
      <c r="E30" s="3174">
        <f t="shared" si="33"/>
        <v>0</v>
      </c>
      <c r="F30" s="3175"/>
      <c r="G30" s="3176">
        <f t="shared" si="34"/>
        <v>0</v>
      </c>
      <c r="H30" s="3177">
        <f t="shared" si="35"/>
        <v>0</v>
      </c>
      <c r="I30" s="3180"/>
      <c r="J30" s="3200"/>
      <c r="K30" s="3180"/>
      <c r="L30" s="3200"/>
      <c r="M30" s="3200"/>
      <c r="N30" s="3200"/>
      <c r="O30" s="3200"/>
      <c r="P30" s="3200"/>
      <c r="Q30" s="3200"/>
      <c r="R30" s="3200"/>
      <c r="S30" s="3200"/>
      <c r="T30" s="3200"/>
      <c r="U30" s="3200"/>
      <c r="V30" s="3200"/>
      <c r="W30" s="3200"/>
      <c r="X30" s="3200"/>
      <c r="Y30" s="3200"/>
      <c r="Z30" s="3200"/>
      <c r="AA30" s="3200"/>
      <c r="AB30" s="3200"/>
      <c r="AC30" s="3174">
        <f t="shared" si="36"/>
        <v>0</v>
      </c>
      <c r="AD30" s="3212"/>
      <c r="AE30" s="3212"/>
      <c r="AF30" s="3180"/>
      <c r="AG30" s="3212"/>
      <c r="AH30" s="3212"/>
      <c r="AI30" s="3212"/>
      <c r="AJ30" s="3212"/>
      <c r="AK30" s="3212"/>
      <c r="AL30" s="3212"/>
      <c r="AM30" s="3212"/>
      <c r="AN30" s="3212"/>
      <c r="AO30" s="3212"/>
      <c r="AP30" s="3212"/>
      <c r="AQ30" s="3212"/>
      <c r="AR30" s="3212"/>
      <c r="AS30" s="3212"/>
      <c r="AT30" s="3175"/>
      <c r="AU30" s="3232"/>
      <c r="AV30" s="466">
        <f t="shared" si="37"/>
        <v>0</v>
      </c>
      <c r="AW30" s="466">
        <f t="shared" si="38"/>
        <v>0</v>
      </c>
      <c r="AX30" s="466">
        <f t="shared" si="39"/>
        <v>0</v>
      </c>
      <c r="AY30" s="385">
        <f t="shared" si="40"/>
        <v>0</v>
      </c>
      <c r="AZ30" s="3174">
        <f t="shared" si="41"/>
        <v>0</v>
      </c>
      <c r="BA30" s="3174">
        <f t="shared" si="42"/>
        <v>0</v>
      </c>
      <c r="BB30" s="3174">
        <f t="shared" si="43"/>
        <v>0</v>
      </c>
      <c r="BC30" s="3174">
        <f t="shared" si="44"/>
        <v>0</v>
      </c>
      <c r="BD30" s="3174">
        <f t="shared" si="45"/>
        <v>0</v>
      </c>
      <c r="BE30" s="3174">
        <f t="shared" si="46"/>
        <v>0</v>
      </c>
      <c r="BF30" s="3174">
        <f t="shared" si="47"/>
        <v>0</v>
      </c>
      <c r="BG30" s="3174">
        <f t="shared" si="48"/>
        <v>0</v>
      </c>
      <c r="BH30" s="3174">
        <f t="shared" si="49"/>
        <v>0</v>
      </c>
      <c r="BI30" s="3174">
        <f t="shared" si="50"/>
        <v>0</v>
      </c>
      <c r="BJ30" s="3174">
        <f t="shared" si="51"/>
        <v>0</v>
      </c>
      <c r="BK30" s="3174">
        <f t="shared" si="52"/>
        <v>0</v>
      </c>
      <c r="BL30" s="3174">
        <f t="shared" si="53"/>
        <v>0</v>
      </c>
      <c r="BM30" s="3174">
        <f t="shared" si="54"/>
        <v>0</v>
      </c>
      <c r="BN30" s="3174">
        <f t="shared" si="55"/>
        <v>0</v>
      </c>
      <c r="BO30" s="3174">
        <f t="shared" si="56"/>
        <v>0</v>
      </c>
      <c r="BP30" s="3174">
        <f t="shared" si="57"/>
        <v>0</v>
      </c>
      <c r="BQ30" s="3174">
        <f t="shared" si="58"/>
        <v>0</v>
      </c>
      <c r="BR30" s="3174">
        <f t="shared" si="59"/>
        <v>0</v>
      </c>
      <c r="BS30" s="3174">
        <f t="shared" si="60"/>
        <v>0</v>
      </c>
      <c r="BT30" s="3249">
        <f t="shared" si="61"/>
        <v>0</v>
      </c>
    </row>
    <row r="31" spans="1:72">
      <c r="A31" s="489"/>
      <c r="B31" s="3179"/>
      <c r="C31" s="3180"/>
      <c r="D31" s="3181"/>
      <c r="E31" s="3174">
        <f t="shared" si="33"/>
        <v>0</v>
      </c>
      <c r="F31" s="3175"/>
      <c r="G31" s="3176">
        <f t="shared" si="34"/>
        <v>0</v>
      </c>
      <c r="H31" s="3177">
        <f t="shared" si="35"/>
        <v>0</v>
      </c>
      <c r="I31" s="3180"/>
      <c r="J31" s="3200"/>
      <c r="K31" s="3180"/>
      <c r="L31" s="3200"/>
      <c r="M31" s="3200"/>
      <c r="N31" s="3200"/>
      <c r="O31" s="3200"/>
      <c r="P31" s="3200"/>
      <c r="Q31" s="3200"/>
      <c r="R31" s="3200"/>
      <c r="S31" s="3200"/>
      <c r="T31" s="3200"/>
      <c r="U31" s="3200"/>
      <c r="V31" s="3200"/>
      <c r="W31" s="3200"/>
      <c r="X31" s="3200"/>
      <c r="Y31" s="3200"/>
      <c r="Z31" s="3200"/>
      <c r="AA31" s="3200"/>
      <c r="AB31" s="3200"/>
      <c r="AC31" s="3174">
        <f t="shared" si="36"/>
        <v>0</v>
      </c>
      <c r="AD31" s="3212"/>
      <c r="AE31" s="3212"/>
      <c r="AF31" s="3180"/>
      <c r="AG31" s="3212"/>
      <c r="AH31" s="3212"/>
      <c r="AI31" s="3212"/>
      <c r="AJ31" s="3212"/>
      <c r="AK31" s="3212"/>
      <c r="AL31" s="3212"/>
      <c r="AM31" s="3212"/>
      <c r="AN31" s="3212"/>
      <c r="AO31" s="3212"/>
      <c r="AP31" s="3212"/>
      <c r="AQ31" s="3212"/>
      <c r="AR31" s="3212"/>
      <c r="AS31" s="3212"/>
      <c r="AT31" s="3175"/>
      <c r="AU31" s="3232"/>
      <c r="AV31" s="466">
        <f t="shared" si="37"/>
        <v>0</v>
      </c>
      <c r="AW31" s="466">
        <f t="shared" si="38"/>
        <v>0</v>
      </c>
      <c r="AX31" s="466">
        <f t="shared" si="39"/>
        <v>0</v>
      </c>
      <c r="AY31" s="385">
        <f t="shared" si="40"/>
        <v>0</v>
      </c>
      <c r="AZ31" s="3174">
        <f t="shared" si="41"/>
        <v>0</v>
      </c>
      <c r="BA31" s="3174">
        <f t="shared" si="42"/>
        <v>0</v>
      </c>
      <c r="BB31" s="3174">
        <f t="shared" si="43"/>
        <v>0</v>
      </c>
      <c r="BC31" s="3174">
        <f t="shared" si="44"/>
        <v>0</v>
      </c>
      <c r="BD31" s="3174">
        <f t="shared" si="45"/>
        <v>0</v>
      </c>
      <c r="BE31" s="3174">
        <f t="shared" si="46"/>
        <v>0</v>
      </c>
      <c r="BF31" s="3174">
        <f t="shared" si="47"/>
        <v>0</v>
      </c>
      <c r="BG31" s="3174">
        <f t="shared" si="48"/>
        <v>0</v>
      </c>
      <c r="BH31" s="3174">
        <f t="shared" si="49"/>
        <v>0</v>
      </c>
      <c r="BI31" s="3174">
        <f t="shared" si="50"/>
        <v>0</v>
      </c>
      <c r="BJ31" s="3174">
        <f t="shared" si="51"/>
        <v>0</v>
      </c>
      <c r="BK31" s="3174">
        <f t="shared" si="52"/>
        <v>0</v>
      </c>
      <c r="BL31" s="3174">
        <f t="shared" si="53"/>
        <v>0</v>
      </c>
      <c r="BM31" s="3174">
        <f t="shared" si="54"/>
        <v>0</v>
      </c>
      <c r="BN31" s="3174">
        <f t="shared" si="55"/>
        <v>0</v>
      </c>
      <c r="BO31" s="3174">
        <f t="shared" si="56"/>
        <v>0</v>
      </c>
      <c r="BP31" s="3174">
        <f t="shared" si="57"/>
        <v>0</v>
      </c>
      <c r="BQ31" s="3174">
        <f t="shared" si="58"/>
        <v>0</v>
      </c>
      <c r="BR31" s="3174">
        <f t="shared" si="59"/>
        <v>0</v>
      </c>
      <c r="BS31" s="3174">
        <f t="shared" si="60"/>
        <v>0</v>
      </c>
      <c r="BT31" s="3249">
        <f t="shared" si="61"/>
        <v>0</v>
      </c>
    </row>
    <row r="32" spans="1:72">
      <c r="A32" s="489"/>
      <c r="B32" s="3179"/>
      <c r="C32" s="3180"/>
      <c r="D32" s="3181"/>
      <c r="E32" s="3174">
        <f t="shared" si="33"/>
        <v>0</v>
      </c>
      <c r="F32" s="3175"/>
      <c r="G32" s="3176">
        <f t="shared" si="34"/>
        <v>0</v>
      </c>
      <c r="H32" s="3177">
        <f t="shared" si="35"/>
        <v>0</v>
      </c>
      <c r="I32" s="3180"/>
      <c r="J32" s="3200"/>
      <c r="K32" s="3180"/>
      <c r="L32" s="3200"/>
      <c r="M32" s="3200"/>
      <c r="N32" s="3200"/>
      <c r="O32" s="3200"/>
      <c r="P32" s="3200"/>
      <c r="Q32" s="3200"/>
      <c r="R32" s="3200"/>
      <c r="S32" s="3200"/>
      <c r="T32" s="3200"/>
      <c r="U32" s="3200"/>
      <c r="V32" s="3200"/>
      <c r="W32" s="3200"/>
      <c r="X32" s="3200"/>
      <c r="Y32" s="3200"/>
      <c r="Z32" s="3200"/>
      <c r="AA32" s="3200"/>
      <c r="AB32" s="3200"/>
      <c r="AC32" s="3174">
        <f t="shared" si="36"/>
        <v>0</v>
      </c>
      <c r="AD32" s="3212"/>
      <c r="AE32" s="3212"/>
      <c r="AF32" s="3180"/>
      <c r="AG32" s="3212"/>
      <c r="AH32" s="3212"/>
      <c r="AI32" s="3212"/>
      <c r="AJ32" s="3212"/>
      <c r="AK32" s="3212"/>
      <c r="AL32" s="3212"/>
      <c r="AM32" s="3212"/>
      <c r="AN32" s="3212"/>
      <c r="AO32" s="3212"/>
      <c r="AP32" s="3212"/>
      <c r="AQ32" s="3212"/>
      <c r="AR32" s="3212"/>
      <c r="AS32" s="3212"/>
      <c r="AT32" s="3175"/>
      <c r="AU32" s="3232"/>
      <c r="AV32" s="466">
        <f t="shared" si="37"/>
        <v>0</v>
      </c>
      <c r="AW32" s="466">
        <f t="shared" si="38"/>
        <v>0</v>
      </c>
      <c r="AX32" s="466">
        <f t="shared" si="39"/>
        <v>0</v>
      </c>
      <c r="AY32" s="385">
        <f t="shared" si="40"/>
        <v>0</v>
      </c>
      <c r="AZ32" s="3174">
        <f t="shared" si="41"/>
        <v>0</v>
      </c>
      <c r="BA32" s="3174">
        <f t="shared" si="42"/>
        <v>0</v>
      </c>
      <c r="BB32" s="3174">
        <f t="shared" si="43"/>
        <v>0</v>
      </c>
      <c r="BC32" s="3174">
        <f t="shared" si="44"/>
        <v>0</v>
      </c>
      <c r="BD32" s="3174">
        <f t="shared" si="45"/>
        <v>0</v>
      </c>
      <c r="BE32" s="3174">
        <f t="shared" si="46"/>
        <v>0</v>
      </c>
      <c r="BF32" s="3174">
        <f t="shared" si="47"/>
        <v>0</v>
      </c>
      <c r="BG32" s="3174">
        <f t="shared" si="48"/>
        <v>0</v>
      </c>
      <c r="BH32" s="3174">
        <f t="shared" si="49"/>
        <v>0</v>
      </c>
      <c r="BI32" s="3174">
        <f t="shared" si="50"/>
        <v>0</v>
      </c>
      <c r="BJ32" s="3174">
        <f t="shared" si="51"/>
        <v>0</v>
      </c>
      <c r="BK32" s="3174">
        <f t="shared" si="52"/>
        <v>0</v>
      </c>
      <c r="BL32" s="3174">
        <f t="shared" si="53"/>
        <v>0</v>
      </c>
      <c r="BM32" s="3174">
        <f t="shared" si="54"/>
        <v>0</v>
      </c>
      <c r="BN32" s="3174">
        <f t="shared" si="55"/>
        <v>0</v>
      </c>
      <c r="BO32" s="3174">
        <f t="shared" si="56"/>
        <v>0</v>
      </c>
      <c r="BP32" s="3174">
        <f t="shared" si="57"/>
        <v>0</v>
      </c>
      <c r="BQ32" s="3174">
        <f t="shared" si="58"/>
        <v>0</v>
      </c>
      <c r="BR32" s="3174">
        <f t="shared" si="59"/>
        <v>0</v>
      </c>
      <c r="BS32" s="3174">
        <f t="shared" si="60"/>
        <v>0</v>
      </c>
      <c r="BT32" s="3249">
        <f t="shared" si="61"/>
        <v>0</v>
      </c>
    </row>
    <row r="33" spans="1:72">
      <c r="A33" s="489"/>
      <c r="B33" s="3179"/>
      <c r="C33" s="3180"/>
      <c r="D33" s="3181"/>
      <c r="E33" s="3174">
        <f t="shared" si="33"/>
        <v>0</v>
      </c>
      <c r="F33" s="3175"/>
      <c r="G33" s="3176">
        <f t="shared" si="34"/>
        <v>0</v>
      </c>
      <c r="H33" s="3177">
        <f t="shared" si="35"/>
        <v>0</v>
      </c>
      <c r="I33" s="3180"/>
      <c r="J33" s="3200"/>
      <c r="K33" s="3180"/>
      <c r="L33" s="3200"/>
      <c r="M33" s="3200"/>
      <c r="N33" s="3200"/>
      <c r="O33" s="3200"/>
      <c r="P33" s="3200"/>
      <c r="Q33" s="3200"/>
      <c r="R33" s="3200"/>
      <c r="S33" s="3200"/>
      <c r="T33" s="3200"/>
      <c r="U33" s="3200"/>
      <c r="V33" s="3200"/>
      <c r="W33" s="3200"/>
      <c r="X33" s="3200"/>
      <c r="Y33" s="3200"/>
      <c r="Z33" s="3200"/>
      <c r="AA33" s="3200"/>
      <c r="AB33" s="3200"/>
      <c r="AC33" s="3174">
        <f t="shared" si="36"/>
        <v>0</v>
      </c>
      <c r="AD33" s="3212"/>
      <c r="AE33" s="3212"/>
      <c r="AF33" s="3180"/>
      <c r="AG33" s="3212"/>
      <c r="AH33" s="3212"/>
      <c r="AI33" s="3212"/>
      <c r="AJ33" s="3212"/>
      <c r="AK33" s="3212"/>
      <c r="AL33" s="3212"/>
      <c r="AM33" s="3212"/>
      <c r="AN33" s="3212"/>
      <c r="AO33" s="3212"/>
      <c r="AP33" s="3212"/>
      <c r="AQ33" s="3212"/>
      <c r="AR33" s="3212"/>
      <c r="AS33" s="3212"/>
      <c r="AT33" s="3175"/>
      <c r="AU33" s="3232"/>
      <c r="AV33" s="466">
        <f t="shared" si="37"/>
        <v>0</v>
      </c>
      <c r="AW33" s="466">
        <f t="shared" si="38"/>
        <v>0</v>
      </c>
      <c r="AX33" s="466">
        <f t="shared" si="39"/>
        <v>0</v>
      </c>
      <c r="AY33" s="385">
        <f t="shared" si="40"/>
        <v>0</v>
      </c>
      <c r="AZ33" s="3174">
        <f t="shared" si="41"/>
        <v>0</v>
      </c>
      <c r="BA33" s="3174">
        <f t="shared" si="42"/>
        <v>0</v>
      </c>
      <c r="BB33" s="3174">
        <f t="shared" si="43"/>
        <v>0</v>
      </c>
      <c r="BC33" s="3174">
        <f t="shared" si="44"/>
        <v>0</v>
      </c>
      <c r="BD33" s="3174">
        <f t="shared" si="45"/>
        <v>0</v>
      </c>
      <c r="BE33" s="3174">
        <f t="shared" si="46"/>
        <v>0</v>
      </c>
      <c r="BF33" s="3174">
        <f t="shared" si="47"/>
        <v>0</v>
      </c>
      <c r="BG33" s="3174">
        <f t="shared" si="48"/>
        <v>0</v>
      </c>
      <c r="BH33" s="3174">
        <f t="shared" si="49"/>
        <v>0</v>
      </c>
      <c r="BI33" s="3174">
        <f t="shared" si="50"/>
        <v>0</v>
      </c>
      <c r="BJ33" s="3174">
        <f t="shared" si="51"/>
        <v>0</v>
      </c>
      <c r="BK33" s="3174">
        <f t="shared" si="52"/>
        <v>0</v>
      </c>
      <c r="BL33" s="3174">
        <f t="shared" si="53"/>
        <v>0</v>
      </c>
      <c r="BM33" s="3174">
        <f t="shared" si="54"/>
        <v>0</v>
      </c>
      <c r="BN33" s="3174">
        <f t="shared" si="55"/>
        <v>0</v>
      </c>
      <c r="BO33" s="3174">
        <f t="shared" si="56"/>
        <v>0</v>
      </c>
      <c r="BP33" s="3174">
        <f t="shared" si="57"/>
        <v>0</v>
      </c>
      <c r="BQ33" s="3174">
        <f t="shared" si="58"/>
        <v>0</v>
      </c>
      <c r="BR33" s="3174">
        <f t="shared" si="59"/>
        <v>0</v>
      </c>
      <c r="BS33" s="3174">
        <f t="shared" si="60"/>
        <v>0</v>
      </c>
      <c r="BT33" s="3249">
        <f t="shared" si="61"/>
        <v>0</v>
      </c>
    </row>
    <row r="34" spans="1:72">
      <c r="A34" s="489"/>
      <c r="B34" s="3179"/>
      <c r="C34" s="3180"/>
      <c r="D34" s="3181"/>
      <c r="E34" s="3174">
        <f t="shared" si="33"/>
        <v>0</v>
      </c>
      <c r="F34" s="3175"/>
      <c r="G34" s="3176">
        <f t="shared" si="34"/>
        <v>0</v>
      </c>
      <c r="H34" s="3177">
        <f t="shared" si="35"/>
        <v>0</v>
      </c>
      <c r="I34" s="3180"/>
      <c r="J34" s="3200"/>
      <c r="K34" s="3180"/>
      <c r="L34" s="3200"/>
      <c r="M34" s="3200"/>
      <c r="N34" s="3200"/>
      <c r="O34" s="3200"/>
      <c r="P34" s="3200"/>
      <c r="Q34" s="3200"/>
      <c r="R34" s="3200"/>
      <c r="S34" s="3200"/>
      <c r="T34" s="3200"/>
      <c r="U34" s="3200"/>
      <c r="V34" s="3200"/>
      <c r="W34" s="3200"/>
      <c r="X34" s="3200"/>
      <c r="Y34" s="3200"/>
      <c r="Z34" s="3200"/>
      <c r="AA34" s="3200"/>
      <c r="AB34" s="3200"/>
      <c r="AC34" s="3174">
        <f t="shared" si="36"/>
        <v>0</v>
      </c>
      <c r="AD34" s="3212"/>
      <c r="AE34" s="3212"/>
      <c r="AF34" s="3180"/>
      <c r="AG34" s="3212"/>
      <c r="AH34" s="3212"/>
      <c r="AI34" s="3212"/>
      <c r="AJ34" s="3212"/>
      <c r="AK34" s="3212"/>
      <c r="AL34" s="3212"/>
      <c r="AM34" s="3212"/>
      <c r="AN34" s="3212"/>
      <c r="AO34" s="3212"/>
      <c r="AP34" s="3212"/>
      <c r="AQ34" s="3212"/>
      <c r="AR34" s="3212"/>
      <c r="AS34" s="3212"/>
      <c r="AT34" s="3175"/>
      <c r="AU34" s="3232"/>
      <c r="AV34" s="466">
        <f t="shared" si="37"/>
        <v>0</v>
      </c>
      <c r="AW34" s="466">
        <f t="shared" si="38"/>
        <v>0</v>
      </c>
      <c r="AX34" s="466">
        <f t="shared" si="39"/>
        <v>0</v>
      </c>
      <c r="AY34" s="385">
        <f t="shared" si="40"/>
        <v>0</v>
      </c>
      <c r="AZ34" s="3174">
        <f t="shared" si="41"/>
        <v>0</v>
      </c>
      <c r="BA34" s="3174">
        <f t="shared" si="42"/>
        <v>0</v>
      </c>
      <c r="BB34" s="3174">
        <f t="shared" si="43"/>
        <v>0</v>
      </c>
      <c r="BC34" s="3174">
        <f t="shared" si="44"/>
        <v>0</v>
      </c>
      <c r="BD34" s="3174">
        <f t="shared" si="45"/>
        <v>0</v>
      </c>
      <c r="BE34" s="3174">
        <f t="shared" si="46"/>
        <v>0</v>
      </c>
      <c r="BF34" s="3174">
        <f t="shared" si="47"/>
        <v>0</v>
      </c>
      <c r="BG34" s="3174">
        <f t="shared" si="48"/>
        <v>0</v>
      </c>
      <c r="BH34" s="3174">
        <f t="shared" si="49"/>
        <v>0</v>
      </c>
      <c r="BI34" s="3174">
        <f t="shared" si="50"/>
        <v>0</v>
      </c>
      <c r="BJ34" s="3174">
        <f t="shared" si="51"/>
        <v>0</v>
      </c>
      <c r="BK34" s="3174">
        <f t="shared" si="52"/>
        <v>0</v>
      </c>
      <c r="BL34" s="3174">
        <f t="shared" si="53"/>
        <v>0</v>
      </c>
      <c r="BM34" s="3174">
        <f t="shared" si="54"/>
        <v>0</v>
      </c>
      <c r="BN34" s="3174">
        <f t="shared" si="55"/>
        <v>0</v>
      </c>
      <c r="BO34" s="3174">
        <f t="shared" si="56"/>
        <v>0</v>
      </c>
      <c r="BP34" s="3174">
        <f t="shared" si="57"/>
        <v>0</v>
      </c>
      <c r="BQ34" s="3174">
        <f t="shared" si="58"/>
        <v>0</v>
      </c>
      <c r="BR34" s="3174">
        <f t="shared" si="59"/>
        <v>0</v>
      </c>
      <c r="BS34" s="3174">
        <f t="shared" si="60"/>
        <v>0</v>
      </c>
      <c r="BT34" s="3249">
        <f t="shared" si="61"/>
        <v>0</v>
      </c>
    </row>
    <row r="35" spans="1:72">
      <c r="A35" s="489"/>
      <c r="B35" s="3179"/>
      <c r="C35" s="3180"/>
      <c r="D35" s="3181"/>
      <c r="E35" s="3174">
        <f t="shared" si="33"/>
        <v>0</v>
      </c>
      <c r="F35" s="3175"/>
      <c r="G35" s="3176">
        <f t="shared" si="34"/>
        <v>0</v>
      </c>
      <c r="H35" s="3177">
        <f t="shared" si="35"/>
        <v>0</v>
      </c>
      <c r="I35" s="3180"/>
      <c r="J35" s="3200"/>
      <c r="K35" s="3180"/>
      <c r="L35" s="3200"/>
      <c r="M35" s="3200"/>
      <c r="N35" s="3200"/>
      <c r="O35" s="3200"/>
      <c r="P35" s="3200"/>
      <c r="Q35" s="3200"/>
      <c r="R35" s="3200"/>
      <c r="S35" s="3200"/>
      <c r="T35" s="3200"/>
      <c r="U35" s="3200"/>
      <c r="V35" s="3200"/>
      <c r="W35" s="3200"/>
      <c r="X35" s="3200"/>
      <c r="Y35" s="3200"/>
      <c r="Z35" s="3200"/>
      <c r="AA35" s="3200"/>
      <c r="AB35" s="3200"/>
      <c r="AC35" s="3174">
        <f t="shared" si="36"/>
        <v>0</v>
      </c>
      <c r="AD35" s="3212"/>
      <c r="AE35" s="3212"/>
      <c r="AF35" s="3180"/>
      <c r="AG35" s="3212"/>
      <c r="AH35" s="3212"/>
      <c r="AI35" s="3212"/>
      <c r="AJ35" s="3212"/>
      <c r="AK35" s="3212"/>
      <c r="AL35" s="3212"/>
      <c r="AM35" s="3212"/>
      <c r="AN35" s="3212"/>
      <c r="AO35" s="3212"/>
      <c r="AP35" s="3212"/>
      <c r="AQ35" s="3212"/>
      <c r="AR35" s="3212"/>
      <c r="AS35" s="3212"/>
      <c r="AT35" s="3175"/>
      <c r="AU35" s="3232"/>
      <c r="AV35" s="466">
        <f t="shared" si="37"/>
        <v>0</v>
      </c>
      <c r="AW35" s="466">
        <f t="shared" si="38"/>
        <v>0</v>
      </c>
      <c r="AX35" s="466">
        <f t="shared" si="39"/>
        <v>0</v>
      </c>
      <c r="AY35" s="385">
        <f t="shared" si="40"/>
        <v>0</v>
      </c>
      <c r="AZ35" s="3174">
        <f t="shared" si="41"/>
        <v>0</v>
      </c>
      <c r="BA35" s="3174">
        <f t="shared" si="42"/>
        <v>0</v>
      </c>
      <c r="BB35" s="3174">
        <f t="shared" si="43"/>
        <v>0</v>
      </c>
      <c r="BC35" s="3174">
        <f t="shared" si="44"/>
        <v>0</v>
      </c>
      <c r="BD35" s="3174">
        <f t="shared" si="45"/>
        <v>0</v>
      </c>
      <c r="BE35" s="3174">
        <f t="shared" si="46"/>
        <v>0</v>
      </c>
      <c r="BF35" s="3174">
        <f t="shared" si="47"/>
        <v>0</v>
      </c>
      <c r="BG35" s="3174">
        <f t="shared" si="48"/>
        <v>0</v>
      </c>
      <c r="BH35" s="3174">
        <f t="shared" si="49"/>
        <v>0</v>
      </c>
      <c r="BI35" s="3174">
        <f t="shared" si="50"/>
        <v>0</v>
      </c>
      <c r="BJ35" s="3174">
        <f t="shared" si="51"/>
        <v>0</v>
      </c>
      <c r="BK35" s="3174">
        <f t="shared" si="52"/>
        <v>0</v>
      </c>
      <c r="BL35" s="3174">
        <f t="shared" si="53"/>
        <v>0</v>
      </c>
      <c r="BM35" s="3174">
        <f t="shared" si="54"/>
        <v>0</v>
      </c>
      <c r="BN35" s="3174">
        <f t="shared" si="55"/>
        <v>0</v>
      </c>
      <c r="BO35" s="3174">
        <f t="shared" si="56"/>
        <v>0</v>
      </c>
      <c r="BP35" s="3174">
        <f t="shared" si="57"/>
        <v>0</v>
      </c>
      <c r="BQ35" s="3174">
        <f t="shared" si="58"/>
        <v>0</v>
      </c>
      <c r="BR35" s="3174">
        <f t="shared" si="59"/>
        <v>0</v>
      </c>
      <c r="BS35" s="3174">
        <f t="shared" si="60"/>
        <v>0</v>
      </c>
      <c r="BT35" s="3249">
        <f t="shared" si="61"/>
        <v>0</v>
      </c>
    </row>
    <row r="36" spans="1:72">
      <c r="A36" s="489"/>
      <c r="B36" s="3179"/>
      <c r="C36" s="3180"/>
      <c r="D36" s="3181"/>
      <c r="E36" s="3174">
        <f t="shared" si="33"/>
        <v>0</v>
      </c>
      <c r="F36" s="3175"/>
      <c r="G36" s="3176">
        <f t="shared" si="34"/>
        <v>0</v>
      </c>
      <c r="H36" s="3177">
        <f t="shared" si="35"/>
        <v>0</v>
      </c>
      <c r="I36" s="3180"/>
      <c r="J36" s="3200"/>
      <c r="K36" s="3180"/>
      <c r="L36" s="3200"/>
      <c r="M36" s="3200"/>
      <c r="N36" s="3200"/>
      <c r="O36" s="3200"/>
      <c r="P36" s="3200"/>
      <c r="Q36" s="3200"/>
      <c r="R36" s="3200"/>
      <c r="S36" s="3200"/>
      <c r="T36" s="3200"/>
      <c r="U36" s="3200"/>
      <c r="V36" s="3200"/>
      <c r="W36" s="3200"/>
      <c r="X36" s="3200"/>
      <c r="Y36" s="3200"/>
      <c r="Z36" s="3200"/>
      <c r="AA36" s="3200"/>
      <c r="AB36" s="3200"/>
      <c r="AC36" s="3174">
        <f t="shared" si="36"/>
        <v>0</v>
      </c>
      <c r="AD36" s="3212"/>
      <c r="AE36" s="3212"/>
      <c r="AF36" s="3180"/>
      <c r="AG36" s="3212"/>
      <c r="AH36" s="3212"/>
      <c r="AI36" s="3212"/>
      <c r="AJ36" s="3212"/>
      <c r="AK36" s="3212"/>
      <c r="AL36" s="3212"/>
      <c r="AM36" s="3212"/>
      <c r="AN36" s="3212"/>
      <c r="AO36" s="3212"/>
      <c r="AP36" s="3212"/>
      <c r="AQ36" s="3212"/>
      <c r="AR36" s="3212"/>
      <c r="AS36" s="3212"/>
      <c r="AT36" s="3175"/>
      <c r="AU36" s="3232"/>
      <c r="AV36" s="466">
        <f t="shared" si="37"/>
        <v>0</v>
      </c>
      <c r="AW36" s="466">
        <f t="shared" si="38"/>
        <v>0</v>
      </c>
      <c r="AX36" s="466">
        <f t="shared" si="39"/>
        <v>0</v>
      </c>
      <c r="AY36" s="385">
        <f t="shared" si="40"/>
        <v>0</v>
      </c>
      <c r="AZ36" s="3174">
        <f t="shared" si="41"/>
        <v>0</v>
      </c>
      <c r="BA36" s="3174">
        <f t="shared" si="42"/>
        <v>0</v>
      </c>
      <c r="BB36" s="3174">
        <f t="shared" si="43"/>
        <v>0</v>
      </c>
      <c r="BC36" s="3174">
        <f t="shared" si="44"/>
        <v>0</v>
      </c>
      <c r="BD36" s="3174">
        <f t="shared" si="45"/>
        <v>0</v>
      </c>
      <c r="BE36" s="3174">
        <f t="shared" si="46"/>
        <v>0</v>
      </c>
      <c r="BF36" s="3174">
        <f t="shared" si="47"/>
        <v>0</v>
      </c>
      <c r="BG36" s="3174">
        <f t="shared" si="48"/>
        <v>0</v>
      </c>
      <c r="BH36" s="3174">
        <f t="shared" si="49"/>
        <v>0</v>
      </c>
      <c r="BI36" s="3174">
        <f t="shared" si="50"/>
        <v>0</v>
      </c>
      <c r="BJ36" s="3174">
        <f t="shared" si="51"/>
        <v>0</v>
      </c>
      <c r="BK36" s="3174">
        <f t="shared" si="52"/>
        <v>0</v>
      </c>
      <c r="BL36" s="3174">
        <f t="shared" si="53"/>
        <v>0</v>
      </c>
      <c r="BM36" s="3174">
        <f t="shared" si="54"/>
        <v>0</v>
      </c>
      <c r="BN36" s="3174">
        <f t="shared" si="55"/>
        <v>0</v>
      </c>
      <c r="BO36" s="3174">
        <f t="shared" si="56"/>
        <v>0</v>
      </c>
      <c r="BP36" s="3174">
        <f t="shared" si="57"/>
        <v>0</v>
      </c>
      <c r="BQ36" s="3174">
        <f t="shared" si="58"/>
        <v>0</v>
      </c>
      <c r="BR36" s="3174">
        <f t="shared" si="59"/>
        <v>0</v>
      </c>
      <c r="BS36" s="3174">
        <f t="shared" si="60"/>
        <v>0</v>
      </c>
      <c r="BT36" s="3249">
        <f t="shared" si="61"/>
        <v>0</v>
      </c>
    </row>
    <row r="37" spans="1:72">
      <c r="A37" s="489"/>
      <c r="B37" s="3179"/>
      <c r="C37" s="3180"/>
      <c r="D37" s="3181"/>
      <c r="E37" s="3174">
        <f t="shared" si="33"/>
        <v>0</v>
      </c>
      <c r="F37" s="3175"/>
      <c r="G37" s="3176">
        <f t="shared" si="34"/>
        <v>0</v>
      </c>
      <c r="H37" s="3177">
        <f t="shared" si="35"/>
        <v>0</v>
      </c>
      <c r="I37" s="3180"/>
      <c r="J37" s="3200"/>
      <c r="K37" s="3180"/>
      <c r="L37" s="3200"/>
      <c r="M37" s="3200"/>
      <c r="N37" s="3200"/>
      <c r="O37" s="3200"/>
      <c r="P37" s="3200"/>
      <c r="Q37" s="3200"/>
      <c r="R37" s="3200"/>
      <c r="S37" s="3200"/>
      <c r="T37" s="3200"/>
      <c r="U37" s="3200"/>
      <c r="V37" s="3200"/>
      <c r="W37" s="3200"/>
      <c r="X37" s="3200"/>
      <c r="Y37" s="3200"/>
      <c r="Z37" s="3200"/>
      <c r="AA37" s="3200"/>
      <c r="AB37" s="3200"/>
      <c r="AC37" s="3174">
        <f t="shared" si="36"/>
        <v>0</v>
      </c>
      <c r="AD37" s="3212"/>
      <c r="AE37" s="3212"/>
      <c r="AF37" s="3180"/>
      <c r="AG37" s="3212"/>
      <c r="AH37" s="3212"/>
      <c r="AI37" s="3212"/>
      <c r="AJ37" s="3212"/>
      <c r="AK37" s="3212"/>
      <c r="AL37" s="3212"/>
      <c r="AM37" s="3212"/>
      <c r="AN37" s="3212"/>
      <c r="AO37" s="3212"/>
      <c r="AP37" s="3212"/>
      <c r="AQ37" s="3212"/>
      <c r="AR37" s="3212"/>
      <c r="AS37" s="3212"/>
      <c r="AT37" s="3175"/>
      <c r="AU37" s="3232"/>
      <c r="AV37" s="466">
        <f t="shared" si="37"/>
        <v>0</v>
      </c>
      <c r="AW37" s="466">
        <f t="shared" si="38"/>
        <v>0</v>
      </c>
      <c r="AX37" s="466">
        <f t="shared" si="39"/>
        <v>0</v>
      </c>
      <c r="AY37" s="385">
        <f t="shared" si="40"/>
        <v>0</v>
      </c>
      <c r="AZ37" s="3174">
        <f t="shared" si="41"/>
        <v>0</v>
      </c>
      <c r="BA37" s="3174">
        <f t="shared" si="42"/>
        <v>0</v>
      </c>
      <c r="BB37" s="3174">
        <f t="shared" si="43"/>
        <v>0</v>
      </c>
      <c r="BC37" s="3174">
        <f t="shared" si="44"/>
        <v>0</v>
      </c>
      <c r="BD37" s="3174">
        <f t="shared" si="45"/>
        <v>0</v>
      </c>
      <c r="BE37" s="3174">
        <f t="shared" si="46"/>
        <v>0</v>
      </c>
      <c r="BF37" s="3174">
        <f t="shared" si="47"/>
        <v>0</v>
      </c>
      <c r="BG37" s="3174">
        <f t="shared" si="48"/>
        <v>0</v>
      </c>
      <c r="BH37" s="3174">
        <f t="shared" si="49"/>
        <v>0</v>
      </c>
      <c r="BI37" s="3174">
        <f t="shared" si="50"/>
        <v>0</v>
      </c>
      <c r="BJ37" s="3174">
        <f t="shared" si="51"/>
        <v>0</v>
      </c>
      <c r="BK37" s="3174">
        <f t="shared" si="52"/>
        <v>0</v>
      </c>
      <c r="BL37" s="3174">
        <f t="shared" si="53"/>
        <v>0</v>
      </c>
      <c r="BM37" s="3174">
        <f t="shared" si="54"/>
        <v>0</v>
      </c>
      <c r="BN37" s="3174">
        <f t="shared" si="55"/>
        <v>0</v>
      </c>
      <c r="BO37" s="3174">
        <f t="shared" si="56"/>
        <v>0</v>
      </c>
      <c r="BP37" s="3174">
        <f t="shared" si="57"/>
        <v>0</v>
      </c>
      <c r="BQ37" s="3174">
        <f t="shared" si="58"/>
        <v>0</v>
      </c>
      <c r="BR37" s="3174">
        <f t="shared" si="59"/>
        <v>0</v>
      </c>
      <c r="BS37" s="3174">
        <f t="shared" si="60"/>
        <v>0</v>
      </c>
      <c r="BT37" s="3249">
        <f t="shared" si="61"/>
        <v>0</v>
      </c>
    </row>
    <row r="38" spans="1:72">
      <c r="A38" s="489"/>
      <c r="B38" s="3179"/>
      <c r="C38" s="3180"/>
      <c r="D38" s="3181"/>
      <c r="E38" s="3174">
        <f t="shared" si="33"/>
        <v>0</v>
      </c>
      <c r="F38" s="3175"/>
      <c r="G38" s="3176">
        <f t="shared" si="34"/>
        <v>0</v>
      </c>
      <c r="H38" s="3177">
        <f t="shared" si="35"/>
        <v>0</v>
      </c>
      <c r="I38" s="3180"/>
      <c r="J38" s="3200"/>
      <c r="K38" s="3180"/>
      <c r="L38" s="3200"/>
      <c r="M38" s="3200"/>
      <c r="N38" s="3200"/>
      <c r="O38" s="3200"/>
      <c r="P38" s="3200"/>
      <c r="Q38" s="3200"/>
      <c r="R38" s="3200"/>
      <c r="S38" s="3200"/>
      <c r="T38" s="3200"/>
      <c r="U38" s="3200"/>
      <c r="V38" s="3200"/>
      <c r="W38" s="3200"/>
      <c r="X38" s="3200"/>
      <c r="Y38" s="3200"/>
      <c r="Z38" s="3200"/>
      <c r="AA38" s="3200"/>
      <c r="AB38" s="3200"/>
      <c r="AC38" s="3174">
        <f t="shared" si="36"/>
        <v>0</v>
      </c>
      <c r="AD38" s="3212"/>
      <c r="AE38" s="3212"/>
      <c r="AF38" s="3180"/>
      <c r="AG38" s="3212"/>
      <c r="AH38" s="3212"/>
      <c r="AI38" s="3212"/>
      <c r="AJ38" s="3212"/>
      <c r="AK38" s="3212"/>
      <c r="AL38" s="3212"/>
      <c r="AM38" s="3212"/>
      <c r="AN38" s="3212"/>
      <c r="AO38" s="3212"/>
      <c r="AP38" s="3212"/>
      <c r="AQ38" s="3212"/>
      <c r="AR38" s="3212"/>
      <c r="AS38" s="3212"/>
      <c r="AT38" s="3175"/>
      <c r="AU38" s="3232"/>
      <c r="AV38" s="466">
        <f t="shared" si="37"/>
        <v>0</v>
      </c>
      <c r="AW38" s="466">
        <f t="shared" si="38"/>
        <v>0</v>
      </c>
      <c r="AX38" s="466">
        <f t="shared" si="39"/>
        <v>0</v>
      </c>
      <c r="AY38" s="385">
        <f t="shared" si="40"/>
        <v>0</v>
      </c>
      <c r="AZ38" s="3174">
        <f t="shared" si="41"/>
        <v>0</v>
      </c>
      <c r="BA38" s="3174">
        <f t="shared" si="42"/>
        <v>0</v>
      </c>
      <c r="BB38" s="3174">
        <f t="shared" si="43"/>
        <v>0</v>
      </c>
      <c r="BC38" s="3174">
        <f t="shared" si="44"/>
        <v>0</v>
      </c>
      <c r="BD38" s="3174">
        <f t="shared" si="45"/>
        <v>0</v>
      </c>
      <c r="BE38" s="3174">
        <f t="shared" si="46"/>
        <v>0</v>
      </c>
      <c r="BF38" s="3174">
        <f t="shared" si="47"/>
        <v>0</v>
      </c>
      <c r="BG38" s="3174">
        <f t="shared" si="48"/>
        <v>0</v>
      </c>
      <c r="BH38" s="3174">
        <f t="shared" si="49"/>
        <v>0</v>
      </c>
      <c r="BI38" s="3174">
        <f t="shared" si="50"/>
        <v>0</v>
      </c>
      <c r="BJ38" s="3174">
        <f t="shared" si="51"/>
        <v>0</v>
      </c>
      <c r="BK38" s="3174">
        <f t="shared" si="52"/>
        <v>0</v>
      </c>
      <c r="BL38" s="3174">
        <f t="shared" si="53"/>
        <v>0</v>
      </c>
      <c r="BM38" s="3174">
        <f t="shared" si="54"/>
        <v>0</v>
      </c>
      <c r="BN38" s="3174">
        <f t="shared" si="55"/>
        <v>0</v>
      </c>
      <c r="BO38" s="3174">
        <f t="shared" si="56"/>
        <v>0</v>
      </c>
      <c r="BP38" s="3174">
        <f t="shared" si="57"/>
        <v>0</v>
      </c>
      <c r="BQ38" s="3174">
        <f t="shared" si="58"/>
        <v>0</v>
      </c>
      <c r="BR38" s="3174">
        <f t="shared" si="59"/>
        <v>0</v>
      </c>
      <c r="BS38" s="3174">
        <f t="shared" si="60"/>
        <v>0</v>
      </c>
      <c r="BT38" s="3249">
        <f t="shared" si="61"/>
        <v>0</v>
      </c>
    </row>
    <row r="39" spans="1:72">
      <c r="A39" s="489"/>
      <c r="B39" s="3179"/>
      <c r="C39" s="3180"/>
      <c r="D39" s="3181"/>
      <c r="E39" s="3174">
        <f t="shared" si="33"/>
        <v>0</v>
      </c>
      <c r="F39" s="3175"/>
      <c r="G39" s="3176">
        <f t="shared" si="34"/>
        <v>0</v>
      </c>
      <c r="H39" s="3177">
        <f t="shared" si="35"/>
        <v>0</v>
      </c>
      <c r="I39" s="3180"/>
      <c r="J39" s="3200"/>
      <c r="K39" s="3180"/>
      <c r="L39" s="3200"/>
      <c r="M39" s="3200"/>
      <c r="N39" s="3200"/>
      <c r="O39" s="3200"/>
      <c r="P39" s="3200"/>
      <c r="Q39" s="3200"/>
      <c r="R39" s="3200"/>
      <c r="S39" s="3200"/>
      <c r="T39" s="3200"/>
      <c r="U39" s="3200"/>
      <c r="V39" s="3200"/>
      <c r="W39" s="3200"/>
      <c r="X39" s="3200"/>
      <c r="Y39" s="3200"/>
      <c r="Z39" s="3200"/>
      <c r="AA39" s="3200"/>
      <c r="AB39" s="3200"/>
      <c r="AC39" s="3174">
        <f t="shared" si="36"/>
        <v>0</v>
      </c>
      <c r="AD39" s="3212"/>
      <c r="AE39" s="3212"/>
      <c r="AF39" s="3180"/>
      <c r="AG39" s="3212"/>
      <c r="AH39" s="3212"/>
      <c r="AI39" s="3212"/>
      <c r="AJ39" s="3212"/>
      <c r="AK39" s="3212"/>
      <c r="AL39" s="3212"/>
      <c r="AM39" s="3212"/>
      <c r="AN39" s="3212"/>
      <c r="AO39" s="3212"/>
      <c r="AP39" s="3212"/>
      <c r="AQ39" s="3212"/>
      <c r="AR39" s="3212"/>
      <c r="AS39" s="3212"/>
      <c r="AT39" s="3175"/>
      <c r="AU39" s="3232"/>
      <c r="AV39" s="466">
        <f t="shared" si="37"/>
        <v>0</v>
      </c>
      <c r="AW39" s="466">
        <f t="shared" si="38"/>
        <v>0</v>
      </c>
      <c r="AX39" s="466">
        <f t="shared" si="39"/>
        <v>0</v>
      </c>
      <c r="AY39" s="385">
        <f t="shared" si="40"/>
        <v>0</v>
      </c>
      <c r="AZ39" s="3174">
        <f t="shared" si="41"/>
        <v>0</v>
      </c>
      <c r="BA39" s="3174">
        <f t="shared" si="42"/>
        <v>0</v>
      </c>
      <c r="BB39" s="3174">
        <f t="shared" si="43"/>
        <v>0</v>
      </c>
      <c r="BC39" s="3174">
        <f t="shared" si="44"/>
        <v>0</v>
      </c>
      <c r="BD39" s="3174">
        <f t="shared" si="45"/>
        <v>0</v>
      </c>
      <c r="BE39" s="3174">
        <f t="shared" si="46"/>
        <v>0</v>
      </c>
      <c r="BF39" s="3174">
        <f t="shared" si="47"/>
        <v>0</v>
      </c>
      <c r="BG39" s="3174">
        <f t="shared" si="48"/>
        <v>0</v>
      </c>
      <c r="BH39" s="3174">
        <f t="shared" si="49"/>
        <v>0</v>
      </c>
      <c r="BI39" s="3174">
        <f t="shared" si="50"/>
        <v>0</v>
      </c>
      <c r="BJ39" s="3174">
        <f t="shared" si="51"/>
        <v>0</v>
      </c>
      <c r="BK39" s="3174">
        <f t="shared" si="52"/>
        <v>0</v>
      </c>
      <c r="BL39" s="3174">
        <f t="shared" si="53"/>
        <v>0</v>
      </c>
      <c r="BM39" s="3174">
        <f t="shared" si="54"/>
        <v>0</v>
      </c>
      <c r="BN39" s="3174">
        <f t="shared" si="55"/>
        <v>0</v>
      </c>
      <c r="BO39" s="3174">
        <f t="shared" si="56"/>
        <v>0</v>
      </c>
      <c r="BP39" s="3174">
        <f t="shared" si="57"/>
        <v>0</v>
      </c>
      <c r="BQ39" s="3174">
        <f t="shared" si="58"/>
        <v>0</v>
      </c>
      <c r="BR39" s="3174">
        <f t="shared" si="59"/>
        <v>0</v>
      </c>
      <c r="BS39" s="3174">
        <f t="shared" si="60"/>
        <v>0</v>
      </c>
      <c r="BT39" s="3249">
        <f t="shared" si="61"/>
        <v>0</v>
      </c>
    </row>
    <row r="40" spans="1:72">
      <c r="A40" s="489"/>
      <c r="B40" s="3179"/>
      <c r="C40" s="3180"/>
      <c r="D40" s="3181"/>
      <c r="E40" s="3174">
        <f t="shared" si="33"/>
        <v>0</v>
      </c>
      <c r="F40" s="3175"/>
      <c r="G40" s="3176">
        <f t="shared" si="34"/>
        <v>0</v>
      </c>
      <c r="H40" s="3177">
        <f t="shared" si="35"/>
        <v>0</v>
      </c>
      <c r="I40" s="3180"/>
      <c r="J40" s="3200"/>
      <c r="K40" s="3180"/>
      <c r="L40" s="3200"/>
      <c r="M40" s="3200"/>
      <c r="N40" s="3200"/>
      <c r="O40" s="3200"/>
      <c r="P40" s="3200"/>
      <c r="Q40" s="3200"/>
      <c r="R40" s="3200"/>
      <c r="S40" s="3200"/>
      <c r="T40" s="3200"/>
      <c r="U40" s="3200"/>
      <c r="V40" s="3200"/>
      <c r="W40" s="3200"/>
      <c r="X40" s="3200"/>
      <c r="Y40" s="3200"/>
      <c r="Z40" s="3200"/>
      <c r="AA40" s="3200"/>
      <c r="AB40" s="3200"/>
      <c r="AC40" s="3174">
        <f t="shared" si="36"/>
        <v>0</v>
      </c>
      <c r="AD40" s="3212"/>
      <c r="AE40" s="3212"/>
      <c r="AF40" s="3180"/>
      <c r="AG40" s="3212"/>
      <c r="AH40" s="3212"/>
      <c r="AI40" s="3212"/>
      <c r="AJ40" s="3212"/>
      <c r="AK40" s="3212"/>
      <c r="AL40" s="3212"/>
      <c r="AM40" s="3212"/>
      <c r="AN40" s="3212"/>
      <c r="AO40" s="3212"/>
      <c r="AP40" s="3212"/>
      <c r="AQ40" s="3212"/>
      <c r="AR40" s="3212"/>
      <c r="AS40" s="3212"/>
      <c r="AT40" s="3175"/>
      <c r="AU40" s="3232"/>
      <c r="AV40" s="466">
        <f t="shared" si="37"/>
        <v>0</v>
      </c>
      <c r="AW40" s="466">
        <f t="shared" si="38"/>
        <v>0</v>
      </c>
      <c r="AX40" s="466">
        <f t="shared" si="39"/>
        <v>0</v>
      </c>
      <c r="AY40" s="385">
        <f t="shared" si="40"/>
        <v>0</v>
      </c>
      <c r="AZ40" s="3174">
        <f t="shared" si="41"/>
        <v>0</v>
      </c>
      <c r="BA40" s="3174">
        <f t="shared" si="42"/>
        <v>0</v>
      </c>
      <c r="BB40" s="3174">
        <f t="shared" si="43"/>
        <v>0</v>
      </c>
      <c r="BC40" s="3174">
        <f t="shared" si="44"/>
        <v>0</v>
      </c>
      <c r="BD40" s="3174">
        <f t="shared" si="45"/>
        <v>0</v>
      </c>
      <c r="BE40" s="3174">
        <f t="shared" si="46"/>
        <v>0</v>
      </c>
      <c r="BF40" s="3174">
        <f t="shared" si="47"/>
        <v>0</v>
      </c>
      <c r="BG40" s="3174">
        <f t="shared" si="48"/>
        <v>0</v>
      </c>
      <c r="BH40" s="3174">
        <f t="shared" si="49"/>
        <v>0</v>
      </c>
      <c r="BI40" s="3174">
        <f t="shared" si="50"/>
        <v>0</v>
      </c>
      <c r="BJ40" s="3174">
        <f t="shared" si="51"/>
        <v>0</v>
      </c>
      <c r="BK40" s="3174">
        <f t="shared" si="52"/>
        <v>0</v>
      </c>
      <c r="BL40" s="3174">
        <f t="shared" si="53"/>
        <v>0</v>
      </c>
      <c r="BM40" s="3174">
        <f t="shared" si="54"/>
        <v>0</v>
      </c>
      <c r="BN40" s="3174">
        <f t="shared" si="55"/>
        <v>0</v>
      </c>
      <c r="BO40" s="3174">
        <f t="shared" si="56"/>
        <v>0</v>
      </c>
      <c r="BP40" s="3174">
        <f t="shared" si="57"/>
        <v>0</v>
      </c>
      <c r="BQ40" s="3174">
        <f t="shared" si="58"/>
        <v>0</v>
      </c>
      <c r="BR40" s="3174">
        <f t="shared" si="59"/>
        <v>0</v>
      </c>
      <c r="BS40" s="3174">
        <f t="shared" si="60"/>
        <v>0</v>
      </c>
      <c r="BT40" s="3249">
        <f t="shared" si="61"/>
        <v>0</v>
      </c>
    </row>
    <row r="41" spans="1:72">
      <c r="A41" s="489"/>
      <c r="B41" s="3179"/>
      <c r="C41" s="3180"/>
      <c r="D41" s="3181"/>
      <c r="E41" s="3174">
        <f t="shared" si="33"/>
        <v>0</v>
      </c>
      <c r="F41" s="3175"/>
      <c r="G41" s="3176">
        <f t="shared" si="34"/>
        <v>0</v>
      </c>
      <c r="H41" s="3177">
        <f t="shared" si="35"/>
        <v>0</v>
      </c>
      <c r="I41" s="3180"/>
      <c r="J41" s="3200"/>
      <c r="K41" s="3180"/>
      <c r="L41" s="3200"/>
      <c r="M41" s="3200"/>
      <c r="N41" s="3200"/>
      <c r="O41" s="3200"/>
      <c r="P41" s="3200"/>
      <c r="Q41" s="3200"/>
      <c r="R41" s="3200"/>
      <c r="S41" s="3200"/>
      <c r="T41" s="3200"/>
      <c r="U41" s="3200"/>
      <c r="V41" s="3200"/>
      <c r="W41" s="3200"/>
      <c r="X41" s="3200"/>
      <c r="Y41" s="3200"/>
      <c r="Z41" s="3200"/>
      <c r="AA41" s="3200"/>
      <c r="AB41" s="3200"/>
      <c r="AC41" s="3174">
        <f t="shared" si="36"/>
        <v>0</v>
      </c>
      <c r="AD41" s="3212"/>
      <c r="AE41" s="3212"/>
      <c r="AF41" s="3180"/>
      <c r="AG41" s="3212"/>
      <c r="AH41" s="3212"/>
      <c r="AI41" s="3212"/>
      <c r="AJ41" s="3212"/>
      <c r="AK41" s="3212"/>
      <c r="AL41" s="3212"/>
      <c r="AM41" s="3212"/>
      <c r="AN41" s="3212"/>
      <c r="AO41" s="3212"/>
      <c r="AP41" s="3212"/>
      <c r="AQ41" s="3212"/>
      <c r="AR41" s="3212"/>
      <c r="AS41" s="3212"/>
      <c r="AT41" s="3175"/>
      <c r="AU41" s="3232"/>
      <c r="AV41" s="466">
        <f t="shared" si="37"/>
        <v>0</v>
      </c>
      <c r="AW41" s="466">
        <f t="shared" si="38"/>
        <v>0</v>
      </c>
      <c r="AX41" s="466">
        <f t="shared" si="39"/>
        <v>0</v>
      </c>
      <c r="AY41" s="385">
        <f t="shared" si="40"/>
        <v>0</v>
      </c>
      <c r="AZ41" s="3174">
        <f t="shared" si="41"/>
        <v>0</v>
      </c>
      <c r="BA41" s="3174">
        <f t="shared" si="42"/>
        <v>0</v>
      </c>
      <c r="BB41" s="3174">
        <f t="shared" si="43"/>
        <v>0</v>
      </c>
      <c r="BC41" s="3174">
        <f t="shared" si="44"/>
        <v>0</v>
      </c>
      <c r="BD41" s="3174">
        <f t="shared" si="45"/>
        <v>0</v>
      </c>
      <c r="BE41" s="3174">
        <f t="shared" si="46"/>
        <v>0</v>
      </c>
      <c r="BF41" s="3174">
        <f t="shared" si="47"/>
        <v>0</v>
      </c>
      <c r="BG41" s="3174">
        <f t="shared" si="48"/>
        <v>0</v>
      </c>
      <c r="BH41" s="3174">
        <f t="shared" si="49"/>
        <v>0</v>
      </c>
      <c r="BI41" s="3174">
        <f t="shared" si="50"/>
        <v>0</v>
      </c>
      <c r="BJ41" s="3174">
        <f t="shared" si="51"/>
        <v>0</v>
      </c>
      <c r="BK41" s="3174">
        <f t="shared" si="52"/>
        <v>0</v>
      </c>
      <c r="BL41" s="3174">
        <f t="shared" si="53"/>
        <v>0</v>
      </c>
      <c r="BM41" s="3174">
        <f t="shared" si="54"/>
        <v>0</v>
      </c>
      <c r="BN41" s="3174">
        <f t="shared" si="55"/>
        <v>0</v>
      </c>
      <c r="BO41" s="3174">
        <f t="shared" si="56"/>
        <v>0</v>
      </c>
      <c r="BP41" s="3174">
        <f t="shared" si="57"/>
        <v>0</v>
      </c>
      <c r="BQ41" s="3174">
        <f t="shared" si="58"/>
        <v>0</v>
      </c>
      <c r="BR41" s="3174">
        <f t="shared" si="59"/>
        <v>0</v>
      </c>
      <c r="BS41" s="3174">
        <f t="shared" si="60"/>
        <v>0</v>
      </c>
      <c r="BT41" s="3249">
        <f t="shared" si="61"/>
        <v>0</v>
      </c>
    </row>
    <row r="42" spans="1:72">
      <c r="A42" s="489"/>
      <c r="B42" s="3179"/>
      <c r="C42" s="3180"/>
      <c r="D42" s="3181"/>
      <c r="E42" s="3174">
        <f t="shared" si="33"/>
        <v>0</v>
      </c>
      <c r="F42" s="3175"/>
      <c r="G42" s="3176">
        <f t="shared" si="34"/>
        <v>0</v>
      </c>
      <c r="H42" s="3177">
        <f t="shared" si="35"/>
        <v>0</v>
      </c>
      <c r="I42" s="3180"/>
      <c r="J42" s="3200"/>
      <c r="K42" s="3180"/>
      <c r="L42" s="3200"/>
      <c r="M42" s="3200"/>
      <c r="N42" s="3200"/>
      <c r="O42" s="3200"/>
      <c r="P42" s="3200"/>
      <c r="Q42" s="3200"/>
      <c r="R42" s="3200"/>
      <c r="S42" s="3200"/>
      <c r="T42" s="3200"/>
      <c r="U42" s="3200"/>
      <c r="V42" s="3200"/>
      <c r="W42" s="3200"/>
      <c r="X42" s="3200"/>
      <c r="Y42" s="3200"/>
      <c r="Z42" s="3200"/>
      <c r="AA42" s="3200"/>
      <c r="AB42" s="3200"/>
      <c r="AC42" s="3174">
        <f t="shared" si="36"/>
        <v>0</v>
      </c>
      <c r="AD42" s="3212"/>
      <c r="AE42" s="3212"/>
      <c r="AF42" s="3180"/>
      <c r="AG42" s="3212"/>
      <c r="AH42" s="3212"/>
      <c r="AI42" s="3212"/>
      <c r="AJ42" s="3212"/>
      <c r="AK42" s="3212"/>
      <c r="AL42" s="3212"/>
      <c r="AM42" s="3212"/>
      <c r="AN42" s="3212"/>
      <c r="AO42" s="3212"/>
      <c r="AP42" s="3212"/>
      <c r="AQ42" s="3212"/>
      <c r="AR42" s="3212"/>
      <c r="AS42" s="3212"/>
      <c r="AT42" s="3175"/>
      <c r="AU42" s="3232"/>
      <c r="AV42" s="466">
        <f t="shared" si="37"/>
        <v>0</v>
      </c>
      <c r="AW42" s="466">
        <f t="shared" si="38"/>
        <v>0</v>
      </c>
      <c r="AX42" s="466">
        <f t="shared" si="39"/>
        <v>0</v>
      </c>
      <c r="AY42" s="385">
        <f t="shared" si="40"/>
        <v>0</v>
      </c>
      <c r="AZ42" s="3174">
        <f t="shared" si="41"/>
        <v>0</v>
      </c>
      <c r="BA42" s="3174">
        <f t="shared" si="42"/>
        <v>0</v>
      </c>
      <c r="BB42" s="3174">
        <f t="shared" si="43"/>
        <v>0</v>
      </c>
      <c r="BC42" s="3174">
        <f t="shared" si="44"/>
        <v>0</v>
      </c>
      <c r="BD42" s="3174">
        <f t="shared" si="45"/>
        <v>0</v>
      </c>
      <c r="BE42" s="3174">
        <f t="shared" si="46"/>
        <v>0</v>
      </c>
      <c r="BF42" s="3174">
        <f t="shared" si="47"/>
        <v>0</v>
      </c>
      <c r="BG42" s="3174">
        <f t="shared" si="48"/>
        <v>0</v>
      </c>
      <c r="BH42" s="3174">
        <f t="shared" si="49"/>
        <v>0</v>
      </c>
      <c r="BI42" s="3174">
        <f t="shared" si="50"/>
        <v>0</v>
      </c>
      <c r="BJ42" s="3174">
        <f t="shared" si="51"/>
        <v>0</v>
      </c>
      <c r="BK42" s="3174">
        <f t="shared" si="52"/>
        <v>0</v>
      </c>
      <c r="BL42" s="3174">
        <f t="shared" si="53"/>
        <v>0</v>
      </c>
      <c r="BM42" s="3174">
        <f t="shared" si="54"/>
        <v>0</v>
      </c>
      <c r="BN42" s="3174">
        <f t="shared" si="55"/>
        <v>0</v>
      </c>
      <c r="BO42" s="3174">
        <f t="shared" si="56"/>
        <v>0</v>
      </c>
      <c r="BP42" s="3174">
        <f t="shared" si="57"/>
        <v>0</v>
      </c>
      <c r="BQ42" s="3174">
        <f t="shared" si="58"/>
        <v>0</v>
      </c>
      <c r="BR42" s="3174">
        <f t="shared" si="59"/>
        <v>0</v>
      </c>
      <c r="BS42" s="3174">
        <f t="shared" si="60"/>
        <v>0</v>
      </c>
      <c r="BT42" s="3249">
        <f t="shared" si="61"/>
        <v>0</v>
      </c>
    </row>
    <row r="43" spans="1:72">
      <c r="A43" s="489"/>
      <c r="B43" s="3179"/>
      <c r="C43" s="3180"/>
      <c r="D43" s="3181"/>
      <c r="E43" s="3174">
        <f t="shared" si="33"/>
        <v>0</v>
      </c>
      <c r="F43" s="3175"/>
      <c r="G43" s="3176">
        <f t="shared" si="34"/>
        <v>0</v>
      </c>
      <c r="H43" s="3177">
        <f t="shared" si="35"/>
        <v>0</v>
      </c>
      <c r="I43" s="3180"/>
      <c r="J43" s="3200"/>
      <c r="K43" s="3180"/>
      <c r="L43" s="3200"/>
      <c r="M43" s="3200"/>
      <c r="N43" s="3200"/>
      <c r="O43" s="3200"/>
      <c r="P43" s="3200"/>
      <c r="Q43" s="3200"/>
      <c r="R43" s="3200"/>
      <c r="S43" s="3200"/>
      <c r="T43" s="3200"/>
      <c r="U43" s="3200"/>
      <c r="V43" s="3200"/>
      <c r="W43" s="3200"/>
      <c r="X43" s="3200"/>
      <c r="Y43" s="3200"/>
      <c r="Z43" s="3200"/>
      <c r="AA43" s="3200"/>
      <c r="AB43" s="3200"/>
      <c r="AC43" s="3174">
        <f t="shared" si="36"/>
        <v>0</v>
      </c>
      <c r="AD43" s="3212"/>
      <c r="AE43" s="3212"/>
      <c r="AF43" s="3180"/>
      <c r="AG43" s="3212"/>
      <c r="AH43" s="3212"/>
      <c r="AI43" s="3212"/>
      <c r="AJ43" s="3212"/>
      <c r="AK43" s="3212"/>
      <c r="AL43" s="3212"/>
      <c r="AM43" s="3212"/>
      <c r="AN43" s="3212"/>
      <c r="AO43" s="3212"/>
      <c r="AP43" s="3212"/>
      <c r="AQ43" s="3212"/>
      <c r="AR43" s="3212"/>
      <c r="AS43" s="3212"/>
      <c r="AT43" s="3175"/>
      <c r="AU43" s="3232"/>
      <c r="AV43" s="466">
        <f t="shared" si="37"/>
        <v>0</v>
      </c>
      <c r="AW43" s="466">
        <f t="shared" si="38"/>
        <v>0</v>
      </c>
      <c r="AX43" s="466">
        <f t="shared" si="39"/>
        <v>0</v>
      </c>
      <c r="AY43" s="385">
        <f t="shared" si="40"/>
        <v>0</v>
      </c>
      <c r="AZ43" s="3174">
        <f t="shared" si="41"/>
        <v>0</v>
      </c>
      <c r="BA43" s="3174">
        <f t="shared" si="42"/>
        <v>0</v>
      </c>
      <c r="BB43" s="3174">
        <f t="shared" si="43"/>
        <v>0</v>
      </c>
      <c r="BC43" s="3174">
        <f t="shared" si="44"/>
        <v>0</v>
      </c>
      <c r="BD43" s="3174">
        <f t="shared" si="45"/>
        <v>0</v>
      </c>
      <c r="BE43" s="3174">
        <f t="shared" si="46"/>
        <v>0</v>
      </c>
      <c r="BF43" s="3174">
        <f t="shared" si="47"/>
        <v>0</v>
      </c>
      <c r="BG43" s="3174">
        <f t="shared" si="48"/>
        <v>0</v>
      </c>
      <c r="BH43" s="3174">
        <f t="shared" si="49"/>
        <v>0</v>
      </c>
      <c r="BI43" s="3174">
        <f t="shared" si="50"/>
        <v>0</v>
      </c>
      <c r="BJ43" s="3174">
        <f t="shared" si="51"/>
        <v>0</v>
      </c>
      <c r="BK43" s="3174">
        <f t="shared" si="52"/>
        <v>0</v>
      </c>
      <c r="BL43" s="3174">
        <f t="shared" si="53"/>
        <v>0</v>
      </c>
      <c r="BM43" s="3174">
        <f t="shared" si="54"/>
        <v>0</v>
      </c>
      <c r="BN43" s="3174">
        <f t="shared" si="55"/>
        <v>0</v>
      </c>
      <c r="BO43" s="3174">
        <f t="shared" si="56"/>
        <v>0</v>
      </c>
      <c r="BP43" s="3174">
        <f t="shared" si="57"/>
        <v>0</v>
      </c>
      <c r="BQ43" s="3174">
        <f t="shared" si="58"/>
        <v>0</v>
      </c>
      <c r="BR43" s="3174">
        <f t="shared" si="59"/>
        <v>0</v>
      </c>
      <c r="BS43" s="3174">
        <f t="shared" si="60"/>
        <v>0</v>
      </c>
      <c r="BT43" s="3249">
        <f t="shared" si="61"/>
        <v>0</v>
      </c>
    </row>
    <row r="44" spans="1:72">
      <c r="A44" s="489"/>
      <c r="B44" s="3179"/>
      <c r="C44" s="3180"/>
      <c r="D44" s="3181"/>
      <c r="E44" s="3174">
        <f t="shared" si="33"/>
        <v>0</v>
      </c>
      <c r="F44" s="3175"/>
      <c r="G44" s="3176">
        <f t="shared" si="34"/>
        <v>0</v>
      </c>
      <c r="H44" s="3177">
        <f t="shared" si="35"/>
        <v>0</v>
      </c>
      <c r="I44" s="3180"/>
      <c r="J44" s="3200"/>
      <c r="K44" s="3180"/>
      <c r="L44" s="3200"/>
      <c r="M44" s="3200"/>
      <c r="N44" s="3200"/>
      <c r="O44" s="3200"/>
      <c r="P44" s="3200"/>
      <c r="Q44" s="3200"/>
      <c r="R44" s="3200"/>
      <c r="S44" s="3200"/>
      <c r="T44" s="3200"/>
      <c r="U44" s="3200"/>
      <c r="V44" s="3200"/>
      <c r="W44" s="3200"/>
      <c r="X44" s="3200"/>
      <c r="Y44" s="3200"/>
      <c r="Z44" s="3200"/>
      <c r="AA44" s="3200"/>
      <c r="AB44" s="3200"/>
      <c r="AC44" s="3174">
        <f t="shared" si="36"/>
        <v>0</v>
      </c>
      <c r="AD44" s="3212"/>
      <c r="AE44" s="3212"/>
      <c r="AF44" s="3180"/>
      <c r="AG44" s="3212"/>
      <c r="AH44" s="3212"/>
      <c r="AI44" s="3212"/>
      <c r="AJ44" s="3212"/>
      <c r="AK44" s="3212"/>
      <c r="AL44" s="3212"/>
      <c r="AM44" s="3212"/>
      <c r="AN44" s="3212"/>
      <c r="AO44" s="3212"/>
      <c r="AP44" s="3212"/>
      <c r="AQ44" s="3212"/>
      <c r="AR44" s="3212"/>
      <c r="AS44" s="3212"/>
      <c r="AT44" s="3175"/>
      <c r="AU44" s="3232"/>
      <c r="AV44" s="466">
        <f t="shared" si="37"/>
        <v>0</v>
      </c>
      <c r="AW44" s="466">
        <f t="shared" si="38"/>
        <v>0</v>
      </c>
      <c r="AX44" s="466">
        <f t="shared" si="39"/>
        <v>0</v>
      </c>
      <c r="AY44" s="385">
        <f t="shared" si="40"/>
        <v>0</v>
      </c>
      <c r="AZ44" s="3174">
        <f t="shared" si="41"/>
        <v>0</v>
      </c>
      <c r="BA44" s="3174">
        <f t="shared" si="42"/>
        <v>0</v>
      </c>
      <c r="BB44" s="3174">
        <f t="shared" si="43"/>
        <v>0</v>
      </c>
      <c r="BC44" s="3174">
        <f t="shared" si="44"/>
        <v>0</v>
      </c>
      <c r="BD44" s="3174">
        <f t="shared" si="45"/>
        <v>0</v>
      </c>
      <c r="BE44" s="3174">
        <f t="shared" si="46"/>
        <v>0</v>
      </c>
      <c r="BF44" s="3174">
        <f t="shared" si="47"/>
        <v>0</v>
      </c>
      <c r="BG44" s="3174">
        <f t="shared" si="48"/>
        <v>0</v>
      </c>
      <c r="BH44" s="3174">
        <f t="shared" si="49"/>
        <v>0</v>
      </c>
      <c r="BI44" s="3174">
        <f t="shared" si="50"/>
        <v>0</v>
      </c>
      <c r="BJ44" s="3174">
        <f t="shared" si="51"/>
        <v>0</v>
      </c>
      <c r="BK44" s="3174">
        <f t="shared" si="52"/>
        <v>0</v>
      </c>
      <c r="BL44" s="3174">
        <f t="shared" si="53"/>
        <v>0</v>
      </c>
      <c r="BM44" s="3174">
        <f t="shared" si="54"/>
        <v>0</v>
      </c>
      <c r="BN44" s="3174">
        <f t="shared" si="55"/>
        <v>0</v>
      </c>
      <c r="BO44" s="3174">
        <f t="shared" si="56"/>
        <v>0</v>
      </c>
      <c r="BP44" s="3174">
        <f t="shared" si="57"/>
        <v>0</v>
      </c>
      <c r="BQ44" s="3174">
        <f t="shared" si="58"/>
        <v>0</v>
      </c>
      <c r="BR44" s="3174">
        <f t="shared" si="59"/>
        <v>0</v>
      </c>
      <c r="BS44" s="3174">
        <f t="shared" si="60"/>
        <v>0</v>
      </c>
      <c r="BT44" s="3249">
        <f t="shared" si="61"/>
        <v>0</v>
      </c>
    </row>
    <row r="45" spans="1:72">
      <c r="A45" s="489"/>
      <c r="B45" s="3179"/>
      <c r="C45" s="3180"/>
      <c r="D45" s="3181"/>
      <c r="E45" s="3174">
        <f t="shared" si="33"/>
        <v>0</v>
      </c>
      <c r="F45" s="3175"/>
      <c r="G45" s="3176">
        <f t="shared" si="34"/>
        <v>0</v>
      </c>
      <c r="H45" s="3177">
        <f t="shared" si="35"/>
        <v>0</v>
      </c>
      <c r="I45" s="3180"/>
      <c r="J45" s="3200"/>
      <c r="K45" s="3180"/>
      <c r="L45" s="3200"/>
      <c r="M45" s="3200"/>
      <c r="N45" s="3200"/>
      <c r="O45" s="3200"/>
      <c r="P45" s="3200"/>
      <c r="Q45" s="3200"/>
      <c r="R45" s="3200"/>
      <c r="S45" s="3200"/>
      <c r="T45" s="3200"/>
      <c r="U45" s="3200"/>
      <c r="V45" s="3200"/>
      <c r="W45" s="3200"/>
      <c r="X45" s="3200"/>
      <c r="Y45" s="3200"/>
      <c r="Z45" s="3200"/>
      <c r="AA45" s="3200"/>
      <c r="AB45" s="3200"/>
      <c r="AC45" s="3174">
        <f t="shared" si="36"/>
        <v>0</v>
      </c>
      <c r="AD45" s="3212"/>
      <c r="AE45" s="3212"/>
      <c r="AF45" s="3180"/>
      <c r="AG45" s="3212"/>
      <c r="AH45" s="3212"/>
      <c r="AI45" s="3212"/>
      <c r="AJ45" s="3212"/>
      <c r="AK45" s="3212"/>
      <c r="AL45" s="3212"/>
      <c r="AM45" s="3212"/>
      <c r="AN45" s="3212"/>
      <c r="AO45" s="3212"/>
      <c r="AP45" s="3212"/>
      <c r="AQ45" s="3212"/>
      <c r="AR45" s="3212"/>
      <c r="AS45" s="3212"/>
      <c r="AT45" s="3175"/>
      <c r="AU45" s="3232"/>
      <c r="AV45" s="466">
        <f t="shared" si="37"/>
        <v>0</v>
      </c>
      <c r="AW45" s="466">
        <f t="shared" si="38"/>
        <v>0</v>
      </c>
      <c r="AX45" s="466">
        <f t="shared" si="39"/>
        <v>0</v>
      </c>
      <c r="AY45" s="385">
        <f t="shared" si="40"/>
        <v>0</v>
      </c>
      <c r="AZ45" s="3174">
        <f t="shared" si="41"/>
        <v>0</v>
      </c>
      <c r="BA45" s="3174">
        <f t="shared" si="42"/>
        <v>0</v>
      </c>
      <c r="BB45" s="3174">
        <f t="shared" si="43"/>
        <v>0</v>
      </c>
      <c r="BC45" s="3174">
        <f t="shared" si="44"/>
        <v>0</v>
      </c>
      <c r="BD45" s="3174">
        <f t="shared" si="45"/>
        <v>0</v>
      </c>
      <c r="BE45" s="3174">
        <f t="shared" si="46"/>
        <v>0</v>
      </c>
      <c r="BF45" s="3174">
        <f t="shared" si="47"/>
        <v>0</v>
      </c>
      <c r="BG45" s="3174">
        <f t="shared" si="48"/>
        <v>0</v>
      </c>
      <c r="BH45" s="3174">
        <f t="shared" si="49"/>
        <v>0</v>
      </c>
      <c r="BI45" s="3174">
        <f t="shared" si="50"/>
        <v>0</v>
      </c>
      <c r="BJ45" s="3174">
        <f t="shared" si="51"/>
        <v>0</v>
      </c>
      <c r="BK45" s="3174">
        <f t="shared" si="52"/>
        <v>0</v>
      </c>
      <c r="BL45" s="3174">
        <f t="shared" si="53"/>
        <v>0</v>
      </c>
      <c r="BM45" s="3174">
        <f t="shared" si="54"/>
        <v>0</v>
      </c>
      <c r="BN45" s="3174">
        <f t="shared" si="55"/>
        <v>0</v>
      </c>
      <c r="BO45" s="3174">
        <f t="shared" si="56"/>
        <v>0</v>
      </c>
      <c r="BP45" s="3174">
        <f t="shared" si="57"/>
        <v>0</v>
      </c>
      <c r="BQ45" s="3174">
        <f t="shared" si="58"/>
        <v>0</v>
      </c>
      <c r="BR45" s="3174">
        <f t="shared" si="59"/>
        <v>0</v>
      </c>
      <c r="BS45" s="3174">
        <f t="shared" si="60"/>
        <v>0</v>
      </c>
      <c r="BT45" s="3249">
        <f t="shared" si="61"/>
        <v>0</v>
      </c>
    </row>
    <row r="46" spans="1:72">
      <c r="A46" s="489"/>
      <c r="B46" s="3179"/>
      <c r="C46" s="3180"/>
      <c r="D46" s="3181"/>
      <c r="E46" s="3174">
        <f t="shared" si="33"/>
        <v>0</v>
      </c>
      <c r="F46" s="3175"/>
      <c r="G46" s="3176">
        <f t="shared" si="34"/>
        <v>0</v>
      </c>
      <c r="H46" s="3177">
        <f t="shared" si="35"/>
        <v>0</v>
      </c>
      <c r="I46" s="3180"/>
      <c r="J46" s="3200"/>
      <c r="K46" s="3180"/>
      <c r="L46" s="3200"/>
      <c r="M46" s="3200"/>
      <c r="N46" s="3200"/>
      <c r="O46" s="3200"/>
      <c r="P46" s="3200"/>
      <c r="Q46" s="3200"/>
      <c r="R46" s="3200"/>
      <c r="S46" s="3200"/>
      <c r="T46" s="3200"/>
      <c r="U46" s="3200"/>
      <c r="V46" s="3200"/>
      <c r="W46" s="3200"/>
      <c r="X46" s="3200"/>
      <c r="Y46" s="3200"/>
      <c r="Z46" s="3200"/>
      <c r="AA46" s="3200"/>
      <c r="AB46" s="3200"/>
      <c r="AC46" s="3174">
        <f t="shared" si="36"/>
        <v>0</v>
      </c>
      <c r="AD46" s="3212"/>
      <c r="AE46" s="3212"/>
      <c r="AF46" s="3180"/>
      <c r="AG46" s="3212"/>
      <c r="AH46" s="3212"/>
      <c r="AI46" s="3212"/>
      <c r="AJ46" s="3212"/>
      <c r="AK46" s="3212"/>
      <c r="AL46" s="3212"/>
      <c r="AM46" s="3212"/>
      <c r="AN46" s="3212"/>
      <c r="AO46" s="3212"/>
      <c r="AP46" s="3212"/>
      <c r="AQ46" s="3212"/>
      <c r="AR46" s="3212"/>
      <c r="AS46" s="3212"/>
      <c r="AT46" s="3175"/>
      <c r="AU46" s="3232"/>
      <c r="AV46" s="466">
        <f t="shared" si="37"/>
        <v>0</v>
      </c>
      <c r="AW46" s="466">
        <f t="shared" si="38"/>
        <v>0</v>
      </c>
      <c r="AX46" s="466">
        <f t="shared" si="39"/>
        <v>0</v>
      </c>
      <c r="AY46" s="385">
        <f t="shared" si="40"/>
        <v>0</v>
      </c>
      <c r="AZ46" s="3174">
        <f t="shared" si="41"/>
        <v>0</v>
      </c>
      <c r="BA46" s="3174">
        <f t="shared" si="42"/>
        <v>0</v>
      </c>
      <c r="BB46" s="3174">
        <f t="shared" si="43"/>
        <v>0</v>
      </c>
      <c r="BC46" s="3174">
        <f t="shared" si="44"/>
        <v>0</v>
      </c>
      <c r="BD46" s="3174">
        <f t="shared" si="45"/>
        <v>0</v>
      </c>
      <c r="BE46" s="3174">
        <f t="shared" si="46"/>
        <v>0</v>
      </c>
      <c r="BF46" s="3174">
        <f t="shared" si="47"/>
        <v>0</v>
      </c>
      <c r="BG46" s="3174">
        <f t="shared" si="48"/>
        <v>0</v>
      </c>
      <c r="BH46" s="3174">
        <f t="shared" si="49"/>
        <v>0</v>
      </c>
      <c r="BI46" s="3174">
        <f t="shared" si="50"/>
        <v>0</v>
      </c>
      <c r="BJ46" s="3174">
        <f t="shared" si="51"/>
        <v>0</v>
      </c>
      <c r="BK46" s="3174">
        <f t="shared" si="52"/>
        <v>0</v>
      </c>
      <c r="BL46" s="3174">
        <f t="shared" si="53"/>
        <v>0</v>
      </c>
      <c r="BM46" s="3174">
        <f t="shared" si="54"/>
        <v>0</v>
      </c>
      <c r="BN46" s="3174">
        <f t="shared" si="55"/>
        <v>0</v>
      </c>
      <c r="BO46" s="3174">
        <f t="shared" si="56"/>
        <v>0</v>
      </c>
      <c r="BP46" s="3174">
        <f t="shared" si="57"/>
        <v>0</v>
      </c>
      <c r="BQ46" s="3174">
        <f t="shared" si="58"/>
        <v>0</v>
      </c>
      <c r="BR46" s="3174">
        <f t="shared" si="59"/>
        <v>0</v>
      </c>
      <c r="BS46" s="3174">
        <f t="shared" si="60"/>
        <v>0</v>
      </c>
      <c r="BT46" s="3249">
        <f t="shared" si="61"/>
        <v>0</v>
      </c>
    </row>
    <row r="47" spans="1:72">
      <c r="A47" s="489"/>
      <c r="B47" s="3179"/>
      <c r="C47" s="3180"/>
      <c r="D47" s="3181"/>
      <c r="E47" s="3174">
        <f t="shared" si="33"/>
        <v>0</v>
      </c>
      <c r="F47" s="3175"/>
      <c r="G47" s="3176">
        <f t="shared" si="34"/>
        <v>0</v>
      </c>
      <c r="H47" s="3177">
        <f t="shared" si="35"/>
        <v>0</v>
      </c>
      <c r="I47" s="3180"/>
      <c r="J47" s="3200"/>
      <c r="K47" s="3180"/>
      <c r="L47" s="3200"/>
      <c r="M47" s="3200"/>
      <c r="N47" s="3200"/>
      <c r="O47" s="3200"/>
      <c r="P47" s="3200"/>
      <c r="Q47" s="3200"/>
      <c r="R47" s="3200"/>
      <c r="S47" s="3200"/>
      <c r="T47" s="3200"/>
      <c r="U47" s="3200"/>
      <c r="V47" s="3200"/>
      <c r="W47" s="3200"/>
      <c r="X47" s="3200"/>
      <c r="Y47" s="3200"/>
      <c r="Z47" s="3200"/>
      <c r="AA47" s="3200"/>
      <c r="AB47" s="3200"/>
      <c r="AC47" s="3174">
        <f t="shared" si="36"/>
        <v>0</v>
      </c>
      <c r="AD47" s="3212"/>
      <c r="AE47" s="3212"/>
      <c r="AF47" s="3180"/>
      <c r="AG47" s="3212"/>
      <c r="AH47" s="3212"/>
      <c r="AI47" s="3212"/>
      <c r="AJ47" s="3212"/>
      <c r="AK47" s="3212"/>
      <c r="AL47" s="3212"/>
      <c r="AM47" s="3212"/>
      <c r="AN47" s="3212"/>
      <c r="AO47" s="3212"/>
      <c r="AP47" s="3212"/>
      <c r="AQ47" s="3212"/>
      <c r="AR47" s="3212"/>
      <c r="AS47" s="3212"/>
      <c r="AT47" s="3175"/>
      <c r="AU47" s="3232"/>
      <c r="AV47" s="466">
        <f t="shared" si="37"/>
        <v>0</v>
      </c>
      <c r="AW47" s="466">
        <f t="shared" si="38"/>
        <v>0</v>
      </c>
      <c r="AX47" s="466">
        <f t="shared" si="39"/>
        <v>0</v>
      </c>
      <c r="AY47" s="385">
        <f t="shared" si="40"/>
        <v>0</v>
      </c>
      <c r="AZ47" s="3174">
        <f t="shared" si="41"/>
        <v>0</v>
      </c>
      <c r="BA47" s="3174">
        <f t="shared" si="42"/>
        <v>0</v>
      </c>
      <c r="BB47" s="3174">
        <f t="shared" si="43"/>
        <v>0</v>
      </c>
      <c r="BC47" s="3174">
        <f t="shared" si="44"/>
        <v>0</v>
      </c>
      <c r="BD47" s="3174">
        <f t="shared" si="45"/>
        <v>0</v>
      </c>
      <c r="BE47" s="3174">
        <f t="shared" si="46"/>
        <v>0</v>
      </c>
      <c r="BF47" s="3174">
        <f t="shared" si="47"/>
        <v>0</v>
      </c>
      <c r="BG47" s="3174">
        <f t="shared" si="48"/>
        <v>0</v>
      </c>
      <c r="BH47" s="3174">
        <f t="shared" si="49"/>
        <v>0</v>
      </c>
      <c r="BI47" s="3174">
        <f t="shared" si="50"/>
        <v>0</v>
      </c>
      <c r="BJ47" s="3174">
        <f t="shared" si="51"/>
        <v>0</v>
      </c>
      <c r="BK47" s="3174">
        <f t="shared" si="52"/>
        <v>0</v>
      </c>
      <c r="BL47" s="3174">
        <f t="shared" si="53"/>
        <v>0</v>
      </c>
      <c r="BM47" s="3174">
        <f t="shared" si="54"/>
        <v>0</v>
      </c>
      <c r="BN47" s="3174">
        <f t="shared" si="55"/>
        <v>0</v>
      </c>
      <c r="BO47" s="3174">
        <f t="shared" si="56"/>
        <v>0</v>
      </c>
      <c r="BP47" s="3174">
        <f t="shared" si="57"/>
        <v>0</v>
      </c>
      <c r="BQ47" s="3174">
        <f t="shared" si="58"/>
        <v>0</v>
      </c>
      <c r="BR47" s="3174">
        <f t="shared" si="59"/>
        <v>0</v>
      </c>
      <c r="BS47" s="3174">
        <f t="shared" si="60"/>
        <v>0</v>
      </c>
      <c r="BT47" s="3249">
        <f t="shared" si="61"/>
        <v>0</v>
      </c>
    </row>
    <row r="48" spans="1:72">
      <c r="A48" s="489"/>
      <c r="B48" s="3179"/>
      <c r="C48" s="3180"/>
      <c r="D48" s="3181"/>
      <c r="E48" s="3174">
        <f t="shared" si="33"/>
        <v>0</v>
      </c>
      <c r="F48" s="3175"/>
      <c r="G48" s="3176">
        <f t="shared" si="34"/>
        <v>0</v>
      </c>
      <c r="H48" s="3177">
        <f t="shared" si="35"/>
        <v>0</v>
      </c>
      <c r="I48" s="3180"/>
      <c r="J48" s="3200"/>
      <c r="K48" s="3180"/>
      <c r="L48" s="3200"/>
      <c r="M48" s="3200"/>
      <c r="N48" s="3200"/>
      <c r="O48" s="3200"/>
      <c r="P48" s="3200"/>
      <c r="Q48" s="3200"/>
      <c r="R48" s="3200"/>
      <c r="S48" s="3200"/>
      <c r="T48" s="3200"/>
      <c r="U48" s="3200"/>
      <c r="V48" s="3200"/>
      <c r="W48" s="3200"/>
      <c r="X48" s="3200"/>
      <c r="Y48" s="3200"/>
      <c r="Z48" s="3200"/>
      <c r="AA48" s="3200"/>
      <c r="AB48" s="3200"/>
      <c r="AC48" s="3174">
        <f t="shared" si="36"/>
        <v>0</v>
      </c>
      <c r="AD48" s="3212"/>
      <c r="AE48" s="3212"/>
      <c r="AF48" s="3180"/>
      <c r="AG48" s="3212"/>
      <c r="AH48" s="3212"/>
      <c r="AI48" s="3212"/>
      <c r="AJ48" s="3212"/>
      <c r="AK48" s="3212"/>
      <c r="AL48" s="3212"/>
      <c r="AM48" s="3212"/>
      <c r="AN48" s="3212"/>
      <c r="AO48" s="3212"/>
      <c r="AP48" s="3212"/>
      <c r="AQ48" s="3212"/>
      <c r="AR48" s="3212"/>
      <c r="AS48" s="3212"/>
      <c r="AT48" s="3175"/>
      <c r="AU48" s="3232"/>
      <c r="AV48" s="466">
        <f t="shared" si="37"/>
        <v>0</v>
      </c>
      <c r="AW48" s="466">
        <f t="shared" si="38"/>
        <v>0</v>
      </c>
      <c r="AX48" s="466">
        <f t="shared" si="39"/>
        <v>0</v>
      </c>
      <c r="AY48" s="385">
        <f t="shared" si="40"/>
        <v>0</v>
      </c>
      <c r="AZ48" s="3174">
        <f t="shared" si="41"/>
        <v>0</v>
      </c>
      <c r="BA48" s="3174">
        <f t="shared" si="42"/>
        <v>0</v>
      </c>
      <c r="BB48" s="3174">
        <f t="shared" si="43"/>
        <v>0</v>
      </c>
      <c r="BC48" s="3174">
        <f t="shared" si="44"/>
        <v>0</v>
      </c>
      <c r="BD48" s="3174">
        <f t="shared" si="45"/>
        <v>0</v>
      </c>
      <c r="BE48" s="3174">
        <f t="shared" si="46"/>
        <v>0</v>
      </c>
      <c r="BF48" s="3174">
        <f t="shared" si="47"/>
        <v>0</v>
      </c>
      <c r="BG48" s="3174">
        <f t="shared" si="48"/>
        <v>0</v>
      </c>
      <c r="BH48" s="3174">
        <f t="shared" si="49"/>
        <v>0</v>
      </c>
      <c r="BI48" s="3174">
        <f t="shared" si="50"/>
        <v>0</v>
      </c>
      <c r="BJ48" s="3174">
        <f t="shared" si="51"/>
        <v>0</v>
      </c>
      <c r="BK48" s="3174">
        <f t="shared" si="52"/>
        <v>0</v>
      </c>
      <c r="BL48" s="3174">
        <f t="shared" si="53"/>
        <v>0</v>
      </c>
      <c r="BM48" s="3174">
        <f t="shared" si="54"/>
        <v>0</v>
      </c>
      <c r="BN48" s="3174">
        <f t="shared" si="55"/>
        <v>0</v>
      </c>
      <c r="BO48" s="3174">
        <f t="shared" si="56"/>
        <v>0</v>
      </c>
      <c r="BP48" s="3174">
        <f t="shared" si="57"/>
        <v>0</v>
      </c>
      <c r="BQ48" s="3174">
        <f t="shared" si="58"/>
        <v>0</v>
      </c>
      <c r="BR48" s="3174">
        <f t="shared" si="59"/>
        <v>0</v>
      </c>
      <c r="BS48" s="3174">
        <f t="shared" si="60"/>
        <v>0</v>
      </c>
      <c r="BT48" s="3249">
        <f t="shared" si="61"/>
        <v>0</v>
      </c>
    </row>
    <row r="49" spans="1:72">
      <c r="A49" s="489"/>
      <c r="B49" s="3179"/>
      <c r="C49" s="3180"/>
      <c r="D49" s="3181"/>
      <c r="E49" s="3174">
        <f t="shared" si="33"/>
        <v>0</v>
      </c>
      <c r="F49" s="3175"/>
      <c r="G49" s="3176">
        <f t="shared" si="34"/>
        <v>0</v>
      </c>
      <c r="H49" s="3177">
        <f t="shared" si="35"/>
        <v>0</v>
      </c>
      <c r="I49" s="3180"/>
      <c r="J49" s="3200"/>
      <c r="K49" s="3180"/>
      <c r="L49" s="3200"/>
      <c r="M49" s="3200"/>
      <c r="N49" s="3200"/>
      <c r="O49" s="3200"/>
      <c r="P49" s="3200"/>
      <c r="Q49" s="3200"/>
      <c r="R49" s="3200"/>
      <c r="S49" s="3200"/>
      <c r="T49" s="3200"/>
      <c r="U49" s="3200"/>
      <c r="V49" s="3200"/>
      <c r="W49" s="3200"/>
      <c r="X49" s="3200"/>
      <c r="Y49" s="3200"/>
      <c r="Z49" s="3200"/>
      <c r="AA49" s="3200"/>
      <c r="AB49" s="3200"/>
      <c r="AC49" s="3174">
        <f t="shared" si="36"/>
        <v>0</v>
      </c>
      <c r="AD49" s="3212"/>
      <c r="AE49" s="3212"/>
      <c r="AF49" s="3180"/>
      <c r="AG49" s="3212"/>
      <c r="AH49" s="3212"/>
      <c r="AI49" s="3212"/>
      <c r="AJ49" s="3212"/>
      <c r="AK49" s="3212"/>
      <c r="AL49" s="3212"/>
      <c r="AM49" s="3212"/>
      <c r="AN49" s="3212"/>
      <c r="AO49" s="3212"/>
      <c r="AP49" s="3212"/>
      <c r="AQ49" s="3212"/>
      <c r="AR49" s="3212"/>
      <c r="AS49" s="3212"/>
      <c r="AT49" s="3175"/>
      <c r="AU49" s="3232"/>
      <c r="AV49" s="466">
        <f t="shared" si="37"/>
        <v>0</v>
      </c>
      <c r="AW49" s="466">
        <f t="shared" si="38"/>
        <v>0</v>
      </c>
      <c r="AX49" s="466">
        <f t="shared" si="39"/>
        <v>0</v>
      </c>
      <c r="AY49" s="385">
        <f t="shared" si="40"/>
        <v>0</v>
      </c>
      <c r="AZ49" s="3174">
        <f t="shared" si="41"/>
        <v>0</v>
      </c>
      <c r="BA49" s="3174">
        <f t="shared" si="42"/>
        <v>0</v>
      </c>
      <c r="BB49" s="3174">
        <f t="shared" si="43"/>
        <v>0</v>
      </c>
      <c r="BC49" s="3174">
        <f t="shared" si="44"/>
        <v>0</v>
      </c>
      <c r="BD49" s="3174">
        <f t="shared" si="45"/>
        <v>0</v>
      </c>
      <c r="BE49" s="3174">
        <f t="shared" si="46"/>
        <v>0</v>
      </c>
      <c r="BF49" s="3174">
        <f t="shared" si="47"/>
        <v>0</v>
      </c>
      <c r="BG49" s="3174">
        <f t="shared" si="48"/>
        <v>0</v>
      </c>
      <c r="BH49" s="3174">
        <f t="shared" si="49"/>
        <v>0</v>
      </c>
      <c r="BI49" s="3174">
        <f t="shared" si="50"/>
        <v>0</v>
      </c>
      <c r="BJ49" s="3174">
        <f t="shared" si="51"/>
        <v>0</v>
      </c>
      <c r="BK49" s="3174">
        <f t="shared" si="52"/>
        <v>0</v>
      </c>
      <c r="BL49" s="3174">
        <f t="shared" si="53"/>
        <v>0</v>
      </c>
      <c r="BM49" s="3174">
        <f t="shared" si="54"/>
        <v>0</v>
      </c>
      <c r="BN49" s="3174">
        <f t="shared" si="55"/>
        <v>0</v>
      </c>
      <c r="BO49" s="3174">
        <f t="shared" si="56"/>
        <v>0</v>
      </c>
      <c r="BP49" s="3174">
        <f t="shared" si="57"/>
        <v>0</v>
      </c>
      <c r="BQ49" s="3174">
        <f t="shared" si="58"/>
        <v>0</v>
      </c>
      <c r="BR49" s="3174">
        <f t="shared" si="59"/>
        <v>0</v>
      </c>
      <c r="BS49" s="3174">
        <f t="shared" si="60"/>
        <v>0</v>
      </c>
      <c r="BT49" s="3249">
        <f t="shared" si="61"/>
        <v>0</v>
      </c>
    </row>
    <row r="50" spans="1:72">
      <c r="A50" s="489"/>
      <c r="B50" s="3179"/>
      <c r="C50" s="3180"/>
      <c r="D50" s="3181"/>
      <c r="E50" s="3174">
        <f t="shared" si="33"/>
        <v>0</v>
      </c>
      <c r="F50" s="3175"/>
      <c r="G50" s="3176">
        <f t="shared" si="34"/>
        <v>0</v>
      </c>
      <c r="H50" s="3177">
        <f t="shared" si="35"/>
        <v>0</v>
      </c>
      <c r="I50" s="3180"/>
      <c r="J50" s="3200"/>
      <c r="K50" s="3180"/>
      <c r="L50" s="3200"/>
      <c r="M50" s="3200"/>
      <c r="N50" s="3200"/>
      <c r="O50" s="3200"/>
      <c r="P50" s="3200"/>
      <c r="Q50" s="3200"/>
      <c r="R50" s="3200"/>
      <c r="S50" s="3200"/>
      <c r="T50" s="3200"/>
      <c r="U50" s="3200"/>
      <c r="V50" s="3200"/>
      <c r="W50" s="3200"/>
      <c r="X50" s="3200"/>
      <c r="Y50" s="3200"/>
      <c r="Z50" s="3200"/>
      <c r="AA50" s="3200"/>
      <c r="AB50" s="3200"/>
      <c r="AC50" s="3174">
        <f t="shared" si="36"/>
        <v>0</v>
      </c>
      <c r="AD50" s="3212"/>
      <c r="AE50" s="3212"/>
      <c r="AF50" s="3180"/>
      <c r="AG50" s="3212"/>
      <c r="AH50" s="3212"/>
      <c r="AI50" s="3212"/>
      <c r="AJ50" s="3212"/>
      <c r="AK50" s="3212"/>
      <c r="AL50" s="3212"/>
      <c r="AM50" s="3212"/>
      <c r="AN50" s="3212"/>
      <c r="AO50" s="3212"/>
      <c r="AP50" s="3212"/>
      <c r="AQ50" s="3212"/>
      <c r="AR50" s="3212"/>
      <c r="AS50" s="3212"/>
      <c r="AT50" s="3175"/>
      <c r="AU50" s="3232"/>
      <c r="AV50" s="466">
        <f t="shared" si="37"/>
        <v>0</v>
      </c>
      <c r="AW50" s="466">
        <f t="shared" si="38"/>
        <v>0</v>
      </c>
      <c r="AX50" s="466">
        <f t="shared" si="39"/>
        <v>0</v>
      </c>
      <c r="AY50" s="385">
        <f t="shared" si="40"/>
        <v>0</v>
      </c>
      <c r="AZ50" s="3174">
        <f t="shared" si="41"/>
        <v>0</v>
      </c>
      <c r="BA50" s="3174">
        <f t="shared" si="42"/>
        <v>0</v>
      </c>
      <c r="BB50" s="3174">
        <f t="shared" si="43"/>
        <v>0</v>
      </c>
      <c r="BC50" s="3174">
        <f t="shared" si="44"/>
        <v>0</v>
      </c>
      <c r="BD50" s="3174">
        <f t="shared" si="45"/>
        <v>0</v>
      </c>
      <c r="BE50" s="3174">
        <f t="shared" si="46"/>
        <v>0</v>
      </c>
      <c r="BF50" s="3174">
        <f t="shared" si="47"/>
        <v>0</v>
      </c>
      <c r="BG50" s="3174">
        <f t="shared" si="48"/>
        <v>0</v>
      </c>
      <c r="BH50" s="3174">
        <f t="shared" si="49"/>
        <v>0</v>
      </c>
      <c r="BI50" s="3174">
        <f t="shared" si="50"/>
        <v>0</v>
      </c>
      <c r="BJ50" s="3174">
        <f t="shared" si="51"/>
        <v>0</v>
      </c>
      <c r="BK50" s="3174">
        <f t="shared" si="52"/>
        <v>0</v>
      </c>
      <c r="BL50" s="3174">
        <f t="shared" si="53"/>
        <v>0</v>
      </c>
      <c r="BM50" s="3174">
        <f t="shared" si="54"/>
        <v>0</v>
      </c>
      <c r="BN50" s="3174">
        <f t="shared" si="55"/>
        <v>0</v>
      </c>
      <c r="BO50" s="3174">
        <f t="shared" si="56"/>
        <v>0</v>
      </c>
      <c r="BP50" s="3174">
        <f t="shared" si="57"/>
        <v>0</v>
      </c>
      <c r="BQ50" s="3174">
        <f t="shared" si="58"/>
        <v>0</v>
      </c>
      <c r="BR50" s="3174">
        <f t="shared" si="59"/>
        <v>0</v>
      </c>
      <c r="BS50" s="3174">
        <f t="shared" si="60"/>
        <v>0</v>
      </c>
      <c r="BT50" s="3249">
        <f t="shared" si="61"/>
        <v>0</v>
      </c>
    </row>
    <row r="51" spans="1:72">
      <c r="A51" s="489"/>
      <c r="B51" s="3179"/>
      <c r="C51" s="3180"/>
      <c r="D51" s="3181"/>
      <c r="E51" s="3174">
        <f t="shared" si="33"/>
        <v>0</v>
      </c>
      <c r="F51" s="3175"/>
      <c r="G51" s="3176">
        <f t="shared" si="34"/>
        <v>0</v>
      </c>
      <c r="H51" s="3177">
        <f t="shared" si="35"/>
        <v>0</v>
      </c>
      <c r="I51" s="3180"/>
      <c r="J51" s="3200"/>
      <c r="K51" s="3180"/>
      <c r="L51" s="3200"/>
      <c r="M51" s="3200"/>
      <c r="N51" s="3200"/>
      <c r="O51" s="3200"/>
      <c r="P51" s="3200"/>
      <c r="Q51" s="3200"/>
      <c r="R51" s="3200"/>
      <c r="S51" s="3200"/>
      <c r="T51" s="3200"/>
      <c r="U51" s="3200"/>
      <c r="V51" s="3200"/>
      <c r="W51" s="3200"/>
      <c r="X51" s="3200"/>
      <c r="Y51" s="3200"/>
      <c r="Z51" s="3200"/>
      <c r="AA51" s="3200"/>
      <c r="AB51" s="3200"/>
      <c r="AC51" s="3174">
        <f t="shared" si="36"/>
        <v>0</v>
      </c>
      <c r="AD51" s="3212"/>
      <c r="AE51" s="3212"/>
      <c r="AF51" s="3180"/>
      <c r="AG51" s="3212"/>
      <c r="AH51" s="3212"/>
      <c r="AI51" s="3212"/>
      <c r="AJ51" s="3212"/>
      <c r="AK51" s="3212"/>
      <c r="AL51" s="3212"/>
      <c r="AM51" s="3212"/>
      <c r="AN51" s="3212"/>
      <c r="AO51" s="3212"/>
      <c r="AP51" s="3212"/>
      <c r="AQ51" s="3212"/>
      <c r="AR51" s="3212"/>
      <c r="AS51" s="3212"/>
      <c r="AT51" s="3175"/>
      <c r="AU51" s="3232"/>
      <c r="AV51" s="466">
        <f t="shared" si="37"/>
        <v>0</v>
      </c>
      <c r="AW51" s="466">
        <f t="shared" si="38"/>
        <v>0</v>
      </c>
      <c r="AX51" s="466">
        <f t="shared" si="39"/>
        <v>0</v>
      </c>
      <c r="AY51" s="385">
        <f t="shared" si="40"/>
        <v>0</v>
      </c>
      <c r="AZ51" s="3174">
        <f t="shared" si="41"/>
        <v>0</v>
      </c>
      <c r="BA51" s="3174">
        <f t="shared" si="42"/>
        <v>0</v>
      </c>
      <c r="BB51" s="3174">
        <f t="shared" si="43"/>
        <v>0</v>
      </c>
      <c r="BC51" s="3174">
        <f t="shared" si="44"/>
        <v>0</v>
      </c>
      <c r="BD51" s="3174">
        <f t="shared" si="45"/>
        <v>0</v>
      </c>
      <c r="BE51" s="3174">
        <f t="shared" si="46"/>
        <v>0</v>
      </c>
      <c r="BF51" s="3174">
        <f t="shared" si="47"/>
        <v>0</v>
      </c>
      <c r="BG51" s="3174">
        <f t="shared" si="48"/>
        <v>0</v>
      </c>
      <c r="BH51" s="3174">
        <f t="shared" si="49"/>
        <v>0</v>
      </c>
      <c r="BI51" s="3174">
        <f t="shared" si="50"/>
        <v>0</v>
      </c>
      <c r="BJ51" s="3174">
        <f t="shared" si="51"/>
        <v>0</v>
      </c>
      <c r="BK51" s="3174">
        <f t="shared" si="52"/>
        <v>0</v>
      </c>
      <c r="BL51" s="3174">
        <f t="shared" si="53"/>
        <v>0</v>
      </c>
      <c r="BM51" s="3174">
        <f t="shared" si="54"/>
        <v>0</v>
      </c>
      <c r="BN51" s="3174">
        <f t="shared" si="55"/>
        <v>0</v>
      </c>
      <c r="BO51" s="3174">
        <f t="shared" si="56"/>
        <v>0</v>
      </c>
      <c r="BP51" s="3174">
        <f t="shared" si="57"/>
        <v>0</v>
      </c>
      <c r="BQ51" s="3174">
        <f t="shared" si="58"/>
        <v>0</v>
      </c>
      <c r="BR51" s="3174">
        <f t="shared" si="59"/>
        <v>0</v>
      </c>
      <c r="BS51" s="3174">
        <f t="shared" si="60"/>
        <v>0</v>
      </c>
      <c r="BT51" s="3249">
        <f t="shared" si="61"/>
        <v>0</v>
      </c>
    </row>
    <row r="52" spans="1:72">
      <c r="A52" s="489"/>
      <c r="B52" s="3179"/>
      <c r="C52" s="3180"/>
      <c r="D52" s="3181"/>
      <c r="E52" s="3174">
        <f t="shared" si="33"/>
        <v>0</v>
      </c>
      <c r="F52" s="3175"/>
      <c r="G52" s="3176">
        <f t="shared" si="34"/>
        <v>0</v>
      </c>
      <c r="H52" s="3177">
        <f t="shared" si="35"/>
        <v>0</v>
      </c>
      <c r="I52" s="3180"/>
      <c r="J52" s="3200"/>
      <c r="K52" s="3180"/>
      <c r="L52" s="3200"/>
      <c r="M52" s="3200"/>
      <c r="N52" s="3200"/>
      <c r="O52" s="3200"/>
      <c r="P52" s="3200"/>
      <c r="Q52" s="3200"/>
      <c r="R52" s="3200"/>
      <c r="S52" s="3200"/>
      <c r="T52" s="3200"/>
      <c r="U52" s="3200"/>
      <c r="V52" s="3200"/>
      <c r="W52" s="3200"/>
      <c r="X52" s="3200"/>
      <c r="Y52" s="3200"/>
      <c r="Z52" s="3200"/>
      <c r="AA52" s="3200"/>
      <c r="AB52" s="3200"/>
      <c r="AC52" s="3174">
        <f t="shared" si="36"/>
        <v>0</v>
      </c>
      <c r="AD52" s="3212"/>
      <c r="AE52" s="3212"/>
      <c r="AF52" s="3180"/>
      <c r="AG52" s="3212"/>
      <c r="AH52" s="3212"/>
      <c r="AI52" s="3212"/>
      <c r="AJ52" s="3212"/>
      <c r="AK52" s="3212"/>
      <c r="AL52" s="3212"/>
      <c r="AM52" s="3212"/>
      <c r="AN52" s="3212"/>
      <c r="AO52" s="3212"/>
      <c r="AP52" s="3212"/>
      <c r="AQ52" s="3212"/>
      <c r="AR52" s="3212"/>
      <c r="AS52" s="3212"/>
      <c r="AT52" s="3175"/>
      <c r="AU52" s="3232"/>
      <c r="AV52" s="466">
        <f t="shared" si="37"/>
        <v>0</v>
      </c>
      <c r="AW52" s="466">
        <f t="shared" si="38"/>
        <v>0</v>
      </c>
      <c r="AX52" s="466">
        <f t="shared" si="39"/>
        <v>0</v>
      </c>
      <c r="AY52" s="385">
        <f t="shared" si="40"/>
        <v>0</v>
      </c>
      <c r="AZ52" s="3174">
        <f t="shared" si="41"/>
        <v>0</v>
      </c>
      <c r="BA52" s="3174">
        <f t="shared" si="42"/>
        <v>0</v>
      </c>
      <c r="BB52" s="3174">
        <f t="shared" si="43"/>
        <v>0</v>
      </c>
      <c r="BC52" s="3174">
        <f t="shared" si="44"/>
        <v>0</v>
      </c>
      <c r="BD52" s="3174">
        <f t="shared" si="45"/>
        <v>0</v>
      </c>
      <c r="BE52" s="3174">
        <f t="shared" si="46"/>
        <v>0</v>
      </c>
      <c r="BF52" s="3174">
        <f t="shared" si="47"/>
        <v>0</v>
      </c>
      <c r="BG52" s="3174">
        <f t="shared" si="48"/>
        <v>0</v>
      </c>
      <c r="BH52" s="3174">
        <f t="shared" si="49"/>
        <v>0</v>
      </c>
      <c r="BI52" s="3174">
        <f t="shared" si="50"/>
        <v>0</v>
      </c>
      <c r="BJ52" s="3174">
        <f t="shared" si="51"/>
        <v>0</v>
      </c>
      <c r="BK52" s="3174">
        <f t="shared" si="52"/>
        <v>0</v>
      </c>
      <c r="BL52" s="3174">
        <f t="shared" si="53"/>
        <v>0</v>
      </c>
      <c r="BM52" s="3174">
        <f t="shared" si="54"/>
        <v>0</v>
      </c>
      <c r="BN52" s="3174">
        <f t="shared" si="55"/>
        <v>0</v>
      </c>
      <c r="BO52" s="3174">
        <f t="shared" si="56"/>
        <v>0</v>
      </c>
      <c r="BP52" s="3174">
        <f t="shared" si="57"/>
        <v>0</v>
      </c>
      <c r="BQ52" s="3174">
        <f t="shared" si="58"/>
        <v>0</v>
      </c>
      <c r="BR52" s="3174">
        <f t="shared" si="59"/>
        <v>0</v>
      </c>
      <c r="BS52" s="3174">
        <f t="shared" si="60"/>
        <v>0</v>
      </c>
      <c r="BT52" s="3249">
        <f t="shared" si="61"/>
        <v>0</v>
      </c>
    </row>
    <row r="53" spans="1:72">
      <c r="A53" s="489"/>
      <c r="B53" s="3179"/>
      <c r="C53" s="3180"/>
      <c r="D53" s="3181"/>
      <c r="E53" s="3174">
        <f t="shared" si="33"/>
        <v>0</v>
      </c>
      <c r="F53" s="3175"/>
      <c r="G53" s="3176">
        <f t="shared" si="34"/>
        <v>0</v>
      </c>
      <c r="H53" s="3177">
        <f t="shared" si="35"/>
        <v>0</v>
      </c>
      <c r="I53" s="3180"/>
      <c r="J53" s="3200"/>
      <c r="K53" s="3180"/>
      <c r="L53" s="3200"/>
      <c r="M53" s="3200"/>
      <c r="N53" s="3200"/>
      <c r="O53" s="3200"/>
      <c r="P53" s="3200"/>
      <c r="Q53" s="3200"/>
      <c r="R53" s="3200"/>
      <c r="S53" s="3200"/>
      <c r="T53" s="3200"/>
      <c r="U53" s="3200"/>
      <c r="V53" s="3200"/>
      <c r="W53" s="3200"/>
      <c r="X53" s="3200"/>
      <c r="Y53" s="3200"/>
      <c r="Z53" s="3200"/>
      <c r="AA53" s="3200"/>
      <c r="AB53" s="3200"/>
      <c r="AC53" s="3174">
        <f t="shared" si="36"/>
        <v>0</v>
      </c>
      <c r="AD53" s="3212"/>
      <c r="AE53" s="3212"/>
      <c r="AF53" s="3180"/>
      <c r="AG53" s="3212"/>
      <c r="AH53" s="3212"/>
      <c r="AI53" s="3212"/>
      <c r="AJ53" s="3212"/>
      <c r="AK53" s="3212"/>
      <c r="AL53" s="3212"/>
      <c r="AM53" s="3212"/>
      <c r="AN53" s="3212"/>
      <c r="AO53" s="3212"/>
      <c r="AP53" s="3212"/>
      <c r="AQ53" s="3212"/>
      <c r="AR53" s="3212"/>
      <c r="AS53" s="3212"/>
      <c r="AT53" s="3175"/>
      <c r="AU53" s="3232"/>
      <c r="AV53" s="466">
        <f t="shared" si="37"/>
        <v>0</v>
      </c>
      <c r="AW53" s="466">
        <f t="shared" si="38"/>
        <v>0</v>
      </c>
      <c r="AX53" s="466">
        <f t="shared" si="39"/>
        <v>0</v>
      </c>
      <c r="AY53" s="385">
        <f t="shared" si="40"/>
        <v>0</v>
      </c>
      <c r="AZ53" s="3174">
        <f t="shared" si="41"/>
        <v>0</v>
      </c>
      <c r="BA53" s="3174">
        <f t="shared" si="42"/>
        <v>0</v>
      </c>
      <c r="BB53" s="3174">
        <f t="shared" si="43"/>
        <v>0</v>
      </c>
      <c r="BC53" s="3174">
        <f t="shared" si="44"/>
        <v>0</v>
      </c>
      <c r="BD53" s="3174">
        <f t="shared" si="45"/>
        <v>0</v>
      </c>
      <c r="BE53" s="3174">
        <f t="shared" si="46"/>
        <v>0</v>
      </c>
      <c r="BF53" s="3174">
        <f t="shared" si="47"/>
        <v>0</v>
      </c>
      <c r="BG53" s="3174">
        <f t="shared" si="48"/>
        <v>0</v>
      </c>
      <c r="BH53" s="3174">
        <f t="shared" si="49"/>
        <v>0</v>
      </c>
      <c r="BI53" s="3174">
        <f t="shared" si="50"/>
        <v>0</v>
      </c>
      <c r="BJ53" s="3174">
        <f t="shared" si="51"/>
        <v>0</v>
      </c>
      <c r="BK53" s="3174">
        <f t="shared" si="52"/>
        <v>0</v>
      </c>
      <c r="BL53" s="3174">
        <f t="shared" si="53"/>
        <v>0</v>
      </c>
      <c r="BM53" s="3174">
        <f t="shared" si="54"/>
        <v>0</v>
      </c>
      <c r="BN53" s="3174">
        <f t="shared" si="55"/>
        <v>0</v>
      </c>
      <c r="BO53" s="3174">
        <f t="shared" si="56"/>
        <v>0</v>
      </c>
      <c r="BP53" s="3174">
        <f t="shared" si="57"/>
        <v>0</v>
      </c>
      <c r="BQ53" s="3174">
        <f t="shared" si="58"/>
        <v>0</v>
      </c>
      <c r="BR53" s="3174">
        <f t="shared" si="59"/>
        <v>0</v>
      </c>
      <c r="BS53" s="3174">
        <f t="shared" si="60"/>
        <v>0</v>
      </c>
      <c r="BT53" s="3249">
        <f t="shared" si="61"/>
        <v>0</v>
      </c>
    </row>
    <row r="54" spans="1:72">
      <c r="A54" s="489"/>
      <c r="B54" s="3179"/>
      <c r="C54" s="3180"/>
      <c r="D54" s="3181"/>
      <c r="E54" s="3174">
        <f t="shared" si="33"/>
        <v>0</v>
      </c>
      <c r="F54" s="3175"/>
      <c r="G54" s="3176">
        <f t="shared" si="34"/>
        <v>0</v>
      </c>
      <c r="H54" s="3177">
        <f t="shared" si="35"/>
        <v>0</v>
      </c>
      <c r="I54" s="3180"/>
      <c r="J54" s="3200"/>
      <c r="K54" s="3180"/>
      <c r="L54" s="3200"/>
      <c r="M54" s="3200"/>
      <c r="N54" s="3200"/>
      <c r="O54" s="3200"/>
      <c r="P54" s="3200"/>
      <c r="Q54" s="3200"/>
      <c r="R54" s="3200"/>
      <c r="S54" s="3200"/>
      <c r="T54" s="3200"/>
      <c r="U54" s="3200"/>
      <c r="V54" s="3200"/>
      <c r="W54" s="3200"/>
      <c r="X54" s="3200"/>
      <c r="Y54" s="3200"/>
      <c r="Z54" s="3200"/>
      <c r="AA54" s="3200"/>
      <c r="AB54" s="3200"/>
      <c r="AC54" s="3174">
        <f t="shared" si="36"/>
        <v>0</v>
      </c>
      <c r="AD54" s="3212"/>
      <c r="AE54" s="3212"/>
      <c r="AF54" s="3180"/>
      <c r="AG54" s="3212"/>
      <c r="AH54" s="3212"/>
      <c r="AI54" s="3212"/>
      <c r="AJ54" s="3212"/>
      <c r="AK54" s="3212"/>
      <c r="AL54" s="3212"/>
      <c r="AM54" s="3212"/>
      <c r="AN54" s="3212"/>
      <c r="AO54" s="3212"/>
      <c r="AP54" s="3212"/>
      <c r="AQ54" s="3212"/>
      <c r="AR54" s="3212"/>
      <c r="AS54" s="3212"/>
      <c r="AT54" s="3175"/>
      <c r="AU54" s="3232"/>
      <c r="AV54" s="466">
        <f t="shared" si="37"/>
        <v>0</v>
      </c>
      <c r="AW54" s="466">
        <f t="shared" si="38"/>
        <v>0</v>
      </c>
      <c r="AX54" s="466">
        <f t="shared" si="39"/>
        <v>0</v>
      </c>
      <c r="AY54" s="385">
        <f t="shared" si="40"/>
        <v>0</v>
      </c>
      <c r="AZ54" s="3174">
        <f t="shared" si="41"/>
        <v>0</v>
      </c>
      <c r="BA54" s="3174">
        <f t="shared" si="42"/>
        <v>0</v>
      </c>
      <c r="BB54" s="3174">
        <f t="shared" si="43"/>
        <v>0</v>
      </c>
      <c r="BC54" s="3174">
        <f t="shared" si="44"/>
        <v>0</v>
      </c>
      <c r="BD54" s="3174">
        <f t="shared" si="45"/>
        <v>0</v>
      </c>
      <c r="BE54" s="3174">
        <f t="shared" si="46"/>
        <v>0</v>
      </c>
      <c r="BF54" s="3174">
        <f t="shared" si="47"/>
        <v>0</v>
      </c>
      <c r="BG54" s="3174">
        <f t="shared" si="48"/>
        <v>0</v>
      </c>
      <c r="BH54" s="3174">
        <f t="shared" si="49"/>
        <v>0</v>
      </c>
      <c r="BI54" s="3174">
        <f t="shared" si="50"/>
        <v>0</v>
      </c>
      <c r="BJ54" s="3174">
        <f t="shared" si="51"/>
        <v>0</v>
      </c>
      <c r="BK54" s="3174">
        <f t="shared" si="52"/>
        <v>0</v>
      </c>
      <c r="BL54" s="3174">
        <f t="shared" si="53"/>
        <v>0</v>
      </c>
      <c r="BM54" s="3174">
        <f t="shared" si="54"/>
        <v>0</v>
      </c>
      <c r="BN54" s="3174">
        <f t="shared" si="55"/>
        <v>0</v>
      </c>
      <c r="BO54" s="3174">
        <f t="shared" si="56"/>
        <v>0</v>
      </c>
      <c r="BP54" s="3174">
        <f t="shared" si="57"/>
        <v>0</v>
      </c>
      <c r="BQ54" s="3174">
        <f t="shared" si="58"/>
        <v>0</v>
      </c>
      <c r="BR54" s="3174">
        <f t="shared" si="59"/>
        <v>0</v>
      </c>
      <c r="BS54" s="3174">
        <f t="shared" si="60"/>
        <v>0</v>
      </c>
      <c r="BT54" s="3249">
        <f t="shared" si="61"/>
        <v>0</v>
      </c>
    </row>
    <row r="55" spans="1:72">
      <c r="A55" s="489"/>
      <c r="B55" s="3179"/>
      <c r="C55" s="3180"/>
      <c r="D55" s="3181"/>
      <c r="E55" s="3174">
        <f t="shared" si="33"/>
        <v>0</v>
      </c>
      <c r="F55" s="3175"/>
      <c r="G55" s="3176">
        <f t="shared" si="34"/>
        <v>0</v>
      </c>
      <c r="H55" s="3177">
        <f t="shared" si="35"/>
        <v>0</v>
      </c>
      <c r="I55" s="3180"/>
      <c r="J55" s="3200"/>
      <c r="K55" s="3180"/>
      <c r="L55" s="3200"/>
      <c r="M55" s="3180"/>
      <c r="N55" s="3200"/>
      <c r="O55" s="3200"/>
      <c r="P55" s="3200"/>
      <c r="Q55" s="3200"/>
      <c r="R55" s="3200"/>
      <c r="S55" s="3200"/>
      <c r="T55" s="3200"/>
      <c r="U55" s="3200"/>
      <c r="V55" s="3200"/>
      <c r="W55" s="3200"/>
      <c r="X55" s="3200"/>
      <c r="Y55" s="3200"/>
      <c r="Z55" s="3200"/>
      <c r="AA55" s="3200"/>
      <c r="AB55" s="3200"/>
      <c r="AC55" s="3174">
        <f t="shared" si="36"/>
        <v>0</v>
      </c>
      <c r="AD55" s="3212"/>
      <c r="AE55" s="3212"/>
      <c r="AF55" s="3180"/>
      <c r="AG55" s="3212"/>
      <c r="AH55" s="3212"/>
      <c r="AI55" s="3212"/>
      <c r="AJ55" s="3212"/>
      <c r="AK55" s="3212"/>
      <c r="AL55" s="3212"/>
      <c r="AM55" s="3212"/>
      <c r="AN55" s="3212"/>
      <c r="AO55" s="3212"/>
      <c r="AP55" s="3212"/>
      <c r="AQ55" s="3212"/>
      <c r="AR55" s="3212"/>
      <c r="AS55" s="3212"/>
      <c r="AT55" s="3175"/>
      <c r="AU55" s="3232"/>
      <c r="AV55" s="466">
        <f t="shared" si="37"/>
        <v>0</v>
      </c>
      <c r="AW55" s="466">
        <f t="shared" si="38"/>
        <v>0</v>
      </c>
      <c r="AX55" s="466">
        <f t="shared" si="39"/>
        <v>0</v>
      </c>
      <c r="AY55" s="385">
        <f t="shared" si="40"/>
        <v>0</v>
      </c>
      <c r="AZ55" s="3174">
        <f t="shared" si="41"/>
        <v>0</v>
      </c>
      <c r="BA55" s="3174">
        <f t="shared" si="42"/>
        <v>0</v>
      </c>
      <c r="BB55" s="3174">
        <f t="shared" si="43"/>
        <v>0</v>
      </c>
      <c r="BC55" s="3174">
        <f t="shared" si="44"/>
        <v>0</v>
      </c>
      <c r="BD55" s="3174">
        <f t="shared" si="45"/>
        <v>0</v>
      </c>
      <c r="BE55" s="3174">
        <f t="shared" si="46"/>
        <v>0</v>
      </c>
      <c r="BF55" s="3174">
        <f t="shared" si="47"/>
        <v>0</v>
      </c>
      <c r="BG55" s="3174">
        <f t="shared" si="48"/>
        <v>0</v>
      </c>
      <c r="BH55" s="3174">
        <f t="shared" si="49"/>
        <v>0</v>
      </c>
      <c r="BI55" s="3174">
        <f t="shared" si="50"/>
        <v>0</v>
      </c>
      <c r="BJ55" s="3174">
        <f t="shared" si="51"/>
        <v>0</v>
      </c>
      <c r="BK55" s="3174">
        <f t="shared" si="52"/>
        <v>0</v>
      </c>
      <c r="BL55" s="3174">
        <f t="shared" si="53"/>
        <v>0</v>
      </c>
      <c r="BM55" s="3174">
        <f t="shared" si="54"/>
        <v>0</v>
      </c>
      <c r="BN55" s="3174">
        <f t="shared" si="55"/>
        <v>0</v>
      </c>
      <c r="BO55" s="3174">
        <f t="shared" si="56"/>
        <v>0</v>
      </c>
      <c r="BP55" s="3174">
        <f t="shared" si="57"/>
        <v>0</v>
      </c>
      <c r="BQ55" s="3174">
        <f t="shared" si="58"/>
        <v>0</v>
      </c>
      <c r="BR55" s="3174">
        <f t="shared" si="59"/>
        <v>0</v>
      </c>
      <c r="BS55" s="3174">
        <f t="shared" si="60"/>
        <v>0</v>
      </c>
      <c r="BT55" s="3249">
        <f t="shared" si="61"/>
        <v>0</v>
      </c>
    </row>
    <row r="56" spans="1:72">
      <c r="A56" s="489"/>
      <c r="B56" s="356"/>
      <c r="C56" s="356"/>
      <c r="D56" s="3182"/>
      <c r="E56" s="3174">
        <f t="shared" si="33"/>
        <v>0</v>
      </c>
      <c r="F56" s="3175"/>
      <c r="G56" s="3176">
        <f t="shared" si="34"/>
        <v>0</v>
      </c>
      <c r="H56" s="3177">
        <f t="shared" si="35"/>
        <v>0</v>
      </c>
      <c r="I56" s="3200"/>
      <c r="J56" s="3200"/>
      <c r="K56" s="3200"/>
      <c r="L56" s="3200"/>
      <c r="M56" s="3200"/>
      <c r="N56" s="3200"/>
      <c r="O56" s="3200"/>
      <c r="P56" s="3200"/>
      <c r="Q56" s="3200"/>
      <c r="R56" s="3200"/>
      <c r="S56" s="3200"/>
      <c r="T56" s="3200"/>
      <c r="U56" s="3200"/>
      <c r="V56" s="3200"/>
      <c r="W56" s="3200"/>
      <c r="X56" s="3200"/>
      <c r="Y56" s="3200"/>
      <c r="Z56" s="3200"/>
      <c r="AA56" s="3200"/>
      <c r="AB56" s="3200"/>
      <c r="AC56" s="3174">
        <f t="shared" si="36"/>
        <v>0</v>
      </c>
      <c r="AD56" s="3212"/>
      <c r="AE56" s="3212"/>
      <c r="AF56" s="3212"/>
      <c r="AG56" s="3212"/>
      <c r="AH56" s="3212"/>
      <c r="AI56" s="3212"/>
      <c r="AJ56" s="3212"/>
      <c r="AK56" s="3212"/>
      <c r="AL56" s="3212"/>
      <c r="AM56" s="3212"/>
      <c r="AN56" s="3212"/>
      <c r="AO56" s="3212"/>
      <c r="AP56" s="3212"/>
      <c r="AQ56" s="3212"/>
      <c r="AR56" s="3212"/>
      <c r="AS56" s="3212"/>
      <c r="AT56" s="3175"/>
      <c r="AU56" s="3232"/>
      <c r="AV56" s="466">
        <f t="shared" si="37"/>
        <v>0</v>
      </c>
      <c r="AW56" s="466">
        <f t="shared" si="38"/>
        <v>0</v>
      </c>
      <c r="AX56" s="466">
        <f t="shared" si="39"/>
        <v>0</v>
      </c>
      <c r="AY56" s="385">
        <f t="shared" si="40"/>
        <v>0</v>
      </c>
      <c r="AZ56" s="3174">
        <f t="shared" si="41"/>
        <v>0</v>
      </c>
      <c r="BA56" s="3174">
        <f t="shared" si="42"/>
        <v>0</v>
      </c>
      <c r="BB56" s="3174">
        <f t="shared" si="43"/>
        <v>0</v>
      </c>
      <c r="BC56" s="3174">
        <f t="shared" si="44"/>
        <v>0</v>
      </c>
      <c r="BD56" s="3174">
        <f t="shared" si="45"/>
        <v>0</v>
      </c>
      <c r="BE56" s="3174">
        <f t="shared" si="46"/>
        <v>0</v>
      </c>
      <c r="BF56" s="3174">
        <f t="shared" si="47"/>
        <v>0</v>
      </c>
      <c r="BG56" s="3174">
        <f t="shared" si="48"/>
        <v>0</v>
      </c>
      <c r="BH56" s="3174">
        <f t="shared" si="49"/>
        <v>0</v>
      </c>
      <c r="BI56" s="3174">
        <f t="shared" si="50"/>
        <v>0</v>
      </c>
      <c r="BJ56" s="3174">
        <f t="shared" si="51"/>
        <v>0</v>
      </c>
      <c r="BK56" s="3174">
        <f t="shared" si="52"/>
        <v>0</v>
      </c>
      <c r="BL56" s="3174">
        <f t="shared" si="53"/>
        <v>0</v>
      </c>
      <c r="BM56" s="3174">
        <f t="shared" si="54"/>
        <v>0</v>
      </c>
      <c r="BN56" s="3174">
        <f t="shared" si="55"/>
        <v>0</v>
      </c>
      <c r="BO56" s="3174">
        <f t="shared" si="56"/>
        <v>0</v>
      </c>
      <c r="BP56" s="3174">
        <f t="shared" si="57"/>
        <v>0</v>
      </c>
      <c r="BQ56" s="3174">
        <f t="shared" si="58"/>
        <v>0</v>
      </c>
      <c r="BR56" s="3174">
        <f t="shared" si="59"/>
        <v>0</v>
      </c>
      <c r="BS56" s="3174">
        <f t="shared" si="60"/>
        <v>0</v>
      </c>
      <c r="BT56" s="3249">
        <f t="shared" si="61"/>
        <v>0</v>
      </c>
    </row>
    <row r="57" spans="1:72">
      <c r="A57" s="489"/>
      <c r="B57" s="356"/>
      <c r="C57" s="356"/>
      <c r="D57" s="3182"/>
      <c r="E57" s="3174">
        <f t="shared" si="33"/>
        <v>0</v>
      </c>
      <c r="F57" s="3175"/>
      <c r="G57" s="3176">
        <f t="shared" si="34"/>
        <v>0</v>
      </c>
      <c r="H57" s="3177">
        <f t="shared" si="35"/>
        <v>0</v>
      </c>
      <c r="I57" s="3200"/>
      <c r="J57" s="3200"/>
      <c r="K57" s="3200"/>
      <c r="L57" s="3200"/>
      <c r="M57" s="3200"/>
      <c r="N57" s="3200"/>
      <c r="O57" s="3200"/>
      <c r="P57" s="3200"/>
      <c r="Q57" s="3200"/>
      <c r="R57" s="3200"/>
      <c r="S57" s="3200"/>
      <c r="T57" s="3200"/>
      <c r="U57" s="3200"/>
      <c r="V57" s="3200"/>
      <c r="W57" s="3200"/>
      <c r="X57" s="3200"/>
      <c r="Y57" s="3200"/>
      <c r="Z57" s="3200"/>
      <c r="AA57" s="3200"/>
      <c r="AB57" s="3200"/>
      <c r="AC57" s="3174">
        <f t="shared" si="36"/>
        <v>0</v>
      </c>
      <c r="AD57" s="3212"/>
      <c r="AE57" s="3212"/>
      <c r="AF57" s="3212"/>
      <c r="AG57" s="3212"/>
      <c r="AH57" s="3212"/>
      <c r="AI57" s="3212"/>
      <c r="AJ57" s="3212"/>
      <c r="AK57" s="3212"/>
      <c r="AL57" s="3212"/>
      <c r="AM57" s="3212"/>
      <c r="AN57" s="3212"/>
      <c r="AO57" s="3212"/>
      <c r="AP57" s="3212"/>
      <c r="AQ57" s="3212"/>
      <c r="AR57" s="3212"/>
      <c r="AS57" s="3212"/>
      <c r="AT57" s="3175"/>
      <c r="AU57" s="3232"/>
      <c r="AV57" s="466">
        <f t="shared" si="37"/>
        <v>0</v>
      </c>
      <c r="AW57" s="466">
        <f t="shared" si="38"/>
        <v>0</v>
      </c>
      <c r="AX57" s="466">
        <f t="shared" si="39"/>
        <v>0</v>
      </c>
      <c r="AY57" s="385">
        <f t="shared" si="40"/>
        <v>0</v>
      </c>
      <c r="AZ57" s="3174">
        <f t="shared" si="41"/>
        <v>0</v>
      </c>
      <c r="BA57" s="3174">
        <f t="shared" si="42"/>
        <v>0</v>
      </c>
      <c r="BB57" s="3174">
        <f t="shared" si="43"/>
        <v>0</v>
      </c>
      <c r="BC57" s="3174">
        <f t="shared" si="44"/>
        <v>0</v>
      </c>
      <c r="BD57" s="3174">
        <f t="shared" si="45"/>
        <v>0</v>
      </c>
      <c r="BE57" s="3174">
        <f t="shared" si="46"/>
        <v>0</v>
      </c>
      <c r="BF57" s="3174">
        <f t="shared" si="47"/>
        <v>0</v>
      </c>
      <c r="BG57" s="3174">
        <f t="shared" si="48"/>
        <v>0</v>
      </c>
      <c r="BH57" s="3174">
        <f t="shared" si="49"/>
        <v>0</v>
      </c>
      <c r="BI57" s="3174">
        <f t="shared" si="50"/>
        <v>0</v>
      </c>
      <c r="BJ57" s="3174">
        <f t="shared" si="51"/>
        <v>0</v>
      </c>
      <c r="BK57" s="3174">
        <f t="shared" si="52"/>
        <v>0</v>
      </c>
      <c r="BL57" s="3174">
        <f t="shared" si="53"/>
        <v>0</v>
      </c>
      <c r="BM57" s="3174">
        <f t="shared" si="54"/>
        <v>0</v>
      </c>
      <c r="BN57" s="3174">
        <f t="shared" si="55"/>
        <v>0</v>
      </c>
      <c r="BO57" s="3174">
        <f t="shared" si="56"/>
        <v>0</v>
      </c>
      <c r="BP57" s="3174">
        <f t="shared" si="57"/>
        <v>0</v>
      </c>
      <c r="BQ57" s="3174">
        <f t="shared" si="58"/>
        <v>0</v>
      </c>
      <c r="BR57" s="3174">
        <f t="shared" si="59"/>
        <v>0</v>
      </c>
      <c r="BS57" s="3174">
        <f t="shared" si="60"/>
        <v>0</v>
      </c>
      <c r="BT57" s="3249">
        <f t="shared" si="61"/>
        <v>0</v>
      </c>
    </row>
    <row r="58" spans="1:72">
      <c r="A58" s="489"/>
      <c r="B58" s="356"/>
      <c r="C58" s="356"/>
      <c r="D58" s="3182"/>
      <c r="E58" s="3174">
        <f t="shared" si="33"/>
        <v>0</v>
      </c>
      <c r="F58" s="3175"/>
      <c r="G58" s="3176">
        <f t="shared" si="34"/>
        <v>0</v>
      </c>
      <c r="H58" s="3177">
        <f t="shared" si="35"/>
        <v>0</v>
      </c>
      <c r="I58" s="3200"/>
      <c r="J58" s="3200"/>
      <c r="K58" s="3200"/>
      <c r="L58" s="3200"/>
      <c r="M58" s="3200"/>
      <c r="N58" s="3200"/>
      <c r="O58" s="3200"/>
      <c r="P58" s="3200"/>
      <c r="Q58" s="3200"/>
      <c r="R58" s="3200"/>
      <c r="S58" s="3200"/>
      <c r="T58" s="3200"/>
      <c r="U58" s="3200"/>
      <c r="V58" s="3200"/>
      <c r="W58" s="3200"/>
      <c r="X58" s="3200"/>
      <c r="Y58" s="3200"/>
      <c r="Z58" s="3200"/>
      <c r="AA58" s="3200"/>
      <c r="AB58" s="3200"/>
      <c r="AC58" s="3174">
        <f t="shared" si="36"/>
        <v>0</v>
      </c>
      <c r="AD58" s="3212"/>
      <c r="AE58" s="3212"/>
      <c r="AF58" s="3212"/>
      <c r="AG58" s="3212"/>
      <c r="AH58" s="3212"/>
      <c r="AI58" s="3212"/>
      <c r="AJ58" s="3212"/>
      <c r="AK58" s="3212"/>
      <c r="AL58" s="3212"/>
      <c r="AM58" s="3212"/>
      <c r="AN58" s="3212"/>
      <c r="AO58" s="3212"/>
      <c r="AP58" s="3212"/>
      <c r="AQ58" s="3212"/>
      <c r="AR58" s="3212"/>
      <c r="AS58" s="3212"/>
      <c r="AT58" s="3175"/>
      <c r="AU58" s="3232"/>
      <c r="AV58" s="466">
        <f t="shared" si="37"/>
        <v>0</v>
      </c>
      <c r="AW58" s="466">
        <f t="shared" si="38"/>
        <v>0</v>
      </c>
      <c r="AX58" s="466">
        <f t="shared" si="39"/>
        <v>0</v>
      </c>
      <c r="AY58" s="385">
        <f t="shared" si="40"/>
        <v>0</v>
      </c>
      <c r="AZ58" s="3174">
        <f t="shared" si="41"/>
        <v>0</v>
      </c>
      <c r="BA58" s="3174">
        <f t="shared" si="42"/>
        <v>0</v>
      </c>
      <c r="BB58" s="3174">
        <f t="shared" si="43"/>
        <v>0</v>
      </c>
      <c r="BC58" s="3174">
        <f t="shared" si="44"/>
        <v>0</v>
      </c>
      <c r="BD58" s="3174">
        <f t="shared" si="45"/>
        <v>0</v>
      </c>
      <c r="BE58" s="3174">
        <f t="shared" si="46"/>
        <v>0</v>
      </c>
      <c r="BF58" s="3174">
        <f t="shared" si="47"/>
        <v>0</v>
      </c>
      <c r="BG58" s="3174">
        <f t="shared" si="48"/>
        <v>0</v>
      </c>
      <c r="BH58" s="3174">
        <f t="shared" si="49"/>
        <v>0</v>
      </c>
      <c r="BI58" s="3174">
        <f t="shared" si="50"/>
        <v>0</v>
      </c>
      <c r="BJ58" s="3174">
        <f t="shared" si="51"/>
        <v>0</v>
      </c>
      <c r="BK58" s="3174">
        <f t="shared" si="52"/>
        <v>0</v>
      </c>
      <c r="BL58" s="3174">
        <f t="shared" si="53"/>
        <v>0</v>
      </c>
      <c r="BM58" s="3174">
        <f t="shared" si="54"/>
        <v>0</v>
      </c>
      <c r="BN58" s="3174">
        <f t="shared" si="55"/>
        <v>0</v>
      </c>
      <c r="BO58" s="3174">
        <f t="shared" si="56"/>
        <v>0</v>
      </c>
      <c r="BP58" s="3174">
        <f t="shared" si="57"/>
        <v>0</v>
      </c>
      <c r="BQ58" s="3174">
        <f t="shared" si="58"/>
        <v>0</v>
      </c>
      <c r="BR58" s="3174">
        <f t="shared" si="59"/>
        <v>0</v>
      </c>
      <c r="BS58" s="3174">
        <f t="shared" si="60"/>
        <v>0</v>
      </c>
      <c r="BT58" s="3249">
        <f t="shared" si="61"/>
        <v>0</v>
      </c>
    </row>
    <row r="59" spans="1:72">
      <c r="A59" s="489"/>
      <c r="B59" s="356"/>
      <c r="C59" s="356"/>
      <c r="D59" s="3182"/>
      <c r="E59" s="3174">
        <f t="shared" si="33"/>
        <v>0</v>
      </c>
      <c r="F59" s="3175"/>
      <c r="G59" s="3176">
        <f t="shared" si="34"/>
        <v>0</v>
      </c>
      <c r="H59" s="3177">
        <f t="shared" si="35"/>
        <v>0</v>
      </c>
      <c r="I59" s="3200"/>
      <c r="J59" s="3200"/>
      <c r="K59" s="3200"/>
      <c r="L59" s="3200"/>
      <c r="M59" s="3200"/>
      <c r="N59" s="3200"/>
      <c r="O59" s="3200"/>
      <c r="P59" s="3200"/>
      <c r="Q59" s="3200"/>
      <c r="R59" s="3200"/>
      <c r="S59" s="3200"/>
      <c r="T59" s="3200"/>
      <c r="U59" s="3200"/>
      <c r="V59" s="3200"/>
      <c r="W59" s="3200"/>
      <c r="X59" s="3200"/>
      <c r="Y59" s="3200"/>
      <c r="Z59" s="3200"/>
      <c r="AA59" s="3200"/>
      <c r="AB59" s="3200"/>
      <c r="AC59" s="3174">
        <f t="shared" si="36"/>
        <v>0</v>
      </c>
      <c r="AD59" s="3212"/>
      <c r="AE59" s="3212"/>
      <c r="AF59" s="3212"/>
      <c r="AG59" s="3212"/>
      <c r="AH59" s="3212"/>
      <c r="AI59" s="3212"/>
      <c r="AJ59" s="3212"/>
      <c r="AK59" s="3212"/>
      <c r="AL59" s="3212"/>
      <c r="AM59" s="3212"/>
      <c r="AN59" s="3212"/>
      <c r="AO59" s="3212"/>
      <c r="AP59" s="3212"/>
      <c r="AQ59" s="3212"/>
      <c r="AR59" s="3212"/>
      <c r="AS59" s="3212"/>
      <c r="AT59" s="3175"/>
      <c r="AU59" s="3232"/>
      <c r="AV59" s="466">
        <f t="shared" si="37"/>
        <v>0</v>
      </c>
      <c r="AW59" s="466">
        <f t="shared" si="38"/>
        <v>0</v>
      </c>
      <c r="AX59" s="466">
        <f t="shared" si="39"/>
        <v>0</v>
      </c>
      <c r="AY59" s="385">
        <f t="shared" si="40"/>
        <v>0</v>
      </c>
      <c r="AZ59" s="3174">
        <f t="shared" si="41"/>
        <v>0</v>
      </c>
      <c r="BA59" s="3174">
        <f t="shared" si="42"/>
        <v>0</v>
      </c>
      <c r="BB59" s="3174">
        <f t="shared" si="43"/>
        <v>0</v>
      </c>
      <c r="BC59" s="3174">
        <f t="shared" si="44"/>
        <v>0</v>
      </c>
      <c r="BD59" s="3174">
        <f t="shared" si="45"/>
        <v>0</v>
      </c>
      <c r="BE59" s="3174">
        <f t="shared" si="46"/>
        <v>0</v>
      </c>
      <c r="BF59" s="3174">
        <f t="shared" si="47"/>
        <v>0</v>
      </c>
      <c r="BG59" s="3174">
        <f t="shared" si="48"/>
        <v>0</v>
      </c>
      <c r="BH59" s="3174">
        <f t="shared" si="49"/>
        <v>0</v>
      </c>
      <c r="BI59" s="3174">
        <f t="shared" si="50"/>
        <v>0</v>
      </c>
      <c r="BJ59" s="3174">
        <f t="shared" si="51"/>
        <v>0</v>
      </c>
      <c r="BK59" s="3174">
        <f t="shared" si="52"/>
        <v>0</v>
      </c>
      <c r="BL59" s="3174">
        <f t="shared" si="53"/>
        <v>0</v>
      </c>
      <c r="BM59" s="3174">
        <f t="shared" si="54"/>
        <v>0</v>
      </c>
      <c r="BN59" s="3174">
        <f t="shared" si="55"/>
        <v>0</v>
      </c>
      <c r="BO59" s="3174">
        <f t="shared" si="56"/>
        <v>0</v>
      </c>
      <c r="BP59" s="3174">
        <f t="shared" si="57"/>
        <v>0</v>
      </c>
      <c r="BQ59" s="3174">
        <f t="shared" si="58"/>
        <v>0</v>
      </c>
      <c r="BR59" s="3174">
        <f t="shared" si="59"/>
        <v>0</v>
      </c>
      <c r="BS59" s="3174">
        <f t="shared" si="60"/>
        <v>0</v>
      </c>
      <c r="BT59" s="3249">
        <f t="shared" si="61"/>
        <v>0</v>
      </c>
    </row>
    <row r="60" spans="1:72">
      <c r="A60" s="489"/>
      <c r="B60" s="356"/>
      <c r="C60" s="356"/>
      <c r="D60" s="3182"/>
      <c r="E60" s="3174">
        <f t="shared" si="33"/>
        <v>0</v>
      </c>
      <c r="F60" s="3175"/>
      <c r="G60" s="3176">
        <f t="shared" si="34"/>
        <v>0</v>
      </c>
      <c r="H60" s="3177">
        <f t="shared" si="35"/>
        <v>0</v>
      </c>
      <c r="I60" s="3200"/>
      <c r="J60" s="3200"/>
      <c r="K60" s="3200"/>
      <c r="L60" s="3200"/>
      <c r="M60" s="3200"/>
      <c r="N60" s="3200"/>
      <c r="O60" s="3200"/>
      <c r="P60" s="3200"/>
      <c r="Q60" s="3200"/>
      <c r="R60" s="3200"/>
      <c r="S60" s="3200"/>
      <c r="T60" s="3200"/>
      <c r="U60" s="3200"/>
      <c r="V60" s="3200"/>
      <c r="W60" s="3200"/>
      <c r="X60" s="3200"/>
      <c r="Y60" s="3200"/>
      <c r="Z60" s="3200"/>
      <c r="AA60" s="3200"/>
      <c r="AB60" s="3200"/>
      <c r="AC60" s="3174">
        <f t="shared" si="36"/>
        <v>0</v>
      </c>
      <c r="AD60" s="3212"/>
      <c r="AE60" s="3212"/>
      <c r="AF60" s="3212"/>
      <c r="AG60" s="3212"/>
      <c r="AH60" s="3212"/>
      <c r="AI60" s="3212"/>
      <c r="AJ60" s="3212"/>
      <c r="AK60" s="3212"/>
      <c r="AL60" s="3212"/>
      <c r="AM60" s="3212"/>
      <c r="AN60" s="3212"/>
      <c r="AO60" s="3212"/>
      <c r="AP60" s="3212"/>
      <c r="AQ60" s="3212"/>
      <c r="AR60" s="3212"/>
      <c r="AS60" s="3212"/>
      <c r="AT60" s="3175"/>
      <c r="AU60" s="3232"/>
      <c r="AV60" s="466">
        <f t="shared" si="37"/>
        <v>0</v>
      </c>
      <c r="AW60" s="466">
        <f t="shared" si="38"/>
        <v>0</v>
      </c>
      <c r="AX60" s="466">
        <f t="shared" si="39"/>
        <v>0</v>
      </c>
      <c r="AY60" s="385">
        <f t="shared" si="40"/>
        <v>0</v>
      </c>
      <c r="AZ60" s="3174">
        <f t="shared" si="41"/>
        <v>0</v>
      </c>
      <c r="BA60" s="3174">
        <f t="shared" si="42"/>
        <v>0</v>
      </c>
      <c r="BB60" s="3174">
        <f t="shared" si="43"/>
        <v>0</v>
      </c>
      <c r="BC60" s="3174">
        <f t="shared" si="44"/>
        <v>0</v>
      </c>
      <c r="BD60" s="3174">
        <f t="shared" si="45"/>
        <v>0</v>
      </c>
      <c r="BE60" s="3174">
        <f t="shared" si="46"/>
        <v>0</v>
      </c>
      <c r="BF60" s="3174">
        <f t="shared" si="47"/>
        <v>0</v>
      </c>
      <c r="BG60" s="3174">
        <f t="shared" si="48"/>
        <v>0</v>
      </c>
      <c r="BH60" s="3174">
        <f t="shared" si="49"/>
        <v>0</v>
      </c>
      <c r="BI60" s="3174">
        <f t="shared" si="50"/>
        <v>0</v>
      </c>
      <c r="BJ60" s="3174">
        <f t="shared" si="51"/>
        <v>0</v>
      </c>
      <c r="BK60" s="3174">
        <f t="shared" si="52"/>
        <v>0</v>
      </c>
      <c r="BL60" s="3174">
        <f t="shared" si="53"/>
        <v>0</v>
      </c>
      <c r="BM60" s="3174">
        <f t="shared" si="54"/>
        <v>0</v>
      </c>
      <c r="BN60" s="3174">
        <f t="shared" si="55"/>
        <v>0</v>
      </c>
      <c r="BO60" s="3174">
        <f t="shared" si="56"/>
        <v>0</v>
      </c>
      <c r="BP60" s="3174">
        <f t="shared" si="57"/>
        <v>0</v>
      </c>
      <c r="BQ60" s="3174">
        <f t="shared" si="58"/>
        <v>0</v>
      </c>
      <c r="BR60" s="3174">
        <f t="shared" si="59"/>
        <v>0</v>
      </c>
      <c r="BS60" s="3174">
        <f t="shared" si="60"/>
        <v>0</v>
      </c>
      <c r="BT60" s="3249">
        <f t="shared" si="61"/>
        <v>0</v>
      </c>
    </row>
    <row r="61" spans="1:72">
      <c r="A61" s="489"/>
      <c r="B61" s="356"/>
      <c r="C61" s="356"/>
      <c r="D61" s="3182"/>
      <c r="E61" s="3174">
        <f t="shared" si="33"/>
        <v>0</v>
      </c>
      <c r="F61" s="3175"/>
      <c r="G61" s="3176">
        <f t="shared" si="34"/>
        <v>0</v>
      </c>
      <c r="H61" s="3177">
        <f t="shared" si="35"/>
        <v>0</v>
      </c>
      <c r="I61" s="3200"/>
      <c r="J61" s="3200"/>
      <c r="K61" s="3200"/>
      <c r="L61" s="3200"/>
      <c r="M61" s="3200"/>
      <c r="N61" s="3200"/>
      <c r="O61" s="3200"/>
      <c r="P61" s="3200"/>
      <c r="Q61" s="3200"/>
      <c r="R61" s="3200"/>
      <c r="S61" s="3200"/>
      <c r="T61" s="3200"/>
      <c r="U61" s="3200"/>
      <c r="V61" s="3200"/>
      <c r="W61" s="3200"/>
      <c r="X61" s="3200"/>
      <c r="Y61" s="3200"/>
      <c r="Z61" s="3200"/>
      <c r="AA61" s="3200"/>
      <c r="AB61" s="3200"/>
      <c r="AC61" s="3174">
        <f t="shared" si="36"/>
        <v>0</v>
      </c>
      <c r="AD61" s="3212"/>
      <c r="AE61" s="3212"/>
      <c r="AF61" s="3212"/>
      <c r="AG61" s="3212"/>
      <c r="AH61" s="3212"/>
      <c r="AI61" s="3212"/>
      <c r="AJ61" s="3212"/>
      <c r="AK61" s="3212"/>
      <c r="AL61" s="3212"/>
      <c r="AM61" s="3212"/>
      <c r="AN61" s="3212"/>
      <c r="AO61" s="3212"/>
      <c r="AP61" s="3212"/>
      <c r="AQ61" s="3212"/>
      <c r="AR61" s="3212"/>
      <c r="AS61" s="3212"/>
      <c r="AT61" s="3175"/>
      <c r="AU61" s="3232"/>
      <c r="AV61" s="466">
        <f t="shared" si="37"/>
        <v>0</v>
      </c>
      <c r="AW61" s="466">
        <f t="shared" si="38"/>
        <v>0</v>
      </c>
      <c r="AX61" s="466">
        <f t="shared" si="39"/>
        <v>0</v>
      </c>
      <c r="AY61" s="385">
        <f t="shared" si="40"/>
        <v>0</v>
      </c>
      <c r="AZ61" s="3174">
        <f t="shared" si="41"/>
        <v>0</v>
      </c>
      <c r="BA61" s="3174">
        <f t="shared" si="42"/>
        <v>0</v>
      </c>
      <c r="BB61" s="3174">
        <f t="shared" si="43"/>
        <v>0</v>
      </c>
      <c r="BC61" s="3174">
        <f t="shared" si="44"/>
        <v>0</v>
      </c>
      <c r="BD61" s="3174">
        <f t="shared" si="45"/>
        <v>0</v>
      </c>
      <c r="BE61" s="3174">
        <f t="shared" si="46"/>
        <v>0</v>
      </c>
      <c r="BF61" s="3174">
        <f t="shared" si="47"/>
        <v>0</v>
      </c>
      <c r="BG61" s="3174">
        <f t="shared" si="48"/>
        <v>0</v>
      </c>
      <c r="BH61" s="3174">
        <f t="shared" si="49"/>
        <v>0</v>
      </c>
      <c r="BI61" s="3174">
        <f t="shared" si="50"/>
        <v>0</v>
      </c>
      <c r="BJ61" s="3174">
        <f t="shared" si="51"/>
        <v>0</v>
      </c>
      <c r="BK61" s="3174">
        <f t="shared" si="52"/>
        <v>0</v>
      </c>
      <c r="BL61" s="3174">
        <f t="shared" si="53"/>
        <v>0</v>
      </c>
      <c r="BM61" s="3174">
        <f t="shared" si="54"/>
        <v>0</v>
      </c>
      <c r="BN61" s="3174">
        <f t="shared" si="55"/>
        <v>0</v>
      </c>
      <c r="BO61" s="3174">
        <f t="shared" si="56"/>
        <v>0</v>
      </c>
      <c r="BP61" s="3174">
        <f t="shared" si="57"/>
        <v>0</v>
      </c>
      <c r="BQ61" s="3174">
        <f t="shared" si="58"/>
        <v>0</v>
      </c>
      <c r="BR61" s="3174">
        <f t="shared" si="59"/>
        <v>0</v>
      </c>
      <c r="BS61" s="3174">
        <f t="shared" si="60"/>
        <v>0</v>
      </c>
      <c r="BT61" s="3249">
        <f t="shared" si="61"/>
        <v>0</v>
      </c>
    </row>
    <row r="62" spans="1:72">
      <c r="A62" s="489"/>
      <c r="B62" s="356"/>
      <c r="C62" s="356"/>
      <c r="D62" s="3182"/>
      <c r="E62" s="3174">
        <f t="shared" si="33"/>
        <v>0</v>
      </c>
      <c r="F62" s="3175"/>
      <c r="G62" s="3176">
        <f t="shared" si="34"/>
        <v>0</v>
      </c>
      <c r="H62" s="3177">
        <f t="shared" si="35"/>
        <v>0</v>
      </c>
      <c r="I62" s="3200"/>
      <c r="J62" s="3200"/>
      <c r="K62" s="3200"/>
      <c r="L62" s="3200"/>
      <c r="M62" s="3200"/>
      <c r="N62" s="3200"/>
      <c r="O62" s="3200"/>
      <c r="P62" s="3200"/>
      <c r="Q62" s="3200"/>
      <c r="R62" s="3200"/>
      <c r="S62" s="3200"/>
      <c r="T62" s="3200"/>
      <c r="U62" s="3200"/>
      <c r="V62" s="3200"/>
      <c r="W62" s="3200"/>
      <c r="X62" s="3200"/>
      <c r="Y62" s="3200"/>
      <c r="Z62" s="3200"/>
      <c r="AA62" s="3200"/>
      <c r="AB62" s="3200"/>
      <c r="AC62" s="3174">
        <f t="shared" si="36"/>
        <v>0</v>
      </c>
      <c r="AD62" s="3212"/>
      <c r="AE62" s="3212"/>
      <c r="AF62" s="3212"/>
      <c r="AG62" s="3212"/>
      <c r="AH62" s="3212"/>
      <c r="AI62" s="3212"/>
      <c r="AJ62" s="3212"/>
      <c r="AK62" s="3212"/>
      <c r="AL62" s="3212"/>
      <c r="AM62" s="3212"/>
      <c r="AN62" s="3212"/>
      <c r="AO62" s="3212"/>
      <c r="AP62" s="3212"/>
      <c r="AQ62" s="3212"/>
      <c r="AR62" s="3212"/>
      <c r="AS62" s="3212"/>
      <c r="AT62" s="3175"/>
      <c r="AU62" s="3232"/>
      <c r="AV62" s="466">
        <f t="shared" si="37"/>
        <v>0</v>
      </c>
      <c r="AW62" s="466">
        <f t="shared" si="38"/>
        <v>0</v>
      </c>
      <c r="AX62" s="466">
        <f t="shared" si="39"/>
        <v>0</v>
      </c>
      <c r="AY62" s="385">
        <f t="shared" si="40"/>
        <v>0</v>
      </c>
      <c r="AZ62" s="3174">
        <f t="shared" si="41"/>
        <v>0</v>
      </c>
      <c r="BA62" s="3174">
        <f t="shared" si="42"/>
        <v>0</v>
      </c>
      <c r="BB62" s="3174">
        <f t="shared" si="43"/>
        <v>0</v>
      </c>
      <c r="BC62" s="3174">
        <f t="shared" si="44"/>
        <v>0</v>
      </c>
      <c r="BD62" s="3174">
        <f t="shared" si="45"/>
        <v>0</v>
      </c>
      <c r="BE62" s="3174">
        <f t="shared" si="46"/>
        <v>0</v>
      </c>
      <c r="BF62" s="3174">
        <f t="shared" si="47"/>
        <v>0</v>
      </c>
      <c r="BG62" s="3174">
        <f t="shared" si="48"/>
        <v>0</v>
      </c>
      <c r="BH62" s="3174">
        <f t="shared" si="49"/>
        <v>0</v>
      </c>
      <c r="BI62" s="3174">
        <f t="shared" si="50"/>
        <v>0</v>
      </c>
      <c r="BJ62" s="3174">
        <f t="shared" si="51"/>
        <v>0</v>
      </c>
      <c r="BK62" s="3174">
        <f t="shared" si="52"/>
        <v>0</v>
      </c>
      <c r="BL62" s="3174">
        <f t="shared" si="53"/>
        <v>0</v>
      </c>
      <c r="BM62" s="3174">
        <f t="shared" si="54"/>
        <v>0</v>
      </c>
      <c r="BN62" s="3174">
        <f t="shared" si="55"/>
        <v>0</v>
      </c>
      <c r="BO62" s="3174">
        <f t="shared" si="56"/>
        <v>0</v>
      </c>
      <c r="BP62" s="3174">
        <f t="shared" si="57"/>
        <v>0</v>
      </c>
      <c r="BQ62" s="3174">
        <f t="shared" si="58"/>
        <v>0</v>
      </c>
      <c r="BR62" s="3174">
        <f t="shared" si="59"/>
        <v>0</v>
      </c>
      <c r="BS62" s="3174">
        <f t="shared" si="60"/>
        <v>0</v>
      </c>
      <c r="BT62" s="3249">
        <f t="shared" si="61"/>
        <v>0</v>
      </c>
    </row>
    <row r="63" spans="1:72">
      <c r="A63" s="489"/>
      <c r="B63" s="356"/>
      <c r="C63" s="356"/>
      <c r="D63" s="3182"/>
      <c r="E63" s="3174">
        <f t="shared" si="33"/>
        <v>0</v>
      </c>
      <c r="F63" s="3175"/>
      <c r="G63" s="3176">
        <f t="shared" si="34"/>
        <v>0</v>
      </c>
      <c r="H63" s="3177">
        <f t="shared" si="35"/>
        <v>0</v>
      </c>
      <c r="I63" s="3200"/>
      <c r="J63" s="3200"/>
      <c r="K63" s="3200"/>
      <c r="L63" s="3200"/>
      <c r="M63" s="3200"/>
      <c r="N63" s="3200"/>
      <c r="O63" s="3200"/>
      <c r="P63" s="3200"/>
      <c r="Q63" s="3200"/>
      <c r="R63" s="3200"/>
      <c r="S63" s="3200"/>
      <c r="T63" s="3200"/>
      <c r="U63" s="3200"/>
      <c r="V63" s="3200"/>
      <c r="W63" s="3200"/>
      <c r="X63" s="3200"/>
      <c r="Y63" s="3200"/>
      <c r="Z63" s="3200"/>
      <c r="AA63" s="3200"/>
      <c r="AB63" s="3200"/>
      <c r="AC63" s="3174">
        <f t="shared" si="36"/>
        <v>0</v>
      </c>
      <c r="AD63" s="3212"/>
      <c r="AE63" s="3212"/>
      <c r="AF63" s="3212"/>
      <c r="AG63" s="3212"/>
      <c r="AH63" s="3212"/>
      <c r="AI63" s="3212"/>
      <c r="AJ63" s="3212"/>
      <c r="AK63" s="3212"/>
      <c r="AL63" s="3212"/>
      <c r="AM63" s="3212"/>
      <c r="AN63" s="3212"/>
      <c r="AO63" s="3212"/>
      <c r="AP63" s="3212"/>
      <c r="AQ63" s="3212"/>
      <c r="AR63" s="3212"/>
      <c r="AS63" s="3212"/>
      <c r="AT63" s="3175"/>
      <c r="AU63" s="3232"/>
      <c r="AV63" s="466">
        <f t="shared" si="37"/>
        <v>0</v>
      </c>
      <c r="AW63" s="466">
        <f t="shared" si="38"/>
        <v>0</v>
      </c>
      <c r="AX63" s="466">
        <f t="shared" si="39"/>
        <v>0</v>
      </c>
      <c r="AY63" s="385">
        <f t="shared" si="40"/>
        <v>0</v>
      </c>
      <c r="AZ63" s="3174">
        <f t="shared" si="41"/>
        <v>0</v>
      </c>
      <c r="BA63" s="3174">
        <f t="shared" si="42"/>
        <v>0</v>
      </c>
      <c r="BB63" s="3174">
        <f t="shared" si="43"/>
        <v>0</v>
      </c>
      <c r="BC63" s="3174">
        <f t="shared" si="44"/>
        <v>0</v>
      </c>
      <c r="BD63" s="3174">
        <f t="shared" si="45"/>
        <v>0</v>
      </c>
      <c r="BE63" s="3174">
        <f t="shared" si="46"/>
        <v>0</v>
      </c>
      <c r="BF63" s="3174">
        <f t="shared" si="47"/>
        <v>0</v>
      </c>
      <c r="BG63" s="3174">
        <f t="shared" si="48"/>
        <v>0</v>
      </c>
      <c r="BH63" s="3174">
        <f t="shared" si="49"/>
        <v>0</v>
      </c>
      <c r="BI63" s="3174">
        <f t="shared" si="50"/>
        <v>0</v>
      </c>
      <c r="BJ63" s="3174">
        <f t="shared" si="51"/>
        <v>0</v>
      </c>
      <c r="BK63" s="3174">
        <f t="shared" si="52"/>
        <v>0</v>
      </c>
      <c r="BL63" s="3174">
        <f t="shared" si="53"/>
        <v>0</v>
      </c>
      <c r="BM63" s="3174">
        <f t="shared" si="54"/>
        <v>0</v>
      </c>
      <c r="BN63" s="3174">
        <f t="shared" si="55"/>
        <v>0</v>
      </c>
      <c r="BO63" s="3174">
        <f t="shared" si="56"/>
        <v>0</v>
      </c>
      <c r="BP63" s="3174">
        <f t="shared" si="57"/>
        <v>0</v>
      </c>
      <c r="BQ63" s="3174">
        <f t="shared" si="58"/>
        <v>0</v>
      </c>
      <c r="BR63" s="3174">
        <f t="shared" si="59"/>
        <v>0</v>
      </c>
      <c r="BS63" s="3174">
        <f t="shared" si="60"/>
        <v>0</v>
      </c>
      <c r="BT63" s="3249">
        <f t="shared" si="61"/>
        <v>0</v>
      </c>
    </row>
    <row r="64" spans="1:72">
      <c r="A64" s="489"/>
      <c r="B64" s="356"/>
      <c r="C64" s="356"/>
      <c r="D64" s="3182"/>
      <c r="E64" s="3174">
        <f t="shared" si="33"/>
        <v>0</v>
      </c>
      <c r="F64" s="3175"/>
      <c r="G64" s="3176">
        <f t="shared" si="34"/>
        <v>0</v>
      </c>
      <c r="H64" s="3177">
        <f t="shared" si="35"/>
        <v>0</v>
      </c>
      <c r="I64" s="3200"/>
      <c r="J64" s="3200"/>
      <c r="K64" s="3200"/>
      <c r="L64" s="3200"/>
      <c r="M64" s="3200"/>
      <c r="N64" s="3200"/>
      <c r="O64" s="3200"/>
      <c r="P64" s="3200"/>
      <c r="Q64" s="3200"/>
      <c r="R64" s="3200"/>
      <c r="S64" s="3200"/>
      <c r="T64" s="3200"/>
      <c r="U64" s="3200"/>
      <c r="V64" s="3200"/>
      <c r="W64" s="3200"/>
      <c r="X64" s="3200"/>
      <c r="Y64" s="3200"/>
      <c r="Z64" s="3200"/>
      <c r="AA64" s="3200"/>
      <c r="AB64" s="3200"/>
      <c r="AC64" s="3174">
        <f t="shared" si="36"/>
        <v>0</v>
      </c>
      <c r="AD64" s="3212"/>
      <c r="AE64" s="3212"/>
      <c r="AF64" s="3212"/>
      <c r="AG64" s="3212"/>
      <c r="AH64" s="3212"/>
      <c r="AI64" s="3212"/>
      <c r="AJ64" s="3212"/>
      <c r="AK64" s="3212"/>
      <c r="AL64" s="3212"/>
      <c r="AM64" s="3212"/>
      <c r="AN64" s="3212"/>
      <c r="AO64" s="3212"/>
      <c r="AP64" s="3212"/>
      <c r="AQ64" s="3212"/>
      <c r="AR64" s="3212"/>
      <c r="AS64" s="3212"/>
      <c r="AT64" s="3175"/>
      <c r="AU64" s="3232"/>
      <c r="AV64" s="466">
        <f t="shared" si="37"/>
        <v>0</v>
      </c>
      <c r="AW64" s="466">
        <f t="shared" si="38"/>
        <v>0</v>
      </c>
      <c r="AX64" s="466">
        <f t="shared" si="39"/>
        <v>0</v>
      </c>
      <c r="AY64" s="385">
        <f t="shared" si="40"/>
        <v>0</v>
      </c>
      <c r="AZ64" s="3174">
        <f t="shared" si="41"/>
        <v>0</v>
      </c>
      <c r="BA64" s="3174">
        <f t="shared" si="42"/>
        <v>0</v>
      </c>
      <c r="BB64" s="3174">
        <f t="shared" si="43"/>
        <v>0</v>
      </c>
      <c r="BC64" s="3174">
        <f t="shared" si="44"/>
        <v>0</v>
      </c>
      <c r="BD64" s="3174">
        <f t="shared" si="45"/>
        <v>0</v>
      </c>
      <c r="BE64" s="3174">
        <f t="shared" si="46"/>
        <v>0</v>
      </c>
      <c r="BF64" s="3174">
        <f t="shared" si="47"/>
        <v>0</v>
      </c>
      <c r="BG64" s="3174">
        <f t="shared" si="48"/>
        <v>0</v>
      </c>
      <c r="BH64" s="3174">
        <f t="shared" si="49"/>
        <v>0</v>
      </c>
      <c r="BI64" s="3174">
        <f t="shared" si="50"/>
        <v>0</v>
      </c>
      <c r="BJ64" s="3174">
        <f t="shared" si="51"/>
        <v>0</v>
      </c>
      <c r="BK64" s="3174">
        <f t="shared" si="52"/>
        <v>0</v>
      </c>
      <c r="BL64" s="3174">
        <f t="shared" si="53"/>
        <v>0</v>
      </c>
      <c r="BM64" s="3174">
        <f t="shared" si="54"/>
        <v>0</v>
      </c>
      <c r="BN64" s="3174">
        <f t="shared" si="55"/>
        <v>0</v>
      </c>
      <c r="BO64" s="3174">
        <f t="shared" si="56"/>
        <v>0</v>
      </c>
      <c r="BP64" s="3174">
        <f t="shared" si="57"/>
        <v>0</v>
      </c>
      <c r="BQ64" s="3174">
        <f t="shared" si="58"/>
        <v>0</v>
      </c>
      <c r="BR64" s="3174">
        <f t="shared" si="59"/>
        <v>0</v>
      </c>
      <c r="BS64" s="3174">
        <f t="shared" si="60"/>
        <v>0</v>
      </c>
      <c r="BT64" s="3249">
        <f t="shared" si="61"/>
        <v>0</v>
      </c>
    </row>
    <row r="65" spans="1:72">
      <c r="A65" s="489"/>
      <c r="B65" s="356"/>
      <c r="C65" s="356"/>
      <c r="D65" s="3182"/>
      <c r="E65" s="3174">
        <f t="shared" si="33"/>
        <v>0</v>
      </c>
      <c r="F65" s="3175"/>
      <c r="G65" s="3176">
        <f t="shared" si="34"/>
        <v>0</v>
      </c>
      <c r="H65" s="3177">
        <f t="shared" si="35"/>
        <v>0</v>
      </c>
      <c r="I65" s="3200"/>
      <c r="J65" s="3200"/>
      <c r="K65" s="3200"/>
      <c r="L65" s="3200"/>
      <c r="M65" s="3200"/>
      <c r="N65" s="3200"/>
      <c r="O65" s="3200"/>
      <c r="P65" s="3200"/>
      <c r="Q65" s="3200"/>
      <c r="R65" s="3200"/>
      <c r="S65" s="3200"/>
      <c r="T65" s="3200"/>
      <c r="U65" s="3200"/>
      <c r="V65" s="3200"/>
      <c r="W65" s="3200"/>
      <c r="X65" s="3200"/>
      <c r="Y65" s="3200"/>
      <c r="Z65" s="3200"/>
      <c r="AA65" s="3200"/>
      <c r="AB65" s="3200"/>
      <c r="AC65" s="3174">
        <f t="shared" si="36"/>
        <v>0</v>
      </c>
      <c r="AD65" s="3212"/>
      <c r="AE65" s="3212"/>
      <c r="AF65" s="3212"/>
      <c r="AG65" s="3212"/>
      <c r="AH65" s="3212"/>
      <c r="AI65" s="3212"/>
      <c r="AJ65" s="3212"/>
      <c r="AK65" s="3212"/>
      <c r="AL65" s="3212"/>
      <c r="AM65" s="3212"/>
      <c r="AN65" s="3212"/>
      <c r="AO65" s="3212"/>
      <c r="AP65" s="3212"/>
      <c r="AQ65" s="3212"/>
      <c r="AR65" s="3212"/>
      <c r="AS65" s="3212"/>
      <c r="AT65" s="3175"/>
      <c r="AU65" s="3232"/>
      <c r="AV65" s="466">
        <f t="shared" si="37"/>
        <v>0</v>
      </c>
      <c r="AW65" s="466">
        <f t="shared" si="38"/>
        <v>0</v>
      </c>
      <c r="AX65" s="466">
        <f t="shared" si="39"/>
        <v>0</v>
      </c>
      <c r="AY65" s="385">
        <f t="shared" si="40"/>
        <v>0</v>
      </c>
      <c r="AZ65" s="3174">
        <f t="shared" si="41"/>
        <v>0</v>
      </c>
      <c r="BA65" s="3174">
        <f t="shared" si="42"/>
        <v>0</v>
      </c>
      <c r="BB65" s="3174">
        <f t="shared" si="43"/>
        <v>0</v>
      </c>
      <c r="BC65" s="3174">
        <f t="shared" si="44"/>
        <v>0</v>
      </c>
      <c r="BD65" s="3174">
        <f t="shared" si="45"/>
        <v>0</v>
      </c>
      <c r="BE65" s="3174">
        <f t="shared" si="46"/>
        <v>0</v>
      </c>
      <c r="BF65" s="3174">
        <f t="shared" si="47"/>
        <v>0</v>
      </c>
      <c r="BG65" s="3174">
        <f t="shared" si="48"/>
        <v>0</v>
      </c>
      <c r="BH65" s="3174">
        <f t="shared" si="49"/>
        <v>0</v>
      </c>
      <c r="BI65" s="3174">
        <f t="shared" si="50"/>
        <v>0</v>
      </c>
      <c r="BJ65" s="3174">
        <f t="shared" si="51"/>
        <v>0</v>
      </c>
      <c r="BK65" s="3174">
        <f t="shared" si="52"/>
        <v>0</v>
      </c>
      <c r="BL65" s="3174">
        <f t="shared" si="53"/>
        <v>0</v>
      </c>
      <c r="BM65" s="3174">
        <f t="shared" si="54"/>
        <v>0</v>
      </c>
      <c r="BN65" s="3174">
        <f t="shared" si="55"/>
        <v>0</v>
      </c>
      <c r="BO65" s="3174">
        <f t="shared" si="56"/>
        <v>0</v>
      </c>
      <c r="BP65" s="3174">
        <f t="shared" si="57"/>
        <v>0</v>
      </c>
      <c r="BQ65" s="3174">
        <f t="shared" si="58"/>
        <v>0</v>
      </c>
      <c r="BR65" s="3174">
        <f t="shared" si="59"/>
        <v>0</v>
      </c>
      <c r="BS65" s="3174">
        <f t="shared" si="60"/>
        <v>0</v>
      </c>
      <c r="BT65" s="3249">
        <f t="shared" si="61"/>
        <v>0</v>
      </c>
    </row>
    <row r="66" spans="1:72">
      <c r="A66" s="489"/>
      <c r="B66" s="356"/>
      <c r="C66" s="356"/>
      <c r="D66" s="3182"/>
      <c r="E66" s="3174">
        <f t="shared" si="33"/>
        <v>0</v>
      </c>
      <c r="F66" s="3175"/>
      <c r="G66" s="3176">
        <f t="shared" si="34"/>
        <v>0</v>
      </c>
      <c r="H66" s="3177">
        <f t="shared" si="35"/>
        <v>0</v>
      </c>
      <c r="I66" s="3200"/>
      <c r="J66" s="3200"/>
      <c r="K66" s="3200"/>
      <c r="L66" s="3200"/>
      <c r="M66" s="3200"/>
      <c r="N66" s="3200"/>
      <c r="O66" s="3200"/>
      <c r="P66" s="3200"/>
      <c r="Q66" s="3200"/>
      <c r="R66" s="3200"/>
      <c r="S66" s="3200"/>
      <c r="T66" s="3200"/>
      <c r="U66" s="3200"/>
      <c r="V66" s="3200"/>
      <c r="W66" s="3200"/>
      <c r="X66" s="3200"/>
      <c r="Y66" s="3200"/>
      <c r="Z66" s="3200"/>
      <c r="AA66" s="3200"/>
      <c r="AB66" s="3200"/>
      <c r="AC66" s="3174">
        <f t="shared" si="36"/>
        <v>0</v>
      </c>
      <c r="AD66" s="3212"/>
      <c r="AE66" s="3212"/>
      <c r="AF66" s="3212"/>
      <c r="AG66" s="3212"/>
      <c r="AH66" s="3212"/>
      <c r="AI66" s="3212"/>
      <c r="AJ66" s="3212"/>
      <c r="AK66" s="3212"/>
      <c r="AL66" s="3212"/>
      <c r="AM66" s="3212"/>
      <c r="AN66" s="3212"/>
      <c r="AO66" s="3212"/>
      <c r="AP66" s="3212"/>
      <c r="AQ66" s="3212"/>
      <c r="AR66" s="3212"/>
      <c r="AS66" s="3212"/>
      <c r="AT66" s="3175"/>
      <c r="AU66" s="3232"/>
      <c r="AV66" s="466">
        <f t="shared" si="37"/>
        <v>0</v>
      </c>
      <c r="AW66" s="466">
        <f t="shared" si="38"/>
        <v>0</v>
      </c>
      <c r="AX66" s="466">
        <f t="shared" si="39"/>
        <v>0</v>
      </c>
      <c r="AY66" s="385">
        <f t="shared" si="40"/>
        <v>0</v>
      </c>
      <c r="AZ66" s="3174">
        <f t="shared" si="41"/>
        <v>0</v>
      </c>
      <c r="BA66" s="3174">
        <f t="shared" si="42"/>
        <v>0</v>
      </c>
      <c r="BB66" s="3174">
        <f t="shared" si="43"/>
        <v>0</v>
      </c>
      <c r="BC66" s="3174">
        <f t="shared" si="44"/>
        <v>0</v>
      </c>
      <c r="BD66" s="3174">
        <f t="shared" si="45"/>
        <v>0</v>
      </c>
      <c r="BE66" s="3174">
        <f t="shared" si="46"/>
        <v>0</v>
      </c>
      <c r="BF66" s="3174">
        <f t="shared" si="47"/>
        <v>0</v>
      </c>
      <c r="BG66" s="3174">
        <f t="shared" si="48"/>
        <v>0</v>
      </c>
      <c r="BH66" s="3174">
        <f t="shared" si="49"/>
        <v>0</v>
      </c>
      <c r="BI66" s="3174">
        <f t="shared" si="50"/>
        <v>0</v>
      </c>
      <c r="BJ66" s="3174">
        <f t="shared" si="51"/>
        <v>0</v>
      </c>
      <c r="BK66" s="3174">
        <f t="shared" si="52"/>
        <v>0</v>
      </c>
      <c r="BL66" s="3174">
        <f t="shared" si="53"/>
        <v>0</v>
      </c>
      <c r="BM66" s="3174">
        <f t="shared" si="54"/>
        <v>0</v>
      </c>
      <c r="BN66" s="3174">
        <f t="shared" si="55"/>
        <v>0</v>
      </c>
      <c r="BO66" s="3174">
        <f t="shared" si="56"/>
        <v>0</v>
      </c>
      <c r="BP66" s="3174">
        <f t="shared" si="57"/>
        <v>0</v>
      </c>
      <c r="BQ66" s="3174">
        <f t="shared" si="58"/>
        <v>0</v>
      </c>
      <c r="BR66" s="3174">
        <f t="shared" si="59"/>
        <v>0</v>
      </c>
      <c r="BS66" s="3174">
        <f t="shared" si="60"/>
        <v>0</v>
      </c>
      <c r="BT66" s="3249">
        <f t="shared" si="61"/>
        <v>0</v>
      </c>
    </row>
    <row r="67" spans="1:72">
      <c r="A67" s="489"/>
      <c r="B67" s="356"/>
      <c r="C67" s="356"/>
      <c r="D67" s="3182"/>
      <c r="E67" s="3174">
        <f t="shared" si="33"/>
        <v>0</v>
      </c>
      <c r="F67" s="3175"/>
      <c r="G67" s="3176">
        <f t="shared" si="34"/>
        <v>0</v>
      </c>
      <c r="H67" s="3177">
        <f t="shared" si="35"/>
        <v>0</v>
      </c>
      <c r="I67" s="3200"/>
      <c r="J67" s="3200"/>
      <c r="K67" s="3200"/>
      <c r="L67" s="3200"/>
      <c r="M67" s="3200"/>
      <c r="N67" s="3200"/>
      <c r="O67" s="3200"/>
      <c r="P67" s="3200"/>
      <c r="Q67" s="3200"/>
      <c r="R67" s="3200"/>
      <c r="S67" s="3200"/>
      <c r="T67" s="3200"/>
      <c r="U67" s="3200"/>
      <c r="V67" s="3200"/>
      <c r="W67" s="3200"/>
      <c r="X67" s="3200"/>
      <c r="Y67" s="3200"/>
      <c r="Z67" s="3200"/>
      <c r="AA67" s="3200"/>
      <c r="AB67" s="3200"/>
      <c r="AC67" s="3174">
        <f t="shared" si="36"/>
        <v>0</v>
      </c>
      <c r="AD67" s="3212"/>
      <c r="AE67" s="3212"/>
      <c r="AF67" s="3212"/>
      <c r="AG67" s="3212"/>
      <c r="AH67" s="3212"/>
      <c r="AI67" s="3212"/>
      <c r="AJ67" s="3212"/>
      <c r="AK67" s="3212"/>
      <c r="AL67" s="3212"/>
      <c r="AM67" s="3212"/>
      <c r="AN67" s="3212"/>
      <c r="AO67" s="3212"/>
      <c r="AP67" s="3212"/>
      <c r="AQ67" s="3212"/>
      <c r="AR67" s="3212"/>
      <c r="AS67" s="3212"/>
      <c r="AT67" s="3175"/>
      <c r="AU67" s="3232"/>
      <c r="AV67" s="466">
        <f t="shared" si="37"/>
        <v>0</v>
      </c>
      <c r="AW67" s="466">
        <f t="shared" si="38"/>
        <v>0</v>
      </c>
      <c r="AX67" s="466">
        <f t="shared" si="39"/>
        <v>0</v>
      </c>
      <c r="AY67" s="385">
        <f t="shared" si="40"/>
        <v>0</v>
      </c>
      <c r="AZ67" s="3174">
        <f t="shared" si="41"/>
        <v>0</v>
      </c>
      <c r="BA67" s="3174">
        <f t="shared" si="42"/>
        <v>0</v>
      </c>
      <c r="BB67" s="3174">
        <f t="shared" si="43"/>
        <v>0</v>
      </c>
      <c r="BC67" s="3174">
        <f t="shared" si="44"/>
        <v>0</v>
      </c>
      <c r="BD67" s="3174">
        <f t="shared" si="45"/>
        <v>0</v>
      </c>
      <c r="BE67" s="3174">
        <f t="shared" si="46"/>
        <v>0</v>
      </c>
      <c r="BF67" s="3174">
        <f t="shared" si="47"/>
        <v>0</v>
      </c>
      <c r="BG67" s="3174">
        <f t="shared" si="48"/>
        <v>0</v>
      </c>
      <c r="BH67" s="3174">
        <f t="shared" si="49"/>
        <v>0</v>
      </c>
      <c r="BI67" s="3174">
        <f t="shared" si="50"/>
        <v>0</v>
      </c>
      <c r="BJ67" s="3174">
        <f t="shared" si="51"/>
        <v>0</v>
      </c>
      <c r="BK67" s="3174">
        <f t="shared" si="52"/>
        <v>0</v>
      </c>
      <c r="BL67" s="3174">
        <f t="shared" si="53"/>
        <v>0</v>
      </c>
      <c r="BM67" s="3174">
        <f t="shared" si="54"/>
        <v>0</v>
      </c>
      <c r="BN67" s="3174">
        <f t="shared" si="55"/>
        <v>0</v>
      </c>
      <c r="BO67" s="3174">
        <f t="shared" si="56"/>
        <v>0</v>
      </c>
      <c r="BP67" s="3174">
        <f t="shared" si="57"/>
        <v>0</v>
      </c>
      <c r="BQ67" s="3174">
        <f t="shared" si="58"/>
        <v>0</v>
      </c>
      <c r="BR67" s="3174">
        <f t="shared" si="59"/>
        <v>0</v>
      </c>
      <c r="BS67" s="3174">
        <f t="shared" si="60"/>
        <v>0</v>
      </c>
      <c r="BT67" s="3249">
        <f t="shared" si="61"/>
        <v>0</v>
      </c>
    </row>
    <row r="68" spans="1:72">
      <c r="A68" s="489"/>
      <c r="B68" s="356"/>
      <c r="C68" s="356"/>
      <c r="D68" s="3182"/>
      <c r="E68" s="3174">
        <f t="shared" si="33"/>
        <v>0</v>
      </c>
      <c r="F68" s="3175"/>
      <c r="G68" s="3176">
        <f t="shared" si="34"/>
        <v>0</v>
      </c>
      <c r="H68" s="3177">
        <f t="shared" si="35"/>
        <v>0</v>
      </c>
      <c r="I68" s="3200"/>
      <c r="J68" s="3200"/>
      <c r="K68" s="3200"/>
      <c r="L68" s="3200"/>
      <c r="M68" s="3200"/>
      <c r="N68" s="3200"/>
      <c r="O68" s="3200"/>
      <c r="P68" s="3200"/>
      <c r="Q68" s="3200"/>
      <c r="R68" s="3200"/>
      <c r="S68" s="3200"/>
      <c r="T68" s="3200"/>
      <c r="U68" s="3200"/>
      <c r="V68" s="3200"/>
      <c r="W68" s="3200"/>
      <c r="X68" s="3200"/>
      <c r="Y68" s="3200"/>
      <c r="Z68" s="3200"/>
      <c r="AA68" s="3200"/>
      <c r="AB68" s="3200"/>
      <c r="AC68" s="3174">
        <f t="shared" si="36"/>
        <v>0</v>
      </c>
      <c r="AD68" s="3212"/>
      <c r="AE68" s="3212"/>
      <c r="AF68" s="3212"/>
      <c r="AG68" s="3212"/>
      <c r="AH68" s="3212"/>
      <c r="AI68" s="3212"/>
      <c r="AJ68" s="3212"/>
      <c r="AK68" s="3212"/>
      <c r="AL68" s="3212"/>
      <c r="AM68" s="3212"/>
      <c r="AN68" s="3212"/>
      <c r="AO68" s="3212"/>
      <c r="AP68" s="3212"/>
      <c r="AQ68" s="3212"/>
      <c r="AR68" s="3212"/>
      <c r="AS68" s="3212"/>
      <c r="AT68" s="3175"/>
      <c r="AU68" s="3232"/>
      <c r="AV68" s="466">
        <f t="shared" si="37"/>
        <v>0</v>
      </c>
      <c r="AW68" s="466">
        <f t="shared" si="38"/>
        <v>0</v>
      </c>
      <c r="AX68" s="466">
        <f t="shared" si="39"/>
        <v>0</v>
      </c>
      <c r="AY68" s="385">
        <f t="shared" si="40"/>
        <v>0</v>
      </c>
      <c r="AZ68" s="3174">
        <f t="shared" si="41"/>
        <v>0</v>
      </c>
      <c r="BA68" s="3174">
        <f t="shared" si="42"/>
        <v>0</v>
      </c>
      <c r="BB68" s="3174">
        <f t="shared" si="43"/>
        <v>0</v>
      </c>
      <c r="BC68" s="3174">
        <f t="shared" si="44"/>
        <v>0</v>
      </c>
      <c r="BD68" s="3174">
        <f t="shared" si="45"/>
        <v>0</v>
      </c>
      <c r="BE68" s="3174">
        <f t="shared" si="46"/>
        <v>0</v>
      </c>
      <c r="BF68" s="3174">
        <f t="shared" si="47"/>
        <v>0</v>
      </c>
      <c r="BG68" s="3174">
        <f t="shared" si="48"/>
        <v>0</v>
      </c>
      <c r="BH68" s="3174">
        <f t="shared" si="49"/>
        <v>0</v>
      </c>
      <c r="BI68" s="3174">
        <f t="shared" si="50"/>
        <v>0</v>
      </c>
      <c r="BJ68" s="3174">
        <f t="shared" si="51"/>
        <v>0</v>
      </c>
      <c r="BK68" s="3174">
        <f t="shared" si="52"/>
        <v>0</v>
      </c>
      <c r="BL68" s="3174">
        <f t="shared" si="53"/>
        <v>0</v>
      </c>
      <c r="BM68" s="3174">
        <f t="shared" si="54"/>
        <v>0</v>
      </c>
      <c r="BN68" s="3174">
        <f t="shared" si="55"/>
        <v>0</v>
      </c>
      <c r="BO68" s="3174">
        <f t="shared" si="56"/>
        <v>0</v>
      </c>
      <c r="BP68" s="3174">
        <f t="shared" si="57"/>
        <v>0</v>
      </c>
      <c r="BQ68" s="3174">
        <f t="shared" si="58"/>
        <v>0</v>
      </c>
      <c r="BR68" s="3174">
        <f t="shared" si="59"/>
        <v>0</v>
      </c>
      <c r="BS68" s="3174">
        <f t="shared" si="60"/>
        <v>0</v>
      </c>
      <c r="BT68" s="3249">
        <f t="shared" si="61"/>
        <v>0</v>
      </c>
    </row>
    <row r="69" spans="1:72">
      <c r="A69" s="489"/>
      <c r="B69" s="356"/>
      <c r="C69" s="356"/>
      <c r="D69" s="3182"/>
      <c r="E69" s="3174">
        <f t="shared" si="33"/>
        <v>0</v>
      </c>
      <c r="F69" s="3175"/>
      <c r="G69" s="3176">
        <f t="shared" si="34"/>
        <v>0</v>
      </c>
      <c r="H69" s="3177">
        <f t="shared" si="35"/>
        <v>0</v>
      </c>
      <c r="I69" s="3200"/>
      <c r="J69" s="3200"/>
      <c r="K69" s="3200"/>
      <c r="L69" s="3200"/>
      <c r="M69" s="3200"/>
      <c r="N69" s="3200"/>
      <c r="O69" s="3200"/>
      <c r="P69" s="3200"/>
      <c r="Q69" s="3200"/>
      <c r="R69" s="3200"/>
      <c r="S69" s="3200"/>
      <c r="T69" s="3200"/>
      <c r="U69" s="3200"/>
      <c r="V69" s="3200"/>
      <c r="W69" s="3200"/>
      <c r="X69" s="3200"/>
      <c r="Y69" s="3200"/>
      <c r="Z69" s="3200"/>
      <c r="AA69" s="3200"/>
      <c r="AB69" s="3200"/>
      <c r="AC69" s="3174">
        <f t="shared" si="36"/>
        <v>0</v>
      </c>
      <c r="AD69" s="3212"/>
      <c r="AE69" s="3212"/>
      <c r="AF69" s="3212"/>
      <c r="AG69" s="3212"/>
      <c r="AH69" s="3212"/>
      <c r="AI69" s="3212"/>
      <c r="AJ69" s="3212"/>
      <c r="AK69" s="3212"/>
      <c r="AL69" s="3212"/>
      <c r="AM69" s="3212"/>
      <c r="AN69" s="3212"/>
      <c r="AO69" s="3212"/>
      <c r="AP69" s="3212"/>
      <c r="AQ69" s="3212"/>
      <c r="AR69" s="3212"/>
      <c r="AS69" s="3212"/>
      <c r="AT69" s="3175"/>
      <c r="AU69" s="3232"/>
      <c r="AV69" s="466">
        <f t="shared" si="37"/>
        <v>0</v>
      </c>
      <c r="AW69" s="466">
        <f t="shared" si="38"/>
        <v>0</v>
      </c>
      <c r="AX69" s="466">
        <f t="shared" si="39"/>
        <v>0</v>
      </c>
      <c r="AY69" s="385">
        <f t="shared" si="40"/>
        <v>0</v>
      </c>
      <c r="AZ69" s="3174">
        <f t="shared" si="41"/>
        <v>0</v>
      </c>
      <c r="BA69" s="3174">
        <f t="shared" si="42"/>
        <v>0</v>
      </c>
      <c r="BB69" s="3174">
        <f t="shared" si="43"/>
        <v>0</v>
      </c>
      <c r="BC69" s="3174">
        <f t="shared" si="44"/>
        <v>0</v>
      </c>
      <c r="BD69" s="3174">
        <f t="shared" si="45"/>
        <v>0</v>
      </c>
      <c r="BE69" s="3174">
        <f t="shared" si="46"/>
        <v>0</v>
      </c>
      <c r="BF69" s="3174">
        <f t="shared" si="47"/>
        <v>0</v>
      </c>
      <c r="BG69" s="3174">
        <f t="shared" si="48"/>
        <v>0</v>
      </c>
      <c r="BH69" s="3174">
        <f t="shared" si="49"/>
        <v>0</v>
      </c>
      <c r="BI69" s="3174">
        <f t="shared" si="50"/>
        <v>0</v>
      </c>
      <c r="BJ69" s="3174">
        <f t="shared" si="51"/>
        <v>0</v>
      </c>
      <c r="BK69" s="3174">
        <f t="shared" si="52"/>
        <v>0</v>
      </c>
      <c r="BL69" s="3174">
        <f t="shared" si="53"/>
        <v>0</v>
      </c>
      <c r="BM69" s="3174">
        <f t="shared" si="54"/>
        <v>0</v>
      </c>
      <c r="BN69" s="3174">
        <f t="shared" si="55"/>
        <v>0</v>
      </c>
      <c r="BO69" s="3174">
        <f t="shared" si="56"/>
        <v>0</v>
      </c>
      <c r="BP69" s="3174">
        <f t="shared" si="57"/>
        <v>0</v>
      </c>
      <c r="BQ69" s="3174">
        <f t="shared" si="58"/>
        <v>0</v>
      </c>
      <c r="BR69" s="3174">
        <f t="shared" si="59"/>
        <v>0</v>
      </c>
      <c r="BS69" s="3174">
        <f t="shared" si="60"/>
        <v>0</v>
      </c>
      <c r="BT69" s="3249">
        <f t="shared" si="61"/>
        <v>0</v>
      </c>
    </row>
    <row r="70" spans="1:72">
      <c r="A70" s="489"/>
      <c r="B70" s="356"/>
      <c r="C70" s="356"/>
      <c r="D70" s="3182"/>
      <c r="E70" s="3174">
        <f t="shared" si="33"/>
        <v>0</v>
      </c>
      <c r="F70" s="3175"/>
      <c r="G70" s="3176">
        <f t="shared" si="34"/>
        <v>0</v>
      </c>
      <c r="H70" s="3177">
        <f t="shared" si="35"/>
        <v>0</v>
      </c>
      <c r="I70" s="3200"/>
      <c r="J70" s="3200"/>
      <c r="K70" s="3200"/>
      <c r="L70" s="3200"/>
      <c r="M70" s="3200"/>
      <c r="N70" s="3200"/>
      <c r="O70" s="3200"/>
      <c r="P70" s="3200"/>
      <c r="Q70" s="3200"/>
      <c r="R70" s="3200"/>
      <c r="S70" s="3200"/>
      <c r="T70" s="3200"/>
      <c r="U70" s="3200"/>
      <c r="V70" s="3200"/>
      <c r="W70" s="3200"/>
      <c r="X70" s="3200"/>
      <c r="Y70" s="3200"/>
      <c r="Z70" s="3200"/>
      <c r="AA70" s="3200"/>
      <c r="AB70" s="3200"/>
      <c r="AC70" s="3174">
        <f t="shared" si="36"/>
        <v>0</v>
      </c>
      <c r="AD70" s="3212"/>
      <c r="AE70" s="3212"/>
      <c r="AF70" s="3212"/>
      <c r="AG70" s="3212"/>
      <c r="AH70" s="3212"/>
      <c r="AI70" s="3212"/>
      <c r="AJ70" s="3212"/>
      <c r="AK70" s="3212"/>
      <c r="AL70" s="3212"/>
      <c r="AM70" s="3212"/>
      <c r="AN70" s="3212"/>
      <c r="AO70" s="3212"/>
      <c r="AP70" s="3212"/>
      <c r="AQ70" s="3212"/>
      <c r="AR70" s="3212"/>
      <c r="AS70" s="3212"/>
      <c r="AT70" s="3175"/>
      <c r="AU70" s="3232"/>
      <c r="AV70" s="466">
        <f t="shared" si="37"/>
        <v>0</v>
      </c>
      <c r="AW70" s="466">
        <f t="shared" si="38"/>
        <v>0</v>
      </c>
      <c r="AX70" s="466">
        <f t="shared" si="39"/>
        <v>0</v>
      </c>
      <c r="AY70" s="385">
        <f t="shared" si="40"/>
        <v>0</v>
      </c>
      <c r="AZ70" s="3174">
        <f t="shared" si="41"/>
        <v>0</v>
      </c>
      <c r="BA70" s="3174">
        <f t="shared" si="42"/>
        <v>0</v>
      </c>
      <c r="BB70" s="3174">
        <f t="shared" si="43"/>
        <v>0</v>
      </c>
      <c r="BC70" s="3174">
        <f t="shared" si="44"/>
        <v>0</v>
      </c>
      <c r="BD70" s="3174">
        <f t="shared" si="45"/>
        <v>0</v>
      </c>
      <c r="BE70" s="3174">
        <f t="shared" si="46"/>
        <v>0</v>
      </c>
      <c r="BF70" s="3174">
        <f t="shared" si="47"/>
        <v>0</v>
      </c>
      <c r="BG70" s="3174">
        <f t="shared" si="48"/>
        <v>0</v>
      </c>
      <c r="BH70" s="3174">
        <f t="shared" si="49"/>
        <v>0</v>
      </c>
      <c r="BI70" s="3174">
        <f t="shared" si="50"/>
        <v>0</v>
      </c>
      <c r="BJ70" s="3174">
        <f t="shared" si="51"/>
        <v>0</v>
      </c>
      <c r="BK70" s="3174">
        <f t="shared" si="52"/>
        <v>0</v>
      </c>
      <c r="BL70" s="3174">
        <f t="shared" si="53"/>
        <v>0</v>
      </c>
      <c r="BM70" s="3174">
        <f t="shared" si="54"/>
        <v>0</v>
      </c>
      <c r="BN70" s="3174">
        <f t="shared" si="55"/>
        <v>0</v>
      </c>
      <c r="BO70" s="3174">
        <f t="shared" si="56"/>
        <v>0</v>
      </c>
      <c r="BP70" s="3174">
        <f t="shared" si="57"/>
        <v>0</v>
      </c>
      <c r="BQ70" s="3174">
        <f t="shared" si="58"/>
        <v>0</v>
      </c>
      <c r="BR70" s="3174">
        <f t="shared" si="59"/>
        <v>0</v>
      </c>
      <c r="BS70" s="3174">
        <f t="shared" si="60"/>
        <v>0</v>
      </c>
      <c r="BT70" s="3249">
        <f t="shared" si="61"/>
        <v>0</v>
      </c>
    </row>
    <row r="71" spans="1:72">
      <c r="A71" s="489"/>
      <c r="B71" s="356"/>
      <c r="C71" s="356"/>
      <c r="D71" s="3182"/>
      <c r="E71" s="3174">
        <f t="shared" si="33"/>
        <v>0</v>
      </c>
      <c r="F71" s="3175"/>
      <c r="G71" s="3176">
        <f t="shared" si="34"/>
        <v>0</v>
      </c>
      <c r="H71" s="3177">
        <f t="shared" si="35"/>
        <v>0</v>
      </c>
      <c r="I71" s="3200"/>
      <c r="J71" s="3200"/>
      <c r="K71" s="3200"/>
      <c r="L71" s="3200"/>
      <c r="M71" s="3200"/>
      <c r="N71" s="3200"/>
      <c r="O71" s="3200"/>
      <c r="P71" s="3200"/>
      <c r="Q71" s="3200"/>
      <c r="R71" s="3200"/>
      <c r="S71" s="3200"/>
      <c r="T71" s="3200"/>
      <c r="U71" s="3200"/>
      <c r="V71" s="3200"/>
      <c r="W71" s="3200"/>
      <c r="X71" s="3200"/>
      <c r="Y71" s="3200"/>
      <c r="Z71" s="3200"/>
      <c r="AA71" s="3200"/>
      <c r="AB71" s="3200"/>
      <c r="AC71" s="3174">
        <f t="shared" si="36"/>
        <v>0</v>
      </c>
      <c r="AD71" s="3212"/>
      <c r="AE71" s="3212"/>
      <c r="AF71" s="3212"/>
      <c r="AG71" s="3212"/>
      <c r="AH71" s="3212"/>
      <c r="AI71" s="3212"/>
      <c r="AJ71" s="3212"/>
      <c r="AK71" s="3212"/>
      <c r="AL71" s="3212"/>
      <c r="AM71" s="3212"/>
      <c r="AN71" s="3212"/>
      <c r="AO71" s="3212"/>
      <c r="AP71" s="3212"/>
      <c r="AQ71" s="3212"/>
      <c r="AR71" s="3212"/>
      <c r="AS71" s="3212"/>
      <c r="AT71" s="3175"/>
      <c r="AU71" s="3232"/>
      <c r="AV71" s="466">
        <f t="shared" si="37"/>
        <v>0</v>
      </c>
      <c r="AW71" s="466">
        <f t="shared" si="38"/>
        <v>0</v>
      </c>
      <c r="AX71" s="466">
        <f t="shared" si="39"/>
        <v>0</v>
      </c>
      <c r="AY71" s="385">
        <f t="shared" si="40"/>
        <v>0</v>
      </c>
      <c r="AZ71" s="3174">
        <f t="shared" si="41"/>
        <v>0</v>
      </c>
      <c r="BA71" s="3174">
        <f t="shared" si="42"/>
        <v>0</v>
      </c>
      <c r="BB71" s="3174">
        <f t="shared" si="43"/>
        <v>0</v>
      </c>
      <c r="BC71" s="3174">
        <f t="shared" si="44"/>
        <v>0</v>
      </c>
      <c r="BD71" s="3174">
        <f t="shared" si="45"/>
        <v>0</v>
      </c>
      <c r="BE71" s="3174">
        <f t="shared" si="46"/>
        <v>0</v>
      </c>
      <c r="BF71" s="3174">
        <f t="shared" si="47"/>
        <v>0</v>
      </c>
      <c r="BG71" s="3174">
        <f t="shared" si="48"/>
        <v>0</v>
      </c>
      <c r="BH71" s="3174">
        <f t="shared" si="49"/>
        <v>0</v>
      </c>
      <c r="BI71" s="3174">
        <f t="shared" si="50"/>
        <v>0</v>
      </c>
      <c r="BJ71" s="3174">
        <f t="shared" si="51"/>
        <v>0</v>
      </c>
      <c r="BK71" s="3174">
        <f t="shared" si="52"/>
        <v>0</v>
      </c>
      <c r="BL71" s="3174">
        <f t="shared" si="53"/>
        <v>0</v>
      </c>
      <c r="BM71" s="3174">
        <f t="shared" si="54"/>
        <v>0</v>
      </c>
      <c r="BN71" s="3174">
        <f t="shared" si="55"/>
        <v>0</v>
      </c>
      <c r="BO71" s="3174">
        <f t="shared" si="56"/>
        <v>0</v>
      </c>
      <c r="BP71" s="3174">
        <f t="shared" si="57"/>
        <v>0</v>
      </c>
      <c r="BQ71" s="3174">
        <f t="shared" si="58"/>
        <v>0</v>
      </c>
      <c r="BR71" s="3174">
        <f t="shared" si="59"/>
        <v>0</v>
      </c>
      <c r="BS71" s="3174">
        <f t="shared" si="60"/>
        <v>0</v>
      </c>
      <c r="BT71" s="3249">
        <f t="shared" si="61"/>
        <v>0</v>
      </c>
    </row>
    <row r="72" spans="1:72">
      <c r="A72" s="489"/>
      <c r="B72" s="356"/>
      <c r="C72" s="356"/>
      <c r="D72" s="3182"/>
      <c r="E72" s="3174">
        <f t="shared" si="33"/>
        <v>0</v>
      </c>
      <c r="F72" s="3175"/>
      <c r="G72" s="3176">
        <f t="shared" si="34"/>
        <v>0</v>
      </c>
      <c r="H72" s="3177">
        <f t="shared" si="35"/>
        <v>0</v>
      </c>
      <c r="I72" s="3200"/>
      <c r="J72" s="3200"/>
      <c r="K72" s="3200"/>
      <c r="L72" s="3200"/>
      <c r="M72" s="3200"/>
      <c r="N72" s="3200"/>
      <c r="O72" s="3200"/>
      <c r="P72" s="3200"/>
      <c r="Q72" s="3200"/>
      <c r="R72" s="3200"/>
      <c r="S72" s="3200"/>
      <c r="T72" s="3200"/>
      <c r="U72" s="3200"/>
      <c r="V72" s="3200"/>
      <c r="W72" s="3200"/>
      <c r="X72" s="3200"/>
      <c r="Y72" s="3200"/>
      <c r="Z72" s="3200"/>
      <c r="AA72" s="3200"/>
      <c r="AB72" s="3200"/>
      <c r="AC72" s="3174">
        <f t="shared" si="36"/>
        <v>0</v>
      </c>
      <c r="AD72" s="3212"/>
      <c r="AE72" s="3212"/>
      <c r="AF72" s="3212"/>
      <c r="AG72" s="3212"/>
      <c r="AH72" s="3212"/>
      <c r="AI72" s="3212"/>
      <c r="AJ72" s="3212"/>
      <c r="AK72" s="3212"/>
      <c r="AL72" s="3212"/>
      <c r="AM72" s="3212"/>
      <c r="AN72" s="3212"/>
      <c r="AO72" s="3212"/>
      <c r="AP72" s="3212"/>
      <c r="AQ72" s="3212"/>
      <c r="AR72" s="3212"/>
      <c r="AS72" s="3212"/>
      <c r="AT72" s="3175"/>
      <c r="AU72" s="3232"/>
      <c r="AV72" s="466">
        <f t="shared" si="37"/>
        <v>0</v>
      </c>
      <c r="AW72" s="466">
        <f t="shared" si="38"/>
        <v>0</v>
      </c>
      <c r="AX72" s="466">
        <f t="shared" si="39"/>
        <v>0</v>
      </c>
      <c r="AY72" s="385">
        <f t="shared" si="40"/>
        <v>0</v>
      </c>
      <c r="AZ72" s="3174">
        <f t="shared" si="41"/>
        <v>0</v>
      </c>
      <c r="BA72" s="3174">
        <f t="shared" si="42"/>
        <v>0</v>
      </c>
      <c r="BB72" s="3174">
        <f t="shared" si="43"/>
        <v>0</v>
      </c>
      <c r="BC72" s="3174">
        <f t="shared" si="44"/>
        <v>0</v>
      </c>
      <c r="BD72" s="3174">
        <f t="shared" si="45"/>
        <v>0</v>
      </c>
      <c r="BE72" s="3174">
        <f t="shared" si="46"/>
        <v>0</v>
      </c>
      <c r="BF72" s="3174">
        <f t="shared" si="47"/>
        <v>0</v>
      </c>
      <c r="BG72" s="3174">
        <f t="shared" si="48"/>
        <v>0</v>
      </c>
      <c r="BH72" s="3174">
        <f t="shared" si="49"/>
        <v>0</v>
      </c>
      <c r="BI72" s="3174">
        <f t="shared" si="50"/>
        <v>0</v>
      </c>
      <c r="BJ72" s="3174">
        <f t="shared" si="51"/>
        <v>0</v>
      </c>
      <c r="BK72" s="3174">
        <f t="shared" si="52"/>
        <v>0</v>
      </c>
      <c r="BL72" s="3174">
        <f t="shared" si="53"/>
        <v>0</v>
      </c>
      <c r="BM72" s="3174">
        <f t="shared" si="54"/>
        <v>0</v>
      </c>
      <c r="BN72" s="3174">
        <f t="shared" si="55"/>
        <v>0</v>
      </c>
      <c r="BO72" s="3174">
        <f t="shared" si="56"/>
        <v>0</v>
      </c>
      <c r="BP72" s="3174">
        <f t="shared" si="57"/>
        <v>0</v>
      </c>
      <c r="BQ72" s="3174">
        <f t="shared" si="58"/>
        <v>0</v>
      </c>
      <c r="BR72" s="3174">
        <f t="shared" si="59"/>
        <v>0</v>
      </c>
      <c r="BS72" s="3174">
        <f t="shared" si="60"/>
        <v>0</v>
      </c>
      <c r="BT72" s="3249">
        <f t="shared" si="61"/>
        <v>0</v>
      </c>
    </row>
    <row r="73" spans="1:72">
      <c r="A73" s="489"/>
      <c r="B73" s="356"/>
      <c r="C73" s="356"/>
      <c r="D73" s="3182"/>
      <c r="E73" s="3174">
        <f t="shared" si="33"/>
        <v>0</v>
      </c>
      <c r="F73" s="3175"/>
      <c r="G73" s="3176">
        <f t="shared" si="34"/>
        <v>0</v>
      </c>
      <c r="H73" s="3177">
        <f t="shared" si="35"/>
        <v>0</v>
      </c>
      <c r="I73" s="3200"/>
      <c r="J73" s="3200"/>
      <c r="K73" s="3200"/>
      <c r="L73" s="3200"/>
      <c r="M73" s="3200"/>
      <c r="N73" s="3200"/>
      <c r="O73" s="3200"/>
      <c r="P73" s="3200"/>
      <c r="Q73" s="3200"/>
      <c r="R73" s="3200"/>
      <c r="S73" s="3200"/>
      <c r="T73" s="3200"/>
      <c r="U73" s="3200"/>
      <c r="V73" s="3200"/>
      <c r="W73" s="3200"/>
      <c r="X73" s="3200"/>
      <c r="Y73" s="3200"/>
      <c r="Z73" s="3200"/>
      <c r="AA73" s="3200"/>
      <c r="AB73" s="3200"/>
      <c r="AC73" s="3174">
        <f t="shared" si="36"/>
        <v>0</v>
      </c>
      <c r="AD73" s="3212"/>
      <c r="AE73" s="3212"/>
      <c r="AF73" s="3212"/>
      <c r="AG73" s="3212"/>
      <c r="AH73" s="3212"/>
      <c r="AI73" s="3212"/>
      <c r="AJ73" s="3212"/>
      <c r="AK73" s="3212"/>
      <c r="AL73" s="3212"/>
      <c r="AM73" s="3212"/>
      <c r="AN73" s="3212"/>
      <c r="AO73" s="3212"/>
      <c r="AP73" s="3212"/>
      <c r="AQ73" s="3212"/>
      <c r="AR73" s="3212"/>
      <c r="AS73" s="3212"/>
      <c r="AT73" s="3175"/>
      <c r="AU73" s="3232"/>
      <c r="AV73" s="466">
        <f t="shared" si="37"/>
        <v>0</v>
      </c>
      <c r="AW73" s="466">
        <f t="shared" si="38"/>
        <v>0</v>
      </c>
      <c r="AX73" s="466">
        <f t="shared" si="39"/>
        <v>0</v>
      </c>
      <c r="AY73" s="385">
        <f t="shared" si="40"/>
        <v>0</v>
      </c>
      <c r="AZ73" s="3174">
        <f t="shared" si="41"/>
        <v>0</v>
      </c>
      <c r="BA73" s="3174">
        <f t="shared" si="42"/>
        <v>0</v>
      </c>
      <c r="BB73" s="3174">
        <f t="shared" si="43"/>
        <v>0</v>
      </c>
      <c r="BC73" s="3174">
        <f t="shared" si="44"/>
        <v>0</v>
      </c>
      <c r="BD73" s="3174">
        <f t="shared" si="45"/>
        <v>0</v>
      </c>
      <c r="BE73" s="3174">
        <f t="shared" si="46"/>
        <v>0</v>
      </c>
      <c r="BF73" s="3174">
        <f t="shared" si="47"/>
        <v>0</v>
      </c>
      <c r="BG73" s="3174">
        <f t="shared" si="48"/>
        <v>0</v>
      </c>
      <c r="BH73" s="3174">
        <f t="shared" si="49"/>
        <v>0</v>
      </c>
      <c r="BI73" s="3174">
        <f t="shared" si="50"/>
        <v>0</v>
      </c>
      <c r="BJ73" s="3174">
        <f t="shared" si="51"/>
        <v>0</v>
      </c>
      <c r="BK73" s="3174">
        <f t="shared" si="52"/>
        <v>0</v>
      </c>
      <c r="BL73" s="3174">
        <f t="shared" si="53"/>
        <v>0</v>
      </c>
      <c r="BM73" s="3174">
        <f t="shared" si="54"/>
        <v>0</v>
      </c>
      <c r="BN73" s="3174">
        <f t="shared" si="55"/>
        <v>0</v>
      </c>
      <c r="BO73" s="3174">
        <f t="shared" si="56"/>
        <v>0</v>
      </c>
      <c r="BP73" s="3174">
        <f t="shared" si="57"/>
        <v>0</v>
      </c>
      <c r="BQ73" s="3174">
        <f t="shared" si="58"/>
        <v>0</v>
      </c>
      <c r="BR73" s="3174">
        <f t="shared" si="59"/>
        <v>0</v>
      </c>
      <c r="BS73" s="3174">
        <f t="shared" si="60"/>
        <v>0</v>
      </c>
      <c r="BT73" s="3249">
        <f t="shared" si="61"/>
        <v>0</v>
      </c>
    </row>
    <row r="74" spans="1:72">
      <c r="A74" s="489"/>
      <c r="B74" s="356"/>
      <c r="C74" s="356"/>
      <c r="D74" s="3182"/>
      <c r="E74" s="3174">
        <f t="shared" si="33"/>
        <v>0</v>
      </c>
      <c r="F74" s="3175"/>
      <c r="G74" s="3176">
        <f t="shared" si="34"/>
        <v>0</v>
      </c>
      <c r="H74" s="3177">
        <f t="shared" si="35"/>
        <v>0</v>
      </c>
      <c r="I74" s="3200"/>
      <c r="J74" s="3200"/>
      <c r="K74" s="3200"/>
      <c r="L74" s="3200"/>
      <c r="M74" s="3200"/>
      <c r="N74" s="3200"/>
      <c r="O74" s="3200"/>
      <c r="P74" s="3200"/>
      <c r="Q74" s="3200"/>
      <c r="R74" s="3200"/>
      <c r="S74" s="3200"/>
      <c r="T74" s="3200"/>
      <c r="U74" s="3200"/>
      <c r="V74" s="3200"/>
      <c r="W74" s="3200"/>
      <c r="X74" s="3200"/>
      <c r="Y74" s="3200"/>
      <c r="Z74" s="3200"/>
      <c r="AA74" s="3200"/>
      <c r="AB74" s="3200"/>
      <c r="AC74" s="3174">
        <f t="shared" si="36"/>
        <v>0</v>
      </c>
      <c r="AD74" s="3212"/>
      <c r="AE74" s="3212"/>
      <c r="AF74" s="3212"/>
      <c r="AG74" s="3212"/>
      <c r="AH74" s="3212"/>
      <c r="AI74" s="3212"/>
      <c r="AJ74" s="3212"/>
      <c r="AK74" s="3212"/>
      <c r="AL74" s="3212"/>
      <c r="AM74" s="3212"/>
      <c r="AN74" s="3212"/>
      <c r="AO74" s="3212"/>
      <c r="AP74" s="3212"/>
      <c r="AQ74" s="3212"/>
      <c r="AR74" s="3212"/>
      <c r="AS74" s="3212"/>
      <c r="AT74" s="3175"/>
      <c r="AU74" s="3232"/>
      <c r="AV74" s="466">
        <f t="shared" si="37"/>
        <v>0</v>
      </c>
      <c r="AW74" s="466">
        <f t="shared" si="38"/>
        <v>0</v>
      </c>
      <c r="AX74" s="466">
        <f t="shared" si="39"/>
        <v>0</v>
      </c>
      <c r="AY74" s="385">
        <f t="shared" si="40"/>
        <v>0</v>
      </c>
      <c r="AZ74" s="3174">
        <f t="shared" si="41"/>
        <v>0</v>
      </c>
      <c r="BA74" s="3174">
        <f t="shared" si="42"/>
        <v>0</v>
      </c>
      <c r="BB74" s="3174">
        <f t="shared" si="43"/>
        <v>0</v>
      </c>
      <c r="BC74" s="3174">
        <f t="shared" si="44"/>
        <v>0</v>
      </c>
      <c r="BD74" s="3174">
        <f t="shared" si="45"/>
        <v>0</v>
      </c>
      <c r="BE74" s="3174">
        <f t="shared" si="46"/>
        <v>0</v>
      </c>
      <c r="BF74" s="3174">
        <f t="shared" si="47"/>
        <v>0</v>
      </c>
      <c r="BG74" s="3174">
        <f t="shared" si="48"/>
        <v>0</v>
      </c>
      <c r="BH74" s="3174">
        <f t="shared" si="49"/>
        <v>0</v>
      </c>
      <c r="BI74" s="3174">
        <f t="shared" si="50"/>
        <v>0</v>
      </c>
      <c r="BJ74" s="3174">
        <f t="shared" si="51"/>
        <v>0</v>
      </c>
      <c r="BK74" s="3174">
        <f t="shared" si="52"/>
        <v>0</v>
      </c>
      <c r="BL74" s="3174">
        <f t="shared" si="53"/>
        <v>0</v>
      </c>
      <c r="BM74" s="3174">
        <f t="shared" si="54"/>
        <v>0</v>
      </c>
      <c r="BN74" s="3174">
        <f t="shared" si="55"/>
        <v>0</v>
      </c>
      <c r="BO74" s="3174">
        <f t="shared" si="56"/>
        <v>0</v>
      </c>
      <c r="BP74" s="3174">
        <f t="shared" si="57"/>
        <v>0</v>
      </c>
      <c r="BQ74" s="3174">
        <f t="shared" si="58"/>
        <v>0</v>
      </c>
      <c r="BR74" s="3174">
        <f t="shared" si="59"/>
        <v>0</v>
      </c>
      <c r="BS74" s="3174">
        <f t="shared" si="60"/>
        <v>0</v>
      </c>
      <c r="BT74" s="3249">
        <f t="shared" si="61"/>
        <v>0</v>
      </c>
    </row>
    <row r="75" spans="1:72">
      <c r="A75" s="489"/>
      <c r="B75" s="356"/>
      <c r="C75" s="356"/>
      <c r="D75" s="3182"/>
      <c r="E75" s="3174">
        <f t="shared" si="33"/>
        <v>0</v>
      </c>
      <c r="F75" s="3175"/>
      <c r="G75" s="3176">
        <f t="shared" si="34"/>
        <v>0</v>
      </c>
      <c r="H75" s="3177">
        <f t="shared" si="35"/>
        <v>0</v>
      </c>
      <c r="I75" s="3200"/>
      <c r="J75" s="3200"/>
      <c r="K75" s="3200"/>
      <c r="L75" s="3200"/>
      <c r="M75" s="3200"/>
      <c r="N75" s="3200"/>
      <c r="O75" s="3200"/>
      <c r="P75" s="3200"/>
      <c r="Q75" s="3200"/>
      <c r="R75" s="3200"/>
      <c r="S75" s="3200"/>
      <c r="T75" s="3200"/>
      <c r="U75" s="3200"/>
      <c r="V75" s="3200"/>
      <c r="W75" s="3200"/>
      <c r="X75" s="3200"/>
      <c r="Y75" s="3200"/>
      <c r="Z75" s="3200"/>
      <c r="AA75" s="3200"/>
      <c r="AB75" s="3200"/>
      <c r="AC75" s="3174">
        <f t="shared" si="36"/>
        <v>0</v>
      </c>
      <c r="AD75" s="3212"/>
      <c r="AE75" s="3212"/>
      <c r="AF75" s="3212"/>
      <c r="AG75" s="3212"/>
      <c r="AH75" s="3212"/>
      <c r="AI75" s="3212"/>
      <c r="AJ75" s="3212"/>
      <c r="AK75" s="3212"/>
      <c r="AL75" s="3212"/>
      <c r="AM75" s="3212"/>
      <c r="AN75" s="3212"/>
      <c r="AO75" s="3212"/>
      <c r="AP75" s="3212"/>
      <c r="AQ75" s="3212"/>
      <c r="AR75" s="3212"/>
      <c r="AS75" s="3212"/>
      <c r="AT75" s="3175"/>
      <c r="AU75" s="3232"/>
      <c r="AV75" s="466">
        <f t="shared" si="37"/>
        <v>0</v>
      </c>
      <c r="AW75" s="466">
        <f t="shared" si="38"/>
        <v>0</v>
      </c>
      <c r="AX75" s="466">
        <f t="shared" si="39"/>
        <v>0</v>
      </c>
      <c r="AY75" s="385">
        <f t="shared" si="40"/>
        <v>0</v>
      </c>
      <c r="AZ75" s="3174">
        <f t="shared" si="41"/>
        <v>0</v>
      </c>
      <c r="BA75" s="3174">
        <f t="shared" si="42"/>
        <v>0</v>
      </c>
      <c r="BB75" s="3174">
        <f t="shared" si="43"/>
        <v>0</v>
      </c>
      <c r="BC75" s="3174">
        <f t="shared" si="44"/>
        <v>0</v>
      </c>
      <c r="BD75" s="3174">
        <f t="shared" si="45"/>
        <v>0</v>
      </c>
      <c r="BE75" s="3174">
        <f t="shared" si="46"/>
        <v>0</v>
      </c>
      <c r="BF75" s="3174">
        <f t="shared" si="47"/>
        <v>0</v>
      </c>
      <c r="BG75" s="3174">
        <f t="shared" si="48"/>
        <v>0</v>
      </c>
      <c r="BH75" s="3174">
        <f t="shared" si="49"/>
        <v>0</v>
      </c>
      <c r="BI75" s="3174">
        <f t="shared" si="50"/>
        <v>0</v>
      </c>
      <c r="BJ75" s="3174">
        <f t="shared" si="51"/>
        <v>0</v>
      </c>
      <c r="BK75" s="3174">
        <f t="shared" si="52"/>
        <v>0</v>
      </c>
      <c r="BL75" s="3174">
        <f t="shared" si="53"/>
        <v>0</v>
      </c>
      <c r="BM75" s="3174">
        <f t="shared" si="54"/>
        <v>0</v>
      </c>
      <c r="BN75" s="3174">
        <f t="shared" si="55"/>
        <v>0</v>
      </c>
      <c r="BO75" s="3174">
        <f t="shared" si="56"/>
        <v>0</v>
      </c>
      <c r="BP75" s="3174">
        <f t="shared" si="57"/>
        <v>0</v>
      </c>
      <c r="BQ75" s="3174">
        <f t="shared" si="58"/>
        <v>0</v>
      </c>
      <c r="BR75" s="3174">
        <f t="shared" si="59"/>
        <v>0</v>
      </c>
      <c r="BS75" s="3174">
        <f t="shared" si="60"/>
        <v>0</v>
      </c>
      <c r="BT75" s="3249">
        <f t="shared" si="61"/>
        <v>0</v>
      </c>
    </row>
    <row r="76" spans="1:72">
      <c r="A76" s="489"/>
      <c r="B76" s="356"/>
      <c r="C76" s="356"/>
      <c r="D76" s="3182"/>
      <c r="E76" s="3174">
        <f t="shared" si="33"/>
        <v>0</v>
      </c>
      <c r="F76" s="3175"/>
      <c r="G76" s="3176">
        <f t="shared" si="34"/>
        <v>0</v>
      </c>
      <c r="H76" s="3177">
        <f t="shared" si="35"/>
        <v>0</v>
      </c>
      <c r="I76" s="3200"/>
      <c r="J76" s="3200"/>
      <c r="K76" s="3200"/>
      <c r="L76" s="3200"/>
      <c r="M76" s="3200"/>
      <c r="N76" s="3200"/>
      <c r="O76" s="3200"/>
      <c r="P76" s="3200"/>
      <c r="Q76" s="3200"/>
      <c r="R76" s="3200"/>
      <c r="S76" s="3200"/>
      <c r="T76" s="3200"/>
      <c r="U76" s="3200"/>
      <c r="V76" s="3200"/>
      <c r="W76" s="3200"/>
      <c r="X76" s="3200"/>
      <c r="Y76" s="3200"/>
      <c r="Z76" s="3200"/>
      <c r="AA76" s="3200"/>
      <c r="AB76" s="3200"/>
      <c r="AC76" s="3174">
        <f t="shared" si="36"/>
        <v>0</v>
      </c>
      <c r="AD76" s="3212"/>
      <c r="AE76" s="3212"/>
      <c r="AF76" s="3212"/>
      <c r="AG76" s="3212"/>
      <c r="AH76" s="3212"/>
      <c r="AI76" s="3212"/>
      <c r="AJ76" s="3212"/>
      <c r="AK76" s="3212"/>
      <c r="AL76" s="3212"/>
      <c r="AM76" s="3212"/>
      <c r="AN76" s="3212"/>
      <c r="AO76" s="3212"/>
      <c r="AP76" s="3212"/>
      <c r="AQ76" s="3212"/>
      <c r="AR76" s="3212"/>
      <c r="AS76" s="3212"/>
      <c r="AT76" s="3175"/>
      <c r="AU76" s="3232"/>
      <c r="AV76" s="466">
        <f t="shared" si="37"/>
        <v>0</v>
      </c>
      <c r="AW76" s="466">
        <f t="shared" si="38"/>
        <v>0</v>
      </c>
      <c r="AX76" s="466">
        <f t="shared" si="39"/>
        <v>0</v>
      </c>
      <c r="AY76" s="385">
        <f t="shared" si="40"/>
        <v>0</v>
      </c>
      <c r="AZ76" s="3174">
        <f t="shared" si="41"/>
        <v>0</v>
      </c>
      <c r="BA76" s="3174">
        <f t="shared" si="42"/>
        <v>0</v>
      </c>
      <c r="BB76" s="3174">
        <f t="shared" si="43"/>
        <v>0</v>
      </c>
      <c r="BC76" s="3174">
        <f t="shared" si="44"/>
        <v>0</v>
      </c>
      <c r="BD76" s="3174">
        <f t="shared" si="45"/>
        <v>0</v>
      </c>
      <c r="BE76" s="3174">
        <f t="shared" si="46"/>
        <v>0</v>
      </c>
      <c r="BF76" s="3174">
        <f t="shared" si="47"/>
        <v>0</v>
      </c>
      <c r="BG76" s="3174">
        <f t="shared" si="48"/>
        <v>0</v>
      </c>
      <c r="BH76" s="3174">
        <f t="shared" si="49"/>
        <v>0</v>
      </c>
      <c r="BI76" s="3174">
        <f t="shared" si="50"/>
        <v>0</v>
      </c>
      <c r="BJ76" s="3174">
        <f t="shared" si="51"/>
        <v>0</v>
      </c>
      <c r="BK76" s="3174">
        <f t="shared" si="52"/>
        <v>0</v>
      </c>
      <c r="BL76" s="3174">
        <f t="shared" si="53"/>
        <v>0</v>
      </c>
      <c r="BM76" s="3174">
        <f t="shared" si="54"/>
        <v>0</v>
      </c>
      <c r="BN76" s="3174">
        <f t="shared" si="55"/>
        <v>0</v>
      </c>
      <c r="BO76" s="3174">
        <f t="shared" si="56"/>
        <v>0</v>
      </c>
      <c r="BP76" s="3174">
        <f t="shared" si="57"/>
        <v>0</v>
      </c>
      <c r="BQ76" s="3174">
        <f t="shared" si="58"/>
        <v>0</v>
      </c>
      <c r="BR76" s="3174">
        <f t="shared" si="59"/>
        <v>0</v>
      </c>
      <c r="BS76" s="3174">
        <f t="shared" si="60"/>
        <v>0</v>
      </c>
      <c r="BT76" s="3249">
        <f t="shared" si="61"/>
        <v>0</v>
      </c>
    </row>
    <row r="77" spans="1:72">
      <c r="A77" s="489"/>
      <c r="B77" s="356"/>
      <c r="C77" s="356"/>
      <c r="D77" s="3182"/>
      <c r="E77" s="3174">
        <f t="shared" si="33"/>
        <v>0</v>
      </c>
      <c r="F77" s="3175"/>
      <c r="G77" s="3176">
        <f t="shared" si="34"/>
        <v>0</v>
      </c>
      <c r="H77" s="3177">
        <f t="shared" si="35"/>
        <v>0</v>
      </c>
      <c r="I77" s="3200"/>
      <c r="J77" s="3200"/>
      <c r="K77" s="3200"/>
      <c r="L77" s="3200"/>
      <c r="M77" s="3200"/>
      <c r="N77" s="3200"/>
      <c r="O77" s="3200"/>
      <c r="P77" s="3200"/>
      <c r="Q77" s="3200"/>
      <c r="R77" s="3200"/>
      <c r="S77" s="3200"/>
      <c r="T77" s="3200"/>
      <c r="U77" s="3200"/>
      <c r="V77" s="3200"/>
      <c r="W77" s="3200"/>
      <c r="X77" s="3200"/>
      <c r="Y77" s="3200"/>
      <c r="Z77" s="3200"/>
      <c r="AA77" s="3200"/>
      <c r="AB77" s="3200"/>
      <c r="AC77" s="3174">
        <f t="shared" si="36"/>
        <v>0</v>
      </c>
      <c r="AD77" s="3212"/>
      <c r="AE77" s="3212"/>
      <c r="AF77" s="3212"/>
      <c r="AG77" s="3212"/>
      <c r="AH77" s="3212"/>
      <c r="AI77" s="3212"/>
      <c r="AJ77" s="3212"/>
      <c r="AK77" s="3212"/>
      <c r="AL77" s="3212"/>
      <c r="AM77" s="3212"/>
      <c r="AN77" s="3212"/>
      <c r="AO77" s="3212"/>
      <c r="AP77" s="3212"/>
      <c r="AQ77" s="3212"/>
      <c r="AR77" s="3212"/>
      <c r="AS77" s="3212"/>
      <c r="AT77" s="3175"/>
      <c r="AU77" s="3232"/>
      <c r="AV77" s="466">
        <f t="shared" si="37"/>
        <v>0</v>
      </c>
      <c r="AW77" s="466">
        <f t="shared" si="38"/>
        <v>0</v>
      </c>
      <c r="AX77" s="466">
        <f t="shared" si="39"/>
        <v>0</v>
      </c>
      <c r="AY77" s="385">
        <f t="shared" si="40"/>
        <v>0</v>
      </c>
      <c r="AZ77" s="3174">
        <f t="shared" si="41"/>
        <v>0</v>
      </c>
      <c r="BA77" s="3174">
        <f t="shared" si="42"/>
        <v>0</v>
      </c>
      <c r="BB77" s="3174">
        <f t="shared" si="43"/>
        <v>0</v>
      </c>
      <c r="BC77" s="3174">
        <f t="shared" si="44"/>
        <v>0</v>
      </c>
      <c r="BD77" s="3174">
        <f t="shared" si="45"/>
        <v>0</v>
      </c>
      <c r="BE77" s="3174">
        <f t="shared" si="46"/>
        <v>0</v>
      </c>
      <c r="BF77" s="3174">
        <f t="shared" si="47"/>
        <v>0</v>
      </c>
      <c r="BG77" s="3174">
        <f t="shared" si="48"/>
        <v>0</v>
      </c>
      <c r="BH77" s="3174">
        <f t="shared" si="49"/>
        <v>0</v>
      </c>
      <c r="BI77" s="3174">
        <f t="shared" si="50"/>
        <v>0</v>
      </c>
      <c r="BJ77" s="3174">
        <f t="shared" si="51"/>
        <v>0</v>
      </c>
      <c r="BK77" s="3174">
        <f t="shared" si="52"/>
        <v>0</v>
      </c>
      <c r="BL77" s="3174">
        <f t="shared" si="53"/>
        <v>0</v>
      </c>
      <c r="BM77" s="3174">
        <f t="shared" si="54"/>
        <v>0</v>
      </c>
      <c r="BN77" s="3174">
        <f t="shared" si="55"/>
        <v>0</v>
      </c>
      <c r="BO77" s="3174">
        <f t="shared" si="56"/>
        <v>0</v>
      </c>
      <c r="BP77" s="3174">
        <f t="shared" si="57"/>
        <v>0</v>
      </c>
      <c r="BQ77" s="3174">
        <f t="shared" si="58"/>
        <v>0</v>
      </c>
      <c r="BR77" s="3174">
        <f t="shared" si="59"/>
        <v>0</v>
      </c>
      <c r="BS77" s="3174">
        <f t="shared" si="60"/>
        <v>0</v>
      </c>
      <c r="BT77" s="3249">
        <f t="shared" si="61"/>
        <v>0</v>
      </c>
    </row>
    <row r="78" spans="1:72">
      <c r="A78" s="489"/>
      <c r="B78" s="356"/>
      <c r="C78" s="356"/>
      <c r="D78" s="3182"/>
      <c r="E78" s="3174">
        <f t="shared" si="33"/>
        <v>0</v>
      </c>
      <c r="F78" s="3175"/>
      <c r="G78" s="3176">
        <f t="shared" si="34"/>
        <v>0</v>
      </c>
      <c r="H78" s="3177">
        <f t="shared" si="35"/>
        <v>0</v>
      </c>
      <c r="I78" s="3200"/>
      <c r="J78" s="3200"/>
      <c r="K78" s="3200"/>
      <c r="L78" s="3200"/>
      <c r="M78" s="3200"/>
      <c r="N78" s="3200"/>
      <c r="O78" s="3200"/>
      <c r="P78" s="3200"/>
      <c r="Q78" s="3200"/>
      <c r="R78" s="3200"/>
      <c r="S78" s="3200"/>
      <c r="T78" s="3200"/>
      <c r="U78" s="3200"/>
      <c r="V78" s="3200"/>
      <c r="W78" s="3200"/>
      <c r="X78" s="3200"/>
      <c r="Y78" s="3200"/>
      <c r="Z78" s="3200"/>
      <c r="AA78" s="3200"/>
      <c r="AB78" s="3200"/>
      <c r="AC78" s="3174">
        <f t="shared" si="36"/>
        <v>0</v>
      </c>
      <c r="AD78" s="3212"/>
      <c r="AE78" s="3212"/>
      <c r="AF78" s="3212"/>
      <c r="AG78" s="3212"/>
      <c r="AH78" s="3212"/>
      <c r="AI78" s="3212"/>
      <c r="AJ78" s="3212"/>
      <c r="AK78" s="3212"/>
      <c r="AL78" s="3212"/>
      <c r="AM78" s="3212"/>
      <c r="AN78" s="3212"/>
      <c r="AO78" s="3212"/>
      <c r="AP78" s="3212"/>
      <c r="AQ78" s="3212"/>
      <c r="AR78" s="3212"/>
      <c r="AS78" s="3212"/>
      <c r="AT78" s="3175"/>
      <c r="AU78" s="3232"/>
      <c r="AV78" s="466">
        <f t="shared" si="37"/>
        <v>0</v>
      </c>
      <c r="AW78" s="466">
        <f t="shared" si="38"/>
        <v>0</v>
      </c>
      <c r="AX78" s="466">
        <f t="shared" si="39"/>
        <v>0</v>
      </c>
      <c r="AY78" s="385">
        <f t="shared" si="40"/>
        <v>0</v>
      </c>
      <c r="AZ78" s="3174">
        <f t="shared" si="41"/>
        <v>0</v>
      </c>
      <c r="BA78" s="3174">
        <f t="shared" si="42"/>
        <v>0</v>
      </c>
      <c r="BB78" s="3174">
        <f t="shared" si="43"/>
        <v>0</v>
      </c>
      <c r="BC78" s="3174">
        <f t="shared" si="44"/>
        <v>0</v>
      </c>
      <c r="BD78" s="3174">
        <f t="shared" si="45"/>
        <v>0</v>
      </c>
      <c r="BE78" s="3174">
        <f t="shared" si="46"/>
        <v>0</v>
      </c>
      <c r="BF78" s="3174">
        <f t="shared" si="47"/>
        <v>0</v>
      </c>
      <c r="BG78" s="3174">
        <f t="shared" si="48"/>
        <v>0</v>
      </c>
      <c r="BH78" s="3174">
        <f t="shared" si="49"/>
        <v>0</v>
      </c>
      <c r="BI78" s="3174">
        <f t="shared" si="50"/>
        <v>0</v>
      </c>
      <c r="BJ78" s="3174">
        <f t="shared" si="51"/>
        <v>0</v>
      </c>
      <c r="BK78" s="3174">
        <f t="shared" si="52"/>
        <v>0</v>
      </c>
      <c r="BL78" s="3174">
        <f t="shared" si="53"/>
        <v>0</v>
      </c>
      <c r="BM78" s="3174">
        <f t="shared" si="54"/>
        <v>0</v>
      </c>
      <c r="BN78" s="3174">
        <f t="shared" si="55"/>
        <v>0</v>
      </c>
      <c r="BO78" s="3174">
        <f t="shared" si="56"/>
        <v>0</v>
      </c>
      <c r="BP78" s="3174">
        <f t="shared" si="57"/>
        <v>0</v>
      </c>
      <c r="BQ78" s="3174">
        <f t="shared" si="58"/>
        <v>0</v>
      </c>
      <c r="BR78" s="3174">
        <f t="shared" si="59"/>
        <v>0</v>
      </c>
      <c r="BS78" s="3174">
        <f t="shared" si="60"/>
        <v>0</v>
      </c>
      <c r="BT78" s="3249">
        <f t="shared" si="61"/>
        <v>0</v>
      </c>
    </row>
    <row r="79" spans="1:72">
      <c r="A79" s="489"/>
      <c r="B79" s="356"/>
      <c r="C79" s="356"/>
      <c r="D79" s="3182"/>
      <c r="E79" s="3174">
        <f t="shared" si="33"/>
        <v>0</v>
      </c>
      <c r="F79" s="3175"/>
      <c r="G79" s="3176">
        <f t="shared" si="34"/>
        <v>0</v>
      </c>
      <c r="H79" s="3177">
        <f t="shared" si="35"/>
        <v>0</v>
      </c>
      <c r="I79" s="3200"/>
      <c r="J79" s="3200"/>
      <c r="K79" s="3200"/>
      <c r="L79" s="3200"/>
      <c r="M79" s="3200"/>
      <c r="N79" s="3200"/>
      <c r="O79" s="3200"/>
      <c r="P79" s="3200"/>
      <c r="Q79" s="3200"/>
      <c r="R79" s="3200"/>
      <c r="S79" s="3200"/>
      <c r="T79" s="3200"/>
      <c r="U79" s="3200"/>
      <c r="V79" s="3200"/>
      <c r="W79" s="3200"/>
      <c r="X79" s="3200"/>
      <c r="Y79" s="3200"/>
      <c r="Z79" s="3200"/>
      <c r="AA79" s="3200"/>
      <c r="AB79" s="3200"/>
      <c r="AC79" s="3174">
        <f t="shared" si="36"/>
        <v>0</v>
      </c>
      <c r="AD79" s="3212"/>
      <c r="AE79" s="3212"/>
      <c r="AF79" s="3212"/>
      <c r="AG79" s="3212"/>
      <c r="AH79" s="3212"/>
      <c r="AI79" s="3212"/>
      <c r="AJ79" s="3212"/>
      <c r="AK79" s="3212"/>
      <c r="AL79" s="3212"/>
      <c r="AM79" s="3212"/>
      <c r="AN79" s="3212"/>
      <c r="AO79" s="3212"/>
      <c r="AP79" s="3212"/>
      <c r="AQ79" s="3212"/>
      <c r="AR79" s="3212"/>
      <c r="AS79" s="3212"/>
      <c r="AT79" s="3175"/>
      <c r="AU79" s="3232"/>
      <c r="AV79" s="466">
        <f t="shared" si="37"/>
        <v>0</v>
      </c>
      <c r="AW79" s="466">
        <f t="shared" si="38"/>
        <v>0</v>
      </c>
      <c r="AX79" s="466">
        <f t="shared" si="39"/>
        <v>0</v>
      </c>
      <c r="AY79" s="385">
        <f t="shared" si="40"/>
        <v>0</v>
      </c>
      <c r="AZ79" s="3174">
        <f t="shared" si="41"/>
        <v>0</v>
      </c>
      <c r="BA79" s="3174">
        <f t="shared" si="42"/>
        <v>0</v>
      </c>
      <c r="BB79" s="3174">
        <f t="shared" si="43"/>
        <v>0</v>
      </c>
      <c r="BC79" s="3174">
        <f t="shared" si="44"/>
        <v>0</v>
      </c>
      <c r="BD79" s="3174">
        <f t="shared" si="45"/>
        <v>0</v>
      </c>
      <c r="BE79" s="3174">
        <f t="shared" si="46"/>
        <v>0</v>
      </c>
      <c r="BF79" s="3174">
        <f t="shared" si="47"/>
        <v>0</v>
      </c>
      <c r="BG79" s="3174">
        <f t="shared" si="48"/>
        <v>0</v>
      </c>
      <c r="BH79" s="3174">
        <f t="shared" si="49"/>
        <v>0</v>
      </c>
      <c r="BI79" s="3174">
        <f t="shared" si="50"/>
        <v>0</v>
      </c>
      <c r="BJ79" s="3174">
        <f t="shared" si="51"/>
        <v>0</v>
      </c>
      <c r="BK79" s="3174">
        <f t="shared" si="52"/>
        <v>0</v>
      </c>
      <c r="BL79" s="3174">
        <f t="shared" si="53"/>
        <v>0</v>
      </c>
      <c r="BM79" s="3174">
        <f t="shared" si="54"/>
        <v>0</v>
      </c>
      <c r="BN79" s="3174">
        <f t="shared" si="55"/>
        <v>0</v>
      </c>
      <c r="BO79" s="3174">
        <f t="shared" si="56"/>
        <v>0</v>
      </c>
      <c r="BP79" s="3174">
        <f t="shared" si="57"/>
        <v>0</v>
      </c>
      <c r="BQ79" s="3174">
        <f t="shared" si="58"/>
        <v>0</v>
      </c>
      <c r="BR79" s="3174">
        <f t="shared" si="59"/>
        <v>0</v>
      </c>
      <c r="BS79" s="3174">
        <f t="shared" si="60"/>
        <v>0</v>
      </c>
      <c r="BT79" s="3249">
        <f t="shared" si="61"/>
        <v>0</v>
      </c>
    </row>
    <row r="80" spans="1:72">
      <c r="A80" s="489"/>
      <c r="B80" s="356"/>
      <c r="C80" s="356"/>
      <c r="D80" s="3182"/>
      <c r="E80" s="3174">
        <f t="shared" si="33"/>
        <v>0</v>
      </c>
      <c r="F80" s="3175"/>
      <c r="G80" s="3176">
        <f t="shared" si="34"/>
        <v>0</v>
      </c>
      <c r="H80" s="3177">
        <f t="shared" si="35"/>
        <v>0</v>
      </c>
      <c r="I80" s="3200"/>
      <c r="J80" s="3200"/>
      <c r="K80" s="3200"/>
      <c r="L80" s="3200"/>
      <c r="M80" s="3200"/>
      <c r="N80" s="3200"/>
      <c r="O80" s="3200"/>
      <c r="P80" s="3200"/>
      <c r="Q80" s="3200"/>
      <c r="R80" s="3200"/>
      <c r="S80" s="3200"/>
      <c r="T80" s="3200"/>
      <c r="U80" s="3200"/>
      <c r="V80" s="3200"/>
      <c r="W80" s="3200"/>
      <c r="X80" s="3200"/>
      <c r="Y80" s="3200"/>
      <c r="Z80" s="3200"/>
      <c r="AA80" s="3200"/>
      <c r="AB80" s="3200"/>
      <c r="AC80" s="3174">
        <f t="shared" si="36"/>
        <v>0</v>
      </c>
      <c r="AD80" s="3212"/>
      <c r="AE80" s="3212"/>
      <c r="AF80" s="3212"/>
      <c r="AG80" s="3212"/>
      <c r="AH80" s="3212"/>
      <c r="AI80" s="3212"/>
      <c r="AJ80" s="3212"/>
      <c r="AK80" s="3212"/>
      <c r="AL80" s="3212"/>
      <c r="AM80" s="3212"/>
      <c r="AN80" s="3212"/>
      <c r="AO80" s="3212"/>
      <c r="AP80" s="3212"/>
      <c r="AQ80" s="3212"/>
      <c r="AR80" s="3212"/>
      <c r="AS80" s="3212"/>
      <c r="AT80" s="3175"/>
      <c r="AU80" s="3232"/>
      <c r="AV80" s="466">
        <f t="shared" si="37"/>
        <v>0</v>
      </c>
      <c r="AW80" s="466">
        <f t="shared" si="38"/>
        <v>0</v>
      </c>
      <c r="AX80" s="466">
        <f t="shared" si="39"/>
        <v>0</v>
      </c>
      <c r="AY80" s="385">
        <f t="shared" si="40"/>
        <v>0</v>
      </c>
      <c r="AZ80" s="3174">
        <f t="shared" si="41"/>
        <v>0</v>
      </c>
      <c r="BA80" s="3174">
        <f t="shared" si="42"/>
        <v>0</v>
      </c>
      <c r="BB80" s="3174">
        <f t="shared" si="43"/>
        <v>0</v>
      </c>
      <c r="BC80" s="3174">
        <f t="shared" si="44"/>
        <v>0</v>
      </c>
      <c r="BD80" s="3174">
        <f t="shared" si="45"/>
        <v>0</v>
      </c>
      <c r="BE80" s="3174">
        <f t="shared" si="46"/>
        <v>0</v>
      </c>
      <c r="BF80" s="3174">
        <f t="shared" si="47"/>
        <v>0</v>
      </c>
      <c r="BG80" s="3174">
        <f t="shared" si="48"/>
        <v>0</v>
      </c>
      <c r="BH80" s="3174">
        <f t="shared" si="49"/>
        <v>0</v>
      </c>
      <c r="BI80" s="3174">
        <f t="shared" si="50"/>
        <v>0</v>
      </c>
      <c r="BJ80" s="3174">
        <f t="shared" si="51"/>
        <v>0</v>
      </c>
      <c r="BK80" s="3174">
        <f t="shared" si="52"/>
        <v>0</v>
      </c>
      <c r="BL80" s="3174">
        <f t="shared" si="53"/>
        <v>0</v>
      </c>
      <c r="BM80" s="3174">
        <f t="shared" si="54"/>
        <v>0</v>
      </c>
      <c r="BN80" s="3174">
        <f t="shared" si="55"/>
        <v>0</v>
      </c>
      <c r="BO80" s="3174">
        <f t="shared" si="56"/>
        <v>0</v>
      </c>
      <c r="BP80" s="3174">
        <f t="shared" si="57"/>
        <v>0</v>
      </c>
      <c r="BQ80" s="3174">
        <f t="shared" si="58"/>
        <v>0</v>
      </c>
      <c r="BR80" s="3174">
        <f t="shared" si="59"/>
        <v>0</v>
      </c>
      <c r="BS80" s="3174">
        <f t="shared" si="60"/>
        <v>0</v>
      </c>
      <c r="BT80" s="3249">
        <f t="shared" si="61"/>
        <v>0</v>
      </c>
    </row>
    <row r="81" spans="1:72">
      <c r="A81" s="489"/>
      <c r="B81" s="356"/>
      <c r="C81" s="356"/>
      <c r="D81" s="3182"/>
      <c r="E81" s="3174">
        <f t="shared" si="33"/>
        <v>0</v>
      </c>
      <c r="F81" s="3175"/>
      <c r="G81" s="3176">
        <f t="shared" si="34"/>
        <v>0</v>
      </c>
      <c r="H81" s="3177">
        <f t="shared" si="35"/>
        <v>0</v>
      </c>
      <c r="I81" s="3200"/>
      <c r="J81" s="3200"/>
      <c r="K81" s="3200"/>
      <c r="L81" s="3200"/>
      <c r="M81" s="3200"/>
      <c r="N81" s="3200"/>
      <c r="O81" s="3200"/>
      <c r="P81" s="3200"/>
      <c r="Q81" s="3200"/>
      <c r="R81" s="3200"/>
      <c r="S81" s="3200"/>
      <c r="T81" s="3200"/>
      <c r="U81" s="3200"/>
      <c r="V81" s="3200"/>
      <c r="W81" s="3200"/>
      <c r="X81" s="3200"/>
      <c r="Y81" s="3200"/>
      <c r="Z81" s="3200"/>
      <c r="AA81" s="3200"/>
      <c r="AB81" s="3200"/>
      <c r="AC81" s="3174">
        <f t="shared" si="36"/>
        <v>0</v>
      </c>
      <c r="AD81" s="3212"/>
      <c r="AE81" s="3212"/>
      <c r="AF81" s="3212"/>
      <c r="AG81" s="3212"/>
      <c r="AH81" s="3212"/>
      <c r="AI81" s="3212"/>
      <c r="AJ81" s="3212"/>
      <c r="AK81" s="3212"/>
      <c r="AL81" s="3212"/>
      <c r="AM81" s="3212"/>
      <c r="AN81" s="3212"/>
      <c r="AO81" s="3212"/>
      <c r="AP81" s="3212"/>
      <c r="AQ81" s="3212"/>
      <c r="AR81" s="3212"/>
      <c r="AS81" s="3212"/>
      <c r="AT81" s="3175"/>
      <c r="AU81" s="3232"/>
      <c r="AV81" s="466">
        <f t="shared" si="37"/>
        <v>0</v>
      </c>
      <c r="AW81" s="466">
        <f t="shared" si="38"/>
        <v>0</v>
      </c>
      <c r="AX81" s="466">
        <f t="shared" si="39"/>
        <v>0</v>
      </c>
      <c r="AY81" s="385">
        <f t="shared" si="40"/>
        <v>0</v>
      </c>
      <c r="AZ81" s="3174">
        <f t="shared" si="41"/>
        <v>0</v>
      </c>
      <c r="BA81" s="3174">
        <f t="shared" si="42"/>
        <v>0</v>
      </c>
      <c r="BB81" s="3174">
        <f t="shared" si="43"/>
        <v>0</v>
      </c>
      <c r="BC81" s="3174">
        <f t="shared" si="44"/>
        <v>0</v>
      </c>
      <c r="BD81" s="3174">
        <f t="shared" si="45"/>
        <v>0</v>
      </c>
      <c r="BE81" s="3174">
        <f t="shared" si="46"/>
        <v>0</v>
      </c>
      <c r="BF81" s="3174">
        <f t="shared" si="47"/>
        <v>0</v>
      </c>
      <c r="BG81" s="3174">
        <f t="shared" si="48"/>
        <v>0</v>
      </c>
      <c r="BH81" s="3174">
        <f t="shared" si="49"/>
        <v>0</v>
      </c>
      <c r="BI81" s="3174">
        <f t="shared" si="50"/>
        <v>0</v>
      </c>
      <c r="BJ81" s="3174">
        <f t="shared" si="51"/>
        <v>0</v>
      </c>
      <c r="BK81" s="3174">
        <f t="shared" si="52"/>
        <v>0</v>
      </c>
      <c r="BL81" s="3174">
        <f t="shared" si="53"/>
        <v>0</v>
      </c>
      <c r="BM81" s="3174">
        <f t="shared" si="54"/>
        <v>0</v>
      </c>
      <c r="BN81" s="3174">
        <f t="shared" si="55"/>
        <v>0</v>
      </c>
      <c r="BO81" s="3174">
        <f t="shared" si="56"/>
        <v>0</v>
      </c>
      <c r="BP81" s="3174">
        <f t="shared" si="57"/>
        <v>0</v>
      </c>
      <c r="BQ81" s="3174">
        <f t="shared" si="58"/>
        <v>0</v>
      </c>
      <c r="BR81" s="3174">
        <f t="shared" si="59"/>
        <v>0</v>
      </c>
      <c r="BS81" s="3174">
        <f t="shared" si="60"/>
        <v>0</v>
      </c>
      <c r="BT81" s="3249">
        <f t="shared" si="61"/>
        <v>0</v>
      </c>
    </row>
    <row r="82" spans="1:72">
      <c r="A82" s="489"/>
      <c r="B82" s="356"/>
      <c r="C82" s="356"/>
      <c r="D82" s="3182"/>
      <c r="E82" s="3174">
        <f t="shared" si="33"/>
        <v>0</v>
      </c>
      <c r="F82" s="3175"/>
      <c r="G82" s="3176">
        <f t="shared" si="34"/>
        <v>0</v>
      </c>
      <c r="H82" s="3177">
        <f t="shared" si="35"/>
        <v>0</v>
      </c>
      <c r="I82" s="3200"/>
      <c r="J82" s="3200"/>
      <c r="K82" s="3200"/>
      <c r="L82" s="3200"/>
      <c r="M82" s="3200"/>
      <c r="N82" s="3200"/>
      <c r="O82" s="3200"/>
      <c r="P82" s="3200"/>
      <c r="Q82" s="3200"/>
      <c r="R82" s="3200"/>
      <c r="S82" s="3200"/>
      <c r="T82" s="3200"/>
      <c r="U82" s="3200"/>
      <c r="V82" s="3200"/>
      <c r="W82" s="3200"/>
      <c r="X82" s="3200"/>
      <c r="Y82" s="3200"/>
      <c r="Z82" s="3200"/>
      <c r="AA82" s="3200"/>
      <c r="AB82" s="3200"/>
      <c r="AC82" s="3174">
        <f t="shared" si="36"/>
        <v>0</v>
      </c>
      <c r="AD82" s="3212"/>
      <c r="AE82" s="3212"/>
      <c r="AF82" s="3212"/>
      <c r="AG82" s="3212"/>
      <c r="AH82" s="3212"/>
      <c r="AI82" s="3212"/>
      <c r="AJ82" s="3212"/>
      <c r="AK82" s="3212"/>
      <c r="AL82" s="3212"/>
      <c r="AM82" s="3212"/>
      <c r="AN82" s="3212"/>
      <c r="AO82" s="3212"/>
      <c r="AP82" s="3212"/>
      <c r="AQ82" s="3212"/>
      <c r="AR82" s="3212"/>
      <c r="AS82" s="3212"/>
      <c r="AT82" s="3175"/>
      <c r="AU82" s="3232"/>
      <c r="AV82" s="466">
        <f t="shared" si="37"/>
        <v>0</v>
      </c>
      <c r="AW82" s="466">
        <f t="shared" si="38"/>
        <v>0</v>
      </c>
      <c r="AX82" s="466">
        <f t="shared" si="39"/>
        <v>0</v>
      </c>
      <c r="AY82" s="385">
        <f t="shared" si="40"/>
        <v>0</v>
      </c>
      <c r="AZ82" s="3174">
        <f t="shared" si="41"/>
        <v>0</v>
      </c>
      <c r="BA82" s="3174">
        <f t="shared" si="42"/>
        <v>0</v>
      </c>
      <c r="BB82" s="3174">
        <f t="shared" si="43"/>
        <v>0</v>
      </c>
      <c r="BC82" s="3174">
        <f t="shared" si="44"/>
        <v>0</v>
      </c>
      <c r="BD82" s="3174">
        <f t="shared" si="45"/>
        <v>0</v>
      </c>
      <c r="BE82" s="3174">
        <f t="shared" si="46"/>
        <v>0</v>
      </c>
      <c r="BF82" s="3174">
        <f t="shared" si="47"/>
        <v>0</v>
      </c>
      <c r="BG82" s="3174">
        <f t="shared" si="48"/>
        <v>0</v>
      </c>
      <c r="BH82" s="3174">
        <f t="shared" si="49"/>
        <v>0</v>
      </c>
      <c r="BI82" s="3174">
        <f t="shared" si="50"/>
        <v>0</v>
      </c>
      <c r="BJ82" s="3174">
        <f t="shared" si="51"/>
        <v>0</v>
      </c>
      <c r="BK82" s="3174">
        <f t="shared" si="52"/>
        <v>0</v>
      </c>
      <c r="BL82" s="3174">
        <f t="shared" si="53"/>
        <v>0</v>
      </c>
      <c r="BM82" s="3174">
        <f t="shared" si="54"/>
        <v>0</v>
      </c>
      <c r="BN82" s="3174">
        <f t="shared" si="55"/>
        <v>0</v>
      </c>
      <c r="BO82" s="3174">
        <f t="shared" si="56"/>
        <v>0</v>
      </c>
      <c r="BP82" s="3174">
        <f t="shared" si="57"/>
        <v>0</v>
      </c>
      <c r="BQ82" s="3174">
        <f t="shared" si="58"/>
        <v>0</v>
      </c>
      <c r="BR82" s="3174">
        <f t="shared" si="59"/>
        <v>0</v>
      </c>
      <c r="BS82" s="3174">
        <f t="shared" si="60"/>
        <v>0</v>
      </c>
      <c r="BT82" s="3249">
        <f t="shared" si="61"/>
        <v>0</v>
      </c>
    </row>
    <row r="83" spans="1:72">
      <c r="A83" s="489"/>
      <c r="B83" s="356"/>
      <c r="C83" s="356"/>
      <c r="D83" s="3182"/>
      <c r="E83" s="3174">
        <f t="shared" si="33"/>
        <v>0</v>
      </c>
      <c r="F83" s="3175"/>
      <c r="G83" s="3176">
        <f t="shared" si="34"/>
        <v>0</v>
      </c>
      <c r="H83" s="3177">
        <f t="shared" si="35"/>
        <v>0</v>
      </c>
      <c r="I83" s="3200"/>
      <c r="J83" s="3200"/>
      <c r="K83" s="3200"/>
      <c r="L83" s="3200"/>
      <c r="M83" s="3200"/>
      <c r="N83" s="3200"/>
      <c r="O83" s="3200"/>
      <c r="P83" s="3200"/>
      <c r="Q83" s="3200"/>
      <c r="R83" s="3200"/>
      <c r="S83" s="3200"/>
      <c r="T83" s="3200"/>
      <c r="U83" s="3200"/>
      <c r="V83" s="3200"/>
      <c r="W83" s="3200"/>
      <c r="X83" s="3200"/>
      <c r="Y83" s="3200"/>
      <c r="Z83" s="3200"/>
      <c r="AA83" s="3200"/>
      <c r="AB83" s="3200"/>
      <c r="AC83" s="3174">
        <f t="shared" si="36"/>
        <v>0</v>
      </c>
      <c r="AD83" s="3212"/>
      <c r="AE83" s="3212"/>
      <c r="AF83" s="3212"/>
      <c r="AG83" s="3212"/>
      <c r="AH83" s="3212"/>
      <c r="AI83" s="3212"/>
      <c r="AJ83" s="3212"/>
      <c r="AK83" s="3212"/>
      <c r="AL83" s="3212"/>
      <c r="AM83" s="3212"/>
      <c r="AN83" s="3212"/>
      <c r="AO83" s="3212"/>
      <c r="AP83" s="3212"/>
      <c r="AQ83" s="3212"/>
      <c r="AR83" s="3212"/>
      <c r="AS83" s="3212"/>
      <c r="AT83" s="3175"/>
      <c r="AU83" s="3232"/>
      <c r="AV83" s="466">
        <f t="shared" si="37"/>
        <v>0</v>
      </c>
      <c r="AW83" s="466">
        <f t="shared" si="38"/>
        <v>0</v>
      </c>
      <c r="AX83" s="466">
        <f t="shared" si="39"/>
        <v>0</v>
      </c>
      <c r="AY83" s="385">
        <f t="shared" si="40"/>
        <v>0</v>
      </c>
      <c r="AZ83" s="3174">
        <f t="shared" si="41"/>
        <v>0</v>
      </c>
      <c r="BA83" s="3174">
        <f t="shared" si="42"/>
        <v>0</v>
      </c>
      <c r="BB83" s="3174">
        <f t="shared" si="43"/>
        <v>0</v>
      </c>
      <c r="BC83" s="3174">
        <f t="shared" si="44"/>
        <v>0</v>
      </c>
      <c r="BD83" s="3174">
        <f t="shared" si="45"/>
        <v>0</v>
      </c>
      <c r="BE83" s="3174">
        <f t="shared" si="46"/>
        <v>0</v>
      </c>
      <c r="BF83" s="3174">
        <f t="shared" si="47"/>
        <v>0</v>
      </c>
      <c r="BG83" s="3174">
        <f t="shared" si="48"/>
        <v>0</v>
      </c>
      <c r="BH83" s="3174">
        <f t="shared" si="49"/>
        <v>0</v>
      </c>
      <c r="BI83" s="3174">
        <f t="shared" si="50"/>
        <v>0</v>
      </c>
      <c r="BJ83" s="3174">
        <f t="shared" si="51"/>
        <v>0</v>
      </c>
      <c r="BK83" s="3174">
        <f t="shared" si="52"/>
        <v>0</v>
      </c>
      <c r="BL83" s="3174">
        <f t="shared" si="53"/>
        <v>0</v>
      </c>
      <c r="BM83" s="3174">
        <f t="shared" si="54"/>
        <v>0</v>
      </c>
      <c r="BN83" s="3174">
        <f t="shared" si="55"/>
        <v>0</v>
      </c>
      <c r="BO83" s="3174">
        <f t="shared" si="56"/>
        <v>0</v>
      </c>
      <c r="BP83" s="3174">
        <f t="shared" si="57"/>
        <v>0</v>
      </c>
      <c r="BQ83" s="3174">
        <f t="shared" si="58"/>
        <v>0</v>
      </c>
      <c r="BR83" s="3174">
        <f t="shared" si="59"/>
        <v>0</v>
      </c>
      <c r="BS83" s="3174">
        <f t="shared" si="60"/>
        <v>0</v>
      </c>
      <c r="BT83" s="3249">
        <f t="shared" si="61"/>
        <v>0</v>
      </c>
    </row>
    <row r="84" spans="1:72">
      <c r="A84" s="489"/>
      <c r="B84" s="356"/>
      <c r="C84" s="356"/>
      <c r="D84" s="3182"/>
      <c r="E84" s="3174">
        <f t="shared" si="33"/>
        <v>0</v>
      </c>
      <c r="F84" s="3175"/>
      <c r="G84" s="3176">
        <f t="shared" si="34"/>
        <v>0</v>
      </c>
      <c r="H84" s="3177">
        <f t="shared" si="35"/>
        <v>0</v>
      </c>
      <c r="I84" s="3200"/>
      <c r="J84" s="3200"/>
      <c r="K84" s="3200"/>
      <c r="L84" s="3200"/>
      <c r="M84" s="3200"/>
      <c r="N84" s="3200"/>
      <c r="O84" s="3200"/>
      <c r="P84" s="3200"/>
      <c r="Q84" s="3200"/>
      <c r="R84" s="3200"/>
      <c r="S84" s="3200"/>
      <c r="T84" s="3200"/>
      <c r="U84" s="3200"/>
      <c r="V84" s="3200"/>
      <c r="W84" s="3200"/>
      <c r="X84" s="3200"/>
      <c r="Y84" s="3200"/>
      <c r="Z84" s="3200"/>
      <c r="AA84" s="3200"/>
      <c r="AB84" s="3200"/>
      <c r="AC84" s="3174">
        <f t="shared" si="36"/>
        <v>0</v>
      </c>
      <c r="AD84" s="3212"/>
      <c r="AE84" s="3212"/>
      <c r="AF84" s="3212"/>
      <c r="AG84" s="3212"/>
      <c r="AH84" s="3212"/>
      <c r="AI84" s="3212"/>
      <c r="AJ84" s="3212"/>
      <c r="AK84" s="3212"/>
      <c r="AL84" s="3212"/>
      <c r="AM84" s="3212"/>
      <c r="AN84" s="3212"/>
      <c r="AO84" s="3212"/>
      <c r="AP84" s="3212"/>
      <c r="AQ84" s="3212"/>
      <c r="AR84" s="3212"/>
      <c r="AS84" s="3212"/>
      <c r="AT84" s="3175"/>
      <c r="AU84" s="3232"/>
      <c r="AV84" s="466">
        <f t="shared" si="37"/>
        <v>0</v>
      </c>
      <c r="AW84" s="466">
        <f t="shared" si="38"/>
        <v>0</v>
      </c>
      <c r="AX84" s="466">
        <f t="shared" si="39"/>
        <v>0</v>
      </c>
      <c r="AY84" s="385">
        <f t="shared" si="40"/>
        <v>0</v>
      </c>
      <c r="AZ84" s="3174">
        <f t="shared" si="41"/>
        <v>0</v>
      </c>
      <c r="BA84" s="3174">
        <f t="shared" si="42"/>
        <v>0</v>
      </c>
      <c r="BB84" s="3174">
        <f t="shared" si="43"/>
        <v>0</v>
      </c>
      <c r="BC84" s="3174">
        <f t="shared" si="44"/>
        <v>0</v>
      </c>
      <c r="BD84" s="3174">
        <f t="shared" si="45"/>
        <v>0</v>
      </c>
      <c r="BE84" s="3174">
        <f t="shared" si="46"/>
        <v>0</v>
      </c>
      <c r="BF84" s="3174">
        <f t="shared" si="47"/>
        <v>0</v>
      </c>
      <c r="BG84" s="3174">
        <f t="shared" si="48"/>
        <v>0</v>
      </c>
      <c r="BH84" s="3174">
        <f t="shared" si="49"/>
        <v>0</v>
      </c>
      <c r="BI84" s="3174">
        <f t="shared" si="50"/>
        <v>0</v>
      </c>
      <c r="BJ84" s="3174">
        <f t="shared" si="51"/>
        <v>0</v>
      </c>
      <c r="BK84" s="3174">
        <f t="shared" si="52"/>
        <v>0</v>
      </c>
      <c r="BL84" s="3174">
        <f t="shared" si="53"/>
        <v>0</v>
      </c>
      <c r="BM84" s="3174">
        <f t="shared" si="54"/>
        <v>0</v>
      </c>
      <c r="BN84" s="3174">
        <f t="shared" si="55"/>
        <v>0</v>
      </c>
      <c r="BO84" s="3174">
        <f t="shared" si="56"/>
        <v>0</v>
      </c>
      <c r="BP84" s="3174">
        <f t="shared" si="57"/>
        <v>0</v>
      </c>
      <c r="BQ84" s="3174">
        <f t="shared" si="58"/>
        <v>0</v>
      </c>
      <c r="BR84" s="3174">
        <f t="shared" si="59"/>
        <v>0</v>
      </c>
      <c r="BS84" s="3174">
        <f t="shared" si="60"/>
        <v>0</v>
      </c>
      <c r="BT84" s="3249">
        <f t="shared" si="61"/>
        <v>0</v>
      </c>
    </row>
    <row r="85" spans="1:72">
      <c r="A85" s="489"/>
      <c r="B85" s="356"/>
      <c r="C85" s="356"/>
      <c r="D85" s="3182"/>
      <c r="E85" s="3174">
        <f t="shared" si="33"/>
        <v>0</v>
      </c>
      <c r="F85" s="3175"/>
      <c r="G85" s="3176">
        <f t="shared" si="34"/>
        <v>0</v>
      </c>
      <c r="H85" s="3177">
        <f t="shared" si="35"/>
        <v>0</v>
      </c>
      <c r="I85" s="3200"/>
      <c r="J85" s="3200"/>
      <c r="K85" s="3200"/>
      <c r="L85" s="3200"/>
      <c r="M85" s="3200"/>
      <c r="N85" s="3200"/>
      <c r="O85" s="3200"/>
      <c r="P85" s="3200"/>
      <c r="Q85" s="3200"/>
      <c r="R85" s="3200"/>
      <c r="S85" s="3200"/>
      <c r="T85" s="3200"/>
      <c r="U85" s="3200"/>
      <c r="V85" s="3200"/>
      <c r="W85" s="3200"/>
      <c r="X85" s="3200"/>
      <c r="Y85" s="3200"/>
      <c r="Z85" s="3200"/>
      <c r="AA85" s="3200"/>
      <c r="AB85" s="3200"/>
      <c r="AC85" s="3174">
        <f t="shared" si="36"/>
        <v>0</v>
      </c>
      <c r="AD85" s="3212"/>
      <c r="AE85" s="3212"/>
      <c r="AF85" s="3212"/>
      <c r="AG85" s="3212"/>
      <c r="AH85" s="3212"/>
      <c r="AI85" s="3212"/>
      <c r="AJ85" s="3212"/>
      <c r="AK85" s="3212"/>
      <c r="AL85" s="3212"/>
      <c r="AM85" s="3212"/>
      <c r="AN85" s="3212"/>
      <c r="AO85" s="3212"/>
      <c r="AP85" s="3212"/>
      <c r="AQ85" s="3212"/>
      <c r="AR85" s="3212"/>
      <c r="AS85" s="3212"/>
      <c r="AT85" s="3175"/>
      <c r="AU85" s="3232"/>
      <c r="AV85" s="466">
        <f t="shared" si="37"/>
        <v>0</v>
      </c>
      <c r="AW85" s="466">
        <f t="shared" si="38"/>
        <v>0</v>
      </c>
      <c r="AX85" s="466">
        <f t="shared" si="39"/>
        <v>0</v>
      </c>
      <c r="AY85" s="385">
        <f t="shared" si="40"/>
        <v>0</v>
      </c>
      <c r="AZ85" s="3174">
        <f t="shared" si="41"/>
        <v>0</v>
      </c>
      <c r="BA85" s="3174">
        <f t="shared" si="42"/>
        <v>0</v>
      </c>
      <c r="BB85" s="3174">
        <f t="shared" si="43"/>
        <v>0</v>
      </c>
      <c r="BC85" s="3174">
        <f t="shared" si="44"/>
        <v>0</v>
      </c>
      <c r="BD85" s="3174">
        <f t="shared" si="45"/>
        <v>0</v>
      </c>
      <c r="BE85" s="3174">
        <f t="shared" si="46"/>
        <v>0</v>
      </c>
      <c r="BF85" s="3174">
        <f t="shared" si="47"/>
        <v>0</v>
      </c>
      <c r="BG85" s="3174">
        <f t="shared" si="48"/>
        <v>0</v>
      </c>
      <c r="BH85" s="3174">
        <f t="shared" si="49"/>
        <v>0</v>
      </c>
      <c r="BI85" s="3174">
        <f t="shared" si="50"/>
        <v>0</v>
      </c>
      <c r="BJ85" s="3174">
        <f t="shared" si="51"/>
        <v>0</v>
      </c>
      <c r="BK85" s="3174">
        <f t="shared" si="52"/>
        <v>0</v>
      </c>
      <c r="BL85" s="3174">
        <f t="shared" si="53"/>
        <v>0</v>
      </c>
      <c r="BM85" s="3174">
        <f t="shared" si="54"/>
        <v>0</v>
      </c>
      <c r="BN85" s="3174">
        <f t="shared" si="55"/>
        <v>0</v>
      </c>
      <c r="BO85" s="3174">
        <f t="shared" si="56"/>
        <v>0</v>
      </c>
      <c r="BP85" s="3174">
        <f t="shared" si="57"/>
        <v>0</v>
      </c>
      <c r="BQ85" s="3174">
        <f t="shared" si="58"/>
        <v>0</v>
      </c>
      <c r="BR85" s="3174">
        <f t="shared" si="59"/>
        <v>0</v>
      </c>
      <c r="BS85" s="3174">
        <f t="shared" si="60"/>
        <v>0</v>
      </c>
      <c r="BT85" s="3249">
        <f t="shared" si="61"/>
        <v>0</v>
      </c>
    </row>
    <row r="86" spans="1:72">
      <c r="A86" s="489"/>
      <c r="B86" s="356"/>
      <c r="C86" s="356"/>
      <c r="D86" s="3182"/>
      <c r="E86" s="3174">
        <f t="shared" si="33"/>
        <v>0</v>
      </c>
      <c r="F86" s="3175"/>
      <c r="G86" s="3176">
        <f t="shared" si="34"/>
        <v>0</v>
      </c>
      <c r="H86" s="3177">
        <f t="shared" si="35"/>
        <v>0</v>
      </c>
      <c r="I86" s="3200"/>
      <c r="J86" s="3200"/>
      <c r="K86" s="3200"/>
      <c r="L86" s="3200"/>
      <c r="M86" s="3200"/>
      <c r="N86" s="3200"/>
      <c r="O86" s="3200"/>
      <c r="P86" s="3200"/>
      <c r="Q86" s="3200"/>
      <c r="R86" s="3200"/>
      <c r="S86" s="3200"/>
      <c r="T86" s="3200"/>
      <c r="U86" s="3200"/>
      <c r="V86" s="3200"/>
      <c r="W86" s="3200"/>
      <c r="X86" s="3200"/>
      <c r="Y86" s="3200"/>
      <c r="Z86" s="3200"/>
      <c r="AA86" s="3200"/>
      <c r="AB86" s="3200"/>
      <c r="AC86" s="3174">
        <f t="shared" si="36"/>
        <v>0</v>
      </c>
      <c r="AD86" s="3212"/>
      <c r="AE86" s="3212"/>
      <c r="AF86" s="3212"/>
      <c r="AG86" s="3212"/>
      <c r="AH86" s="3212"/>
      <c r="AI86" s="3212"/>
      <c r="AJ86" s="3212"/>
      <c r="AK86" s="3212"/>
      <c r="AL86" s="3212"/>
      <c r="AM86" s="3212"/>
      <c r="AN86" s="3212"/>
      <c r="AO86" s="3212"/>
      <c r="AP86" s="3212"/>
      <c r="AQ86" s="3212"/>
      <c r="AR86" s="3212"/>
      <c r="AS86" s="3212"/>
      <c r="AT86" s="3175"/>
      <c r="AU86" s="3232"/>
      <c r="AV86" s="466">
        <f t="shared" si="37"/>
        <v>0</v>
      </c>
      <c r="AW86" s="466">
        <f t="shared" si="38"/>
        <v>0</v>
      </c>
      <c r="AX86" s="466">
        <f t="shared" si="39"/>
        <v>0</v>
      </c>
      <c r="AY86" s="385">
        <f t="shared" si="40"/>
        <v>0</v>
      </c>
      <c r="AZ86" s="3174">
        <f t="shared" si="41"/>
        <v>0</v>
      </c>
      <c r="BA86" s="3174">
        <f t="shared" si="42"/>
        <v>0</v>
      </c>
      <c r="BB86" s="3174">
        <f t="shared" si="43"/>
        <v>0</v>
      </c>
      <c r="BC86" s="3174">
        <f t="shared" si="44"/>
        <v>0</v>
      </c>
      <c r="BD86" s="3174">
        <f t="shared" si="45"/>
        <v>0</v>
      </c>
      <c r="BE86" s="3174">
        <f t="shared" si="46"/>
        <v>0</v>
      </c>
      <c r="BF86" s="3174">
        <f t="shared" si="47"/>
        <v>0</v>
      </c>
      <c r="BG86" s="3174">
        <f t="shared" si="48"/>
        <v>0</v>
      </c>
      <c r="BH86" s="3174">
        <f t="shared" si="49"/>
        <v>0</v>
      </c>
      <c r="BI86" s="3174">
        <f t="shared" si="50"/>
        <v>0</v>
      </c>
      <c r="BJ86" s="3174">
        <f t="shared" si="51"/>
        <v>0</v>
      </c>
      <c r="BK86" s="3174">
        <f t="shared" si="52"/>
        <v>0</v>
      </c>
      <c r="BL86" s="3174">
        <f t="shared" si="53"/>
        <v>0</v>
      </c>
      <c r="BM86" s="3174">
        <f t="shared" si="54"/>
        <v>0</v>
      </c>
      <c r="BN86" s="3174">
        <f t="shared" si="55"/>
        <v>0</v>
      </c>
      <c r="BO86" s="3174">
        <f t="shared" si="56"/>
        <v>0</v>
      </c>
      <c r="BP86" s="3174">
        <f t="shared" si="57"/>
        <v>0</v>
      </c>
      <c r="BQ86" s="3174">
        <f t="shared" si="58"/>
        <v>0</v>
      </c>
      <c r="BR86" s="3174">
        <f t="shared" si="59"/>
        <v>0</v>
      </c>
      <c r="BS86" s="3174">
        <f t="shared" si="60"/>
        <v>0</v>
      </c>
      <c r="BT86" s="3249">
        <f t="shared" si="61"/>
        <v>0</v>
      </c>
    </row>
    <row r="87" spans="1:72">
      <c r="A87" s="489"/>
      <c r="B87" s="356"/>
      <c r="C87" s="356"/>
      <c r="D87" s="3182"/>
      <c r="E87" s="3174">
        <f t="shared" si="33"/>
        <v>0</v>
      </c>
      <c r="F87" s="3175"/>
      <c r="G87" s="3176">
        <f t="shared" si="34"/>
        <v>0</v>
      </c>
      <c r="H87" s="3177">
        <f t="shared" si="35"/>
        <v>0</v>
      </c>
      <c r="I87" s="3200"/>
      <c r="J87" s="3200"/>
      <c r="K87" s="3200"/>
      <c r="L87" s="3200"/>
      <c r="M87" s="3200"/>
      <c r="N87" s="3200"/>
      <c r="O87" s="3200"/>
      <c r="P87" s="3200"/>
      <c r="Q87" s="3200"/>
      <c r="R87" s="3200"/>
      <c r="S87" s="3200"/>
      <c r="T87" s="3200"/>
      <c r="U87" s="3200"/>
      <c r="V87" s="3200"/>
      <c r="W87" s="3200"/>
      <c r="X87" s="3200"/>
      <c r="Y87" s="3200"/>
      <c r="Z87" s="3200"/>
      <c r="AA87" s="3200"/>
      <c r="AB87" s="3200"/>
      <c r="AC87" s="3174">
        <f t="shared" si="36"/>
        <v>0</v>
      </c>
      <c r="AD87" s="3212"/>
      <c r="AE87" s="3212"/>
      <c r="AF87" s="3212"/>
      <c r="AG87" s="3212"/>
      <c r="AH87" s="3212"/>
      <c r="AI87" s="3212"/>
      <c r="AJ87" s="3212"/>
      <c r="AK87" s="3212"/>
      <c r="AL87" s="3212"/>
      <c r="AM87" s="3212"/>
      <c r="AN87" s="3212"/>
      <c r="AO87" s="3212"/>
      <c r="AP87" s="3212"/>
      <c r="AQ87" s="3212"/>
      <c r="AR87" s="3212"/>
      <c r="AS87" s="3212"/>
      <c r="AT87" s="3175"/>
      <c r="AU87" s="3232"/>
      <c r="AV87" s="466">
        <f t="shared" si="37"/>
        <v>0</v>
      </c>
      <c r="AW87" s="466">
        <f t="shared" si="38"/>
        <v>0</v>
      </c>
      <c r="AX87" s="466">
        <f t="shared" si="39"/>
        <v>0</v>
      </c>
      <c r="AY87" s="385">
        <f t="shared" si="40"/>
        <v>0</v>
      </c>
      <c r="AZ87" s="3174">
        <f t="shared" si="41"/>
        <v>0</v>
      </c>
      <c r="BA87" s="3174">
        <f t="shared" si="42"/>
        <v>0</v>
      </c>
      <c r="BB87" s="3174">
        <f t="shared" si="43"/>
        <v>0</v>
      </c>
      <c r="BC87" s="3174">
        <f t="shared" si="44"/>
        <v>0</v>
      </c>
      <c r="BD87" s="3174">
        <f t="shared" si="45"/>
        <v>0</v>
      </c>
      <c r="BE87" s="3174">
        <f t="shared" si="46"/>
        <v>0</v>
      </c>
      <c r="BF87" s="3174">
        <f t="shared" si="47"/>
        <v>0</v>
      </c>
      <c r="BG87" s="3174">
        <f t="shared" si="48"/>
        <v>0</v>
      </c>
      <c r="BH87" s="3174">
        <f t="shared" si="49"/>
        <v>0</v>
      </c>
      <c r="BI87" s="3174">
        <f t="shared" si="50"/>
        <v>0</v>
      </c>
      <c r="BJ87" s="3174">
        <f t="shared" si="51"/>
        <v>0</v>
      </c>
      <c r="BK87" s="3174">
        <f t="shared" si="52"/>
        <v>0</v>
      </c>
      <c r="BL87" s="3174">
        <f t="shared" si="53"/>
        <v>0</v>
      </c>
      <c r="BM87" s="3174">
        <f t="shared" si="54"/>
        <v>0</v>
      </c>
      <c r="BN87" s="3174">
        <f t="shared" si="55"/>
        <v>0</v>
      </c>
      <c r="BO87" s="3174">
        <f t="shared" si="56"/>
        <v>0</v>
      </c>
      <c r="BP87" s="3174">
        <f t="shared" si="57"/>
        <v>0</v>
      </c>
      <c r="BQ87" s="3174">
        <f t="shared" si="58"/>
        <v>0</v>
      </c>
      <c r="BR87" s="3174">
        <f t="shared" si="59"/>
        <v>0</v>
      </c>
      <c r="BS87" s="3174">
        <f t="shared" si="60"/>
        <v>0</v>
      </c>
      <c r="BT87" s="3249">
        <f t="shared" si="61"/>
        <v>0</v>
      </c>
    </row>
    <row r="88" spans="1:72">
      <c r="A88" s="489"/>
      <c r="B88" s="356"/>
      <c r="C88" s="356"/>
      <c r="D88" s="3182"/>
      <c r="E88" s="3174">
        <f t="shared" si="33"/>
        <v>0</v>
      </c>
      <c r="F88" s="3175"/>
      <c r="G88" s="3176">
        <f t="shared" si="34"/>
        <v>0</v>
      </c>
      <c r="H88" s="3177">
        <f t="shared" si="35"/>
        <v>0</v>
      </c>
      <c r="I88" s="3200"/>
      <c r="J88" s="3200"/>
      <c r="K88" s="3200"/>
      <c r="L88" s="3200"/>
      <c r="M88" s="3200"/>
      <c r="N88" s="3200"/>
      <c r="O88" s="3200"/>
      <c r="P88" s="3200"/>
      <c r="Q88" s="3200"/>
      <c r="R88" s="3200"/>
      <c r="S88" s="3200"/>
      <c r="T88" s="3200"/>
      <c r="U88" s="3200"/>
      <c r="V88" s="3200"/>
      <c r="W88" s="3200"/>
      <c r="X88" s="3200"/>
      <c r="Y88" s="3200"/>
      <c r="Z88" s="3200"/>
      <c r="AA88" s="3200"/>
      <c r="AB88" s="3200"/>
      <c r="AC88" s="3174">
        <f t="shared" si="36"/>
        <v>0</v>
      </c>
      <c r="AD88" s="3212"/>
      <c r="AE88" s="3212"/>
      <c r="AF88" s="3212"/>
      <c r="AG88" s="3212"/>
      <c r="AH88" s="3212"/>
      <c r="AI88" s="3212"/>
      <c r="AJ88" s="3212"/>
      <c r="AK88" s="3212"/>
      <c r="AL88" s="3212"/>
      <c r="AM88" s="3212"/>
      <c r="AN88" s="3212"/>
      <c r="AO88" s="3212"/>
      <c r="AP88" s="3212"/>
      <c r="AQ88" s="3212"/>
      <c r="AR88" s="3212"/>
      <c r="AS88" s="3212"/>
      <c r="AT88" s="3175"/>
      <c r="AU88" s="3232"/>
      <c r="AV88" s="466">
        <f t="shared" si="37"/>
        <v>0</v>
      </c>
      <c r="AW88" s="466">
        <f t="shared" si="38"/>
        <v>0</v>
      </c>
      <c r="AX88" s="466">
        <f t="shared" si="39"/>
        <v>0</v>
      </c>
      <c r="AY88" s="385">
        <f t="shared" si="40"/>
        <v>0</v>
      </c>
      <c r="AZ88" s="3174">
        <f t="shared" si="41"/>
        <v>0</v>
      </c>
      <c r="BA88" s="3174">
        <f t="shared" si="42"/>
        <v>0</v>
      </c>
      <c r="BB88" s="3174">
        <f t="shared" si="43"/>
        <v>0</v>
      </c>
      <c r="BC88" s="3174">
        <f t="shared" si="44"/>
        <v>0</v>
      </c>
      <c r="BD88" s="3174">
        <f t="shared" si="45"/>
        <v>0</v>
      </c>
      <c r="BE88" s="3174">
        <f t="shared" si="46"/>
        <v>0</v>
      </c>
      <c r="BF88" s="3174">
        <f t="shared" si="47"/>
        <v>0</v>
      </c>
      <c r="BG88" s="3174">
        <f t="shared" si="48"/>
        <v>0</v>
      </c>
      <c r="BH88" s="3174">
        <f t="shared" si="49"/>
        <v>0</v>
      </c>
      <c r="BI88" s="3174">
        <f t="shared" si="50"/>
        <v>0</v>
      </c>
      <c r="BJ88" s="3174">
        <f t="shared" si="51"/>
        <v>0</v>
      </c>
      <c r="BK88" s="3174">
        <f t="shared" si="52"/>
        <v>0</v>
      </c>
      <c r="BL88" s="3174">
        <f t="shared" si="53"/>
        <v>0</v>
      </c>
      <c r="BM88" s="3174">
        <f t="shared" si="54"/>
        <v>0</v>
      </c>
      <c r="BN88" s="3174">
        <f t="shared" si="55"/>
        <v>0</v>
      </c>
      <c r="BO88" s="3174">
        <f t="shared" si="56"/>
        <v>0</v>
      </c>
      <c r="BP88" s="3174">
        <f t="shared" si="57"/>
        <v>0</v>
      </c>
      <c r="BQ88" s="3174">
        <f t="shared" si="58"/>
        <v>0</v>
      </c>
      <c r="BR88" s="3174">
        <f t="shared" si="59"/>
        <v>0</v>
      </c>
      <c r="BS88" s="3174">
        <f t="shared" si="60"/>
        <v>0</v>
      </c>
      <c r="BT88" s="3249">
        <f t="shared" si="61"/>
        <v>0</v>
      </c>
    </row>
    <row r="89" spans="1:72">
      <c r="A89" s="489"/>
      <c r="B89" s="356"/>
      <c r="C89" s="356"/>
      <c r="D89" s="3182"/>
      <c r="E89" s="3174">
        <f t="shared" si="33"/>
        <v>0</v>
      </c>
      <c r="F89" s="3175"/>
      <c r="G89" s="3176">
        <f t="shared" si="34"/>
        <v>0</v>
      </c>
      <c r="H89" s="3177">
        <f t="shared" si="35"/>
        <v>0</v>
      </c>
      <c r="I89" s="3200"/>
      <c r="J89" s="3200"/>
      <c r="K89" s="3200"/>
      <c r="L89" s="3200"/>
      <c r="M89" s="3200"/>
      <c r="N89" s="3200"/>
      <c r="O89" s="3200"/>
      <c r="P89" s="3200"/>
      <c r="Q89" s="3200"/>
      <c r="R89" s="3200"/>
      <c r="S89" s="3200"/>
      <c r="T89" s="3200"/>
      <c r="U89" s="3200"/>
      <c r="V89" s="3200"/>
      <c r="W89" s="3200"/>
      <c r="X89" s="3200"/>
      <c r="Y89" s="3200"/>
      <c r="Z89" s="3200"/>
      <c r="AA89" s="3200"/>
      <c r="AB89" s="3200"/>
      <c r="AC89" s="3174">
        <f t="shared" si="36"/>
        <v>0</v>
      </c>
      <c r="AD89" s="3212"/>
      <c r="AE89" s="3212"/>
      <c r="AF89" s="3212"/>
      <c r="AG89" s="3212"/>
      <c r="AH89" s="3212"/>
      <c r="AI89" s="3212"/>
      <c r="AJ89" s="3212"/>
      <c r="AK89" s="3212"/>
      <c r="AL89" s="3212"/>
      <c r="AM89" s="3212"/>
      <c r="AN89" s="3212"/>
      <c r="AO89" s="3212"/>
      <c r="AP89" s="3212"/>
      <c r="AQ89" s="3212"/>
      <c r="AR89" s="3212"/>
      <c r="AS89" s="3212"/>
      <c r="AT89" s="3175"/>
      <c r="AU89" s="3232"/>
      <c r="AV89" s="466">
        <f t="shared" si="37"/>
        <v>0</v>
      </c>
      <c r="AW89" s="466">
        <f t="shared" si="38"/>
        <v>0</v>
      </c>
      <c r="AX89" s="466">
        <f t="shared" si="39"/>
        <v>0</v>
      </c>
      <c r="AY89" s="385">
        <f t="shared" si="40"/>
        <v>0</v>
      </c>
      <c r="AZ89" s="3174">
        <f t="shared" si="41"/>
        <v>0</v>
      </c>
      <c r="BA89" s="3174">
        <f t="shared" si="42"/>
        <v>0</v>
      </c>
      <c r="BB89" s="3174">
        <f t="shared" si="43"/>
        <v>0</v>
      </c>
      <c r="BC89" s="3174">
        <f t="shared" si="44"/>
        <v>0</v>
      </c>
      <c r="BD89" s="3174">
        <f t="shared" si="45"/>
        <v>0</v>
      </c>
      <c r="BE89" s="3174">
        <f t="shared" si="46"/>
        <v>0</v>
      </c>
      <c r="BF89" s="3174">
        <f t="shared" si="47"/>
        <v>0</v>
      </c>
      <c r="BG89" s="3174">
        <f t="shared" si="48"/>
        <v>0</v>
      </c>
      <c r="BH89" s="3174">
        <f t="shared" si="49"/>
        <v>0</v>
      </c>
      <c r="BI89" s="3174">
        <f t="shared" si="50"/>
        <v>0</v>
      </c>
      <c r="BJ89" s="3174">
        <f t="shared" si="51"/>
        <v>0</v>
      </c>
      <c r="BK89" s="3174">
        <f t="shared" si="52"/>
        <v>0</v>
      </c>
      <c r="BL89" s="3174">
        <f t="shared" si="53"/>
        <v>0</v>
      </c>
      <c r="BM89" s="3174">
        <f t="shared" si="54"/>
        <v>0</v>
      </c>
      <c r="BN89" s="3174">
        <f t="shared" si="55"/>
        <v>0</v>
      </c>
      <c r="BO89" s="3174">
        <f t="shared" si="56"/>
        <v>0</v>
      </c>
      <c r="BP89" s="3174">
        <f t="shared" si="57"/>
        <v>0</v>
      </c>
      <c r="BQ89" s="3174">
        <f t="shared" si="58"/>
        <v>0</v>
      </c>
      <c r="BR89" s="3174">
        <f t="shared" si="59"/>
        <v>0</v>
      </c>
      <c r="BS89" s="3174">
        <f t="shared" si="60"/>
        <v>0</v>
      </c>
      <c r="BT89" s="3249">
        <f t="shared" si="61"/>
        <v>0</v>
      </c>
    </row>
    <row r="90" spans="1:72">
      <c r="A90" s="489"/>
      <c r="B90" s="356"/>
      <c r="C90" s="356"/>
      <c r="D90" s="3182"/>
      <c r="E90" s="3174">
        <f t="shared" si="33"/>
        <v>0</v>
      </c>
      <c r="F90" s="3175"/>
      <c r="G90" s="3176">
        <f t="shared" si="34"/>
        <v>0</v>
      </c>
      <c r="H90" s="3177">
        <f t="shared" si="35"/>
        <v>0</v>
      </c>
      <c r="I90" s="3200"/>
      <c r="J90" s="3200"/>
      <c r="K90" s="3200"/>
      <c r="L90" s="3200"/>
      <c r="M90" s="3200"/>
      <c r="N90" s="3200"/>
      <c r="O90" s="3200"/>
      <c r="P90" s="3200"/>
      <c r="Q90" s="3200"/>
      <c r="R90" s="3200"/>
      <c r="S90" s="3200"/>
      <c r="T90" s="3200"/>
      <c r="U90" s="3200"/>
      <c r="V90" s="3200"/>
      <c r="W90" s="3200"/>
      <c r="X90" s="3200"/>
      <c r="Y90" s="3200"/>
      <c r="Z90" s="3200"/>
      <c r="AA90" s="3200"/>
      <c r="AB90" s="3200"/>
      <c r="AC90" s="3174">
        <f t="shared" si="36"/>
        <v>0</v>
      </c>
      <c r="AD90" s="3212"/>
      <c r="AE90" s="3212"/>
      <c r="AF90" s="3212"/>
      <c r="AG90" s="3212"/>
      <c r="AH90" s="3212"/>
      <c r="AI90" s="3212"/>
      <c r="AJ90" s="3212"/>
      <c r="AK90" s="3212"/>
      <c r="AL90" s="3212"/>
      <c r="AM90" s="3212"/>
      <c r="AN90" s="3212"/>
      <c r="AO90" s="3212"/>
      <c r="AP90" s="3212"/>
      <c r="AQ90" s="3212"/>
      <c r="AR90" s="3212"/>
      <c r="AS90" s="3212"/>
      <c r="AT90" s="3175"/>
      <c r="AU90" s="3232"/>
      <c r="AV90" s="466">
        <f t="shared" si="37"/>
        <v>0</v>
      </c>
      <c r="AW90" s="466">
        <f t="shared" si="38"/>
        <v>0</v>
      </c>
      <c r="AX90" s="466">
        <f t="shared" si="39"/>
        <v>0</v>
      </c>
      <c r="AY90" s="385">
        <f t="shared" si="40"/>
        <v>0</v>
      </c>
      <c r="AZ90" s="3174">
        <f t="shared" si="41"/>
        <v>0</v>
      </c>
      <c r="BA90" s="3174">
        <f t="shared" si="42"/>
        <v>0</v>
      </c>
      <c r="BB90" s="3174">
        <f t="shared" si="43"/>
        <v>0</v>
      </c>
      <c r="BC90" s="3174">
        <f t="shared" si="44"/>
        <v>0</v>
      </c>
      <c r="BD90" s="3174">
        <f t="shared" si="45"/>
        <v>0</v>
      </c>
      <c r="BE90" s="3174">
        <f t="shared" si="46"/>
        <v>0</v>
      </c>
      <c r="BF90" s="3174">
        <f t="shared" si="47"/>
        <v>0</v>
      </c>
      <c r="BG90" s="3174">
        <f t="shared" si="48"/>
        <v>0</v>
      </c>
      <c r="BH90" s="3174">
        <f t="shared" si="49"/>
        <v>0</v>
      </c>
      <c r="BI90" s="3174">
        <f t="shared" si="50"/>
        <v>0</v>
      </c>
      <c r="BJ90" s="3174">
        <f t="shared" si="51"/>
        <v>0</v>
      </c>
      <c r="BK90" s="3174">
        <f t="shared" si="52"/>
        <v>0</v>
      </c>
      <c r="BL90" s="3174">
        <f t="shared" si="53"/>
        <v>0</v>
      </c>
      <c r="BM90" s="3174">
        <f t="shared" si="54"/>
        <v>0</v>
      </c>
      <c r="BN90" s="3174">
        <f t="shared" si="55"/>
        <v>0</v>
      </c>
      <c r="BO90" s="3174">
        <f t="shared" si="56"/>
        <v>0</v>
      </c>
      <c r="BP90" s="3174">
        <f t="shared" si="57"/>
        <v>0</v>
      </c>
      <c r="BQ90" s="3174">
        <f t="shared" si="58"/>
        <v>0</v>
      </c>
      <c r="BR90" s="3174">
        <f t="shared" si="59"/>
        <v>0</v>
      </c>
      <c r="BS90" s="3174">
        <f t="shared" si="60"/>
        <v>0</v>
      </c>
      <c r="BT90" s="3249">
        <f t="shared" si="61"/>
        <v>0</v>
      </c>
    </row>
    <row r="91" spans="1:72">
      <c r="A91" s="489"/>
      <c r="B91" s="356"/>
      <c r="C91" s="356"/>
      <c r="D91" s="3182"/>
      <c r="E91" s="3174">
        <f t="shared" si="33"/>
        <v>0</v>
      </c>
      <c r="F91" s="3175"/>
      <c r="G91" s="3176">
        <f t="shared" si="34"/>
        <v>0</v>
      </c>
      <c r="H91" s="3177">
        <f t="shared" si="35"/>
        <v>0</v>
      </c>
      <c r="I91" s="3200"/>
      <c r="J91" s="3200"/>
      <c r="K91" s="3200"/>
      <c r="L91" s="3200"/>
      <c r="M91" s="3200"/>
      <c r="N91" s="3200"/>
      <c r="O91" s="3200"/>
      <c r="P91" s="3200"/>
      <c r="Q91" s="3200"/>
      <c r="R91" s="3200"/>
      <c r="S91" s="3200"/>
      <c r="T91" s="3200"/>
      <c r="U91" s="3200"/>
      <c r="V91" s="3200"/>
      <c r="W91" s="3200"/>
      <c r="X91" s="3200"/>
      <c r="Y91" s="3200"/>
      <c r="Z91" s="3200"/>
      <c r="AA91" s="3200"/>
      <c r="AB91" s="3200"/>
      <c r="AC91" s="3174">
        <f t="shared" si="36"/>
        <v>0</v>
      </c>
      <c r="AD91" s="3212"/>
      <c r="AE91" s="3212"/>
      <c r="AF91" s="3212"/>
      <c r="AG91" s="3212"/>
      <c r="AH91" s="3212"/>
      <c r="AI91" s="3212"/>
      <c r="AJ91" s="3212"/>
      <c r="AK91" s="3212"/>
      <c r="AL91" s="3212"/>
      <c r="AM91" s="3212"/>
      <c r="AN91" s="3212"/>
      <c r="AO91" s="3212"/>
      <c r="AP91" s="3212"/>
      <c r="AQ91" s="3212"/>
      <c r="AR91" s="3212"/>
      <c r="AS91" s="3212"/>
      <c r="AT91" s="3175"/>
      <c r="AU91" s="3232"/>
      <c r="AV91" s="466">
        <f t="shared" si="37"/>
        <v>0</v>
      </c>
      <c r="AW91" s="466">
        <f t="shared" si="38"/>
        <v>0</v>
      </c>
      <c r="AX91" s="466">
        <f t="shared" si="39"/>
        <v>0</v>
      </c>
      <c r="AY91" s="385">
        <f t="shared" si="40"/>
        <v>0</v>
      </c>
      <c r="AZ91" s="3174">
        <f t="shared" si="41"/>
        <v>0</v>
      </c>
      <c r="BA91" s="3174">
        <f t="shared" si="42"/>
        <v>0</v>
      </c>
      <c r="BB91" s="3174">
        <f t="shared" si="43"/>
        <v>0</v>
      </c>
      <c r="BC91" s="3174">
        <f t="shared" si="44"/>
        <v>0</v>
      </c>
      <c r="BD91" s="3174">
        <f t="shared" si="45"/>
        <v>0</v>
      </c>
      <c r="BE91" s="3174">
        <f t="shared" si="46"/>
        <v>0</v>
      </c>
      <c r="BF91" s="3174">
        <f t="shared" si="47"/>
        <v>0</v>
      </c>
      <c r="BG91" s="3174">
        <f t="shared" si="48"/>
        <v>0</v>
      </c>
      <c r="BH91" s="3174">
        <f t="shared" si="49"/>
        <v>0</v>
      </c>
      <c r="BI91" s="3174">
        <f t="shared" si="50"/>
        <v>0</v>
      </c>
      <c r="BJ91" s="3174">
        <f t="shared" si="51"/>
        <v>0</v>
      </c>
      <c r="BK91" s="3174">
        <f t="shared" si="52"/>
        <v>0</v>
      </c>
      <c r="BL91" s="3174">
        <f t="shared" si="53"/>
        <v>0</v>
      </c>
      <c r="BM91" s="3174">
        <f t="shared" si="54"/>
        <v>0</v>
      </c>
      <c r="BN91" s="3174">
        <f t="shared" si="55"/>
        <v>0</v>
      </c>
      <c r="BO91" s="3174">
        <f t="shared" si="56"/>
        <v>0</v>
      </c>
      <c r="BP91" s="3174">
        <f t="shared" si="57"/>
        <v>0</v>
      </c>
      <c r="BQ91" s="3174">
        <f t="shared" si="58"/>
        <v>0</v>
      </c>
      <c r="BR91" s="3174">
        <f t="shared" si="59"/>
        <v>0</v>
      </c>
      <c r="BS91" s="3174">
        <f t="shared" si="60"/>
        <v>0</v>
      </c>
      <c r="BT91" s="3249">
        <f t="shared" si="61"/>
        <v>0</v>
      </c>
    </row>
    <row r="92" spans="1:72">
      <c r="A92" s="489"/>
      <c r="B92" s="356"/>
      <c r="C92" s="356"/>
      <c r="D92" s="3182"/>
      <c r="E92" s="3174">
        <f t="shared" si="33"/>
        <v>0</v>
      </c>
      <c r="F92" s="3175"/>
      <c r="G92" s="3176">
        <f t="shared" si="34"/>
        <v>0</v>
      </c>
      <c r="H92" s="3177">
        <f t="shared" si="35"/>
        <v>0</v>
      </c>
      <c r="I92" s="3200"/>
      <c r="J92" s="3200"/>
      <c r="K92" s="3200"/>
      <c r="L92" s="3200"/>
      <c r="M92" s="3200"/>
      <c r="N92" s="3200"/>
      <c r="O92" s="3200"/>
      <c r="P92" s="3200"/>
      <c r="Q92" s="3200"/>
      <c r="R92" s="3200"/>
      <c r="S92" s="3200"/>
      <c r="T92" s="3200"/>
      <c r="U92" s="3200"/>
      <c r="V92" s="3200"/>
      <c r="W92" s="3200"/>
      <c r="X92" s="3200"/>
      <c r="Y92" s="3200"/>
      <c r="Z92" s="3200"/>
      <c r="AA92" s="3200"/>
      <c r="AB92" s="3200"/>
      <c r="AC92" s="3174">
        <f t="shared" si="36"/>
        <v>0</v>
      </c>
      <c r="AD92" s="3212"/>
      <c r="AE92" s="3212"/>
      <c r="AF92" s="3212"/>
      <c r="AG92" s="3212"/>
      <c r="AH92" s="3212"/>
      <c r="AI92" s="3212"/>
      <c r="AJ92" s="3212"/>
      <c r="AK92" s="3212"/>
      <c r="AL92" s="3212"/>
      <c r="AM92" s="3212"/>
      <c r="AN92" s="3212"/>
      <c r="AO92" s="3212"/>
      <c r="AP92" s="3212"/>
      <c r="AQ92" s="3212"/>
      <c r="AR92" s="3212"/>
      <c r="AS92" s="3212"/>
      <c r="AT92" s="3175"/>
      <c r="AU92" s="3232"/>
      <c r="AV92" s="466">
        <f t="shared" si="37"/>
        <v>0</v>
      </c>
      <c r="AW92" s="466">
        <f t="shared" si="38"/>
        <v>0</v>
      </c>
      <c r="AX92" s="466">
        <f t="shared" si="39"/>
        <v>0</v>
      </c>
      <c r="AY92" s="385">
        <f t="shared" si="40"/>
        <v>0</v>
      </c>
      <c r="AZ92" s="3174">
        <f t="shared" si="41"/>
        <v>0</v>
      </c>
      <c r="BA92" s="3174">
        <f t="shared" si="42"/>
        <v>0</v>
      </c>
      <c r="BB92" s="3174">
        <f t="shared" si="43"/>
        <v>0</v>
      </c>
      <c r="BC92" s="3174">
        <f t="shared" si="44"/>
        <v>0</v>
      </c>
      <c r="BD92" s="3174">
        <f t="shared" si="45"/>
        <v>0</v>
      </c>
      <c r="BE92" s="3174">
        <f t="shared" si="46"/>
        <v>0</v>
      </c>
      <c r="BF92" s="3174">
        <f t="shared" si="47"/>
        <v>0</v>
      </c>
      <c r="BG92" s="3174">
        <f t="shared" si="48"/>
        <v>0</v>
      </c>
      <c r="BH92" s="3174">
        <f t="shared" si="49"/>
        <v>0</v>
      </c>
      <c r="BI92" s="3174">
        <f t="shared" si="50"/>
        <v>0</v>
      </c>
      <c r="BJ92" s="3174">
        <f t="shared" si="51"/>
        <v>0</v>
      </c>
      <c r="BK92" s="3174">
        <f t="shared" si="52"/>
        <v>0</v>
      </c>
      <c r="BL92" s="3174">
        <f t="shared" si="53"/>
        <v>0</v>
      </c>
      <c r="BM92" s="3174">
        <f t="shared" si="54"/>
        <v>0</v>
      </c>
      <c r="BN92" s="3174">
        <f t="shared" si="55"/>
        <v>0</v>
      </c>
      <c r="BO92" s="3174">
        <f t="shared" si="56"/>
        <v>0</v>
      </c>
      <c r="BP92" s="3174">
        <f t="shared" si="57"/>
        <v>0</v>
      </c>
      <c r="BQ92" s="3174">
        <f t="shared" si="58"/>
        <v>0</v>
      </c>
      <c r="BR92" s="3174">
        <f t="shared" si="59"/>
        <v>0</v>
      </c>
      <c r="BS92" s="3174">
        <f t="shared" si="60"/>
        <v>0</v>
      </c>
      <c r="BT92" s="3249">
        <f t="shared" si="61"/>
        <v>0</v>
      </c>
    </row>
    <row r="93" spans="1:72">
      <c r="A93" s="489"/>
      <c r="B93" s="356"/>
      <c r="C93" s="356"/>
      <c r="D93" s="3182"/>
      <c r="E93" s="3174">
        <f t="shared" si="33"/>
        <v>0</v>
      </c>
      <c r="F93" s="3175"/>
      <c r="G93" s="3176">
        <f t="shared" si="34"/>
        <v>0</v>
      </c>
      <c r="H93" s="3177">
        <f t="shared" si="35"/>
        <v>0</v>
      </c>
      <c r="I93" s="3200"/>
      <c r="J93" s="3200"/>
      <c r="K93" s="3200"/>
      <c r="L93" s="3200"/>
      <c r="M93" s="3200"/>
      <c r="N93" s="3200"/>
      <c r="O93" s="3200"/>
      <c r="P93" s="3200"/>
      <c r="Q93" s="3200"/>
      <c r="R93" s="3200"/>
      <c r="S93" s="3200"/>
      <c r="T93" s="3200"/>
      <c r="U93" s="3200"/>
      <c r="V93" s="3200"/>
      <c r="W93" s="3200"/>
      <c r="X93" s="3200"/>
      <c r="Y93" s="3200"/>
      <c r="Z93" s="3200"/>
      <c r="AA93" s="3200"/>
      <c r="AB93" s="3200"/>
      <c r="AC93" s="3174">
        <f t="shared" si="36"/>
        <v>0</v>
      </c>
      <c r="AD93" s="3212"/>
      <c r="AE93" s="3212"/>
      <c r="AF93" s="3212"/>
      <c r="AG93" s="3212"/>
      <c r="AH93" s="3212"/>
      <c r="AI93" s="3212"/>
      <c r="AJ93" s="3212"/>
      <c r="AK93" s="3212"/>
      <c r="AL93" s="3212"/>
      <c r="AM93" s="3212"/>
      <c r="AN93" s="3212"/>
      <c r="AO93" s="3212"/>
      <c r="AP93" s="3212"/>
      <c r="AQ93" s="3212"/>
      <c r="AR93" s="3212"/>
      <c r="AS93" s="3212"/>
      <c r="AT93" s="3175"/>
      <c r="AU93" s="3232"/>
      <c r="AV93" s="466">
        <f t="shared" si="37"/>
        <v>0</v>
      </c>
      <c r="AW93" s="466">
        <f t="shared" si="38"/>
        <v>0</v>
      </c>
      <c r="AX93" s="466">
        <f t="shared" si="39"/>
        <v>0</v>
      </c>
      <c r="AY93" s="385">
        <f t="shared" si="40"/>
        <v>0</v>
      </c>
      <c r="AZ93" s="3174">
        <f t="shared" si="41"/>
        <v>0</v>
      </c>
      <c r="BA93" s="3174">
        <f t="shared" si="42"/>
        <v>0</v>
      </c>
      <c r="BB93" s="3174">
        <f t="shared" si="43"/>
        <v>0</v>
      </c>
      <c r="BC93" s="3174">
        <f t="shared" si="44"/>
        <v>0</v>
      </c>
      <c r="BD93" s="3174">
        <f t="shared" si="45"/>
        <v>0</v>
      </c>
      <c r="BE93" s="3174">
        <f t="shared" si="46"/>
        <v>0</v>
      </c>
      <c r="BF93" s="3174">
        <f t="shared" si="47"/>
        <v>0</v>
      </c>
      <c r="BG93" s="3174">
        <f t="shared" si="48"/>
        <v>0</v>
      </c>
      <c r="BH93" s="3174">
        <f t="shared" si="49"/>
        <v>0</v>
      </c>
      <c r="BI93" s="3174">
        <f t="shared" si="50"/>
        <v>0</v>
      </c>
      <c r="BJ93" s="3174">
        <f t="shared" si="51"/>
        <v>0</v>
      </c>
      <c r="BK93" s="3174">
        <f t="shared" si="52"/>
        <v>0</v>
      </c>
      <c r="BL93" s="3174">
        <f t="shared" si="53"/>
        <v>0</v>
      </c>
      <c r="BM93" s="3174">
        <f t="shared" si="54"/>
        <v>0</v>
      </c>
      <c r="BN93" s="3174">
        <f t="shared" si="55"/>
        <v>0</v>
      </c>
      <c r="BO93" s="3174">
        <f t="shared" si="56"/>
        <v>0</v>
      </c>
      <c r="BP93" s="3174">
        <f t="shared" si="57"/>
        <v>0</v>
      </c>
      <c r="BQ93" s="3174">
        <f t="shared" si="58"/>
        <v>0</v>
      </c>
      <c r="BR93" s="3174">
        <f t="shared" si="59"/>
        <v>0</v>
      </c>
      <c r="BS93" s="3174">
        <f t="shared" si="60"/>
        <v>0</v>
      </c>
      <c r="BT93" s="3249">
        <f t="shared" si="61"/>
        <v>0</v>
      </c>
    </row>
    <row r="94" spans="1:72">
      <c r="A94" s="489"/>
      <c r="B94" s="356"/>
      <c r="C94" s="356"/>
      <c r="D94" s="3182"/>
      <c r="E94" s="3174">
        <f t="shared" si="33"/>
        <v>0</v>
      </c>
      <c r="F94" s="3175"/>
      <c r="G94" s="3176">
        <f t="shared" si="34"/>
        <v>0</v>
      </c>
      <c r="H94" s="3177">
        <f t="shared" si="35"/>
        <v>0</v>
      </c>
      <c r="I94" s="3200"/>
      <c r="J94" s="3200"/>
      <c r="K94" s="3200"/>
      <c r="L94" s="3200"/>
      <c r="M94" s="3200"/>
      <c r="N94" s="3200"/>
      <c r="O94" s="3200"/>
      <c r="P94" s="3200"/>
      <c r="Q94" s="3200"/>
      <c r="R94" s="3200"/>
      <c r="S94" s="3200"/>
      <c r="T94" s="3200"/>
      <c r="U94" s="3200"/>
      <c r="V94" s="3200"/>
      <c r="W94" s="3200"/>
      <c r="X94" s="3200"/>
      <c r="Y94" s="3200"/>
      <c r="Z94" s="3200"/>
      <c r="AA94" s="3200"/>
      <c r="AB94" s="3200"/>
      <c r="AC94" s="3174">
        <f t="shared" si="36"/>
        <v>0</v>
      </c>
      <c r="AD94" s="3212"/>
      <c r="AE94" s="3212"/>
      <c r="AF94" s="3212"/>
      <c r="AG94" s="3212"/>
      <c r="AH94" s="3212"/>
      <c r="AI94" s="3212"/>
      <c r="AJ94" s="3212"/>
      <c r="AK94" s="3212"/>
      <c r="AL94" s="3212"/>
      <c r="AM94" s="3212"/>
      <c r="AN94" s="3212"/>
      <c r="AO94" s="3212"/>
      <c r="AP94" s="3212"/>
      <c r="AQ94" s="3212"/>
      <c r="AR94" s="3212"/>
      <c r="AS94" s="3212"/>
      <c r="AT94" s="3175"/>
      <c r="AU94" s="3232"/>
      <c r="AV94" s="466">
        <f t="shared" si="37"/>
        <v>0</v>
      </c>
      <c r="AW94" s="466">
        <f t="shared" si="38"/>
        <v>0</v>
      </c>
      <c r="AX94" s="466">
        <f t="shared" si="39"/>
        <v>0</v>
      </c>
      <c r="AY94" s="385">
        <f t="shared" si="40"/>
        <v>0</v>
      </c>
      <c r="AZ94" s="3174">
        <f t="shared" si="41"/>
        <v>0</v>
      </c>
      <c r="BA94" s="3174">
        <f t="shared" si="42"/>
        <v>0</v>
      </c>
      <c r="BB94" s="3174">
        <f t="shared" si="43"/>
        <v>0</v>
      </c>
      <c r="BC94" s="3174">
        <f t="shared" si="44"/>
        <v>0</v>
      </c>
      <c r="BD94" s="3174">
        <f t="shared" si="45"/>
        <v>0</v>
      </c>
      <c r="BE94" s="3174">
        <f t="shared" si="46"/>
        <v>0</v>
      </c>
      <c r="BF94" s="3174">
        <f t="shared" si="47"/>
        <v>0</v>
      </c>
      <c r="BG94" s="3174">
        <f t="shared" si="48"/>
        <v>0</v>
      </c>
      <c r="BH94" s="3174">
        <f t="shared" si="49"/>
        <v>0</v>
      </c>
      <c r="BI94" s="3174">
        <f t="shared" si="50"/>
        <v>0</v>
      </c>
      <c r="BJ94" s="3174">
        <f t="shared" si="51"/>
        <v>0</v>
      </c>
      <c r="BK94" s="3174">
        <f t="shared" si="52"/>
        <v>0</v>
      </c>
      <c r="BL94" s="3174">
        <f t="shared" si="53"/>
        <v>0</v>
      </c>
      <c r="BM94" s="3174">
        <f t="shared" si="54"/>
        <v>0</v>
      </c>
      <c r="BN94" s="3174">
        <f t="shared" si="55"/>
        <v>0</v>
      </c>
      <c r="BO94" s="3174">
        <f t="shared" si="56"/>
        <v>0</v>
      </c>
      <c r="BP94" s="3174">
        <f t="shared" si="57"/>
        <v>0</v>
      </c>
      <c r="BQ94" s="3174">
        <f t="shared" si="58"/>
        <v>0</v>
      </c>
      <c r="BR94" s="3174">
        <f t="shared" si="59"/>
        <v>0</v>
      </c>
      <c r="BS94" s="3174">
        <f t="shared" si="60"/>
        <v>0</v>
      </c>
      <c r="BT94" s="3249">
        <f t="shared" si="61"/>
        <v>0</v>
      </c>
    </row>
    <row r="95" spans="1:72">
      <c r="A95" s="489"/>
      <c r="B95" s="356"/>
      <c r="C95" s="356"/>
      <c r="D95" s="3182"/>
      <c r="E95" s="3174">
        <f t="shared" si="33"/>
        <v>0</v>
      </c>
      <c r="F95" s="3175"/>
      <c r="G95" s="3176">
        <f t="shared" si="34"/>
        <v>0</v>
      </c>
      <c r="H95" s="3177">
        <f t="shared" si="35"/>
        <v>0</v>
      </c>
      <c r="I95" s="3200"/>
      <c r="J95" s="3200"/>
      <c r="K95" s="3200"/>
      <c r="L95" s="3200"/>
      <c r="M95" s="3200"/>
      <c r="N95" s="3200"/>
      <c r="O95" s="3200"/>
      <c r="P95" s="3200"/>
      <c r="Q95" s="3200"/>
      <c r="R95" s="3200"/>
      <c r="S95" s="3200"/>
      <c r="T95" s="3200"/>
      <c r="U95" s="3200"/>
      <c r="V95" s="3200"/>
      <c r="W95" s="3200"/>
      <c r="X95" s="3200"/>
      <c r="Y95" s="3200"/>
      <c r="Z95" s="3200"/>
      <c r="AA95" s="3200"/>
      <c r="AB95" s="3200"/>
      <c r="AC95" s="3174">
        <f t="shared" si="36"/>
        <v>0</v>
      </c>
      <c r="AD95" s="3212"/>
      <c r="AE95" s="3212"/>
      <c r="AF95" s="3212"/>
      <c r="AG95" s="3212"/>
      <c r="AH95" s="3212"/>
      <c r="AI95" s="3212"/>
      <c r="AJ95" s="3212"/>
      <c r="AK95" s="3212"/>
      <c r="AL95" s="3212"/>
      <c r="AM95" s="3212"/>
      <c r="AN95" s="3212"/>
      <c r="AO95" s="3212"/>
      <c r="AP95" s="3212"/>
      <c r="AQ95" s="3212"/>
      <c r="AR95" s="3212"/>
      <c r="AS95" s="3212"/>
      <c r="AT95" s="3175"/>
      <c r="AU95" s="3232"/>
      <c r="AV95" s="466">
        <f t="shared" si="37"/>
        <v>0</v>
      </c>
      <c r="AW95" s="466">
        <f t="shared" si="38"/>
        <v>0</v>
      </c>
      <c r="AX95" s="466">
        <f t="shared" si="39"/>
        <v>0</v>
      </c>
      <c r="AY95" s="385">
        <f t="shared" si="40"/>
        <v>0</v>
      </c>
      <c r="AZ95" s="3174">
        <f t="shared" si="41"/>
        <v>0</v>
      </c>
      <c r="BA95" s="3174">
        <f t="shared" si="42"/>
        <v>0</v>
      </c>
      <c r="BB95" s="3174">
        <f t="shared" si="43"/>
        <v>0</v>
      </c>
      <c r="BC95" s="3174">
        <f t="shared" si="44"/>
        <v>0</v>
      </c>
      <c r="BD95" s="3174">
        <f t="shared" si="45"/>
        <v>0</v>
      </c>
      <c r="BE95" s="3174">
        <f t="shared" si="46"/>
        <v>0</v>
      </c>
      <c r="BF95" s="3174">
        <f t="shared" si="47"/>
        <v>0</v>
      </c>
      <c r="BG95" s="3174">
        <f t="shared" si="48"/>
        <v>0</v>
      </c>
      <c r="BH95" s="3174">
        <f t="shared" si="49"/>
        <v>0</v>
      </c>
      <c r="BI95" s="3174">
        <f t="shared" si="50"/>
        <v>0</v>
      </c>
      <c r="BJ95" s="3174">
        <f t="shared" si="51"/>
        <v>0</v>
      </c>
      <c r="BK95" s="3174">
        <f t="shared" si="52"/>
        <v>0</v>
      </c>
      <c r="BL95" s="3174">
        <f t="shared" si="53"/>
        <v>0</v>
      </c>
      <c r="BM95" s="3174">
        <f t="shared" si="54"/>
        <v>0</v>
      </c>
      <c r="BN95" s="3174">
        <f t="shared" si="55"/>
        <v>0</v>
      </c>
      <c r="BO95" s="3174">
        <f t="shared" si="56"/>
        <v>0</v>
      </c>
      <c r="BP95" s="3174">
        <f t="shared" si="57"/>
        <v>0</v>
      </c>
      <c r="BQ95" s="3174">
        <f t="shared" si="58"/>
        <v>0</v>
      </c>
      <c r="BR95" s="3174">
        <f t="shared" si="59"/>
        <v>0</v>
      </c>
      <c r="BS95" s="3174">
        <f t="shared" si="60"/>
        <v>0</v>
      </c>
      <c r="BT95" s="3249">
        <f t="shared" si="61"/>
        <v>0</v>
      </c>
    </row>
    <row r="96" spans="1:72">
      <c r="A96" s="489"/>
      <c r="B96" s="356"/>
      <c r="C96" s="356"/>
      <c r="D96" s="3182"/>
      <c r="E96" s="3174">
        <f t="shared" si="33"/>
        <v>0</v>
      </c>
      <c r="F96" s="3175"/>
      <c r="G96" s="3176">
        <f t="shared" si="34"/>
        <v>0</v>
      </c>
      <c r="H96" s="3177">
        <f t="shared" si="35"/>
        <v>0</v>
      </c>
      <c r="I96" s="3200"/>
      <c r="J96" s="3200"/>
      <c r="K96" s="3200"/>
      <c r="L96" s="3200"/>
      <c r="M96" s="3200"/>
      <c r="N96" s="3200"/>
      <c r="O96" s="3200"/>
      <c r="P96" s="3200"/>
      <c r="Q96" s="3200"/>
      <c r="R96" s="3200"/>
      <c r="S96" s="3200"/>
      <c r="T96" s="3200"/>
      <c r="U96" s="3200"/>
      <c r="V96" s="3200"/>
      <c r="W96" s="3200"/>
      <c r="X96" s="3200"/>
      <c r="Y96" s="3200"/>
      <c r="Z96" s="3200"/>
      <c r="AA96" s="3200"/>
      <c r="AB96" s="3200"/>
      <c r="AC96" s="3174">
        <f t="shared" si="36"/>
        <v>0</v>
      </c>
      <c r="AD96" s="3212"/>
      <c r="AE96" s="3212"/>
      <c r="AF96" s="3212"/>
      <c r="AG96" s="3212"/>
      <c r="AH96" s="3212"/>
      <c r="AI96" s="3212"/>
      <c r="AJ96" s="3212"/>
      <c r="AK96" s="3212"/>
      <c r="AL96" s="3212"/>
      <c r="AM96" s="3212"/>
      <c r="AN96" s="3212"/>
      <c r="AO96" s="3212"/>
      <c r="AP96" s="3212"/>
      <c r="AQ96" s="3212"/>
      <c r="AR96" s="3212"/>
      <c r="AS96" s="3212"/>
      <c r="AT96" s="3175"/>
      <c r="AU96" s="3232"/>
      <c r="AV96" s="466">
        <f t="shared" si="37"/>
        <v>0</v>
      </c>
      <c r="AW96" s="466">
        <f t="shared" si="38"/>
        <v>0</v>
      </c>
      <c r="AX96" s="466">
        <f t="shared" si="39"/>
        <v>0</v>
      </c>
      <c r="AY96" s="385">
        <f t="shared" si="40"/>
        <v>0</v>
      </c>
      <c r="AZ96" s="3174">
        <f t="shared" si="41"/>
        <v>0</v>
      </c>
      <c r="BA96" s="3174">
        <f t="shared" si="42"/>
        <v>0</v>
      </c>
      <c r="BB96" s="3174">
        <f t="shared" si="43"/>
        <v>0</v>
      </c>
      <c r="BC96" s="3174">
        <f t="shared" si="44"/>
        <v>0</v>
      </c>
      <c r="BD96" s="3174">
        <f t="shared" si="45"/>
        <v>0</v>
      </c>
      <c r="BE96" s="3174">
        <f t="shared" si="46"/>
        <v>0</v>
      </c>
      <c r="BF96" s="3174">
        <f t="shared" si="47"/>
        <v>0</v>
      </c>
      <c r="BG96" s="3174">
        <f t="shared" si="48"/>
        <v>0</v>
      </c>
      <c r="BH96" s="3174">
        <f t="shared" si="49"/>
        <v>0</v>
      </c>
      <c r="BI96" s="3174">
        <f t="shared" si="50"/>
        <v>0</v>
      </c>
      <c r="BJ96" s="3174">
        <f t="shared" si="51"/>
        <v>0</v>
      </c>
      <c r="BK96" s="3174">
        <f t="shared" si="52"/>
        <v>0</v>
      </c>
      <c r="BL96" s="3174">
        <f t="shared" si="53"/>
        <v>0</v>
      </c>
      <c r="BM96" s="3174">
        <f t="shared" si="54"/>
        <v>0</v>
      </c>
      <c r="BN96" s="3174">
        <f t="shared" si="55"/>
        <v>0</v>
      </c>
      <c r="BO96" s="3174">
        <f t="shared" si="56"/>
        <v>0</v>
      </c>
      <c r="BP96" s="3174">
        <f t="shared" si="57"/>
        <v>0</v>
      </c>
      <c r="BQ96" s="3174">
        <f t="shared" si="58"/>
        <v>0</v>
      </c>
      <c r="BR96" s="3174">
        <f t="shared" si="59"/>
        <v>0</v>
      </c>
      <c r="BS96" s="3174">
        <f t="shared" si="60"/>
        <v>0</v>
      </c>
      <c r="BT96" s="3249">
        <f t="shared" si="61"/>
        <v>0</v>
      </c>
    </row>
    <row r="97" spans="1:72">
      <c r="A97" s="489"/>
      <c r="B97" s="356"/>
      <c r="C97" s="356"/>
      <c r="D97" s="3182"/>
      <c r="E97" s="3174">
        <f t="shared" si="33"/>
        <v>0</v>
      </c>
      <c r="F97" s="3175"/>
      <c r="G97" s="3176">
        <f t="shared" si="34"/>
        <v>0</v>
      </c>
      <c r="H97" s="3177">
        <f t="shared" si="35"/>
        <v>0</v>
      </c>
      <c r="I97" s="3200"/>
      <c r="J97" s="3200"/>
      <c r="K97" s="3200"/>
      <c r="L97" s="3200"/>
      <c r="M97" s="3200"/>
      <c r="N97" s="3200"/>
      <c r="O97" s="3200"/>
      <c r="P97" s="3200"/>
      <c r="Q97" s="3200"/>
      <c r="R97" s="3200"/>
      <c r="S97" s="3200"/>
      <c r="T97" s="3200"/>
      <c r="U97" s="3200"/>
      <c r="V97" s="3200"/>
      <c r="W97" s="3200"/>
      <c r="X97" s="3200"/>
      <c r="Y97" s="3200"/>
      <c r="Z97" s="3200"/>
      <c r="AA97" s="3200"/>
      <c r="AB97" s="3200"/>
      <c r="AC97" s="3174">
        <f t="shared" si="36"/>
        <v>0</v>
      </c>
      <c r="AD97" s="3212"/>
      <c r="AE97" s="3212"/>
      <c r="AF97" s="3212"/>
      <c r="AG97" s="3212"/>
      <c r="AH97" s="3212"/>
      <c r="AI97" s="3212"/>
      <c r="AJ97" s="3212"/>
      <c r="AK97" s="3212"/>
      <c r="AL97" s="3212"/>
      <c r="AM97" s="3212"/>
      <c r="AN97" s="3212"/>
      <c r="AO97" s="3212"/>
      <c r="AP97" s="3212"/>
      <c r="AQ97" s="3212"/>
      <c r="AR97" s="3212"/>
      <c r="AS97" s="3212"/>
      <c r="AT97" s="3175"/>
      <c r="AU97" s="3232"/>
      <c r="AV97" s="466">
        <f t="shared" si="37"/>
        <v>0</v>
      </c>
      <c r="AW97" s="466">
        <f t="shared" si="38"/>
        <v>0</v>
      </c>
      <c r="AX97" s="466">
        <f t="shared" si="39"/>
        <v>0</v>
      </c>
      <c r="AY97" s="385">
        <f t="shared" si="40"/>
        <v>0</v>
      </c>
      <c r="AZ97" s="3174">
        <f t="shared" si="41"/>
        <v>0</v>
      </c>
      <c r="BA97" s="3174">
        <f t="shared" si="42"/>
        <v>0</v>
      </c>
      <c r="BB97" s="3174">
        <f t="shared" si="43"/>
        <v>0</v>
      </c>
      <c r="BC97" s="3174">
        <f t="shared" si="44"/>
        <v>0</v>
      </c>
      <c r="BD97" s="3174">
        <f t="shared" si="45"/>
        <v>0</v>
      </c>
      <c r="BE97" s="3174">
        <f t="shared" si="46"/>
        <v>0</v>
      </c>
      <c r="BF97" s="3174">
        <f t="shared" si="47"/>
        <v>0</v>
      </c>
      <c r="BG97" s="3174">
        <f t="shared" si="48"/>
        <v>0</v>
      </c>
      <c r="BH97" s="3174">
        <f t="shared" si="49"/>
        <v>0</v>
      </c>
      <c r="BI97" s="3174">
        <f t="shared" si="50"/>
        <v>0</v>
      </c>
      <c r="BJ97" s="3174">
        <f t="shared" si="51"/>
        <v>0</v>
      </c>
      <c r="BK97" s="3174">
        <f t="shared" si="52"/>
        <v>0</v>
      </c>
      <c r="BL97" s="3174">
        <f t="shared" si="53"/>
        <v>0</v>
      </c>
      <c r="BM97" s="3174">
        <f t="shared" si="54"/>
        <v>0</v>
      </c>
      <c r="BN97" s="3174">
        <f t="shared" si="55"/>
        <v>0</v>
      </c>
      <c r="BO97" s="3174">
        <f t="shared" si="56"/>
        <v>0</v>
      </c>
      <c r="BP97" s="3174">
        <f t="shared" si="57"/>
        <v>0</v>
      </c>
      <c r="BQ97" s="3174">
        <f t="shared" si="58"/>
        <v>0</v>
      </c>
      <c r="BR97" s="3174">
        <f t="shared" si="59"/>
        <v>0</v>
      </c>
      <c r="BS97" s="3174">
        <f t="shared" si="60"/>
        <v>0</v>
      </c>
      <c r="BT97" s="3249">
        <f t="shared" si="61"/>
        <v>0</v>
      </c>
    </row>
    <row r="98" spans="1:72">
      <c r="A98" s="489"/>
      <c r="B98" s="356"/>
      <c r="C98" s="356"/>
      <c r="D98" s="3182"/>
      <c r="E98" s="3174">
        <f t="shared" si="33"/>
        <v>0</v>
      </c>
      <c r="F98" s="3175"/>
      <c r="G98" s="3176">
        <f t="shared" si="34"/>
        <v>0</v>
      </c>
      <c r="H98" s="3177">
        <f t="shared" si="35"/>
        <v>0</v>
      </c>
      <c r="I98" s="3200"/>
      <c r="J98" s="3200"/>
      <c r="K98" s="3200"/>
      <c r="L98" s="3200"/>
      <c r="M98" s="3200"/>
      <c r="N98" s="3200"/>
      <c r="O98" s="3200"/>
      <c r="P98" s="3200"/>
      <c r="Q98" s="3200"/>
      <c r="R98" s="3200"/>
      <c r="S98" s="3200"/>
      <c r="T98" s="3200"/>
      <c r="U98" s="3200"/>
      <c r="V98" s="3200"/>
      <c r="W98" s="3200"/>
      <c r="X98" s="3200"/>
      <c r="Y98" s="3200"/>
      <c r="Z98" s="3200"/>
      <c r="AA98" s="3200"/>
      <c r="AB98" s="3200"/>
      <c r="AC98" s="3174">
        <f t="shared" si="36"/>
        <v>0</v>
      </c>
      <c r="AD98" s="3212"/>
      <c r="AE98" s="3212"/>
      <c r="AF98" s="3212"/>
      <c r="AG98" s="3212"/>
      <c r="AH98" s="3212"/>
      <c r="AI98" s="3212"/>
      <c r="AJ98" s="3212"/>
      <c r="AK98" s="3212"/>
      <c r="AL98" s="3212"/>
      <c r="AM98" s="3212"/>
      <c r="AN98" s="3212"/>
      <c r="AO98" s="3212"/>
      <c r="AP98" s="3212"/>
      <c r="AQ98" s="3212"/>
      <c r="AR98" s="3212"/>
      <c r="AS98" s="3212"/>
      <c r="AT98" s="3175"/>
      <c r="AU98" s="3232"/>
      <c r="AV98" s="466">
        <f t="shared" si="37"/>
        <v>0</v>
      </c>
      <c r="AW98" s="466">
        <f t="shared" si="38"/>
        <v>0</v>
      </c>
      <c r="AX98" s="466">
        <f t="shared" si="39"/>
        <v>0</v>
      </c>
      <c r="AY98" s="385">
        <f t="shared" si="40"/>
        <v>0</v>
      </c>
      <c r="AZ98" s="3174">
        <f t="shared" si="41"/>
        <v>0</v>
      </c>
      <c r="BA98" s="3174">
        <f t="shared" si="42"/>
        <v>0</v>
      </c>
      <c r="BB98" s="3174">
        <f t="shared" si="43"/>
        <v>0</v>
      </c>
      <c r="BC98" s="3174">
        <f t="shared" si="44"/>
        <v>0</v>
      </c>
      <c r="BD98" s="3174">
        <f t="shared" si="45"/>
        <v>0</v>
      </c>
      <c r="BE98" s="3174">
        <f t="shared" si="46"/>
        <v>0</v>
      </c>
      <c r="BF98" s="3174">
        <f t="shared" si="47"/>
        <v>0</v>
      </c>
      <c r="BG98" s="3174">
        <f t="shared" si="48"/>
        <v>0</v>
      </c>
      <c r="BH98" s="3174">
        <f t="shared" si="49"/>
        <v>0</v>
      </c>
      <c r="BI98" s="3174">
        <f t="shared" si="50"/>
        <v>0</v>
      </c>
      <c r="BJ98" s="3174">
        <f t="shared" si="51"/>
        <v>0</v>
      </c>
      <c r="BK98" s="3174">
        <f t="shared" si="52"/>
        <v>0</v>
      </c>
      <c r="BL98" s="3174">
        <f t="shared" si="53"/>
        <v>0</v>
      </c>
      <c r="BM98" s="3174">
        <f t="shared" si="54"/>
        <v>0</v>
      </c>
      <c r="BN98" s="3174">
        <f t="shared" si="55"/>
        <v>0</v>
      </c>
      <c r="BO98" s="3174">
        <f t="shared" si="56"/>
        <v>0</v>
      </c>
      <c r="BP98" s="3174">
        <f t="shared" si="57"/>
        <v>0</v>
      </c>
      <c r="BQ98" s="3174">
        <f t="shared" si="58"/>
        <v>0</v>
      </c>
      <c r="BR98" s="3174">
        <f t="shared" si="59"/>
        <v>0</v>
      </c>
      <c r="BS98" s="3174">
        <f t="shared" si="60"/>
        <v>0</v>
      </c>
      <c r="BT98" s="3249">
        <f t="shared" si="61"/>
        <v>0</v>
      </c>
    </row>
    <row r="99" spans="1:72">
      <c r="A99" s="489"/>
      <c r="B99" s="356"/>
      <c r="C99" s="356"/>
      <c r="D99" s="3182"/>
      <c r="E99" s="3174">
        <f t="shared" si="33"/>
        <v>0</v>
      </c>
      <c r="F99" s="3175"/>
      <c r="G99" s="3176">
        <f t="shared" si="34"/>
        <v>0</v>
      </c>
      <c r="H99" s="3177">
        <f t="shared" si="35"/>
        <v>0</v>
      </c>
      <c r="I99" s="3200"/>
      <c r="J99" s="3200"/>
      <c r="K99" s="3200"/>
      <c r="L99" s="3200"/>
      <c r="M99" s="3200"/>
      <c r="N99" s="3200"/>
      <c r="O99" s="3200"/>
      <c r="P99" s="3200"/>
      <c r="Q99" s="3200"/>
      <c r="R99" s="3200"/>
      <c r="S99" s="3200"/>
      <c r="T99" s="3200"/>
      <c r="U99" s="3200"/>
      <c r="V99" s="3200"/>
      <c r="W99" s="3200"/>
      <c r="X99" s="3200"/>
      <c r="Y99" s="3200"/>
      <c r="Z99" s="3200"/>
      <c r="AA99" s="3200"/>
      <c r="AB99" s="3200"/>
      <c r="AC99" s="3174">
        <f t="shared" si="36"/>
        <v>0</v>
      </c>
      <c r="AD99" s="3212"/>
      <c r="AE99" s="3212"/>
      <c r="AF99" s="3212"/>
      <c r="AG99" s="3212"/>
      <c r="AH99" s="3212"/>
      <c r="AI99" s="3212"/>
      <c r="AJ99" s="3212"/>
      <c r="AK99" s="3212"/>
      <c r="AL99" s="3212"/>
      <c r="AM99" s="3212"/>
      <c r="AN99" s="3212"/>
      <c r="AO99" s="3212"/>
      <c r="AP99" s="3212"/>
      <c r="AQ99" s="3212"/>
      <c r="AR99" s="3212"/>
      <c r="AS99" s="3212"/>
      <c r="AT99" s="3175"/>
      <c r="AU99" s="3232"/>
      <c r="AV99" s="466">
        <f t="shared" si="37"/>
        <v>0</v>
      </c>
      <c r="AW99" s="466">
        <f t="shared" si="38"/>
        <v>0</v>
      </c>
      <c r="AX99" s="466">
        <f t="shared" si="39"/>
        <v>0</v>
      </c>
      <c r="AY99" s="385">
        <f t="shared" si="40"/>
        <v>0</v>
      </c>
      <c r="AZ99" s="3174">
        <f t="shared" si="41"/>
        <v>0</v>
      </c>
      <c r="BA99" s="3174">
        <f t="shared" si="42"/>
        <v>0</v>
      </c>
      <c r="BB99" s="3174">
        <f t="shared" si="43"/>
        <v>0</v>
      </c>
      <c r="BC99" s="3174">
        <f t="shared" si="44"/>
        <v>0</v>
      </c>
      <c r="BD99" s="3174">
        <f t="shared" si="45"/>
        <v>0</v>
      </c>
      <c r="BE99" s="3174">
        <f t="shared" si="46"/>
        <v>0</v>
      </c>
      <c r="BF99" s="3174">
        <f t="shared" si="47"/>
        <v>0</v>
      </c>
      <c r="BG99" s="3174">
        <f t="shared" si="48"/>
        <v>0</v>
      </c>
      <c r="BH99" s="3174">
        <f t="shared" si="49"/>
        <v>0</v>
      </c>
      <c r="BI99" s="3174">
        <f t="shared" si="50"/>
        <v>0</v>
      </c>
      <c r="BJ99" s="3174">
        <f t="shared" si="51"/>
        <v>0</v>
      </c>
      <c r="BK99" s="3174">
        <f t="shared" si="52"/>
        <v>0</v>
      </c>
      <c r="BL99" s="3174">
        <f t="shared" si="53"/>
        <v>0</v>
      </c>
      <c r="BM99" s="3174">
        <f t="shared" si="54"/>
        <v>0</v>
      </c>
      <c r="BN99" s="3174">
        <f t="shared" si="55"/>
        <v>0</v>
      </c>
      <c r="BO99" s="3174">
        <f t="shared" si="56"/>
        <v>0</v>
      </c>
      <c r="BP99" s="3174">
        <f t="shared" si="57"/>
        <v>0</v>
      </c>
      <c r="BQ99" s="3174">
        <f t="shared" si="58"/>
        <v>0</v>
      </c>
      <c r="BR99" s="3174">
        <f t="shared" si="59"/>
        <v>0</v>
      </c>
      <c r="BS99" s="3174">
        <f t="shared" si="60"/>
        <v>0</v>
      </c>
      <c r="BT99" s="3249">
        <f t="shared" si="61"/>
        <v>0</v>
      </c>
    </row>
    <row r="100" spans="1:72">
      <c r="A100" s="489"/>
      <c r="B100" s="356"/>
      <c r="C100" s="356"/>
      <c r="D100" s="3182"/>
      <c r="E100" s="3174">
        <f t="shared" si="33"/>
        <v>0</v>
      </c>
      <c r="F100" s="3175"/>
      <c r="G100" s="3176">
        <f t="shared" si="34"/>
        <v>0</v>
      </c>
      <c r="H100" s="3177">
        <f t="shared" si="35"/>
        <v>0</v>
      </c>
      <c r="I100" s="3200"/>
      <c r="J100" s="3200"/>
      <c r="K100" s="3200"/>
      <c r="L100" s="3200"/>
      <c r="M100" s="3200"/>
      <c r="N100" s="3200"/>
      <c r="O100" s="3200"/>
      <c r="P100" s="3200"/>
      <c r="Q100" s="3200"/>
      <c r="R100" s="3200"/>
      <c r="S100" s="3200"/>
      <c r="T100" s="3200"/>
      <c r="U100" s="3200"/>
      <c r="V100" s="3200"/>
      <c r="W100" s="3200"/>
      <c r="X100" s="3200"/>
      <c r="Y100" s="3200"/>
      <c r="Z100" s="3200"/>
      <c r="AA100" s="3200"/>
      <c r="AB100" s="3200"/>
      <c r="AC100" s="3174">
        <f t="shared" si="36"/>
        <v>0</v>
      </c>
      <c r="AD100" s="3212"/>
      <c r="AE100" s="3212"/>
      <c r="AF100" s="3212"/>
      <c r="AG100" s="3212"/>
      <c r="AH100" s="3212"/>
      <c r="AI100" s="3212"/>
      <c r="AJ100" s="3212"/>
      <c r="AK100" s="3212"/>
      <c r="AL100" s="3212"/>
      <c r="AM100" s="3212"/>
      <c r="AN100" s="3212"/>
      <c r="AO100" s="3212"/>
      <c r="AP100" s="3212"/>
      <c r="AQ100" s="3212"/>
      <c r="AR100" s="3212"/>
      <c r="AS100" s="3212"/>
      <c r="AT100" s="3175"/>
      <c r="AU100" s="3232"/>
      <c r="AV100" s="466">
        <f t="shared" si="37"/>
        <v>0</v>
      </c>
      <c r="AW100" s="466">
        <f t="shared" si="38"/>
        <v>0</v>
      </c>
      <c r="AX100" s="466">
        <f t="shared" si="39"/>
        <v>0</v>
      </c>
      <c r="AY100" s="385">
        <f t="shared" si="40"/>
        <v>0</v>
      </c>
      <c r="AZ100" s="3174">
        <f t="shared" si="41"/>
        <v>0</v>
      </c>
      <c r="BA100" s="3174">
        <f t="shared" si="42"/>
        <v>0</v>
      </c>
      <c r="BB100" s="3174">
        <f t="shared" si="43"/>
        <v>0</v>
      </c>
      <c r="BC100" s="3174">
        <f t="shared" si="44"/>
        <v>0</v>
      </c>
      <c r="BD100" s="3174">
        <f t="shared" si="45"/>
        <v>0</v>
      </c>
      <c r="BE100" s="3174">
        <f t="shared" si="46"/>
        <v>0</v>
      </c>
      <c r="BF100" s="3174">
        <f t="shared" si="47"/>
        <v>0</v>
      </c>
      <c r="BG100" s="3174">
        <f t="shared" si="48"/>
        <v>0</v>
      </c>
      <c r="BH100" s="3174">
        <f t="shared" si="49"/>
        <v>0</v>
      </c>
      <c r="BI100" s="3174">
        <f t="shared" si="50"/>
        <v>0</v>
      </c>
      <c r="BJ100" s="3174">
        <f t="shared" si="51"/>
        <v>0</v>
      </c>
      <c r="BK100" s="3174">
        <f t="shared" si="52"/>
        <v>0</v>
      </c>
      <c r="BL100" s="3174">
        <f t="shared" si="53"/>
        <v>0</v>
      </c>
      <c r="BM100" s="3174">
        <f t="shared" si="54"/>
        <v>0</v>
      </c>
      <c r="BN100" s="3174">
        <f t="shared" si="55"/>
        <v>0</v>
      </c>
      <c r="BO100" s="3174">
        <f t="shared" si="56"/>
        <v>0</v>
      </c>
      <c r="BP100" s="3174">
        <f t="shared" si="57"/>
        <v>0</v>
      </c>
      <c r="BQ100" s="3174">
        <f t="shared" si="58"/>
        <v>0</v>
      </c>
      <c r="BR100" s="3174">
        <f t="shared" si="59"/>
        <v>0</v>
      </c>
      <c r="BS100" s="3174">
        <f t="shared" si="60"/>
        <v>0</v>
      </c>
      <c r="BT100" s="3249">
        <f t="shared" si="61"/>
        <v>0</v>
      </c>
    </row>
    <row r="101" spans="1:72">
      <c r="A101" s="489"/>
      <c r="B101" s="356"/>
      <c r="C101" s="356"/>
      <c r="D101" s="3182"/>
      <c r="E101" s="3174">
        <f t="shared" si="33"/>
        <v>0</v>
      </c>
      <c r="F101" s="3175"/>
      <c r="G101" s="3176">
        <f t="shared" si="34"/>
        <v>0</v>
      </c>
      <c r="H101" s="3177">
        <f t="shared" si="35"/>
        <v>0</v>
      </c>
      <c r="I101" s="3200"/>
      <c r="J101" s="3200"/>
      <c r="K101" s="3200"/>
      <c r="L101" s="3200"/>
      <c r="M101" s="3200"/>
      <c r="N101" s="3200"/>
      <c r="O101" s="3200"/>
      <c r="P101" s="3200"/>
      <c r="Q101" s="3200"/>
      <c r="R101" s="3200"/>
      <c r="S101" s="3200"/>
      <c r="T101" s="3200"/>
      <c r="U101" s="3200"/>
      <c r="V101" s="3200"/>
      <c r="W101" s="3200"/>
      <c r="X101" s="3200"/>
      <c r="Y101" s="3200"/>
      <c r="Z101" s="3200"/>
      <c r="AA101" s="3200"/>
      <c r="AB101" s="3200"/>
      <c r="AC101" s="3174">
        <f t="shared" si="36"/>
        <v>0</v>
      </c>
      <c r="AD101" s="3212"/>
      <c r="AE101" s="3212"/>
      <c r="AF101" s="3212"/>
      <c r="AG101" s="3212"/>
      <c r="AH101" s="3212"/>
      <c r="AI101" s="3212"/>
      <c r="AJ101" s="3212"/>
      <c r="AK101" s="3212"/>
      <c r="AL101" s="3212"/>
      <c r="AM101" s="3212"/>
      <c r="AN101" s="3212"/>
      <c r="AO101" s="3212"/>
      <c r="AP101" s="3212"/>
      <c r="AQ101" s="3212"/>
      <c r="AR101" s="3212"/>
      <c r="AS101" s="3212"/>
      <c r="AT101" s="3175"/>
      <c r="AU101" s="3232"/>
      <c r="AV101" s="466">
        <f t="shared" si="37"/>
        <v>0</v>
      </c>
      <c r="AW101" s="466">
        <f t="shared" si="38"/>
        <v>0</v>
      </c>
      <c r="AX101" s="466">
        <f t="shared" si="39"/>
        <v>0</v>
      </c>
      <c r="AY101" s="385">
        <f t="shared" si="40"/>
        <v>0</v>
      </c>
      <c r="AZ101" s="3174">
        <f t="shared" si="41"/>
        <v>0</v>
      </c>
      <c r="BA101" s="3174">
        <f t="shared" si="42"/>
        <v>0</v>
      </c>
      <c r="BB101" s="3174">
        <f t="shared" si="43"/>
        <v>0</v>
      </c>
      <c r="BC101" s="3174">
        <f t="shared" si="44"/>
        <v>0</v>
      </c>
      <c r="BD101" s="3174">
        <f t="shared" si="45"/>
        <v>0</v>
      </c>
      <c r="BE101" s="3174">
        <f t="shared" si="46"/>
        <v>0</v>
      </c>
      <c r="BF101" s="3174">
        <f t="shared" si="47"/>
        <v>0</v>
      </c>
      <c r="BG101" s="3174">
        <f t="shared" si="48"/>
        <v>0</v>
      </c>
      <c r="BH101" s="3174">
        <f t="shared" si="49"/>
        <v>0</v>
      </c>
      <c r="BI101" s="3174">
        <f t="shared" si="50"/>
        <v>0</v>
      </c>
      <c r="BJ101" s="3174">
        <f t="shared" si="51"/>
        <v>0</v>
      </c>
      <c r="BK101" s="3174">
        <f t="shared" si="52"/>
        <v>0</v>
      </c>
      <c r="BL101" s="3174">
        <f t="shared" si="53"/>
        <v>0</v>
      </c>
      <c r="BM101" s="3174">
        <f t="shared" si="54"/>
        <v>0</v>
      </c>
      <c r="BN101" s="3174">
        <f t="shared" si="55"/>
        <v>0</v>
      </c>
      <c r="BO101" s="3174">
        <f t="shared" si="56"/>
        <v>0</v>
      </c>
      <c r="BP101" s="3174">
        <f t="shared" si="57"/>
        <v>0</v>
      </c>
      <c r="BQ101" s="3174">
        <f t="shared" si="58"/>
        <v>0</v>
      </c>
      <c r="BR101" s="3174">
        <f t="shared" si="59"/>
        <v>0</v>
      </c>
      <c r="BS101" s="3174">
        <f t="shared" si="60"/>
        <v>0</v>
      </c>
      <c r="BT101" s="3249">
        <f t="shared" si="61"/>
        <v>0</v>
      </c>
    </row>
    <row r="102" spans="1:72">
      <c r="A102" s="489"/>
      <c r="B102" s="356"/>
      <c r="C102" s="356"/>
      <c r="D102" s="3182"/>
      <c r="E102" s="3174">
        <f t="shared" si="33"/>
        <v>0</v>
      </c>
      <c r="F102" s="3175"/>
      <c r="G102" s="3176">
        <f t="shared" si="34"/>
        <v>0</v>
      </c>
      <c r="H102" s="3177">
        <f t="shared" si="35"/>
        <v>0</v>
      </c>
      <c r="I102" s="3200"/>
      <c r="J102" s="3200"/>
      <c r="K102" s="3200"/>
      <c r="L102" s="3200"/>
      <c r="M102" s="3200"/>
      <c r="N102" s="3200"/>
      <c r="O102" s="3200"/>
      <c r="P102" s="3200"/>
      <c r="Q102" s="3200"/>
      <c r="R102" s="3200"/>
      <c r="S102" s="3200"/>
      <c r="T102" s="3200"/>
      <c r="U102" s="3200"/>
      <c r="V102" s="3200"/>
      <c r="W102" s="3200"/>
      <c r="X102" s="3200"/>
      <c r="Y102" s="3200"/>
      <c r="Z102" s="3200"/>
      <c r="AA102" s="3200"/>
      <c r="AB102" s="3200"/>
      <c r="AC102" s="3174">
        <f t="shared" si="36"/>
        <v>0</v>
      </c>
      <c r="AD102" s="3212"/>
      <c r="AE102" s="3212"/>
      <c r="AF102" s="3212"/>
      <c r="AG102" s="3212"/>
      <c r="AH102" s="3212"/>
      <c r="AI102" s="3212"/>
      <c r="AJ102" s="3212"/>
      <c r="AK102" s="3212"/>
      <c r="AL102" s="3212"/>
      <c r="AM102" s="3212"/>
      <c r="AN102" s="3212"/>
      <c r="AO102" s="3212"/>
      <c r="AP102" s="3212"/>
      <c r="AQ102" s="3212"/>
      <c r="AR102" s="3212"/>
      <c r="AS102" s="3212"/>
      <c r="AT102" s="3175"/>
      <c r="AU102" s="3232"/>
      <c r="AV102" s="466">
        <f t="shared" si="37"/>
        <v>0</v>
      </c>
      <c r="AW102" s="466">
        <f t="shared" si="38"/>
        <v>0</v>
      </c>
      <c r="AX102" s="466">
        <f t="shared" si="39"/>
        <v>0</v>
      </c>
      <c r="AY102" s="385">
        <f t="shared" si="40"/>
        <v>0</v>
      </c>
      <c r="AZ102" s="3174">
        <f t="shared" si="41"/>
        <v>0</v>
      </c>
      <c r="BA102" s="3174">
        <f t="shared" si="42"/>
        <v>0</v>
      </c>
      <c r="BB102" s="3174">
        <f t="shared" si="43"/>
        <v>0</v>
      </c>
      <c r="BC102" s="3174">
        <f t="shared" si="44"/>
        <v>0</v>
      </c>
      <c r="BD102" s="3174">
        <f t="shared" si="45"/>
        <v>0</v>
      </c>
      <c r="BE102" s="3174">
        <f t="shared" si="46"/>
        <v>0</v>
      </c>
      <c r="BF102" s="3174">
        <f t="shared" si="47"/>
        <v>0</v>
      </c>
      <c r="BG102" s="3174">
        <f t="shared" si="48"/>
        <v>0</v>
      </c>
      <c r="BH102" s="3174">
        <f t="shared" si="49"/>
        <v>0</v>
      </c>
      <c r="BI102" s="3174">
        <f t="shared" si="50"/>
        <v>0</v>
      </c>
      <c r="BJ102" s="3174">
        <f t="shared" si="51"/>
        <v>0</v>
      </c>
      <c r="BK102" s="3174">
        <f t="shared" si="52"/>
        <v>0</v>
      </c>
      <c r="BL102" s="3174">
        <f t="shared" si="53"/>
        <v>0</v>
      </c>
      <c r="BM102" s="3174">
        <f t="shared" si="54"/>
        <v>0</v>
      </c>
      <c r="BN102" s="3174">
        <f t="shared" si="55"/>
        <v>0</v>
      </c>
      <c r="BO102" s="3174">
        <f t="shared" si="56"/>
        <v>0</v>
      </c>
      <c r="BP102" s="3174">
        <f t="shared" si="57"/>
        <v>0</v>
      </c>
      <c r="BQ102" s="3174">
        <f t="shared" si="58"/>
        <v>0</v>
      </c>
      <c r="BR102" s="3174">
        <f t="shared" si="59"/>
        <v>0</v>
      </c>
      <c r="BS102" s="3174">
        <f t="shared" si="60"/>
        <v>0</v>
      </c>
      <c r="BT102" s="3249">
        <f t="shared" si="61"/>
        <v>0</v>
      </c>
    </row>
    <row r="103" spans="1:72">
      <c r="A103" s="489"/>
      <c r="B103" s="356"/>
      <c r="C103" s="356"/>
      <c r="D103" s="3182"/>
      <c r="E103" s="3174">
        <f t="shared" si="33"/>
        <v>0</v>
      </c>
      <c r="F103" s="3175"/>
      <c r="G103" s="3176">
        <f t="shared" si="34"/>
        <v>0</v>
      </c>
      <c r="H103" s="3177">
        <f t="shared" si="35"/>
        <v>0</v>
      </c>
      <c r="I103" s="3200"/>
      <c r="J103" s="3200"/>
      <c r="K103" s="3200"/>
      <c r="L103" s="3200"/>
      <c r="M103" s="3200"/>
      <c r="N103" s="3200"/>
      <c r="O103" s="3200"/>
      <c r="P103" s="3200"/>
      <c r="Q103" s="3200"/>
      <c r="R103" s="3200"/>
      <c r="S103" s="3200"/>
      <c r="T103" s="3200"/>
      <c r="U103" s="3200"/>
      <c r="V103" s="3200"/>
      <c r="W103" s="3200"/>
      <c r="X103" s="3200"/>
      <c r="Y103" s="3200"/>
      <c r="Z103" s="3200"/>
      <c r="AA103" s="3200"/>
      <c r="AB103" s="3200"/>
      <c r="AC103" s="3174">
        <f t="shared" si="36"/>
        <v>0</v>
      </c>
      <c r="AD103" s="3212"/>
      <c r="AE103" s="3212"/>
      <c r="AF103" s="3212"/>
      <c r="AG103" s="3212"/>
      <c r="AH103" s="3212"/>
      <c r="AI103" s="3212"/>
      <c r="AJ103" s="3212"/>
      <c r="AK103" s="3212"/>
      <c r="AL103" s="3212"/>
      <c r="AM103" s="3212"/>
      <c r="AN103" s="3212"/>
      <c r="AO103" s="3212"/>
      <c r="AP103" s="3212"/>
      <c r="AQ103" s="3212"/>
      <c r="AR103" s="3212"/>
      <c r="AS103" s="3212"/>
      <c r="AT103" s="3175"/>
      <c r="AU103" s="3232"/>
      <c r="AV103" s="466">
        <f t="shared" si="37"/>
        <v>0</v>
      </c>
      <c r="AW103" s="466">
        <f t="shared" si="38"/>
        <v>0</v>
      </c>
      <c r="AX103" s="466">
        <f t="shared" si="39"/>
        <v>0</v>
      </c>
      <c r="AY103" s="385">
        <f t="shared" si="40"/>
        <v>0</v>
      </c>
      <c r="AZ103" s="3174">
        <f t="shared" si="41"/>
        <v>0</v>
      </c>
      <c r="BA103" s="3174">
        <f t="shared" si="42"/>
        <v>0</v>
      </c>
      <c r="BB103" s="3174">
        <f t="shared" si="43"/>
        <v>0</v>
      </c>
      <c r="BC103" s="3174">
        <f t="shared" si="44"/>
        <v>0</v>
      </c>
      <c r="BD103" s="3174">
        <f t="shared" si="45"/>
        <v>0</v>
      </c>
      <c r="BE103" s="3174">
        <f t="shared" si="46"/>
        <v>0</v>
      </c>
      <c r="BF103" s="3174">
        <f t="shared" si="47"/>
        <v>0</v>
      </c>
      <c r="BG103" s="3174">
        <f t="shared" si="48"/>
        <v>0</v>
      </c>
      <c r="BH103" s="3174">
        <f t="shared" si="49"/>
        <v>0</v>
      </c>
      <c r="BI103" s="3174">
        <f t="shared" si="50"/>
        <v>0</v>
      </c>
      <c r="BJ103" s="3174">
        <f t="shared" si="51"/>
        <v>0</v>
      </c>
      <c r="BK103" s="3174">
        <f t="shared" si="52"/>
        <v>0</v>
      </c>
      <c r="BL103" s="3174">
        <f t="shared" si="53"/>
        <v>0</v>
      </c>
      <c r="BM103" s="3174">
        <f t="shared" si="54"/>
        <v>0</v>
      </c>
      <c r="BN103" s="3174">
        <f t="shared" si="55"/>
        <v>0</v>
      </c>
      <c r="BO103" s="3174">
        <f t="shared" si="56"/>
        <v>0</v>
      </c>
      <c r="BP103" s="3174">
        <f t="shared" si="57"/>
        <v>0</v>
      </c>
      <c r="BQ103" s="3174">
        <f t="shared" si="58"/>
        <v>0</v>
      </c>
      <c r="BR103" s="3174">
        <f t="shared" si="59"/>
        <v>0</v>
      </c>
      <c r="BS103" s="3174">
        <f t="shared" si="60"/>
        <v>0</v>
      </c>
      <c r="BT103" s="3249">
        <f t="shared" si="61"/>
        <v>0</v>
      </c>
    </row>
    <row r="104" spans="1:72">
      <c r="A104" s="489"/>
      <c r="B104" s="356"/>
      <c r="C104" s="356"/>
      <c r="D104" s="3182"/>
      <c r="E104" s="3174">
        <f t="shared" si="33"/>
        <v>0</v>
      </c>
      <c r="F104" s="3175"/>
      <c r="G104" s="3176">
        <f t="shared" si="34"/>
        <v>0</v>
      </c>
      <c r="H104" s="3177">
        <f t="shared" si="35"/>
        <v>0</v>
      </c>
      <c r="I104" s="3200"/>
      <c r="J104" s="3200"/>
      <c r="K104" s="3200"/>
      <c r="L104" s="3200"/>
      <c r="M104" s="3200"/>
      <c r="N104" s="3200"/>
      <c r="O104" s="3200"/>
      <c r="P104" s="3200"/>
      <c r="Q104" s="3200"/>
      <c r="R104" s="3200"/>
      <c r="S104" s="3200"/>
      <c r="T104" s="3200"/>
      <c r="U104" s="3200"/>
      <c r="V104" s="3200"/>
      <c r="W104" s="3200"/>
      <c r="X104" s="3200"/>
      <c r="Y104" s="3200"/>
      <c r="Z104" s="3200"/>
      <c r="AA104" s="3200"/>
      <c r="AB104" s="3200"/>
      <c r="AC104" s="3174">
        <f t="shared" si="36"/>
        <v>0</v>
      </c>
      <c r="AD104" s="3212"/>
      <c r="AE104" s="3212"/>
      <c r="AF104" s="3212"/>
      <c r="AG104" s="3212"/>
      <c r="AH104" s="3212"/>
      <c r="AI104" s="3212"/>
      <c r="AJ104" s="3212"/>
      <c r="AK104" s="3212"/>
      <c r="AL104" s="3212"/>
      <c r="AM104" s="3212"/>
      <c r="AN104" s="3212"/>
      <c r="AO104" s="3212"/>
      <c r="AP104" s="3212"/>
      <c r="AQ104" s="3212"/>
      <c r="AR104" s="3212"/>
      <c r="AS104" s="3212"/>
      <c r="AT104" s="3175"/>
      <c r="AU104" s="3232"/>
      <c r="AV104" s="466">
        <f t="shared" si="37"/>
        <v>0</v>
      </c>
      <c r="AW104" s="466">
        <f t="shared" si="38"/>
        <v>0</v>
      </c>
      <c r="AX104" s="466">
        <f t="shared" si="39"/>
        <v>0</v>
      </c>
      <c r="AY104" s="385">
        <f t="shared" si="40"/>
        <v>0</v>
      </c>
      <c r="AZ104" s="3174">
        <f t="shared" si="41"/>
        <v>0</v>
      </c>
      <c r="BA104" s="3174">
        <f t="shared" si="42"/>
        <v>0</v>
      </c>
      <c r="BB104" s="3174">
        <f t="shared" si="43"/>
        <v>0</v>
      </c>
      <c r="BC104" s="3174">
        <f t="shared" si="44"/>
        <v>0</v>
      </c>
      <c r="BD104" s="3174">
        <f t="shared" si="45"/>
        <v>0</v>
      </c>
      <c r="BE104" s="3174">
        <f t="shared" si="46"/>
        <v>0</v>
      </c>
      <c r="BF104" s="3174">
        <f t="shared" si="47"/>
        <v>0</v>
      </c>
      <c r="BG104" s="3174">
        <f t="shared" si="48"/>
        <v>0</v>
      </c>
      <c r="BH104" s="3174">
        <f t="shared" si="49"/>
        <v>0</v>
      </c>
      <c r="BI104" s="3174">
        <f t="shared" si="50"/>
        <v>0</v>
      </c>
      <c r="BJ104" s="3174">
        <f t="shared" si="51"/>
        <v>0</v>
      </c>
      <c r="BK104" s="3174">
        <f t="shared" si="52"/>
        <v>0</v>
      </c>
      <c r="BL104" s="3174">
        <f t="shared" si="53"/>
        <v>0</v>
      </c>
      <c r="BM104" s="3174">
        <f t="shared" si="54"/>
        <v>0</v>
      </c>
      <c r="BN104" s="3174">
        <f t="shared" si="55"/>
        <v>0</v>
      </c>
      <c r="BO104" s="3174">
        <f t="shared" si="56"/>
        <v>0</v>
      </c>
      <c r="BP104" s="3174">
        <f t="shared" si="57"/>
        <v>0</v>
      </c>
      <c r="BQ104" s="3174">
        <f t="shared" si="58"/>
        <v>0</v>
      </c>
      <c r="BR104" s="3174">
        <f t="shared" si="59"/>
        <v>0</v>
      </c>
      <c r="BS104" s="3174">
        <f t="shared" si="60"/>
        <v>0</v>
      </c>
      <c r="BT104" s="3249">
        <f t="shared" si="61"/>
        <v>0</v>
      </c>
    </row>
    <row r="105" spans="1:72">
      <c r="A105" s="489"/>
      <c r="B105" s="356"/>
      <c r="C105" s="356"/>
      <c r="D105" s="3182"/>
      <c r="E105" s="3174">
        <f t="shared" si="33"/>
        <v>0</v>
      </c>
      <c r="F105" s="3175"/>
      <c r="G105" s="3176">
        <f t="shared" si="34"/>
        <v>0</v>
      </c>
      <c r="H105" s="3177">
        <f t="shared" si="35"/>
        <v>0</v>
      </c>
      <c r="I105" s="3200"/>
      <c r="J105" s="3200"/>
      <c r="K105" s="3200"/>
      <c r="L105" s="3200"/>
      <c r="M105" s="3200"/>
      <c r="N105" s="3200"/>
      <c r="O105" s="3200"/>
      <c r="P105" s="3200"/>
      <c r="Q105" s="3200"/>
      <c r="R105" s="3200"/>
      <c r="S105" s="3200"/>
      <c r="T105" s="3200"/>
      <c r="U105" s="3200"/>
      <c r="V105" s="3200"/>
      <c r="W105" s="3200"/>
      <c r="X105" s="3200"/>
      <c r="Y105" s="3200"/>
      <c r="Z105" s="3200"/>
      <c r="AA105" s="3200"/>
      <c r="AB105" s="3200"/>
      <c r="AC105" s="3174">
        <f t="shared" si="36"/>
        <v>0</v>
      </c>
      <c r="AD105" s="3212"/>
      <c r="AE105" s="3212"/>
      <c r="AF105" s="3212"/>
      <c r="AG105" s="3212"/>
      <c r="AH105" s="3212"/>
      <c r="AI105" s="3212"/>
      <c r="AJ105" s="3212"/>
      <c r="AK105" s="3212"/>
      <c r="AL105" s="3212"/>
      <c r="AM105" s="3212"/>
      <c r="AN105" s="3212"/>
      <c r="AO105" s="3212"/>
      <c r="AP105" s="3212"/>
      <c r="AQ105" s="3212"/>
      <c r="AR105" s="3212"/>
      <c r="AS105" s="3212"/>
      <c r="AT105" s="3175"/>
      <c r="AU105" s="3232"/>
      <c r="AV105" s="466">
        <f t="shared" si="37"/>
        <v>0</v>
      </c>
      <c r="AW105" s="466">
        <f t="shared" si="38"/>
        <v>0</v>
      </c>
      <c r="AX105" s="466">
        <f t="shared" si="39"/>
        <v>0</v>
      </c>
      <c r="AY105" s="385">
        <f t="shared" si="40"/>
        <v>0</v>
      </c>
      <c r="AZ105" s="3174">
        <f t="shared" si="41"/>
        <v>0</v>
      </c>
      <c r="BA105" s="3174">
        <f t="shared" si="42"/>
        <v>0</v>
      </c>
      <c r="BB105" s="3174">
        <f t="shared" si="43"/>
        <v>0</v>
      </c>
      <c r="BC105" s="3174">
        <f t="shared" si="44"/>
        <v>0</v>
      </c>
      <c r="BD105" s="3174">
        <f t="shared" si="45"/>
        <v>0</v>
      </c>
      <c r="BE105" s="3174">
        <f t="shared" si="46"/>
        <v>0</v>
      </c>
      <c r="BF105" s="3174">
        <f t="shared" si="47"/>
        <v>0</v>
      </c>
      <c r="BG105" s="3174">
        <f t="shared" si="48"/>
        <v>0</v>
      </c>
      <c r="BH105" s="3174">
        <f t="shared" si="49"/>
        <v>0</v>
      </c>
      <c r="BI105" s="3174">
        <f t="shared" si="50"/>
        <v>0</v>
      </c>
      <c r="BJ105" s="3174">
        <f t="shared" si="51"/>
        <v>0</v>
      </c>
      <c r="BK105" s="3174">
        <f t="shared" si="52"/>
        <v>0</v>
      </c>
      <c r="BL105" s="3174">
        <f t="shared" si="53"/>
        <v>0</v>
      </c>
      <c r="BM105" s="3174">
        <f t="shared" si="54"/>
        <v>0</v>
      </c>
      <c r="BN105" s="3174">
        <f t="shared" si="55"/>
        <v>0</v>
      </c>
      <c r="BO105" s="3174">
        <f t="shared" si="56"/>
        <v>0</v>
      </c>
      <c r="BP105" s="3174">
        <f t="shared" si="57"/>
        <v>0</v>
      </c>
      <c r="BQ105" s="3174">
        <f t="shared" si="58"/>
        <v>0</v>
      </c>
      <c r="BR105" s="3174">
        <f t="shared" si="59"/>
        <v>0</v>
      </c>
      <c r="BS105" s="3174">
        <f t="shared" si="60"/>
        <v>0</v>
      </c>
      <c r="BT105" s="3249">
        <f t="shared" si="61"/>
        <v>0</v>
      </c>
    </row>
    <row r="106" spans="1:72">
      <c r="A106" s="489"/>
      <c r="B106" s="356"/>
      <c r="C106" s="356"/>
      <c r="D106" s="3182"/>
      <c r="E106" s="3174">
        <f t="shared" si="33"/>
        <v>0</v>
      </c>
      <c r="F106" s="3175"/>
      <c r="G106" s="3176">
        <f t="shared" si="34"/>
        <v>0</v>
      </c>
      <c r="H106" s="3177">
        <f t="shared" si="35"/>
        <v>0</v>
      </c>
      <c r="I106" s="3200"/>
      <c r="J106" s="3200"/>
      <c r="K106" s="3200"/>
      <c r="L106" s="3200"/>
      <c r="M106" s="3200"/>
      <c r="N106" s="3200"/>
      <c r="O106" s="3200"/>
      <c r="P106" s="3200"/>
      <c r="Q106" s="3200"/>
      <c r="R106" s="3200"/>
      <c r="S106" s="3200"/>
      <c r="T106" s="3200"/>
      <c r="U106" s="3200"/>
      <c r="V106" s="3200"/>
      <c r="W106" s="3200"/>
      <c r="X106" s="3200"/>
      <c r="Y106" s="3200"/>
      <c r="Z106" s="3200"/>
      <c r="AA106" s="3200"/>
      <c r="AB106" s="3200"/>
      <c r="AC106" s="3174">
        <f t="shared" si="36"/>
        <v>0</v>
      </c>
      <c r="AD106" s="3212"/>
      <c r="AE106" s="3212"/>
      <c r="AF106" s="3212"/>
      <c r="AG106" s="3212"/>
      <c r="AH106" s="3212"/>
      <c r="AI106" s="3212"/>
      <c r="AJ106" s="3212"/>
      <c r="AK106" s="3212"/>
      <c r="AL106" s="3212"/>
      <c r="AM106" s="3212"/>
      <c r="AN106" s="3212"/>
      <c r="AO106" s="3212"/>
      <c r="AP106" s="3212"/>
      <c r="AQ106" s="3212"/>
      <c r="AR106" s="3212"/>
      <c r="AS106" s="3212"/>
      <c r="AT106" s="3175"/>
      <c r="AU106" s="3232"/>
      <c r="AV106" s="466">
        <f t="shared" si="37"/>
        <v>0</v>
      </c>
      <c r="AW106" s="466">
        <f t="shared" si="38"/>
        <v>0</v>
      </c>
      <c r="AX106" s="466">
        <f t="shared" si="39"/>
        <v>0</v>
      </c>
      <c r="AY106" s="385">
        <f t="shared" si="40"/>
        <v>0</v>
      </c>
      <c r="AZ106" s="3174">
        <f t="shared" si="41"/>
        <v>0</v>
      </c>
      <c r="BA106" s="3174">
        <f t="shared" si="42"/>
        <v>0</v>
      </c>
      <c r="BB106" s="3174">
        <f t="shared" si="43"/>
        <v>0</v>
      </c>
      <c r="BC106" s="3174">
        <f t="shared" si="44"/>
        <v>0</v>
      </c>
      <c r="BD106" s="3174">
        <f t="shared" si="45"/>
        <v>0</v>
      </c>
      <c r="BE106" s="3174">
        <f t="shared" si="46"/>
        <v>0</v>
      </c>
      <c r="BF106" s="3174">
        <f t="shared" si="47"/>
        <v>0</v>
      </c>
      <c r="BG106" s="3174">
        <f t="shared" si="48"/>
        <v>0</v>
      </c>
      <c r="BH106" s="3174">
        <f t="shared" si="49"/>
        <v>0</v>
      </c>
      <c r="BI106" s="3174">
        <f t="shared" si="50"/>
        <v>0</v>
      </c>
      <c r="BJ106" s="3174">
        <f t="shared" si="51"/>
        <v>0</v>
      </c>
      <c r="BK106" s="3174">
        <f t="shared" si="52"/>
        <v>0</v>
      </c>
      <c r="BL106" s="3174">
        <f t="shared" si="53"/>
        <v>0</v>
      </c>
      <c r="BM106" s="3174">
        <f t="shared" si="54"/>
        <v>0</v>
      </c>
      <c r="BN106" s="3174">
        <f t="shared" si="55"/>
        <v>0</v>
      </c>
      <c r="BO106" s="3174">
        <f t="shared" si="56"/>
        <v>0</v>
      </c>
      <c r="BP106" s="3174">
        <f t="shared" si="57"/>
        <v>0</v>
      </c>
      <c r="BQ106" s="3174">
        <f t="shared" si="58"/>
        <v>0</v>
      </c>
      <c r="BR106" s="3174">
        <f t="shared" si="59"/>
        <v>0</v>
      </c>
      <c r="BS106" s="3174">
        <f t="shared" si="60"/>
        <v>0</v>
      </c>
      <c r="BT106" s="3249">
        <f t="shared" si="61"/>
        <v>0</v>
      </c>
    </row>
    <row r="107" spans="1:72">
      <c r="A107" s="489"/>
      <c r="B107" s="356"/>
      <c r="C107" s="356"/>
      <c r="D107" s="3182"/>
      <c r="E107" s="3174">
        <f t="shared" si="33"/>
        <v>0</v>
      </c>
      <c r="F107" s="3175"/>
      <c r="G107" s="3176">
        <f t="shared" si="34"/>
        <v>0</v>
      </c>
      <c r="H107" s="3177">
        <f t="shared" si="35"/>
        <v>0</v>
      </c>
      <c r="I107" s="3200"/>
      <c r="J107" s="3200"/>
      <c r="K107" s="3200"/>
      <c r="L107" s="3200"/>
      <c r="M107" s="3200"/>
      <c r="N107" s="3200"/>
      <c r="O107" s="3200"/>
      <c r="P107" s="3200"/>
      <c r="Q107" s="3200"/>
      <c r="R107" s="3200"/>
      <c r="S107" s="3200"/>
      <c r="T107" s="3200"/>
      <c r="U107" s="3200"/>
      <c r="V107" s="3200"/>
      <c r="W107" s="3200"/>
      <c r="X107" s="3200"/>
      <c r="Y107" s="3200"/>
      <c r="Z107" s="3200"/>
      <c r="AA107" s="3200"/>
      <c r="AB107" s="3200"/>
      <c r="AC107" s="3174">
        <f t="shared" si="36"/>
        <v>0</v>
      </c>
      <c r="AD107" s="3212"/>
      <c r="AE107" s="3212"/>
      <c r="AF107" s="3212"/>
      <c r="AG107" s="3212"/>
      <c r="AH107" s="3212"/>
      <c r="AI107" s="3212"/>
      <c r="AJ107" s="3212"/>
      <c r="AK107" s="3212"/>
      <c r="AL107" s="3212"/>
      <c r="AM107" s="3212"/>
      <c r="AN107" s="3212"/>
      <c r="AO107" s="3212"/>
      <c r="AP107" s="3212"/>
      <c r="AQ107" s="3212"/>
      <c r="AR107" s="3212"/>
      <c r="AS107" s="3212"/>
      <c r="AT107" s="3175"/>
      <c r="AU107" s="3232"/>
      <c r="AV107" s="466">
        <f t="shared" si="37"/>
        <v>0</v>
      </c>
      <c r="AW107" s="466">
        <f t="shared" si="38"/>
        <v>0</v>
      </c>
      <c r="AX107" s="466">
        <f t="shared" si="39"/>
        <v>0</v>
      </c>
      <c r="AY107" s="385">
        <f t="shared" si="40"/>
        <v>0</v>
      </c>
      <c r="AZ107" s="3174">
        <f t="shared" si="41"/>
        <v>0</v>
      </c>
      <c r="BA107" s="3174">
        <f t="shared" si="42"/>
        <v>0</v>
      </c>
      <c r="BB107" s="3174">
        <f t="shared" si="43"/>
        <v>0</v>
      </c>
      <c r="BC107" s="3174">
        <f t="shared" si="44"/>
        <v>0</v>
      </c>
      <c r="BD107" s="3174">
        <f t="shared" si="45"/>
        <v>0</v>
      </c>
      <c r="BE107" s="3174">
        <f t="shared" si="46"/>
        <v>0</v>
      </c>
      <c r="BF107" s="3174">
        <f t="shared" si="47"/>
        <v>0</v>
      </c>
      <c r="BG107" s="3174">
        <f t="shared" si="48"/>
        <v>0</v>
      </c>
      <c r="BH107" s="3174">
        <f t="shared" si="49"/>
        <v>0</v>
      </c>
      <c r="BI107" s="3174">
        <f t="shared" si="50"/>
        <v>0</v>
      </c>
      <c r="BJ107" s="3174">
        <f t="shared" si="51"/>
        <v>0</v>
      </c>
      <c r="BK107" s="3174">
        <f t="shared" si="52"/>
        <v>0</v>
      </c>
      <c r="BL107" s="3174">
        <f t="shared" si="53"/>
        <v>0</v>
      </c>
      <c r="BM107" s="3174">
        <f t="shared" si="54"/>
        <v>0</v>
      </c>
      <c r="BN107" s="3174">
        <f t="shared" si="55"/>
        <v>0</v>
      </c>
      <c r="BO107" s="3174">
        <f t="shared" si="56"/>
        <v>0</v>
      </c>
      <c r="BP107" s="3174">
        <f t="shared" si="57"/>
        <v>0</v>
      </c>
      <c r="BQ107" s="3174">
        <f t="shared" si="58"/>
        <v>0</v>
      </c>
      <c r="BR107" s="3174">
        <f t="shared" si="59"/>
        <v>0</v>
      </c>
      <c r="BS107" s="3174">
        <f t="shared" si="60"/>
        <v>0</v>
      </c>
      <c r="BT107" s="3249">
        <f t="shared" si="61"/>
        <v>0</v>
      </c>
    </row>
    <row r="108" spans="1:72">
      <c r="A108" s="489"/>
      <c r="B108" s="356"/>
      <c r="C108" s="356"/>
      <c r="D108" s="3182"/>
      <c r="E108" s="3174">
        <f t="shared" si="33"/>
        <v>0</v>
      </c>
      <c r="F108" s="3175"/>
      <c r="G108" s="3176">
        <f t="shared" si="34"/>
        <v>0</v>
      </c>
      <c r="H108" s="3177">
        <f t="shared" si="35"/>
        <v>0</v>
      </c>
      <c r="I108" s="3200"/>
      <c r="J108" s="3200"/>
      <c r="K108" s="3200"/>
      <c r="L108" s="3200"/>
      <c r="M108" s="3200"/>
      <c r="N108" s="3200"/>
      <c r="O108" s="3200"/>
      <c r="P108" s="3200"/>
      <c r="Q108" s="3200"/>
      <c r="R108" s="3200"/>
      <c r="S108" s="3200"/>
      <c r="T108" s="3200"/>
      <c r="U108" s="3200"/>
      <c r="V108" s="3200"/>
      <c r="W108" s="3200"/>
      <c r="X108" s="3200"/>
      <c r="Y108" s="3200"/>
      <c r="Z108" s="3200"/>
      <c r="AA108" s="3200"/>
      <c r="AB108" s="3200"/>
      <c r="AC108" s="3174">
        <f t="shared" si="36"/>
        <v>0</v>
      </c>
      <c r="AD108" s="3212"/>
      <c r="AE108" s="3212"/>
      <c r="AF108" s="3212"/>
      <c r="AG108" s="3212"/>
      <c r="AH108" s="3212"/>
      <c r="AI108" s="3212"/>
      <c r="AJ108" s="3212"/>
      <c r="AK108" s="3212"/>
      <c r="AL108" s="3212"/>
      <c r="AM108" s="3212"/>
      <c r="AN108" s="3212"/>
      <c r="AO108" s="3212"/>
      <c r="AP108" s="3212"/>
      <c r="AQ108" s="3212"/>
      <c r="AR108" s="3212"/>
      <c r="AS108" s="3212"/>
      <c r="AT108" s="3175"/>
      <c r="AU108" s="3232"/>
      <c r="AV108" s="466">
        <f t="shared" si="37"/>
        <v>0</v>
      </c>
      <c r="AW108" s="466">
        <f t="shared" si="38"/>
        <v>0</v>
      </c>
      <c r="AX108" s="466">
        <f t="shared" si="39"/>
        <v>0</v>
      </c>
      <c r="AY108" s="385">
        <f t="shared" si="40"/>
        <v>0</v>
      </c>
      <c r="AZ108" s="3174">
        <f t="shared" si="41"/>
        <v>0</v>
      </c>
      <c r="BA108" s="3174">
        <f t="shared" si="42"/>
        <v>0</v>
      </c>
      <c r="BB108" s="3174">
        <f t="shared" si="43"/>
        <v>0</v>
      </c>
      <c r="BC108" s="3174">
        <f t="shared" si="44"/>
        <v>0</v>
      </c>
      <c r="BD108" s="3174">
        <f t="shared" si="45"/>
        <v>0</v>
      </c>
      <c r="BE108" s="3174">
        <f t="shared" si="46"/>
        <v>0</v>
      </c>
      <c r="BF108" s="3174">
        <f t="shared" si="47"/>
        <v>0</v>
      </c>
      <c r="BG108" s="3174">
        <f t="shared" si="48"/>
        <v>0</v>
      </c>
      <c r="BH108" s="3174">
        <f t="shared" si="49"/>
        <v>0</v>
      </c>
      <c r="BI108" s="3174">
        <f t="shared" si="50"/>
        <v>0</v>
      </c>
      <c r="BJ108" s="3174">
        <f t="shared" si="51"/>
        <v>0</v>
      </c>
      <c r="BK108" s="3174">
        <f t="shared" si="52"/>
        <v>0</v>
      </c>
      <c r="BL108" s="3174">
        <f t="shared" si="53"/>
        <v>0</v>
      </c>
      <c r="BM108" s="3174">
        <f t="shared" si="54"/>
        <v>0</v>
      </c>
      <c r="BN108" s="3174">
        <f t="shared" si="55"/>
        <v>0</v>
      </c>
      <c r="BO108" s="3174">
        <f t="shared" si="56"/>
        <v>0</v>
      </c>
      <c r="BP108" s="3174">
        <f t="shared" si="57"/>
        <v>0</v>
      </c>
      <c r="BQ108" s="3174">
        <f t="shared" si="58"/>
        <v>0</v>
      </c>
      <c r="BR108" s="3174">
        <f t="shared" si="59"/>
        <v>0</v>
      </c>
      <c r="BS108" s="3174">
        <f t="shared" si="60"/>
        <v>0</v>
      </c>
      <c r="BT108" s="3249">
        <f t="shared" si="61"/>
        <v>0</v>
      </c>
    </row>
    <row r="109" spans="1:72">
      <c r="A109" s="489"/>
      <c r="B109" s="356"/>
      <c r="C109" s="356"/>
      <c r="D109" s="3182"/>
      <c r="E109" s="3174">
        <f t="shared" si="33"/>
        <v>0</v>
      </c>
      <c r="F109" s="3175"/>
      <c r="G109" s="3176">
        <f t="shared" si="34"/>
        <v>0</v>
      </c>
      <c r="H109" s="3177">
        <f t="shared" si="35"/>
        <v>0</v>
      </c>
      <c r="I109" s="3200"/>
      <c r="J109" s="3200"/>
      <c r="K109" s="3200"/>
      <c r="L109" s="3200"/>
      <c r="M109" s="3200"/>
      <c r="N109" s="3200"/>
      <c r="O109" s="3200"/>
      <c r="P109" s="3200"/>
      <c r="Q109" s="3200"/>
      <c r="R109" s="3200"/>
      <c r="S109" s="3200"/>
      <c r="T109" s="3200"/>
      <c r="U109" s="3200"/>
      <c r="V109" s="3200"/>
      <c r="W109" s="3200"/>
      <c r="X109" s="3200"/>
      <c r="Y109" s="3200"/>
      <c r="Z109" s="3200"/>
      <c r="AA109" s="3200"/>
      <c r="AB109" s="3200"/>
      <c r="AC109" s="3174">
        <f t="shared" si="36"/>
        <v>0</v>
      </c>
      <c r="AD109" s="3212"/>
      <c r="AE109" s="3212"/>
      <c r="AF109" s="3212"/>
      <c r="AG109" s="3212"/>
      <c r="AH109" s="3212"/>
      <c r="AI109" s="3212"/>
      <c r="AJ109" s="3212"/>
      <c r="AK109" s="3212"/>
      <c r="AL109" s="3212"/>
      <c r="AM109" s="3212"/>
      <c r="AN109" s="3212"/>
      <c r="AO109" s="3212"/>
      <c r="AP109" s="3212"/>
      <c r="AQ109" s="3212"/>
      <c r="AR109" s="3212"/>
      <c r="AS109" s="3212"/>
      <c r="AT109" s="3175"/>
      <c r="AU109" s="3232"/>
      <c r="AV109" s="466">
        <f t="shared" si="37"/>
        <v>0</v>
      </c>
      <c r="AW109" s="466">
        <f t="shared" si="38"/>
        <v>0</v>
      </c>
      <c r="AX109" s="466">
        <f t="shared" si="39"/>
        <v>0</v>
      </c>
      <c r="AY109" s="385">
        <f t="shared" si="40"/>
        <v>0</v>
      </c>
      <c r="AZ109" s="3174">
        <f t="shared" si="41"/>
        <v>0</v>
      </c>
      <c r="BA109" s="3174">
        <f t="shared" si="42"/>
        <v>0</v>
      </c>
      <c r="BB109" s="3174">
        <f t="shared" si="43"/>
        <v>0</v>
      </c>
      <c r="BC109" s="3174">
        <f t="shared" si="44"/>
        <v>0</v>
      </c>
      <c r="BD109" s="3174">
        <f t="shared" si="45"/>
        <v>0</v>
      </c>
      <c r="BE109" s="3174">
        <f t="shared" si="46"/>
        <v>0</v>
      </c>
      <c r="BF109" s="3174">
        <f t="shared" si="47"/>
        <v>0</v>
      </c>
      <c r="BG109" s="3174">
        <f t="shared" si="48"/>
        <v>0</v>
      </c>
      <c r="BH109" s="3174">
        <f t="shared" si="49"/>
        <v>0</v>
      </c>
      <c r="BI109" s="3174">
        <f t="shared" si="50"/>
        <v>0</v>
      </c>
      <c r="BJ109" s="3174">
        <f t="shared" si="51"/>
        <v>0</v>
      </c>
      <c r="BK109" s="3174">
        <f t="shared" si="52"/>
        <v>0</v>
      </c>
      <c r="BL109" s="3174">
        <f t="shared" si="53"/>
        <v>0</v>
      </c>
      <c r="BM109" s="3174">
        <f t="shared" si="54"/>
        <v>0</v>
      </c>
      <c r="BN109" s="3174">
        <f t="shared" si="55"/>
        <v>0</v>
      </c>
      <c r="BO109" s="3174">
        <f t="shared" si="56"/>
        <v>0</v>
      </c>
      <c r="BP109" s="3174">
        <f t="shared" si="57"/>
        <v>0</v>
      </c>
      <c r="BQ109" s="3174">
        <f t="shared" si="58"/>
        <v>0</v>
      </c>
      <c r="BR109" s="3174">
        <f t="shared" si="59"/>
        <v>0</v>
      </c>
      <c r="BS109" s="3174">
        <f t="shared" si="60"/>
        <v>0</v>
      </c>
      <c r="BT109" s="3249">
        <f t="shared" si="61"/>
        <v>0</v>
      </c>
    </row>
    <row r="110" spans="1:72">
      <c r="A110" s="489"/>
      <c r="B110" s="489"/>
      <c r="C110" s="489"/>
      <c r="D110" s="3182"/>
      <c r="E110" s="3174">
        <f t="shared" si="33"/>
        <v>0</v>
      </c>
      <c r="F110" s="3212"/>
      <c r="G110" s="3176">
        <f t="shared" ref="G110:G141" si="62">H110+AC110+AT110</f>
        <v>0</v>
      </c>
      <c r="H110" s="3177">
        <f t="shared" ref="H110:H141" si="63">SUMIF(I$12:AB$12,"总值",I110:AB110)</f>
        <v>0</v>
      </c>
      <c r="I110" s="3250"/>
      <c r="J110" s="3250"/>
      <c r="K110" s="3200"/>
      <c r="L110" s="3200"/>
      <c r="M110" s="3200"/>
      <c r="N110" s="3200"/>
      <c r="O110" s="3200"/>
      <c r="P110" s="3200"/>
      <c r="Q110" s="3200"/>
      <c r="R110" s="3200"/>
      <c r="S110" s="3200"/>
      <c r="T110" s="3200"/>
      <c r="U110" s="3200"/>
      <c r="V110" s="3200"/>
      <c r="W110" s="3200"/>
      <c r="X110" s="3200"/>
      <c r="Y110" s="3200"/>
      <c r="Z110" s="3200"/>
      <c r="AA110" s="3200"/>
      <c r="AB110" s="3200"/>
      <c r="AC110" s="3174">
        <f t="shared" ref="AC110:AC141" si="64">SUMIF(AD$12:AS$12,"总值",AD110:AS110)</f>
        <v>0</v>
      </c>
      <c r="AD110" s="3212"/>
      <c r="AE110" s="3212"/>
      <c r="AF110" s="3212"/>
      <c r="AG110" s="3212"/>
      <c r="AH110" s="3212"/>
      <c r="AI110" s="3212"/>
      <c r="AJ110" s="3212"/>
      <c r="AK110" s="3212"/>
      <c r="AL110" s="3212"/>
      <c r="AM110" s="3212"/>
      <c r="AN110" s="3212"/>
      <c r="AO110" s="3212"/>
      <c r="AP110" s="3212"/>
      <c r="AQ110" s="3212"/>
      <c r="AR110" s="3212"/>
      <c r="AS110" s="3212"/>
      <c r="AT110" s="3212"/>
      <c r="AU110" s="548"/>
      <c r="AV110" s="466">
        <f t="shared" si="37"/>
        <v>0</v>
      </c>
      <c r="AW110" s="466">
        <f t="shared" si="38"/>
        <v>0</v>
      </c>
      <c r="AX110" s="466">
        <f t="shared" si="39"/>
        <v>0</v>
      </c>
      <c r="AY110" s="385">
        <f t="shared" ref="AY110:AY141" si="65">ROUND($AY$6*AZ110/$AZ$5,2)</f>
        <v>0</v>
      </c>
      <c r="AZ110" s="3174">
        <f t="shared" ref="AZ110:AZ141" si="66">BA110+BL110</f>
        <v>0</v>
      </c>
      <c r="BA110" s="3174">
        <f t="shared" ref="BA110:BA141" si="67">SUM(BB110:BK110)</f>
        <v>0</v>
      </c>
      <c r="BB110" s="3174">
        <f t="shared" ref="BB110:BB141" si="68">IF($D110="是",I110-J110,0)</f>
        <v>0</v>
      </c>
      <c r="BC110" s="3174">
        <f t="shared" ref="BC110:BC141" si="69">IF($D110="是",K110-L110,0)</f>
        <v>0</v>
      </c>
      <c r="BD110" s="3174">
        <f t="shared" ref="BD110:BD141" si="70">IF($D110="是",M110-N110,0)</f>
        <v>0</v>
      </c>
      <c r="BE110" s="3174">
        <f t="shared" ref="BE110:BE141" si="71">IF($D110="是",O110-P110,0)</f>
        <v>0</v>
      </c>
      <c r="BF110" s="3174">
        <f t="shared" ref="BF110:BF141" si="72">IF($D110="是",Q110-R110,0)</f>
        <v>0</v>
      </c>
      <c r="BG110" s="3174">
        <f t="shared" ref="BG110:BG141" si="73">IF($D110="是",S110-T110,0)</f>
        <v>0</v>
      </c>
      <c r="BH110" s="3174">
        <f t="shared" ref="BH110:BH141" si="74">IF($D110="是",U110-V110,0)</f>
        <v>0</v>
      </c>
      <c r="BI110" s="3174">
        <f t="shared" ref="BI110:BI141" si="75">IF($D110="是",W110-X110,0)</f>
        <v>0</v>
      </c>
      <c r="BJ110" s="3174">
        <f t="shared" ref="BJ110:BJ141" si="76">IF($D110="是",Y110-Z110,0)</f>
        <v>0</v>
      </c>
      <c r="BK110" s="3174">
        <f t="shared" ref="BK110:BK141" si="77">IF($D110="是",AA110-AB110,0)</f>
        <v>0</v>
      </c>
      <c r="BL110" s="3174">
        <f t="shared" ref="BL110:BL141" si="78">SUM(BM110:BT110)</f>
        <v>0</v>
      </c>
      <c r="BM110" s="3174">
        <f t="shared" ref="BM110:BM141" si="79">IF($D110="是",AD110-AE110,0)</f>
        <v>0</v>
      </c>
      <c r="BN110" s="3174">
        <f t="shared" ref="BN110:BN141" si="80">IF($D110="是",AF110-AG110,0)</f>
        <v>0</v>
      </c>
      <c r="BO110" s="3174">
        <f t="shared" ref="BO110:BO141" si="81">IF($D110="是",AH110-AI110,0)</f>
        <v>0</v>
      </c>
      <c r="BP110" s="3174">
        <f t="shared" ref="BP110:BP141" si="82">IF($D110="是",AJ110-AK110,0)</f>
        <v>0</v>
      </c>
      <c r="BQ110" s="3174">
        <f t="shared" ref="BQ110:BQ141" si="83">IF($D110="是",AL110-AM110,0)</f>
        <v>0</v>
      </c>
      <c r="BR110" s="3174">
        <f t="shared" ref="BR110:BR141" si="84">IF($D110="是",AN110-AO110,0)</f>
        <v>0</v>
      </c>
      <c r="BS110" s="3174">
        <f t="shared" ref="BS110:BS141" si="85">IF($D110="是",AP110-AQ110,0)</f>
        <v>0</v>
      </c>
      <c r="BT110" s="3249">
        <f t="shared" ref="BT110:BT141" si="86">IF($D110="是",AR110-AS110,0)</f>
        <v>0</v>
      </c>
    </row>
    <row r="111" spans="1:72">
      <c r="A111" s="489"/>
      <c r="B111" s="489"/>
      <c r="C111" s="489"/>
      <c r="D111" s="3182"/>
      <c r="E111" s="3174">
        <f t="shared" si="33"/>
        <v>0</v>
      </c>
      <c r="F111" s="3212"/>
      <c r="G111" s="3176">
        <f t="shared" si="62"/>
        <v>0</v>
      </c>
      <c r="H111" s="3177">
        <f t="shared" si="63"/>
        <v>0</v>
      </c>
      <c r="I111" s="3200"/>
      <c r="J111" s="3200"/>
      <c r="K111" s="3200"/>
      <c r="L111" s="3200"/>
      <c r="M111" s="3200"/>
      <c r="N111" s="3200"/>
      <c r="O111" s="3200"/>
      <c r="P111" s="3200"/>
      <c r="Q111" s="3200"/>
      <c r="R111" s="3200"/>
      <c r="S111" s="3200"/>
      <c r="T111" s="3200"/>
      <c r="U111" s="3200"/>
      <c r="V111" s="3200"/>
      <c r="W111" s="3200"/>
      <c r="X111" s="3200"/>
      <c r="Y111" s="3200"/>
      <c r="Z111" s="3200"/>
      <c r="AA111" s="3200"/>
      <c r="AB111" s="3200"/>
      <c r="AC111" s="3174">
        <f t="shared" si="64"/>
        <v>0</v>
      </c>
      <c r="AD111" s="3212"/>
      <c r="AE111" s="3212"/>
      <c r="AF111" s="3212"/>
      <c r="AG111" s="3212"/>
      <c r="AH111" s="3212"/>
      <c r="AI111" s="3212"/>
      <c r="AJ111" s="3212"/>
      <c r="AK111" s="3212"/>
      <c r="AL111" s="3212"/>
      <c r="AM111" s="3212"/>
      <c r="AN111" s="3212"/>
      <c r="AO111" s="3212"/>
      <c r="AP111" s="3212"/>
      <c r="AQ111" s="3212"/>
      <c r="AR111" s="3212"/>
      <c r="AS111" s="3212"/>
      <c r="AT111" s="3212"/>
      <c r="AU111" s="548"/>
      <c r="AV111" s="466">
        <f t="shared" si="37"/>
        <v>0</v>
      </c>
      <c r="AW111" s="466">
        <f t="shared" si="38"/>
        <v>0</v>
      </c>
      <c r="AX111" s="466">
        <f t="shared" si="39"/>
        <v>0</v>
      </c>
      <c r="AY111" s="385">
        <f t="shared" si="65"/>
        <v>0</v>
      </c>
      <c r="AZ111" s="3174">
        <f t="shared" si="66"/>
        <v>0</v>
      </c>
      <c r="BA111" s="3174">
        <f t="shared" si="67"/>
        <v>0</v>
      </c>
      <c r="BB111" s="3174">
        <f t="shared" si="68"/>
        <v>0</v>
      </c>
      <c r="BC111" s="3174">
        <f t="shared" si="69"/>
        <v>0</v>
      </c>
      <c r="BD111" s="3174">
        <f t="shared" si="70"/>
        <v>0</v>
      </c>
      <c r="BE111" s="3174">
        <f t="shared" si="71"/>
        <v>0</v>
      </c>
      <c r="BF111" s="3174">
        <f t="shared" si="72"/>
        <v>0</v>
      </c>
      <c r="BG111" s="3174">
        <f t="shared" si="73"/>
        <v>0</v>
      </c>
      <c r="BH111" s="3174">
        <f t="shared" si="74"/>
        <v>0</v>
      </c>
      <c r="BI111" s="3174">
        <f t="shared" si="75"/>
        <v>0</v>
      </c>
      <c r="BJ111" s="3174">
        <f t="shared" si="76"/>
        <v>0</v>
      </c>
      <c r="BK111" s="3174">
        <f t="shared" si="77"/>
        <v>0</v>
      </c>
      <c r="BL111" s="3174">
        <f t="shared" si="78"/>
        <v>0</v>
      </c>
      <c r="BM111" s="3174">
        <f t="shared" si="79"/>
        <v>0</v>
      </c>
      <c r="BN111" s="3174">
        <f t="shared" si="80"/>
        <v>0</v>
      </c>
      <c r="BO111" s="3174">
        <f t="shared" si="81"/>
        <v>0</v>
      </c>
      <c r="BP111" s="3174">
        <f t="shared" si="82"/>
        <v>0</v>
      </c>
      <c r="BQ111" s="3174">
        <f t="shared" si="83"/>
        <v>0</v>
      </c>
      <c r="BR111" s="3174">
        <f t="shared" si="84"/>
        <v>0</v>
      </c>
      <c r="BS111" s="3174">
        <f t="shared" si="85"/>
        <v>0</v>
      </c>
      <c r="BT111" s="3249">
        <f t="shared" si="86"/>
        <v>0</v>
      </c>
    </row>
    <row r="112" spans="1:72">
      <c r="A112" s="489"/>
      <c r="B112" s="489"/>
      <c r="C112" s="489"/>
      <c r="D112" s="3182"/>
      <c r="E112" s="3174">
        <f t="shared" si="33"/>
        <v>0</v>
      </c>
      <c r="F112" s="3212"/>
      <c r="G112" s="3176">
        <f t="shared" si="62"/>
        <v>0</v>
      </c>
      <c r="H112" s="3177">
        <f t="shared" si="63"/>
        <v>0</v>
      </c>
      <c r="I112" s="3200"/>
      <c r="J112" s="3200"/>
      <c r="K112" s="3200"/>
      <c r="L112" s="3200"/>
      <c r="M112" s="3200"/>
      <c r="N112" s="3200"/>
      <c r="O112" s="3200"/>
      <c r="P112" s="3200"/>
      <c r="Q112" s="3200"/>
      <c r="R112" s="3200"/>
      <c r="S112" s="3200"/>
      <c r="T112" s="3200"/>
      <c r="U112" s="3200"/>
      <c r="V112" s="3200"/>
      <c r="W112" s="3200"/>
      <c r="X112" s="3200"/>
      <c r="Y112" s="3200"/>
      <c r="Z112" s="3200"/>
      <c r="AA112" s="3200"/>
      <c r="AB112" s="3200"/>
      <c r="AC112" s="3174">
        <f t="shared" si="64"/>
        <v>0</v>
      </c>
      <c r="AD112" s="3212"/>
      <c r="AE112" s="3212"/>
      <c r="AF112" s="3212"/>
      <c r="AG112" s="3212"/>
      <c r="AH112" s="3212"/>
      <c r="AI112" s="3212"/>
      <c r="AJ112" s="3212"/>
      <c r="AK112" s="3212"/>
      <c r="AL112" s="3212"/>
      <c r="AM112" s="3212"/>
      <c r="AN112" s="3212"/>
      <c r="AO112" s="3212"/>
      <c r="AP112" s="3212"/>
      <c r="AQ112" s="3212"/>
      <c r="AR112" s="3212"/>
      <c r="AS112" s="3212"/>
      <c r="AT112" s="3212"/>
      <c r="AU112" s="548"/>
      <c r="AV112" s="466">
        <f t="shared" si="37"/>
        <v>0</v>
      </c>
      <c r="AW112" s="466">
        <f t="shared" si="38"/>
        <v>0</v>
      </c>
      <c r="AX112" s="466">
        <f t="shared" si="39"/>
        <v>0</v>
      </c>
      <c r="AY112" s="385">
        <f t="shared" si="65"/>
        <v>0</v>
      </c>
      <c r="AZ112" s="3174">
        <f t="shared" si="66"/>
        <v>0</v>
      </c>
      <c r="BA112" s="3174">
        <f t="shared" si="67"/>
        <v>0</v>
      </c>
      <c r="BB112" s="3174">
        <f t="shared" si="68"/>
        <v>0</v>
      </c>
      <c r="BC112" s="3174">
        <f t="shared" si="69"/>
        <v>0</v>
      </c>
      <c r="BD112" s="3174">
        <f t="shared" si="70"/>
        <v>0</v>
      </c>
      <c r="BE112" s="3174">
        <f t="shared" si="71"/>
        <v>0</v>
      </c>
      <c r="BF112" s="3174">
        <f t="shared" si="72"/>
        <v>0</v>
      </c>
      <c r="BG112" s="3174">
        <f t="shared" si="73"/>
        <v>0</v>
      </c>
      <c r="BH112" s="3174">
        <f t="shared" si="74"/>
        <v>0</v>
      </c>
      <c r="BI112" s="3174">
        <f t="shared" si="75"/>
        <v>0</v>
      </c>
      <c r="BJ112" s="3174">
        <f t="shared" si="76"/>
        <v>0</v>
      </c>
      <c r="BK112" s="3174">
        <f t="shared" si="77"/>
        <v>0</v>
      </c>
      <c r="BL112" s="3174">
        <f t="shared" si="78"/>
        <v>0</v>
      </c>
      <c r="BM112" s="3174">
        <f t="shared" si="79"/>
        <v>0</v>
      </c>
      <c r="BN112" s="3174">
        <f t="shared" si="80"/>
        <v>0</v>
      </c>
      <c r="BO112" s="3174">
        <f t="shared" si="81"/>
        <v>0</v>
      </c>
      <c r="BP112" s="3174">
        <f t="shared" si="82"/>
        <v>0</v>
      </c>
      <c r="BQ112" s="3174">
        <f t="shared" si="83"/>
        <v>0</v>
      </c>
      <c r="BR112" s="3174">
        <f t="shared" si="84"/>
        <v>0</v>
      </c>
      <c r="BS112" s="3174">
        <f t="shared" si="85"/>
        <v>0</v>
      </c>
      <c r="BT112" s="3249">
        <f t="shared" si="86"/>
        <v>0</v>
      </c>
    </row>
    <row r="113" spans="1:72">
      <c r="A113" s="489"/>
      <c r="B113" s="3179"/>
      <c r="C113" s="3180"/>
      <c r="D113" s="3181"/>
      <c r="E113" s="3174">
        <f t="shared" ref="E113:E144" si="87">IF($C$3="是",ROUND($A$3*G113/$B$3,2),ROUND($A$3*(G113-AT113)/$B$3,2))</f>
        <v>0</v>
      </c>
      <c r="F113" s="3175"/>
      <c r="G113" s="3176">
        <f t="shared" si="62"/>
        <v>0</v>
      </c>
      <c r="H113" s="3177">
        <f t="shared" si="63"/>
        <v>0</v>
      </c>
      <c r="I113" s="3180"/>
      <c r="J113" s="3200"/>
      <c r="K113" s="3180"/>
      <c r="L113" s="3200"/>
      <c r="M113" s="3200"/>
      <c r="N113" s="3200"/>
      <c r="O113" s="3200"/>
      <c r="P113" s="3200"/>
      <c r="Q113" s="3200"/>
      <c r="R113" s="3200"/>
      <c r="S113" s="3200"/>
      <c r="T113" s="3200"/>
      <c r="U113" s="3200"/>
      <c r="V113" s="3200"/>
      <c r="W113" s="3200"/>
      <c r="X113" s="3200"/>
      <c r="Y113" s="3200"/>
      <c r="Z113" s="3200"/>
      <c r="AA113" s="3200"/>
      <c r="AB113" s="3200"/>
      <c r="AC113" s="3174">
        <f t="shared" si="64"/>
        <v>0</v>
      </c>
      <c r="AD113" s="3212"/>
      <c r="AE113" s="3212"/>
      <c r="AF113" s="3213"/>
      <c r="AG113" s="3212"/>
      <c r="AH113" s="3212"/>
      <c r="AI113" s="3212"/>
      <c r="AJ113" s="3212"/>
      <c r="AK113" s="3212"/>
      <c r="AL113" s="3212"/>
      <c r="AM113" s="3212"/>
      <c r="AN113" s="3202"/>
      <c r="AO113" s="3212"/>
      <c r="AP113" s="3212"/>
      <c r="AQ113" s="3212"/>
      <c r="AR113" s="3212"/>
      <c r="AS113" s="3212"/>
      <c r="AT113" s="3175"/>
      <c r="AU113" s="3232"/>
      <c r="AV113" s="466">
        <f t="shared" ref="AV113:AV144" si="88">A113</f>
        <v>0</v>
      </c>
      <c r="AW113" s="466">
        <f t="shared" ref="AW113:AW144" si="89">B113</f>
        <v>0</v>
      </c>
      <c r="AX113" s="466">
        <f t="shared" ref="AX113:AX144" si="90">C113</f>
        <v>0</v>
      </c>
      <c r="AY113" s="385">
        <f t="shared" si="65"/>
        <v>0</v>
      </c>
      <c r="AZ113" s="3174">
        <f t="shared" si="66"/>
        <v>0</v>
      </c>
      <c r="BA113" s="3174">
        <f t="shared" si="67"/>
        <v>0</v>
      </c>
      <c r="BB113" s="3174">
        <f t="shared" si="68"/>
        <v>0</v>
      </c>
      <c r="BC113" s="3174">
        <f t="shared" si="69"/>
        <v>0</v>
      </c>
      <c r="BD113" s="3174">
        <f t="shared" si="70"/>
        <v>0</v>
      </c>
      <c r="BE113" s="3174">
        <f t="shared" si="71"/>
        <v>0</v>
      </c>
      <c r="BF113" s="3174">
        <f t="shared" si="72"/>
        <v>0</v>
      </c>
      <c r="BG113" s="3174">
        <f t="shared" si="73"/>
        <v>0</v>
      </c>
      <c r="BH113" s="3174">
        <f t="shared" si="74"/>
        <v>0</v>
      </c>
      <c r="BI113" s="3174">
        <f t="shared" si="75"/>
        <v>0</v>
      </c>
      <c r="BJ113" s="3174">
        <f t="shared" si="76"/>
        <v>0</v>
      </c>
      <c r="BK113" s="3174">
        <f t="shared" si="77"/>
        <v>0</v>
      </c>
      <c r="BL113" s="3174">
        <f t="shared" si="78"/>
        <v>0</v>
      </c>
      <c r="BM113" s="3174">
        <f t="shared" si="79"/>
        <v>0</v>
      </c>
      <c r="BN113" s="3174">
        <f t="shared" si="80"/>
        <v>0</v>
      </c>
      <c r="BO113" s="3174">
        <f t="shared" si="81"/>
        <v>0</v>
      </c>
      <c r="BP113" s="3174">
        <f t="shared" si="82"/>
        <v>0</v>
      </c>
      <c r="BQ113" s="3174">
        <f t="shared" si="83"/>
        <v>0</v>
      </c>
      <c r="BR113" s="3174">
        <f t="shared" si="84"/>
        <v>0</v>
      </c>
      <c r="BS113" s="3174">
        <f t="shared" si="85"/>
        <v>0</v>
      </c>
      <c r="BT113" s="3249">
        <f t="shared" si="86"/>
        <v>0</v>
      </c>
    </row>
    <row r="114" spans="1:72">
      <c r="A114" s="489"/>
      <c r="B114" s="3179"/>
      <c r="C114" s="3180"/>
      <c r="D114" s="3181"/>
      <c r="E114" s="3174">
        <f t="shared" si="87"/>
        <v>0</v>
      </c>
      <c r="F114" s="3175"/>
      <c r="G114" s="3176">
        <f t="shared" si="62"/>
        <v>0</v>
      </c>
      <c r="H114" s="3177">
        <f t="shared" si="63"/>
        <v>0</v>
      </c>
      <c r="I114" s="3180"/>
      <c r="J114" s="3200"/>
      <c r="K114" s="3180"/>
      <c r="L114" s="3200"/>
      <c r="M114" s="3202"/>
      <c r="N114" s="3200"/>
      <c r="O114" s="3200"/>
      <c r="P114" s="3200"/>
      <c r="Q114" s="3200"/>
      <c r="R114" s="3200"/>
      <c r="S114" s="3200"/>
      <c r="T114" s="3200"/>
      <c r="U114" s="3200"/>
      <c r="V114" s="3200"/>
      <c r="W114" s="3200"/>
      <c r="X114" s="3200"/>
      <c r="Y114" s="3200"/>
      <c r="Z114" s="3200"/>
      <c r="AA114" s="3200"/>
      <c r="AB114" s="3200"/>
      <c r="AC114" s="3174">
        <f t="shared" si="64"/>
        <v>0</v>
      </c>
      <c r="AD114" s="3202"/>
      <c r="AE114" s="3212"/>
      <c r="AF114" s="3213"/>
      <c r="AG114" s="3212"/>
      <c r="AH114" s="3212"/>
      <c r="AI114" s="3212"/>
      <c r="AJ114" s="3212"/>
      <c r="AK114" s="3212"/>
      <c r="AL114" s="3202"/>
      <c r="AM114" s="3212"/>
      <c r="AN114" s="3202"/>
      <c r="AO114" s="3212"/>
      <c r="AP114" s="3212"/>
      <c r="AQ114" s="3212"/>
      <c r="AR114" s="3212"/>
      <c r="AS114" s="3212"/>
      <c r="AT114" s="3175"/>
      <c r="AU114" s="3232"/>
      <c r="AV114" s="466">
        <f t="shared" si="88"/>
        <v>0</v>
      </c>
      <c r="AW114" s="466">
        <f t="shared" si="89"/>
        <v>0</v>
      </c>
      <c r="AX114" s="466">
        <f t="shared" si="90"/>
        <v>0</v>
      </c>
      <c r="AY114" s="385">
        <f t="shared" si="65"/>
        <v>0</v>
      </c>
      <c r="AZ114" s="3174">
        <f t="shared" si="66"/>
        <v>0</v>
      </c>
      <c r="BA114" s="3174">
        <f t="shared" si="67"/>
        <v>0</v>
      </c>
      <c r="BB114" s="3174">
        <f t="shared" si="68"/>
        <v>0</v>
      </c>
      <c r="BC114" s="3174">
        <f t="shared" si="69"/>
        <v>0</v>
      </c>
      <c r="BD114" s="3174">
        <f t="shared" si="70"/>
        <v>0</v>
      </c>
      <c r="BE114" s="3174">
        <f t="shared" si="71"/>
        <v>0</v>
      </c>
      <c r="BF114" s="3174">
        <f t="shared" si="72"/>
        <v>0</v>
      </c>
      <c r="BG114" s="3174">
        <f t="shared" si="73"/>
        <v>0</v>
      </c>
      <c r="BH114" s="3174">
        <f t="shared" si="74"/>
        <v>0</v>
      </c>
      <c r="BI114" s="3174">
        <f t="shared" si="75"/>
        <v>0</v>
      </c>
      <c r="BJ114" s="3174">
        <f t="shared" si="76"/>
        <v>0</v>
      </c>
      <c r="BK114" s="3174">
        <f t="shared" si="77"/>
        <v>0</v>
      </c>
      <c r="BL114" s="3174">
        <f t="shared" si="78"/>
        <v>0</v>
      </c>
      <c r="BM114" s="3174">
        <f t="shared" si="79"/>
        <v>0</v>
      </c>
      <c r="BN114" s="3174">
        <f t="shared" si="80"/>
        <v>0</v>
      </c>
      <c r="BO114" s="3174">
        <f t="shared" si="81"/>
        <v>0</v>
      </c>
      <c r="BP114" s="3174">
        <f t="shared" si="82"/>
        <v>0</v>
      </c>
      <c r="BQ114" s="3174">
        <f t="shared" si="83"/>
        <v>0</v>
      </c>
      <c r="BR114" s="3174">
        <f t="shared" si="84"/>
        <v>0</v>
      </c>
      <c r="BS114" s="3174">
        <f t="shared" si="85"/>
        <v>0</v>
      </c>
      <c r="BT114" s="3249">
        <f t="shared" si="86"/>
        <v>0</v>
      </c>
    </row>
    <row r="115" spans="1:72">
      <c r="A115" s="489"/>
      <c r="B115" s="3179"/>
      <c r="C115" s="3180"/>
      <c r="D115" s="3181"/>
      <c r="E115" s="3174">
        <f t="shared" si="87"/>
        <v>0</v>
      </c>
      <c r="F115" s="3175"/>
      <c r="G115" s="3176">
        <f t="shared" si="62"/>
        <v>0</v>
      </c>
      <c r="H115" s="3177">
        <f t="shared" si="63"/>
        <v>0</v>
      </c>
      <c r="I115" s="3180"/>
      <c r="J115" s="3200"/>
      <c r="K115" s="3180"/>
      <c r="L115" s="3200"/>
      <c r="M115" s="3202"/>
      <c r="N115" s="3200"/>
      <c r="O115" s="3200"/>
      <c r="P115" s="3200"/>
      <c r="Q115" s="3200"/>
      <c r="R115" s="3200"/>
      <c r="S115" s="3200"/>
      <c r="T115" s="3200"/>
      <c r="U115" s="3200"/>
      <c r="V115" s="3200"/>
      <c r="W115" s="3200"/>
      <c r="X115" s="3200"/>
      <c r="Y115" s="3200"/>
      <c r="Z115" s="3200"/>
      <c r="AA115" s="3200"/>
      <c r="AB115" s="3200"/>
      <c r="AC115" s="3174">
        <f t="shared" si="64"/>
        <v>0</v>
      </c>
      <c r="AD115" s="3212"/>
      <c r="AE115" s="3212"/>
      <c r="AF115" s="3213"/>
      <c r="AG115" s="3212"/>
      <c r="AH115" s="3212"/>
      <c r="AI115" s="3212"/>
      <c r="AJ115" s="3212"/>
      <c r="AK115" s="3212"/>
      <c r="AL115" s="3202"/>
      <c r="AM115" s="3212"/>
      <c r="AN115" s="3202"/>
      <c r="AO115" s="3212"/>
      <c r="AP115" s="3212"/>
      <c r="AQ115" s="3212"/>
      <c r="AR115" s="3212"/>
      <c r="AS115" s="3212"/>
      <c r="AT115" s="3175"/>
      <c r="AU115" s="3232"/>
      <c r="AV115" s="466">
        <f t="shared" si="88"/>
        <v>0</v>
      </c>
      <c r="AW115" s="466">
        <f t="shared" si="89"/>
        <v>0</v>
      </c>
      <c r="AX115" s="466">
        <f t="shared" si="90"/>
        <v>0</v>
      </c>
      <c r="AY115" s="385">
        <f t="shared" si="65"/>
        <v>0</v>
      </c>
      <c r="AZ115" s="3174">
        <f t="shared" si="66"/>
        <v>0</v>
      </c>
      <c r="BA115" s="3174">
        <f t="shared" si="67"/>
        <v>0</v>
      </c>
      <c r="BB115" s="3174">
        <f t="shared" si="68"/>
        <v>0</v>
      </c>
      <c r="BC115" s="3174">
        <f t="shared" si="69"/>
        <v>0</v>
      </c>
      <c r="BD115" s="3174">
        <f t="shared" si="70"/>
        <v>0</v>
      </c>
      <c r="BE115" s="3174">
        <f t="shared" si="71"/>
        <v>0</v>
      </c>
      <c r="BF115" s="3174">
        <f t="shared" si="72"/>
        <v>0</v>
      </c>
      <c r="BG115" s="3174">
        <f t="shared" si="73"/>
        <v>0</v>
      </c>
      <c r="BH115" s="3174">
        <f t="shared" si="74"/>
        <v>0</v>
      </c>
      <c r="BI115" s="3174">
        <f t="shared" si="75"/>
        <v>0</v>
      </c>
      <c r="BJ115" s="3174">
        <f t="shared" si="76"/>
        <v>0</v>
      </c>
      <c r="BK115" s="3174">
        <f t="shared" si="77"/>
        <v>0</v>
      </c>
      <c r="BL115" s="3174">
        <f t="shared" si="78"/>
        <v>0</v>
      </c>
      <c r="BM115" s="3174">
        <f t="shared" si="79"/>
        <v>0</v>
      </c>
      <c r="BN115" s="3174">
        <f t="shared" si="80"/>
        <v>0</v>
      </c>
      <c r="BO115" s="3174">
        <f t="shared" si="81"/>
        <v>0</v>
      </c>
      <c r="BP115" s="3174">
        <f t="shared" si="82"/>
        <v>0</v>
      </c>
      <c r="BQ115" s="3174">
        <f t="shared" si="83"/>
        <v>0</v>
      </c>
      <c r="BR115" s="3174">
        <f t="shared" si="84"/>
        <v>0</v>
      </c>
      <c r="BS115" s="3174">
        <f t="shared" si="85"/>
        <v>0</v>
      </c>
      <c r="BT115" s="3249">
        <f t="shared" si="86"/>
        <v>0</v>
      </c>
    </row>
    <row r="116" spans="1:72">
      <c r="A116" s="489"/>
      <c r="B116" s="3179"/>
      <c r="C116" s="3180"/>
      <c r="D116" s="3181"/>
      <c r="E116" s="3174">
        <f t="shared" si="87"/>
        <v>0</v>
      </c>
      <c r="F116" s="3175"/>
      <c r="G116" s="3176">
        <f t="shared" si="62"/>
        <v>0</v>
      </c>
      <c r="H116" s="3177">
        <f t="shared" si="63"/>
        <v>0</v>
      </c>
      <c r="I116" s="3180"/>
      <c r="J116" s="3200"/>
      <c r="K116" s="3180"/>
      <c r="L116" s="3200"/>
      <c r="M116" s="3200"/>
      <c r="N116" s="3200"/>
      <c r="O116" s="3202"/>
      <c r="P116" s="3200"/>
      <c r="Q116" s="3200"/>
      <c r="R116" s="3200"/>
      <c r="S116" s="3200"/>
      <c r="T116" s="3200"/>
      <c r="U116" s="3200"/>
      <c r="V116" s="3200"/>
      <c r="W116" s="3200"/>
      <c r="X116" s="3200"/>
      <c r="Y116" s="3200"/>
      <c r="Z116" s="3200"/>
      <c r="AA116" s="3200"/>
      <c r="AB116" s="3200"/>
      <c r="AC116" s="3174">
        <f t="shared" si="64"/>
        <v>0</v>
      </c>
      <c r="AD116" s="3212"/>
      <c r="AE116" s="3212"/>
      <c r="AF116" s="3213"/>
      <c r="AG116" s="3212"/>
      <c r="AH116" s="3212"/>
      <c r="AI116" s="3212"/>
      <c r="AJ116" s="3212"/>
      <c r="AK116" s="3212"/>
      <c r="AL116" s="3212"/>
      <c r="AM116" s="3212"/>
      <c r="AN116" s="3202"/>
      <c r="AO116" s="3212"/>
      <c r="AP116" s="3212"/>
      <c r="AQ116" s="3212"/>
      <c r="AR116" s="3212"/>
      <c r="AS116" s="3212"/>
      <c r="AT116" s="3175"/>
      <c r="AU116" s="3232"/>
      <c r="AV116" s="466">
        <f t="shared" si="88"/>
        <v>0</v>
      </c>
      <c r="AW116" s="466">
        <f t="shared" si="89"/>
        <v>0</v>
      </c>
      <c r="AX116" s="466">
        <f t="shared" si="90"/>
        <v>0</v>
      </c>
      <c r="AY116" s="385">
        <f t="shared" si="65"/>
        <v>0</v>
      </c>
      <c r="AZ116" s="3174">
        <f t="shared" si="66"/>
        <v>0</v>
      </c>
      <c r="BA116" s="3174">
        <f t="shared" si="67"/>
        <v>0</v>
      </c>
      <c r="BB116" s="3174">
        <f t="shared" si="68"/>
        <v>0</v>
      </c>
      <c r="BC116" s="3174">
        <f t="shared" si="69"/>
        <v>0</v>
      </c>
      <c r="BD116" s="3174">
        <f t="shared" si="70"/>
        <v>0</v>
      </c>
      <c r="BE116" s="3174">
        <f t="shared" si="71"/>
        <v>0</v>
      </c>
      <c r="BF116" s="3174">
        <f t="shared" si="72"/>
        <v>0</v>
      </c>
      <c r="BG116" s="3174">
        <f t="shared" si="73"/>
        <v>0</v>
      </c>
      <c r="BH116" s="3174">
        <f t="shared" si="74"/>
        <v>0</v>
      </c>
      <c r="BI116" s="3174">
        <f t="shared" si="75"/>
        <v>0</v>
      </c>
      <c r="BJ116" s="3174">
        <f t="shared" si="76"/>
        <v>0</v>
      </c>
      <c r="BK116" s="3174">
        <f t="shared" si="77"/>
        <v>0</v>
      </c>
      <c r="BL116" s="3174">
        <f t="shared" si="78"/>
        <v>0</v>
      </c>
      <c r="BM116" s="3174">
        <f t="shared" si="79"/>
        <v>0</v>
      </c>
      <c r="BN116" s="3174">
        <f t="shared" si="80"/>
        <v>0</v>
      </c>
      <c r="BO116" s="3174">
        <f t="shared" si="81"/>
        <v>0</v>
      </c>
      <c r="BP116" s="3174">
        <f t="shared" si="82"/>
        <v>0</v>
      </c>
      <c r="BQ116" s="3174">
        <f t="shared" si="83"/>
        <v>0</v>
      </c>
      <c r="BR116" s="3174">
        <f t="shared" si="84"/>
        <v>0</v>
      </c>
      <c r="BS116" s="3174">
        <f t="shared" si="85"/>
        <v>0</v>
      </c>
      <c r="BT116" s="3249">
        <f t="shared" si="86"/>
        <v>0</v>
      </c>
    </row>
    <row r="117" spans="1:72">
      <c r="A117" s="489"/>
      <c r="B117" s="3179"/>
      <c r="C117" s="3180"/>
      <c r="D117" s="3181"/>
      <c r="E117" s="3174">
        <f t="shared" si="87"/>
        <v>0</v>
      </c>
      <c r="F117" s="3175"/>
      <c r="G117" s="3176">
        <f t="shared" si="62"/>
        <v>0</v>
      </c>
      <c r="H117" s="3177">
        <f t="shared" si="63"/>
        <v>0</v>
      </c>
      <c r="I117" s="3180"/>
      <c r="J117" s="3200"/>
      <c r="K117" s="3180"/>
      <c r="L117" s="3200"/>
      <c r="M117" s="3200"/>
      <c r="N117" s="3200"/>
      <c r="O117" s="3200"/>
      <c r="P117" s="3200"/>
      <c r="Q117" s="3200"/>
      <c r="R117" s="3200"/>
      <c r="S117" s="3200"/>
      <c r="T117" s="3200"/>
      <c r="U117" s="3200"/>
      <c r="V117" s="3200"/>
      <c r="W117" s="3200"/>
      <c r="X117" s="3200"/>
      <c r="Y117" s="3200"/>
      <c r="Z117" s="3200"/>
      <c r="AA117" s="3200"/>
      <c r="AB117" s="3200"/>
      <c r="AC117" s="3174">
        <f t="shared" si="64"/>
        <v>0</v>
      </c>
      <c r="AD117" s="3212"/>
      <c r="AE117" s="3212"/>
      <c r="AF117" s="3213"/>
      <c r="AG117" s="3212"/>
      <c r="AH117" s="3212"/>
      <c r="AI117" s="3212"/>
      <c r="AJ117" s="3212"/>
      <c r="AK117" s="3212"/>
      <c r="AL117" s="3212"/>
      <c r="AM117" s="3212"/>
      <c r="AN117" s="3212"/>
      <c r="AO117" s="3212"/>
      <c r="AP117" s="3212"/>
      <c r="AQ117" s="3212"/>
      <c r="AR117" s="3212"/>
      <c r="AS117" s="3212"/>
      <c r="AT117" s="3175"/>
      <c r="AU117" s="3232"/>
      <c r="AV117" s="466">
        <f t="shared" si="88"/>
        <v>0</v>
      </c>
      <c r="AW117" s="466">
        <f t="shared" si="89"/>
        <v>0</v>
      </c>
      <c r="AX117" s="466">
        <f t="shared" si="90"/>
        <v>0</v>
      </c>
      <c r="AY117" s="385">
        <f t="shared" si="65"/>
        <v>0</v>
      </c>
      <c r="AZ117" s="3174">
        <f t="shared" si="66"/>
        <v>0</v>
      </c>
      <c r="BA117" s="3174">
        <f t="shared" si="67"/>
        <v>0</v>
      </c>
      <c r="BB117" s="3174">
        <f t="shared" si="68"/>
        <v>0</v>
      </c>
      <c r="BC117" s="3174">
        <f t="shared" si="69"/>
        <v>0</v>
      </c>
      <c r="BD117" s="3174">
        <f t="shared" si="70"/>
        <v>0</v>
      </c>
      <c r="BE117" s="3174">
        <f t="shared" si="71"/>
        <v>0</v>
      </c>
      <c r="BF117" s="3174">
        <f t="shared" si="72"/>
        <v>0</v>
      </c>
      <c r="BG117" s="3174">
        <f t="shared" si="73"/>
        <v>0</v>
      </c>
      <c r="BH117" s="3174">
        <f t="shared" si="74"/>
        <v>0</v>
      </c>
      <c r="BI117" s="3174">
        <f t="shared" si="75"/>
        <v>0</v>
      </c>
      <c r="BJ117" s="3174">
        <f t="shared" si="76"/>
        <v>0</v>
      </c>
      <c r="BK117" s="3174">
        <f t="shared" si="77"/>
        <v>0</v>
      </c>
      <c r="BL117" s="3174">
        <f t="shared" si="78"/>
        <v>0</v>
      </c>
      <c r="BM117" s="3174">
        <f t="shared" si="79"/>
        <v>0</v>
      </c>
      <c r="BN117" s="3174">
        <f t="shared" si="80"/>
        <v>0</v>
      </c>
      <c r="BO117" s="3174">
        <f t="shared" si="81"/>
        <v>0</v>
      </c>
      <c r="BP117" s="3174">
        <f t="shared" si="82"/>
        <v>0</v>
      </c>
      <c r="BQ117" s="3174">
        <f t="shared" si="83"/>
        <v>0</v>
      </c>
      <c r="BR117" s="3174">
        <f t="shared" si="84"/>
        <v>0</v>
      </c>
      <c r="BS117" s="3174">
        <f t="shared" si="85"/>
        <v>0</v>
      </c>
      <c r="BT117" s="3249">
        <f t="shared" si="86"/>
        <v>0</v>
      </c>
    </row>
    <row r="118" spans="1:72">
      <c r="A118" s="489"/>
      <c r="B118" s="3179"/>
      <c r="C118" s="3180"/>
      <c r="D118" s="3181"/>
      <c r="E118" s="3174">
        <f t="shared" si="87"/>
        <v>0</v>
      </c>
      <c r="F118" s="3175"/>
      <c r="G118" s="3176">
        <f t="shared" si="62"/>
        <v>0</v>
      </c>
      <c r="H118" s="3177">
        <f t="shared" si="63"/>
        <v>0</v>
      </c>
      <c r="I118" s="3180"/>
      <c r="J118" s="3200"/>
      <c r="K118" s="3180"/>
      <c r="L118" s="3200"/>
      <c r="M118" s="3200"/>
      <c r="N118" s="3200"/>
      <c r="O118" s="3200"/>
      <c r="P118" s="3200"/>
      <c r="Q118" s="3200"/>
      <c r="R118" s="3200"/>
      <c r="S118" s="3200"/>
      <c r="T118" s="3200"/>
      <c r="U118" s="3200"/>
      <c r="V118" s="3200"/>
      <c r="W118" s="3200"/>
      <c r="X118" s="3200"/>
      <c r="Y118" s="3200"/>
      <c r="Z118" s="3200"/>
      <c r="AA118" s="3200"/>
      <c r="AB118" s="3200"/>
      <c r="AC118" s="3174">
        <f t="shared" si="64"/>
        <v>0</v>
      </c>
      <c r="AD118" s="3212"/>
      <c r="AE118" s="3212"/>
      <c r="AF118" s="3213"/>
      <c r="AG118" s="3212"/>
      <c r="AH118" s="3212"/>
      <c r="AI118" s="3212"/>
      <c r="AJ118" s="3212"/>
      <c r="AK118" s="3212"/>
      <c r="AL118" s="3212"/>
      <c r="AM118" s="3212"/>
      <c r="AN118" s="3212"/>
      <c r="AO118" s="3212"/>
      <c r="AP118" s="3212"/>
      <c r="AQ118" s="3212"/>
      <c r="AR118" s="3212"/>
      <c r="AS118" s="3212"/>
      <c r="AT118" s="3175"/>
      <c r="AU118" s="3232"/>
      <c r="AV118" s="466">
        <f t="shared" si="88"/>
        <v>0</v>
      </c>
      <c r="AW118" s="466">
        <f t="shared" si="89"/>
        <v>0</v>
      </c>
      <c r="AX118" s="466">
        <f t="shared" si="90"/>
        <v>0</v>
      </c>
      <c r="AY118" s="385">
        <f t="shared" si="65"/>
        <v>0</v>
      </c>
      <c r="AZ118" s="3174">
        <f t="shared" si="66"/>
        <v>0</v>
      </c>
      <c r="BA118" s="3174">
        <f t="shared" si="67"/>
        <v>0</v>
      </c>
      <c r="BB118" s="3174">
        <f t="shared" si="68"/>
        <v>0</v>
      </c>
      <c r="BC118" s="3174">
        <f t="shared" si="69"/>
        <v>0</v>
      </c>
      <c r="BD118" s="3174">
        <f t="shared" si="70"/>
        <v>0</v>
      </c>
      <c r="BE118" s="3174">
        <f t="shared" si="71"/>
        <v>0</v>
      </c>
      <c r="BF118" s="3174">
        <f t="shared" si="72"/>
        <v>0</v>
      </c>
      <c r="BG118" s="3174">
        <f t="shared" si="73"/>
        <v>0</v>
      </c>
      <c r="BH118" s="3174">
        <f t="shared" si="74"/>
        <v>0</v>
      </c>
      <c r="BI118" s="3174">
        <f t="shared" si="75"/>
        <v>0</v>
      </c>
      <c r="BJ118" s="3174">
        <f t="shared" si="76"/>
        <v>0</v>
      </c>
      <c r="BK118" s="3174">
        <f t="shared" si="77"/>
        <v>0</v>
      </c>
      <c r="BL118" s="3174">
        <f t="shared" si="78"/>
        <v>0</v>
      </c>
      <c r="BM118" s="3174">
        <f t="shared" si="79"/>
        <v>0</v>
      </c>
      <c r="BN118" s="3174">
        <f t="shared" si="80"/>
        <v>0</v>
      </c>
      <c r="BO118" s="3174">
        <f t="shared" si="81"/>
        <v>0</v>
      </c>
      <c r="BP118" s="3174">
        <f t="shared" si="82"/>
        <v>0</v>
      </c>
      <c r="BQ118" s="3174">
        <f t="shared" si="83"/>
        <v>0</v>
      </c>
      <c r="BR118" s="3174">
        <f t="shared" si="84"/>
        <v>0</v>
      </c>
      <c r="BS118" s="3174">
        <f t="shared" si="85"/>
        <v>0</v>
      </c>
      <c r="BT118" s="3249">
        <f t="shared" si="86"/>
        <v>0</v>
      </c>
    </row>
    <row r="119" spans="1:72">
      <c r="A119" s="489"/>
      <c r="B119" s="3179"/>
      <c r="C119" s="3180"/>
      <c r="D119" s="3181"/>
      <c r="E119" s="3174">
        <f t="shared" si="87"/>
        <v>0</v>
      </c>
      <c r="F119" s="3175"/>
      <c r="G119" s="3176">
        <f t="shared" si="62"/>
        <v>0</v>
      </c>
      <c r="H119" s="3177">
        <f t="shared" si="63"/>
        <v>0</v>
      </c>
      <c r="I119" s="3180"/>
      <c r="J119" s="3200"/>
      <c r="K119" s="3180"/>
      <c r="L119" s="3200"/>
      <c r="M119" s="3200"/>
      <c r="N119" s="3200"/>
      <c r="O119" s="3200"/>
      <c r="P119" s="3200"/>
      <c r="Q119" s="3200"/>
      <c r="R119" s="3200"/>
      <c r="S119" s="3200"/>
      <c r="T119" s="3200"/>
      <c r="U119" s="3200"/>
      <c r="V119" s="3200"/>
      <c r="W119" s="3200"/>
      <c r="X119" s="3200"/>
      <c r="Y119" s="3200"/>
      <c r="Z119" s="3200"/>
      <c r="AA119" s="3200"/>
      <c r="AB119" s="3200"/>
      <c r="AC119" s="3174">
        <f t="shared" si="64"/>
        <v>0</v>
      </c>
      <c r="AD119" s="3212"/>
      <c r="AE119" s="3212"/>
      <c r="AF119" s="3213"/>
      <c r="AG119" s="3212"/>
      <c r="AH119" s="3212"/>
      <c r="AI119" s="3212"/>
      <c r="AJ119" s="3212"/>
      <c r="AK119" s="3212"/>
      <c r="AL119" s="3212"/>
      <c r="AM119" s="3212"/>
      <c r="AN119" s="3212"/>
      <c r="AO119" s="3212"/>
      <c r="AP119" s="3212"/>
      <c r="AQ119" s="3212"/>
      <c r="AR119" s="3212"/>
      <c r="AS119" s="3212"/>
      <c r="AT119" s="3175"/>
      <c r="AU119" s="3232"/>
      <c r="AV119" s="466">
        <f t="shared" si="88"/>
        <v>0</v>
      </c>
      <c r="AW119" s="466">
        <f t="shared" si="89"/>
        <v>0</v>
      </c>
      <c r="AX119" s="466">
        <f t="shared" si="90"/>
        <v>0</v>
      </c>
      <c r="AY119" s="385">
        <f t="shared" si="65"/>
        <v>0</v>
      </c>
      <c r="AZ119" s="3174">
        <f t="shared" si="66"/>
        <v>0</v>
      </c>
      <c r="BA119" s="3174">
        <f t="shared" si="67"/>
        <v>0</v>
      </c>
      <c r="BB119" s="3174">
        <f t="shared" si="68"/>
        <v>0</v>
      </c>
      <c r="BC119" s="3174">
        <f t="shared" si="69"/>
        <v>0</v>
      </c>
      <c r="BD119" s="3174">
        <f t="shared" si="70"/>
        <v>0</v>
      </c>
      <c r="BE119" s="3174">
        <f t="shared" si="71"/>
        <v>0</v>
      </c>
      <c r="BF119" s="3174">
        <f t="shared" si="72"/>
        <v>0</v>
      </c>
      <c r="BG119" s="3174">
        <f t="shared" si="73"/>
        <v>0</v>
      </c>
      <c r="BH119" s="3174">
        <f t="shared" si="74"/>
        <v>0</v>
      </c>
      <c r="BI119" s="3174">
        <f t="shared" si="75"/>
        <v>0</v>
      </c>
      <c r="BJ119" s="3174">
        <f t="shared" si="76"/>
        <v>0</v>
      </c>
      <c r="BK119" s="3174">
        <f t="shared" si="77"/>
        <v>0</v>
      </c>
      <c r="BL119" s="3174">
        <f t="shared" si="78"/>
        <v>0</v>
      </c>
      <c r="BM119" s="3174">
        <f t="shared" si="79"/>
        <v>0</v>
      </c>
      <c r="BN119" s="3174">
        <f t="shared" si="80"/>
        <v>0</v>
      </c>
      <c r="BO119" s="3174">
        <f t="shared" si="81"/>
        <v>0</v>
      </c>
      <c r="BP119" s="3174">
        <f t="shared" si="82"/>
        <v>0</v>
      </c>
      <c r="BQ119" s="3174">
        <f t="shared" si="83"/>
        <v>0</v>
      </c>
      <c r="BR119" s="3174">
        <f t="shared" si="84"/>
        <v>0</v>
      </c>
      <c r="BS119" s="3174">
        <f t="shared" si="85"/>
        <v>0</v>
      </c>
      <c r="BT119" s="3249">
        <f t="shared" si="86"/>
        <v>0</v>
      </c>
    </row>
    <row r="120" spans="1:72">
      <c r="A120" s="489"/>
      <c r="B120" s="3179"/>
      <c r="C120" s="3180"/>
      <c r="D120" s="3181"/>
      <c r="E120" s="3174">
        <f t="shared" si="87"/>
        <v>0</v>
      </c>
      <c r="F120" s="3175"/>
      <c r="G120" s="3176">
        <f t="shared" si="62"/>
        <v>0</v>
      </c>
      <c r="H120" s="3177">
        <f t="shared" si="63"/>
        <v>0</v>
      </c>
      <c r="I120" s="3180"/>
      <c r="J120" s="3200"/>
      <c r="K120" s="3180"/>
      <c r="L120" s="3200"/>
      <c r="M120" s="3200"/>
      <c r="N120" s="3200"/>
      <c r="O120" s="3200"/>
      <c r="P120" s="3200"/>
      <c r="Q120" s="3200"/>
      <c r="R120" s="3200"/>
      <c r="S120" s="3200"/>
      <c r="T120" s="3200"/>
      <c r="U120" s="3200"/>
      <c r="V120" s="3200"/>
      <c r="W120" s="3200"/>
      <c r="X120" s="3200"/>
      <c r="Y120" s="3200"/>
      <c r="Z120" s="3200"/>
      <c r="AA120" s="3200"/>
      <c r="AB120" s="3200"/>
      <c r="AC120" s="3174">
        <f t="shared" si="64"/>
        <v>0</v>
      </c>
      <c r="AD120" s="3212"/>
      <c r="AE120" s="3212"/>
      <c r="AF120" s="3180"/>
      <c r="AG120" s="3212"/>
      <c r="AH120" s="3212"/>
      <c r="AI120" s="3212"/>
      <c r="AJ120" s="3212"/>
      <c r="AK120" s="3212"/>
      <c r="AL120" s="3212"/>
      <c r="AM120" s="3212"/>
      <c r="AN120" s="3212"/>
      <c r="AO120" s="3212"/>
      <c r="AP120" s="3212"/>
      <c r="AQ120" s="3212"/>
      <c r="AR120" s="3212"/>
      <c r="AS120" s="3212"/>
      <c r="AT120" s="3175"/>
      <c r="AU120" s="3232"/>
      <c r="AV120" s="466">
        <f t="shared" si="88"/>
        <v>0</v>
      </c>
      <c r="AW120" s="466">
        <f t="shared" si="89"/>
        <v>0</v>
      </c>
      <c r="AX120" s="466">
        <f t="shared" si="90"/>
        <v>0</v>
      </c>
      <c r="AY120" s="385">
        <f t="shared" si="65"/>
        <v>0</v>
      </c>
      <c r="AZ120" s="3174">
        <f t="shared" si="66"/>
        <v>0</v>
      </c>
      <c r="BA120" s="3174">
        <f t="shared" si="67"/>
        <v>0</v>
      </c>
      <c r="BB120" s="3174">
        <f t="shared" si="68"/>
        <v>0</v>
      </c>
      <c r="BC120" s="3174">
        <f t="shared" si="69"/>
        <v>0</v>
      </c>
      <c r="BD120" s="3174">
        <f t="shared" si="70"/>
        <v>0</v>
      </c>
      <c r="BE120" s="3174">
        <f t="shared" si="71"/>
        <v>0</v>
      </c>
      <c r="BF120" s="3174">
        <f t="shared" si="72"/>
        <v>0</v>
      </c>
      <c r="BG120" s="3174">
        <f t="shared" si="73"/>
        <v>0</v>
      </c>
      <c r="BH120" s="3174">
        <f t="shared" si="74"/>
        <v>0</v>
      </c>
      <c r="BI120" s="3174">
        <f t="shared" si="75"/>
        <v>0</v>
      </c>
      <c r="BJ120" s="3174">
        <f t="shared" si="76"/>
        <v>0</v>
      </c>
      <c r="BK120" s="3174">
        <f t="shared" si="77"/>
        <v>0</v>
      </c>
      <c r="BL120" s="3174">
        <f t="shared" si="78"/>
        <v>0</v>
      </c>
      <c r="BM120" s="3174">
        <f t="shared" si="79"/>
        <v>0</v>
      </c>
      <c r="BN120" s="3174">
        <f t="shared" si="80"/>
        <v>0</v>
      </c>
      <c r="BO120" s="3174">
        <f t="shared" si="81"/>
        <v>0</v>
      </c>
      <c r="BP120" s="3174">
        <f t="shared" si="82"/>
        <v>0</v>
      </c>
      <c r="BQ120" s="3174">
        <f t="shared" si="83"/>
        <v>0</v>
      </c>
      <c r="BR120" s="3174">
        <f t="shared" si="84"/>
        <v>0</v>
      </c>
      <c r="BS120" s="3174">
        <f t="shared" si="85"/>
        <v>0</v>
      </c>
      <c r="BT120" s="3249">
        <f t="shared" si="86"/>
        <v>0</v>
      </c>
    </row>
    <row r="121" spans="1:72">
      <c r="A121" s="489"/>
      <c r="B121" s="3179"/>
      <c r="C121" s="3180"/>
      <c r="D121" s="3181"/>
      <c r="E121" s="3174">
        <f t="shared" si="87"/>
        <v>0</v>
      </c>
      <c r="F121" s="3175"/>
      <c r="G121" s="3176">
        <f t="shared" si="62"/>
        <v>0</v>
      </c>
      <c r="H121" s="3177">
        <f t="shared" si="63"/>
        <v>0</v>
      </c>
      <c r="I121" s="3180"/>
      <c r="J121" s="3200"/>
      <c r="K121" s="3180"/>
      <c r="L121" s="3200"/>
      <c r="M121" s="3200"/>
      <c r="N121" s="3200"/>
      <c r="O121" s="3200"/>
      <c r="P121" s="3200"/>
      <c r="Q121" s="3200"/>
      <c r="R121" s="3200"/>
      <c r="S121" s="3200"/>
      <c r="T121" s="3200"/>
      <c r="U121" s="3200"/>
      <c r="V121" s="3200"/>
      <c r="W121" s="3200"/>
      <c r="X121" s="3200"/>
      <c r="Y121" s="3200"/>
      <c r="Z121" s="3200"/>
      <c r="AA121" s="3200"/>
      <c r="AB121" s="3200"/>
      <c r="AC121" s="3174">
        <f t="shared" si="64"/>
        <v>0</v>
      </c>
      <c r="AD121" s="3212"/>
      <c r="AE121" s="3212"/>
      <c r="AF121" s="3180"/>
      <c r="AG121" s="3212"/>
      <c r="AH121" s="3212"/>
      <c r="AI121" s="3212"/>
      <c r="AJ121" s="3212"/>
      <c r="AK121" s="3212"/>
      <c r="AL121" s="3212"/>
      <c r="AM121" s="3212"/>
      <c r="AN121" s="3212"/>
      <c r="AO121" s="3212"/>
      <c r="AP121" s="3212"/>
      <c r="AQ121" s="3212"/>
      <c r="AR121" s="3212"/>
      <c r="AS121" s="3212"/>
      <c r="AT121" s="3175"/>
      <c r="AU121" s="3232"/>
      <c r="AV121" s="466">
        <f t="shared" si="88"/>
        <v>0</v>
      </c>
      <c r="AW121" s="466">
        <f t="shared" si="89"/>
        <v>0</v>
      </c>
      <c r="AX121" s="466">
        <f t="shared" si="90"/>
        <v>0</v>
      </c>
      <c r="AY121" s="385">
        <f t="shared" si="65"/>
        <v>0</v>
      </c>
      <c r="AZ121" s="3174">
        <f t="shared" si="66"/>
        <v>0</v>
      </c>
      <c r="BA121" s="3174">
        <f t="shared" si="67"/>
        <v>0</v>
      </c>
      <c r="BB121" s="3174">
        <f t="shared" si="68"/>
        <v>0</v>
      </c>
      <c r="BC121" s="3174">
        <f t="shared" si="69"/>
        <v>0</v>
      </c>
      <c r="BD121" s="3174">
        <f t="shared" si="70"/>
        <v>0</v>
      </c>
      <c r="BE121" s="3174">
        <f t="shared" si="71"/>
        <v>0</v>
      </c>
      <c r="BF121" s="3174">
        <f t="shared" si="72"/>
        <v>0</v>
      </c>
      <c r="BG121" s="3174">
        <f t="shared" si="73"/>
        <v>0</v>
      </c>
      <c r="BH121" s="3174">
        <f t="shared" si="74"/>
        <v>0</v>
      </c>
      <c r="BI121" s="3174">
        <f t="shared" si="75"/>
        <v>0</v>
      </c>
      <c r="BJ121" s="3174">
        <f t="shared" si="76"/>
        <v>0</v>
      </c>
      <c r="BK121" s="3174">
        <f t="shared" si="77"/>
        <v>0</v>
      </c>
      <c r="BL121" s="3174">
        <f t="shared" si="78"/>
        <v>0</v>
      </c>
      <c r="BM121" s="3174">
        <f t="shared" si="79"/>
        <v>0</v>
      </c>
      <c r="BN121" s="3174">
        <f t="shared" si="80"/>
        <v>0</v>
      </c>
      <c r="BO121" s="3174">
        <f t="shared" si="81"/>
        <v>0</v>
      </c>
      <c r="BP121" s="3174">
        <f t="shared" si="82"/>
        <v>0</v>
      </c>
      <c r="BQ121" s="3174">
        <f t="shared" si="83"/>
        <v>0</v>
      </c>
      <c r="BR121" s="3174">
        <f t="shared" si="84"/>
        <v>0</v>
      </c>
      <c r="BS121" s="3174">
        <f t="shared" si="85"/>
        <v>0</v>
      </c>
      <c r="BT121" s="3249">
        <f t="shared" si="86"/>
        <v>0</v>
      </c>
    </row>
    <row r="122" spans="1:72">
      <c r="A122" s="489"/>
      <c r="B122" s="3179"/>
      <c r="C122" s="3180"/>
      <c r="D122" s="3181"/>
      <c r="E122" s="3174">
        <f t="shared" si="87"/>
        <v>0</v>
      </c>
      <c r="F122" s="3175"/>
      <c r="G122" s="3176">
        <f t="shared" si="62"/>
        <v>0</v>
      </c>
      <c r="H122" s="3177">
        <f t="shared" si="63"/>
        <v>0</v>
      </c>
      <c r="I122" s="3180"/>
      <c r="J122" s="3200"/>
      <c r="K122" s="3180"/>
      <c r="L122" s="3200"/>
      <c r="M122" s="3200"/>
      <c r="N122" s="3200"/>
      <c r="O122" s="3200"/>
      <c r="P122" s="3200"/>
      <c r="Q122" s="3200"/>
      <c r="R122" s="3200"/>
      <c r="S122" s="3200"/>
      <c r="T122" s="3200"/>
      <c r="U122" s="3200"/>
      <c r="V122" s="3200"/>
      <c r="W122" s="3200"/>
      <c r="X122" s="3200"/>
      <c r="Y122" s="3200"/>
      <c r="Z122" s="3200"/>
      <c r="AA122" s="3200"/>
      <c r="AB122" s="3200"/>
      <c r="AC122" s="3174">
        <f t="shared" si="64"/>
        <v>0</v>
      </c>
      <c r="AD122" s="3212"/>
      <c r="AE122" s="3212"/>
      <c r="AF122" s="3180"/>
      <c r="AG122" s="3212"/>
      <c r="AH122" s="3212"/>
      <c r="AI122" s="3212"/>
      <c r="AJ122" s="3212"/>
      <c r="AK122" s="3212"/>
      <c r="AL122" s="3212"/>
      <c r="AM122" s="3212"/>
      <c r="AN122" s="3212"/>
      <c r="AO122" s="3212"/>
      <c r="AP122" s="3212"/>
      <c r="AQ122" s="3212"/>
      <c r="AR122" s="3212"/>
      <c r="AS122" s="3212"/>
      <c r="AT122" s="3175"/>
      <c r="AU122" s="3232"/>
      <c r="AV122" s="466">
        <f t="shared" si="88"/>
        <v>0</v>
      </c>
      <c r="AW122" s="466">
        <f t="shared" si="89"/>
        <v>0</v>
      </c>
      <c r="AX122" s="466">
        <f t="shared" si="90"/>
        <v>0</v>
      </c>
      <c r="AY122" s="385">
        <f t="shared" si="65"/>
        <v>0</v>
      </c>
      <c r="AZ122" s="3174">
        <f t="shared" si="66"/>
        <v>0</v>
      </c>
      <c r="BA122" s="3174">
        <f t="shared" si="67"/>
        <v>0</v>
      </c>
      <c r="BB122" s="3174">
        <f t="shared" si="68"/>
        <v>0</v>
      </c>
      <c r="BC122" s="3174">
        <f t="shared" si="69"/>
        <v>0</v>
      </c>
      <c r="BD122" s="3174">
        <f t="shared" si="70"/>
        <v>0</v>
      </c>
      <c r="BE122" s="3174">
        <f t="shared" si="71"/>
        <v>0</v>
      </c>
      <c r="BF122" s="3174">
        <f t="shared" si="72"/>
        <v>0</v>
      </c>
      <c r="BG122" s="3174">
        <f t="shared" si="73"/>
        <v>0</v>
      </c>
      <c r="BH122" s="3174">
        <f t="shared" si="74"/>
        <v>0</v>
      </c>
      <c r="BI122" s="3174">
        <f t="shared" si="75"/>
        <v>0</v>
      </c>
      <c r="BJ122" s="3174">
        <f t="shared" si="76"/>
        <v>0</v>
      </c>
      <c r="BK122" s="3174">
        <f t="shared" si="77"/>
        <v>0</v>
      </c>
      <c r="BL122" s="3174">
        <f t="shared" si="78"/>
        <v>0</v>
      </c>
      <c r="BM122" s="3174">
        <f t="shared" si="79"/>
        <v>0</v>
      </c>
      <c r="BN122" s="3174">
        <f t="shared" si="80"/>
        <v>0</v>
      </c>
      <c r="BO122" s="3174">
        <f t="shared" si="81"/>
        <v>0</v>
      </c>
      <c r="BP122" s="3174">
        <f t="shared" si="82"/>
        <v>0</v>
      </c>
      <c r="BQ122" s="3174">
        <f t="shared" si="83"/>
        <v>0</v>
      </c>
      <c r="BR122" s="3174">
        <f t="shared" si="84"/>
        <v>0</v>
      </c>
      <c r="BS122" s="3174">
        <f t="shared" si="85"/>
        <v>0</v>
      </c>
      <c r="BT122" s="3249">
        <f t="shared" si="86"/>
        <v>0</v>
      </c>
    </row>
    <row r="123" spans="1:72">
      <c r="A123" s="489"/>
      <c r="B123" s="3179"/>
      <c r="C123" s="3180"/>
      <c r="D123" s="3181"/>
      <c r="E123" s="3174">
        <f t="shared" si="87"/>
        <v>0</v>
      </c>
      <c r="F123" s="3175"/>
      <c r="G123" s="3176">
        <f t="shared" si="62"/>
        <v>0</v>
      </c>
      <c r="H123" s="3177">
        <f t="shared" si="63"/>
        <v>0</v>
      </c>
      <c r="I123" s="3180"/>
      <c r="J123" s="3200"/>
      <c r="K123" s="3180"/>
      <c r="L123" s="3200"/>
      <c r="M123" s="3200"/>
      <c r="N123" s="3200"/>
      <c r="O123" s="3200"/>
      <c r="P123" s="3200"/>
      <c r="Q123" s="3200"/>
      <c r="R123" s="3200"/>
      <c r="S123" s="3200"/>
      <c r="T123" s="3200"/>
      <c r="U123" s="3200"/>
      <c r="V123" s="3200"/>
      <c r="W123" s="3200"/>
      <c r="X123" s="3200"/>
      <c r="Y123" s="3200"/>
      <c r="Z123" s="3200"/>
      <c r="AA123" s="3200"/>
      <c r="AB123" s="3200"/>
      <c r="AC123" s="3174">
        <f t="shared" si="64"/>
        <v>0</v>
      </c>
      <c r="AD123" s="3212"/>
      <c r="AE123" s="3212"/>
      <c r="AF123" s="3180"/>
      <c r="AG123" s="3212"/>
      <c r="AH123" s="3212"/>
      <c r="AI123" s="3212"/>
      <c r="AJ123" s="3212"/>
      <c r="AK123" s="3212"/>
      <c r="AL123" s="3212"/>
      <c r="AM123" s="3212"/>
      <c r="AN123" s="3212"/>
      <c r="AO123" s="3212"/>
      <c r="AP123" s="3212"/>
      <c r="AQ123" s="3212"/>
      <c r="AR123" s="3212"/>
      <c r="AS123" s="3212"/>
      <c r="AT123" s="3175"/>
      <c r="AU123" s="3232"/>
      <c r="AV123" s="466">
        <f t="shared" si="88"/>
        <v>0</v>
      </c>
      <c r="AW123" s="466">
        <f t="shared" si="89"/>
        <v>0</v>
      </c>
      <c r="AX123" s="466">
        <f t="shared" si="90"/>
        <v>0</v>
      </c>
      <c r="AY123" s="385">
        <f t="shared" si="65"/>
        <v>0</v>
      </c>
      <c r="AZ123" s="3174">
        <f t="shared" si="66"/>
        <v>0</v>
      </c>
      <c r="BA123" s="3174">
        <f t="shared" si="67"/>
        <v>0</v>
      </c>
      <c r="BB123" s="3174">
        <f t="shared" si="68"/>
        <v>0</v>
      </c>
      <c r="BC123" s="3174">
        <f t="shared" si="69"/>
        <v>0</v>
      </c>
      <c r="BD123" s="3174">
        <f t="shared" si="70"/>
        <v>0</v>
      </c>
      <c r="BE123" s="3174">
        <f t="shared" si="71"/>
        <v>0</v>
      </c>
      <c r="BF123" s="3174">
        <f t="shared" si="72"/>
        <v>0</v>
      </c>
      <c r="BG123" s="3174">
        <f t="shared" si="73"/>
        <v>0</v>
      </c>
      <c r="BH123" s="3174">
        <f t="shared" si="74"/>
        <v>0</v>
      </c>
      <c r="BI123" s="3174">
        <f t="shared" si="75"/>
        <v>0</v>
      </c>
      <c r="BJ123" s="3174">
        <f t="shared" si="76"/>
        <v>0</v>
      </c>
      <c r="BK123" s="3174">
        <f t="shared" si="77"/>
        <v>0</v>
      </c>
      <c r="BL123" s="3174">
        <f t="shared" si="78"/>
        <v>0</v>
      </c>
      <c r="BM123" s="3174">
        <f t="shared" si="79"/>
        <v>0</v>
      </c>
      <c r="BN123" s="3174">
        <f t="shared" si="80"/>
        <v>0</v>
      </c>
      <c r="BO123" s="3174">
        <f t="shared" si="81"/>
        <v>0</v>
      </c>
      <c r="BP123" s="3174">
        <f t="shared" si="82"/>
        <v>0</v>
      </c>
      <c r="BQ123" s="3174">
        <f t="shared" si="83"/>
        <v>0</v>
      </c>
      <c r="BR123" s="3174">
        <f t="shared" si="84"/>
        <v>0</v>
      </c>
      <c r="BS123" s="3174">
        <f t="shared" si="85"/>
        <v>0</v>
      </c>
      <c r="BT123" s="3249">
        <f t="shared" si="86"/>
        <v>0</v>
      </c>
    </row>
    <row r="124" spans="1:72">
      <c r="A124" s="489"/>
      <c r="B124" s="3179"/>
      <c r="C124" s="3180"/>
      <c r="D124" s="3181"/>
      <c r="E124" s="3174">
        <f t="shared" si="87"/>
        <v>0</v>
      </c>
      <c r="F124" s="3175"/>
      <c r="G124" s="3176">
        <f t="shared" si="62"/>
        <v>0</v>
      </c>
      <c r="H124" s="3177">
        <f t="shared" si="63"/>
        <v>0</v>
      </c>
      <c r="I124" s="3180"/>
      <c r="J124" s="3200"/>
      <c r="K124" s="3180"/>
      <c r="L124" s="3200"/>
      <c r="M124" s="3200"/>
      <c r="N124" s="3200"/>
      <c r="O124" s="3200"/>
      <c r="P124" s="3200"/>
      <c r="Q124" s="3200"/>
      <c r="R124" s="3200"/>
      <c r="S124" s="3200"/>
      <c r="T124" s="3200"/>
      <c r="U124" s="3200"/>
      <c r="V124" s="3200"/>
      <c r="W124" s="3200"/>
      <c r="X124" s="3200"/>
      <c r="Y124" s="3200"/>
      <c r="Z124" s="3200"/>
      <c r="AA124" s="3200"/>
      <c r="AB124" s="3200"/>
      <c r="AC124" s="3174">
        <f t="shared" si="64"/>
        <v>0</v>
      </c>
      <c r="AD124" s="3212"/>
      <c r="AE124" s="3212"/>
      <c r="AF124" s="3180"/>
      <c r="AG124" s="3212"/>
      <c r="AH124" s="3212"/>
      <c r="AI124" s="3212"/>
      <c r="AJ124" s="3212"/>
      <c r="AK124" s="3212"/>
      <c r="AL124" s="3212"/>
      <c r="AM124" s="3212"/>
      <c r="AN124" s="3212"/>
      <c r="AO124" s="3212"/>
      <c r="AP124" s="3212"/>
      <c r="AQ124" s="3212"/>
      <c r="AR124" s="3212"/>
      <c r="AS124" s="3212"/>
      <c r="AT124" s="3175"/>
      <c r="AU124" s="3232"/>
      <c r="AV124" s="466">
        <f t="shared" si="88"/>
        <v>0</v>
      </c>
      <c r="AW124" s="466">
        <f t="shared" si="89"/>
        <v>0</v>
      </c>
      <c r="AX124" s="466">
        <f t="shared" si="90"/>
        <v>0</v>
      </c>
      <c r="AY124" s="385">
        <f t="shared" si="65"/>
        <v>0</v>
      </c>
      <c r="AZ124" s="3174">
        <f t="shared" si="66"/>
        <v>0</v>
      </c>
      <c r="BA124" s="3174">
        <f t="shared" si="67"/>
        <v>0</v>
      </c>
      <c r="BB124" s="3174">
        <f t="shared" si="68"/>
        <v>0</v>
      </c>
      <c r="BC124" s="3174">
        <f t="shared" si="69"/>
        <v>0</v>
      </c>
      <c r="BD124" s="3174">
        <f t="shared" si="70"/>
        <v>0</v>
      </c>
      <c r="BE124" s="3174">
        <f t="shared" si="71"/>
        <v>0</v>
      </c>
      <c r="BF124" s="3174">
        <f t="shared" si="72"/>
        <v>0</v>
      </c>
      <c r="BG124" s="3174">
        <f t="shared" si="73"/>
        <v>0</v>
      </c>
      <c r="BH124" s="3174">
        <f t="shared" si="74"/>
        <v>0</v>
      </c>
      <c r="BI124" s="3174">
        <f t="shared" si="75"/>
        <v>0</v>
      </c>
      <c r="BJ124" s="3174">
        <f t="shared" si="76"/>
        <v>0</v>
      </c>
      <c r="BK124" s="3174">
        <f t="shared" si="77"/>
        <v>0</v>
      </c>
      <c r="BL124" s="3174">
        <f t="shared" si="78"/>
        <v>0</v>
      </c>
      <c r="BM124" s="3174">
        <f t="shared" si="79"/>
        <v>0</v>
      </c>
      <c r="BN124" s="3174">
        <f t="shared" si="80"/>
        <v>0</v>
      </c>
      <c r="BO124" s="3174">
        <f t="shared" si="81"/>
        <v>0</v>
      </c>
      <c r="BP124" s="3174">
        <f t="shared" si="82"/>
        <v>0</v>
      </c>
      <c r="BQ124" s="3174">
        <f t="shared" si="83"/>
        <v>0</v>
      </c>
      <c r="BR124" s="3174">
        <f t="shared" si="84"/>
        <v>0</v>
      </c>
      <c r="BS124" s="3174">
        <f t="shared" si="85"/>
        <v>0</v>
      </c>
      <c r="BT124" s="3249">
        <f t="shared" si="86"/>
        <v>0</v>
      </c>
    </row>
    <row r="125" spans="1:72">
      <c r="A125" s="489"/>
      <c r="B125" s="3179"/>
      <c r="C125" s="3180"/>
      <c r="D125" s="3181"/>
      <c r="E125" s="3174">
        <f t="shared" si="87"/>
        <v>0</v>
      </c>
      <c r="F125" s="3175"/>
      <c r="G125" s="3176">
        <f t="shared" si="62"/>
        <v>0</v>
      </c>
      <c r="H125" s="3177">
        <f t="shared" si="63"/>
        <v>0</v>
      </c>
      <c r="I125" s="3180"/>
      <c r="J125" s="3200"/>
      <c r="K125" s="3180"/>
      <c r="L125" s="3200"/>
      <c r="M125" s="3200"/>
      <c r="N125" s="3200"/>
      <c r="O125" s="3200"/>
      <c r="P125" s="3200"/>
      <c r="Q125" s="3200"/>
      <c r="R125" s="3200"/>
      <c r="S125" s="3200"/>
      <c r="T125" s="3200"/>
      <c r="U125" s="3200"/>
      <c r="V125" s="3200"/>
      <c r="W125" s="3200"/>
      <c r="X125" s="3200"/>
      <c r="Y125" s="3200"/>
      <c r="Z125" s="3200"/>
      <c r="AA125" s="3200"/>
      <c r="AB125" s="3200"/>
      <c r="AC125" s="3174">
        <f t="shared" si="64"/>
        <v>0</v>
      </c>
      <c r="AD125" s="3212"/>
      <c r="AE125" s="3212"/>
      <c r="AF125" s="3180"/>
      <c r="AG125" s="3212"/>
      <c r="AH125" s="3212"/>
      <c r="AI125" s="3212"/>
      <c r="AJ125" s="3212"/>
      <c r="AK125" s="3212"/>
      <c r="AL125" s="3212"/>
      <c r="AM125" s="3212"/>
      <c r="AN125" s="3212"/>
      <c r="AO125" s="3212"/>
      <c r="AP125" s="3212"/>
      <c r="AQ125" s="3212"/>
      <c r="AR125" s="3212"/>
      <c r="AS125" s="3212"/>
      <c r="AT125" s="3175"/>
      <c r="AU125" s="3232"/>
      <c r="AV125" s="466">
        <f t="shared" si="88"/>
        <v>0</v>
      </c>
      <c r="AW125" s="466">
        <f t="shared" si="89"/>
        <v>0</v>
      </c>
      <c r="AX125" s="466">
        <f t="shared" si="90"/>
        <v>0</v>
      </c>
      <c r="AY125" s="385">
        <f t="shared" si="65"/>
        <v>0</v>
      </c>
      <c r="AZ125" s="3174">
        <f t="shared" si="66"/>
        <v>0</v>
      </c>
      <c r="BA125" s="3174">
        <f t="shared" si="67"/>
        <v>0</v>
      </c>
      <c r="BB125" s="3174">
        <f t="shared" si="68"/>
        <v>0</v>
      </c>
      <c r="BC125" s="3174">
        <f t="shared" si="69"/>
        <v>0</v>
      </c>
      <c r="BD125" s="3174">
        <f t="shared" si="70"/>
        <v>0</v>
      </c>
      <c r="BE125" s="3174">
        <f t="shared" si="71"/>
        <v>0</v>
      </c>
      <c r="BF125" s="3174">
        <f t="shared" si="72"/>
        <v>0</v>
      </c>
      <c r="BG125" s="3174">
        <f t="shared" si="73"/>
        <v>0</v>
      </c>
      <c r="BH125" s="3174">
        <f t="shared" si="74"/>
        <v>0</v>
      </c>
      <c r="BI125" s="3174">
        <f t="shared" si="75"/>
        <v>0</v>
      </c>
      <c r="BJ125" s="3174">
        <f t="shared" si="76"/>
        <v>0</v>
      </c>
      <c r="BK125" s="3174">
        <f t="shared" si="77"/>
        <v>0</v>
      </c>
      <c r="BL125" s="3174">
        <f t="shared" si="78"/>
        <v>0</v>
      </c>
      <c r="BM125" s="3174">
        <f t="shared" si="79"/>
        <v>0</v>
      </c>
      <c r="BN125" s="3174">
        <f t="shared" si="80"/>
        <v>0</v>
      </c>
      <c r="BO125" s="3174">
        <f t="shared" si="81"/>
        <v>0</v>
      </c>
      <c r="BP125" s="3174">
        <f t="shared" si="82"/>
        <v>0</v>
      </c>
      <c r="BQ125" s="3174">
        <f t="shared" si="83"/>
        <v>0</v>
      </c>
      <c r="BR125" s="3174">
        <f t="shared" si="84"/>
        <v>0</v>
      </c>
      <c r="BS125" s="3174">
        <f t="shared" si="85"/>
        <v>0</v>
      </c>
      <c r="BT125" s="3249">
        <f t="shared" si="86"/>
        <v>0</v>
      </c>
    </row>
    <row r="126" spans="1:72">
      <c r="A126" s="489"/>
      <c r="B126" s="3179"/>
      <c r="C126" s="3180"/>
      <c r="D126" s="3181"/>
      <c r="E126" s="3174">
        <f t="shared" si="87"/>
        <v>0</v>
      </c>
      <c r="F126" s="3175"/>
      <c r="G126" s="3176">
        <f t="shared" si="62"/>
        <v>0</v>
      </c>
      <c r="H126" s="3177">
        <f t="shared" si="63"/>
        <v>0</v>
      </c>
      <c r="I126" s="3180"/>
      <c r="J126" s="3200"/>
      <c r="K126" s="3180"/>
      <c r="L126" s="3200"/>
      <c r="M126" s="3200"/>
      <c r="N126" s="3200"/>
      <c r="O126" s="3200"/>
      <c r="P126" s="3200"/>
      <c r="Q126" s="3200"/>
      <c r="R126" s="3200"/>
      <c r="S126" s="3200"/>
      <c r="T126" s="3200"/>
      <c r="U126" s="3200"/>
      <c r="V126" s="3200"/>
      <c r="W126" s="3200"/>
      <c r="X126" s="3200"/>
      <c r="Y126" s="3200"/>
      <c r="Z126" s="3200"/>
      <c r="AA126" s="3200"/>
      <c r="AB126" s="3200"/>
      <c r="AC126" s="3174">
        <f t="shared" si="64"/>
        <v>0</v>
      </c>
      <c r="AD126" s="3212"/>
      <c r="AE126" s="3212"/>
      <c r="AF126" s="3180"/>
      <c r="AG126" s="3212"/>
      <c r="AH126" s="3212"/>
      <c r="AI126" s="3212"/>
      <c r="AJ126" s="3212"/>
      <c r="AK126" s="3212"/>
      <c r="AL126" s="3212"/>
      <c r="AM126" s="3212"/>
      <c r="AN126" s="3212"/>
      <c r="AO126" s="3212"/>
      <c r="AP126" s="3212"/>
      <c r="AQ126" s="3212"/>
      <c r="AR126" s="3212"/>
      <c r="AS126" s="3212"/>
      <c r="AT126" s="3175"/>
      <c r="AU126" s="3232"/>
      <c r="AV126" s="466">
        <f t="shared" si="88"/>
        <v>0</v>
      </c>
      <c r="AW126" s="466">
        <f t="shared" si="89"/>
        <v>0</v>
      </c>
      <c r="AX126" s="466">
        <f t="shared" si="90"/>
        <v>0</v>
      </c>
      <c r="AY126" s="385">
        <f t="shared" si="65"/>
        <v>0</v>
      </c>
      <c r="AZ126" s="3174">
        <f t="shared" si="66"/>
        <v>0</v>
      </c>
      <c r="BA126" s="3174">
        <f t="shared" si="67"/>
        <v>0</v>
      </c>
      <c r="BB126" s="3174">
        <f t="shared" si="68"/>
        <v>0</v>
      </c>
      <c r="BC126" s="3174">
        <f t="shared" si="69"/>
        <v>0</v>
      </c>
      <c r="BD126" s="3174">
        <f t="shared" si="70"/>
        <v>0</v>
      </c>
      <c r="BE126" s="3174">
        <f t="shared" si="71"/>
        <v>0</v>
      </c>
      <c r="BF126" s="3174">
        <f t="shared" si="72"/>
        <v>0</v>
      </c>
      <c r="BG126" s="3174">
        <f t="shared" si="73"/>
        <v>0</v>
      </c>
      <c r="BH126" s="3174">
        <f t="shared" si="74"/>
        <v>0</v>
      </c>
      <c r="BI126" s="3174">
        <f t="shared" si="75"/>
        <v>0</v>
      </c>
      <c r="BJ126" s="3174">
        <f t="shared" si="76"/>
        <v>0</v>
      </c>
      <c r="BK126" s="3174">
        <f t="shared" si="77"/>
        <v>0</v>
      </c>
      <c r="BL126" s="3174">
        <f t="shared" si="78"/>
        <v>0</v>
      </c>
      <c r="BM126" s="3174">
        <f t="shared" si="79"/>
        <v>0</v>
      </c>
      <c r="BN126" s="3174">
        <f t="shared" si="80"/>
        <v>0</v>
      </c>
      <c r="BO126" s="3174">
        <f t="shared" si="81"/>
        <v>0</v>
      </c>
      <c r="BP126" s="3174">
        <f t="shared" si="82"/>
        <v>0</v>
      </c>
      <c r="BQ126" s="3174">
        <f t="shared" si="83"/>
        <v>0</v>
      </c>
      <c r="BR126" s="3174">
        <f t="shared" si="84"/>
        <v>0</v>
      </c>
      <c r="BS126" s="3174">
        <f t="shared" si="85"/>
        <v>0</v>
      </c>
      <c r="BT126" s="3249">
        <f t="shared" si="86"/>
        <v>0</v>
      </c>
    </row>
    <row r="127" spans="1:72">
      <c r="A127" s="489"/>
      <c r="B127" s="3179"/>
      <c r="C127" s="3180"/>
      <c r="D127" s="3181"/>
      <c r="E127" s="3174">
        <f t="shared" si="87"/>
        <v>0</v>
      </c>
      <c r="F127" s="3175"/>
      <c r="G127" s="3176">
        <f t="shared" si="62"/>
        <v>0</v>
      </c>
      <c r="H127" s="3177">
        <f t="shared" si="63"/>
        <v>0</v>
      </c>
      <c r="I127" s="3180"/>
      <c r="J127" s="3200"/>
      <c r="K127" s="3180"/>
      <c r="L127" s="3200"/>
      <c r="M127" s="3200"/>
      <c r="N127" s="3200"/>
      <c r="O127" s="3200"/>
      <c r="P127" s="3200"/>
      <c r="Q127" s="3200"/>
      <c r="R127" s="3200"/>
      <c r="S127" s="3200"/>
      <c r="T127" s="3200"/>
      <c r="U127" s="3200"/>
      <c r="V127" s="3200"/>
      <c r="W127" s="3200"/>
      <c r="X127" s="3200"/>
      <c r="Y127" s="3200"/>
      <c r="Z127" s="3200"/>
      <c r="AA127" s="3200"/>
      <c r="AB127" s="3200"/>
      <c r="AC127" s="3174">
        <f t="shared" si="64"/>
        <v>0</v>
      </c>
      <c r="AD127" s="3212"/>
      <c r="AE127" s="3212"/>
      <c r="AF127" s="3180"/>
      <c r="AG127" s="3212"/>
      <c r="AH127" s="3212"/>
      <c r="AI127" s="3212"/>
      <c r="AJ127" s="3212"/>
      <c r="AK127" s="3212"/>
      <c r="AL127" s="3212"/>
      <c r="AM127" s="3212"/>
      <c r="AN127" s="3212"/>
      <c r="AO127" s="3212"/>
      <c r="AP127" s="3212"/>
      <c r="AQ127" s="3212"/>
      <c r="AR127" s="3212"/>
      <c r="AS127" s="3212"/>
      <c r="AT127" s="3175"/>
      <c r="AU127" s="3232"/>
      <c r="AV127" s="466">
        <f t="shared" si="88"/>
        <v>0</v>
      </c>
      <c r="AW127" s="466">
        <f t="shared" si="89"/>
        <v>0</v>
      </c>
      <c r="AX127" s="466">
        <f t="shared" si="90"/>
        <v>0</v>
      </c>
      <c r="AY127" s="385">
        <f t="shared" si="65"/>
        <v>0</v>
      </c>
      <c r="AZ127" s="3174">
        <f t="shared" si="66"/>
        <v>0</v>
      </c>
      <c r="BA127" s="3174">
        <f t="shared" si="67"/>
        <v>0</v>
      </c>
      <c r="BB127" s="3174">
        <f t="shared" si="68"/>
        <v>0</v>
      </c>
      <c r="BC127" s="3174">
        <f t="shared" si="69"/>
        <v>0</v>
      </c>
      <c r="BD127" s="3174">
        <f t="shared" si="70"/>
        <v>0</v>
      </c>
      <c r="BE127" s="3174">
        <f t="shared" si="71"/>
        <v>0</v>
      </c>
      <c r="BF127" s="3174">
        <f t="shared" si="72"/>
        <v>0</v>
      </c>
      <c r="BG127" s="3174">
        <f t="shared" si="73"/>
        <v>0</v>
      </c>
      <c r="BH127" s="3174">
        <f t="shared" si="74"/>
        <v>0</v>
      </c>
      <c r="BI127" s="3174">
        <f t="shared" si="75"/>
        <v>0</v>
      </c>
      <c r="BJ127" s="3174">
        <f t="shared" si="76"/>
        <v>0</v>
      </c>
      <c r="BK127" s="3174">
        <f t="shared" si="77"/>
        <v>0</v>
      </c>
      <c r="BL127" s="3174">
        <f t="shared" si="78"/>
        <v>0</v>
      </c>
      <c r="BM127" s="3174">
        <f t="shared" si="79"/>
        <v>0</v>
      </c>
      <c r="BN127" s="3174">
        <f t="shared" si="80"/>
        <v>0</v>
      </c>
      <c r="BO127" s="3174">
        <f t="shared" si="81"/>
        <v>0</v>
      </c>
      <c r="BP127" s="3174">
        <f t="shared" si="82"/>
        <v>0</v>
      </c>
      <c r="BQ127" s="3174">
        <f t="shared" si="83"/>
        <v>0</v>
      </c>
      <c r="BR127" s="3174">
        <f t="shared" si="84"/>
        <v>0</v>
      </c>
      <c r="BS127" s="3174">
        <f t="shared" si="85"/>
        <v>0</v>
      </c>
      <c r="BT127" s="3249">
        <f t="shared" si="86"/>
        <v>0</v>
      </c>
    </row>
    <row r="128" spans="1:72">
      <c r="A128" s="489"/>
      <c r="B128" s="3179"/>
      <c r="C128" s="3180"/>
      <c r="D128" s="3181"/>
      <c r="E128" s="3174">
        <f t="shared" si="87"/>
        <v>0</v>
      </c>
      <c r="F128" s="3175"/>
      <c r="G128" s="3176">
        <f t="shared" si="62"/>
        <v>0</v>
      </c>
      <c r="H128" s="3177">
        <f t="shared" si="63"/>
        <v>0</v>
      </c>
      <c r="I128" s="3180"/>
      <c r="J128" s="3200"/>
      <c r="K128" s="3180"/>
      <c r="L128" s="3200"/>
      <c r="M128" s="3200"/>
      <c r="N128" s="3200"/>
      <c r="O128" s="3200"/>
      <c r="P128" s="3200"/>
      <c r="Q128" s="3200"/>
      <c r="R128" s="3200"/>
      <c r="S128" s="3200"/>
      <c r="T128" s="3200"/>
      <c r="U128" s="3200"/>
      <c r="V128" s="3200"/>
      <c r="W128" s="3200"/>
      <c r="X128" s="3200"/>
      <c r="Y128" s="3200"/>
      <c r="Z128" s="3200"/>
      <c r="AA128" s="3200"/>
      <c r="AB128" s="3200"/>
      <c r="AC128" s="3174">
        <f t="shared" si="64"/>
        <v>0</v>
      </c>
      <c r="AD128" s="3212"/>
      <c r="AE128" s="3212"/>
      <c r="AF128" s="3180"/>
      <c r="AG128" s="3212"/>
      <c r="AH128" s="3212"/>
      <c r="AI128" s="3212"/>
      <c r="AJ128" s="3212"/>
      <c r="AK128" s="3212"/>
      <c r="AL128" s="3212"/>
      <c r="AM128" s="3212"/>
      <c r="AN128" s="3212"/>
      <c r="AO128" s="3212"/>
      <c r="AP128" s="3212"/>
      <c r="AQ128" s="3212"/>
      <c r="AR128" s="3212"/>
      <c r="AS128" s="3212"/>
      <c r="AT128" s="3175"/>
      <c r="AU128" s="3232"/>
      <c r="AV128" s="466">
        <f t="shared" si="88"/>
        <v>0</v>
      </c>
      <c r="AW128" s="466">
        <f t="shared" si="89"/>
        <v>0</v>
      </c>
      <c r="AX128" s="466">
        <f t="shared" si="90"/>
        <v>0</v>
      </c>
      <c r="AY128" s="385">
        <f t="shared" si="65"/>
        <v>0</v>
      </c>
      <c r="AZ128" s="3174">
        <f t="shared" si="66"/>
        <v>0</v>
      </c>
      <c r="BA128" s="3174">
        <f t="shared" si="67"/>
        <v>0</v>
      </c>
      <c r="BB128" s="3174">
        <f t="shared" si="68"/>
        <v>0</v>
      </c>
      <c r="BC128" s="3174">
        <f t="shared" si="69"/>
        <v>0</v>
      </c>
      <c r="BD128" s="3174">
        <f t="shared" si="70"/>
        <v>0</v>
      </c>
      <c r="BE128" s="3174">
        <f t="shared" si="71"/>
        <v>0</v>
      </c>
      <c r="BF128" s="3174">
        <f t="shared" si="72"/>
        <v>0</v>
      </c>
      <c r="BG128" s="3174">
        <f t="shared" si="73"/>
        <v>0</v>
      </c>
      <c r="BH128" s="3174">
        <f t="shared" si="74"/>
        <v>0</v>
      </c>
      <c r="BI128" s="3174">
        <f t="shared" si="75"/>
        <v>0</v>
      </c>
      <c r="BJ128" s="3174">
        <f t="shared" si="76"/>
        <v>0</v>
      </c>
      <c r="BK128" s="3174">
        <f t="shared" si="77"/>
        <v>0</v>
      </c>
      <c r="BL128" s="3174">
        <f t="shared" si="78"/>
        <v>0</v>
      </c>
      <c r="BM128" s="3174">
        <f t="shared" si="79"/>
        <v>0</v>
      </c>
      <c r="BN128" s="3174">
        <f t="shared" si="80"/>
        <v>0</v>
      </c>
      <c r="BO128" s="3174">
        <f t="shared" si="81"/>
        <v>0</v>
      </c>
      <c r="BP128" s="3174">
        <f t="shared" si="82"/>
        <v>0</v>
      </c>
      <c r="BQ128" s="3174">
        <f t="shared" si="83"/>
        <v>0</v>
      </c>
      <c r="BR128" s="3174">
        <f t="shared" si="84"/>
        <v>0</v>
      </c>
      <c r="BS128" s="3174">
        <f t="shared" si="85"/>
        <v>0</v>
      </c>
      <c r="BT128" s="3249">
        <f t="shared" si="86"/>
        <v>0</v>
      </c>
    </row>
    <row r="129" spans="1:72">
      <c r="A129" s="489"/>
      <c r="B129" s="3179"/>
      <c r="C129" s="3180"/>
      <c r="D129" s="3181"/>
      <c r="E129" s="3174">
        <f t="shared" si="87"/>
        <v>0</v>
      </c>
      <c r="F129" s="3175"/>
      <c r="G129" s="3176">
        <f t="shared" si="62"/>
        <v>0</v>
      </c>
      <c r="H129" s="3177">
        <f t="shared" si="63"/>
        <v>0</v>
      </c>
      <c r="I129" s="3180"/>
      <c r="J129" s="3200"/>
      <c r="K129" s="3180"/>
      <c r="L129" s="3200"/>
      <c r="M129" s="3200"/>
      <c r="N129" s="3200"/>
      <c r="O129" s="3200"/>
      <c r="P129" s="3200"/>
      <c r="Q129" s="3200"/>
      <c r="R129" s="3200"/>
      <c r="S129" s="3200"/>
      <c r="T129" s="3200"/>
      <c r="U129" s="3200"/>
      <c r="V129" s="3200"/>
      <c r="W129" s="3200"/>
      <c r="X129" s="3200"/>
      <c r="Y129" s="3200"/>
      <c r="Z129" s="3200"/>
      <c r="AA129" s="3200"/>
      <c r="AB129" s="3200"/>
      <c r="AC129" s="3174">
        <f t="shared" si="64"/>
        <v>0</v>
      </c>
      <c r="AD129" s="3212"/>
      <c r="AE129" s="3212"/>
      <c r="AF129" s="3180"/>
      <c r="AG129" s="3212"/>
      <c r="AH129" s="3212"/>
      <c r="AI129" s="3212"/>
      <c r="AJ129" s="3212"/>
      <c r="AK129" s="3212"/>
      <c r="AL129" s="3212"/>
      <c r="AM129" s="3212"/>
      <c r="AN129" s="3212"/>
      <c r="AO129" s="3212"/>
      <c r="AP129" s="3212"/>
      <c r="AQ129" s="3212"/>
      <c r="AR129" s="3212"/>
      <c r="AS129" s="3212"/>
      <c r="AT129" s="3175"/>
      <c r="AU129" s="3232"/>
      <c r="AV129" s="466">
        <f t="shared" si="88"/>
        <v>0</v>
      </c>
      <c r="AW129" s="466">
        <f t="shared" si="89"/>
        <v>0</v>
      </c>
      <c r="AX129" s="466">
        <f t="shared" si="90"/>
        <v>0</v>
      </c>
      <c r="AY129" s="385">
        <f t="shared" si="65"/>
        <v>0</v>
      </c>
      <c r="AZ129" s="3174">
        <f t="shared" si="66"/>
        <v>0</v>
      </c>
      <c r="BA129" s="3174">
        <f t="shared" si="67"/>
        <v>0</v>
      </c>
      <c r="BB129" s="3174">
        <f t="shared" si="68"/>
        <v>0</v>
      </c>
      <c r="BC129" s="3174">
        <f t="shared" si="69"/>
        <v>0</v>
      </c>
      <c r="BD129" s="3174">
        <f t="shared" si="70"/>
        <v>0</v>
      </c>
      <c r="BE129" s="3174">
        <f t="shared" si="71"/>
        <v>0</v>
      </c>
      <c r="BF129" s="3174">
        <f t="shared" si="72"/>
        <v>0</v>
      </c>
      <c r="BG129" s="3174">
        <f t="shared" si="73"/>
        <v>0</v>
      </c>
      <c r="BH129" s="3174">
        <f t="shared" si="74"/>
        <v>0</v>
      </c>
      <c r="BI129" s="3174">
        <f t="shared" si="75"/>
        <v>0</v>
      </c>
      <c r="BJ129" s="3174">
        <f t="shared" si="76"/>
        <v>0</v>
      </c>
      <c r="BK129" s="3174">
        <f t="shared" si="77"/>
        <v>0</v>
      </c>
      <c r="BL129" s="3174">
        <f t="shared" si="78"/>
        <v>0</v>
      </c>
      <c r="BM129" s="3174">
        <f t="shared" si="79"/>
        <v>0</v>
      </c>
      <c r="BN129" s="3174">
        <f t="shared" si="80"/>
        <v>0</v>
      </c>
      <c r="BO129" s="3174">
        <f t="shared" si="81"/>
        <v>0</v>
      </c>
      <c r="BP129" s="3174">
        <f t="shared" si="82"/>
        <v>0</v>
      </c>
      <c r="BQ129" s="3174">
        <f t="shared" si="83"/>
        <v>0</v>
      </c>
      <c r="BR129" s="3174">
        <f t="shared" si="84"/>
        <v>0</v>
      </c>
      <c r="BS129" s="3174">
        <f t="shared" si="85"/>
        <v>0</v>
      </c>
      <c r="BT129" s="3249">
        <f t="shared" si="86"/>
        <v>0</v>
      </c>
    </row>
    <row r="130" spans="1:72">
      <c r="A130" s="489"/>
      <c r="B130" s="3179"/>
      <c r="C130" s="3180"/>
      <c r="D130" s="3181"/>
      <c r="E130" s="3174">
        <f t="shared" si="87"/>
        <v>0</v>
      </c>
      <c r="F130" s="3175"/>
      <c r="G130" s="3176">
        <f t="shared" si="62"/>
        <v>0</v>
      </c>
      <c r="H130" s="3177">
        <f t="shared" si="63"/>
        <v>0</v>
      </c>
      <c r="I130" s="3180"/>
      <c r="J130" s="3200"/>
      <c r="K130" s="3180"/>
      <c r="L130" s="3200"/>
      <c r="M130" s="3200"/>
      <c r="N130" s="3200"/>
      <c r="O130" s="3200"/>
      <c r="P130" s="3200"/>
      <c r="Q130" s="3200"/>
      <c r="R130" s="3200"/>
      <c r="S130" s="3200"/>
      <c r="T130" s="3200"/>
      <c r="U130" s="3200"/>
      <c r="V130" s="3200"/>
      <c r="W130" s="3200"/>
      <c r="X130" s="3200"/>
      <c r="Y130" s="3200"/>
      <c r="Z130" s="3200"/>
      <c r="AA130" s="3200"/>
      <c r="AB130" s="3200"/>
      <c r="AC130" s="3174">
        <f t="shared" si="64"/>
        <v>0</v>
      </c>
      <c r="AD130" s="3212"/>
      <c r="AE130" s="3212"/>
      <c r="AF130" s="3180"/>
      <c r="AG130" s="3212"/>
      <c r="AH130" s="3212"/>
      <c r="AI130" s="3212"/>
      <c r="AJ130" s="3212"/>
      <c r="AK130" s="3212"/>
      <c r="AL130" s="3212"/>
      <c r="AM130" s="3212"/>
      <c r="AN130" s="3212"/>
      <c r="AO130" s="3212"/>
      <c r="AP130" s="3212"/>
      <c r="AQ130" s="3212"/>
      <c r="AR130" s="3212"/>
      <c r="AS130" s="3212"/>
      <c r="AT130" s="3175"/>
      <c r="AU130" s="3232"/>
      <c r="AV130" s="466">
        <f t="shared" si="88"/>
        <v>0</v>
      </c>
      <c r="AW130" s="466">
        <f t="shared" si="89"/>
        <v>0</v>
      </c>
      <c r="AX130" s="466">
        <f t="shared" si="90"/>
        <v>0</v>
      </c>
      <c r="AY130" s="385">
        <f t="shared" si="65"/>
        <v>0</v>
      </c>
      <c r="AZ130" s="3174">
        <f t="shared" si="66"/>
        <v>0</v>
      </c>
      <c r="BA130" s="3174">
        <f t="shared" si="67"/>
        <v>0</v>
      </c>
      <c r="BB130" s="3174">
        <f t="shared" si="68"/>
        <v>0</v>
      </c>
      <c r="BC130" s="3174">
        <f t="shared" si="69"/>
        <v>0</v>
      </c>
      <c r="BD130" s="3174">
        <f t="shared" si="70"/>
        <v>0</v>
      </c>
      <c r="BE130" s="3174">
        <f t="shared" si="71"/>
        <v>0</v>
      </c>
      <c r="BF130" s="3174">
        <f t="shared" si="72"/>
        <v>0</v>
      </c>
      <c r="BG130" s="3174">
        <f t="shared" si="73"/>
        <v>0</v>
      </c>
      <c r="BH130" s="3174">
        <f t="shared" si="74"/>
        <v>0</v>
      </c>
      <c r="BI130" s="3174">
        <f t="shared" si="75"/>
        <v>0</v>
      </c>
      <c r="BJ130" s="3174">
        <f t="shared" si="76"/>
        <v>0</v>
      </c>
      <c r="BK130" s="3174">
        <f t="shared" si="77"/>
        <v>0</v>
      </c>
      <c r="BL130" s="3174">
        <f t="shared" si="78"/>
        <v>0</v>
      </c>
      <c r="BM130" s="3174">
        <f t="shared" si="79"/>
        <v>0</v>
      </c>
      <c r="BN130" s="3174">
        <f t="shared" si="80"/>
        <v>0</v>
      </c>
      <c r="BO130" s="3174">
        <f t="shared" si="81"/>
        <v>0</v>
      </c>
      <c r="BP130" s="3174">
        <f t="shared" si="82"/>
        <v>0</v>
      </c>
      <c r="BQ130" s="3174">
        <f t="shared" si="83"/>
        <v>0</v>
      </c>
      <c r="BR130" s="3174">
        <f t="shared" si="84"/>
        <v>0</v>
      </c>
      <c r="BS130" s="3174">
        <f t="shared" si="85"/>
        <v>0</v>
      </c>
      <c r="BT130" s="3249">
        <f t="shared" si="86"/>
        <v>0</v>
      </c>
    </row>
    <row r="131" spans="1:72">
      <c r="A131" s="489"/>
      <c r="B131" s="3179"/>
      <c r="C131" s="3180"/>
      <c r="D131" s="3181"/>
      <c r="E131" s="3174">
        <f t="shared" si="87"/>
        <v>0</v>
      </c>
      <c r="F131" s="3175"/>
      <c r="G131" s="3176">
        <f t="shared" si="62"/>
        <v>0</v>
      </c>
      <c r="H131" s="3177">
        <f t="shared" si="63"/>
        <v>0</v>
      </c>
      <c r="I131" s="3180"/>
      <c r="J131" s="3200"/>
      <c r="K131" s="3180"/>
      <c r="L131" s="3200"/>
      <c r="M131" s="3200"/>
      <c r="N131" s="3200"/>
      <c r="O131" s="3200"/>
      <c r="P131" s="3200"/>
      <c r="Q131" s="3200"/>
      <c r="R131" s="3200"/>
      <c r="S131" s="3200"/>
      <c r="T131" s="3200"/>
      <c r="U131" s="3200"/>
      <c r="V131" s="3200"/>
      <c r="W131" s="3200"/>
      <c r="X131" s="3200"/>
      <c r="Y131" s="3200"/>
      <c r="Z131" s="3200"/>
      <c r="AA131" s="3200"/>
      <c r="AB131" s="3200"/>
      <c r="AC131" s="3174">
        <f t="shared" si="64"/>
        <v>0</v>
      </c>
      <c r="AD131" s="3212"/>
      <c r="AE131" s="3212"/>
      <c r="AF131" s="3180"/>
      <c r="AG131" s="3212"/>
      <c r="AH131" s="3212"/>
      <c r="AI131" s="3212"/>
      <c r="AJ131" s="3212"/>
      <c r="AK131" s="3212"/>
      <c r="AL131" s="3212"/>
      <c r="AM131" s="3212"/>
      <c r="AN131" s="3212"/>
      <c r="AO131" s="3212"/>
      <c r="AP131" s="3212"/>
      <c r="AQ131" s="3212"/>
      <c r="AR131" s="3212"/>
      <c r="AS131" s="3212"/>
      <c r="AT131" s="3175"/>
      <c r="AU131" s="3232"/>
      <c r="AV131" s="466">
        <f t="shared" si="88"/>
        <v>0</v>
      </c>
      <c r="AW131" s="466">
        <f t="shared" si="89"/>
        <v>0</v>
      </c>
      <c r="AX131" s="466">
        <f t="shared" si="90"/>
        <v>0</v>
      </c>
      <c r="AY131" s="385">
        <f t="shared" si="65"/>
        <v>0</v>
      </c>
      <c r="AZ131" s="3174">
        <f t="shared" si="66"/>
        <v>0</v>
      </c>
      <c r="BA131" s="3174">
        <f t="shared" si="67"/>
        <v>0</v>
      </c>
      <c r="BB131" s="3174">
        <f t="shared" si="68"/>
        <v>0</v>
      </c>
      <c r="BC131" s="3174">
        <f t="shared" si="69"/>
        <v>0</v>
      </c>
      <c r="BD131" s="3174">
        <f t="shared" si="70"/>
        <v>0</v>
      </c>
      <c r="BE131" s="3174">
        <f t="shared" si="71"/>
        <v>0</v>
      </c>
      <c r="BF131" s="3174">
        <f t="shared" si="72"/>
        <v>0</v>
      </c>
      <c r="BG131" s="3174">
        <f t="shared" si="73"/>
        <v>0</v>
      </c>
      <c r="BH131" s="3174">
        <f t="shared" si="74"/>
        <v>0</v>
      </c>
      <c r="BI131" s="3174">
        <f t="shared" si="75"/>
        <v>0</v>
      </c>
      <c r="BJ131" s="3174">
        <f t="shared" si="76"/>
        <v>0</v>
      </c>
      <c r="BK131" s="3174">
        <f t="shared" si="77"/>
        <v>0</v>
      </c>
      <c r="BL131" s="3174">
        <f t="shared" si="78"/>
        <v>0</v>
      </c>
      <c r="BM131" s="3174">
        <f t="shared" si="79"/>
        <v>0</v>
      </c>
      <c r="BN131" s="3174">
        <f t="shared" si="80"/>
        <v>0</v>
      </c>
      <c r="BO131" s="3174">
        <f t="shared" si="81"/>
        <v>0</v>
      </c>
      <c r="BP131" s="3174">
        <f t="shared" si="82"/>
        <v>0</v>
      </c>
      <c r="BQ131" s="3174">
        <f t="shared" si="83"/>
        <v>0</v>
      </c>
      <c r="BR131" s="3174">
        <f t="shared" si="84"/>
        <v>0</v>
      </c>
      <c r="BS131" s="3174">
        <f t="shared" si="85"/>
        <v>0</v>
      </c>
      <c r="BT131" s="3249">
        <f t="shared" si="86"/>
        <v>0</v>
      </c>
    </row>
    <row r="132" spans="1:72">
      <c r="A132" s="489"/>
      <c r="B132" s="3179"/>
      <c r="C132" s="3180"/>
      <c r="D132" s="3181"/>
      <c r="E132" s="3174">
        <f t="shared" si="87"/>
        <v>0</v>
      </c>
      <c r="F132" s="3175"/>
      <c r="G132" s="3176">
        <f t="shared" si="62"/>
        <v>0</v>
      </c>
      <c r="H132" s="3177">
        <f t="shared" si="63"/>
        <v>0</v>
      </c>
      <c r="I132" s="3180"/>
      <c r="J132" s="3200"/>
      <c r="K132" s="3180"/>
      <c r="L132" s="3200"/>
      <c r="M132" s="3200"/>
      <c r="N132" s="3200"/>
      <c r="O132" s="3200"/>
      <c r="P132" s="3200"/>
      <c r="Q132" s="3200"/>
      <c r="R132" s="3200"/>
      <c r="S132" s="3200"/>
      <c r="T132" s="3200"/>
      <c r="U132" s="3200"/>
      <c r="V132" s="3200"/>
      <c r="W132" s="3200"/>
      <c r="X132" s="3200"/>
      <c r="Y132" s="3200"/>
      <c r="Z132" s="3200"/>
      <c r="AA132" s="3200"/>
      <c r="AB132" s="3200"/>
      <c r="AC132" s="3174">
        <f t="shared" si="64"/>
        <v>0</v>
      </c>
      <c r="AD132" s="3212"/>
      <c r="AE132" s="3212"/>
      <c r="AF132" s="3180"/>
      <c r="AG132" s="3212"/>
      <c r="AH132" s="3212"/>
      <c r="AI132" s="3212"/>
      <c r="AJ132" s="3212"/>
      <c r="AK132" s="3212"/>
      <c r="AL132" s="3212"/>
      <c r="AM132" s="3212"/>
      <c r="AN132" s="3212"/>
      <c r="AO132" s="3212"/>
      <c r="AP132" s="3212"/>
      <c r="AQ132" s="3212"/>
      <c r="AR132" s="3212"/>
      <c r="AS132" s="3212"/>
      <c r="AT132" s="3175"/>
      <c r="AU132" s="3232"/>
      <c r="AV132" s="466">
        <f t="shared" si="88"/>
        <v>0</v>
      </c>
      <c r="AW132" s="466">
        <f t="shared" si="89"/>
        <v>0</v>
      </c>
      <c r="AX132" s="466">
        <f t="shared" si="90"/>
        <v>0</v>
      </c>
      <c r="AY132" s="385">
        <f t="shared" si="65"/>
        <v>0</v>
      </c>
      <c r="AZ132" s="3174">
        <f t="shared" si="66"/>
        <v>0</v>
      </c>
      <c r="BA132" s="3174">
        <f t="shared" si="67"/>
        <v>0</v>
      </c>
      <c r="BB132" s="3174">
        <f t="shared" si="68"/>
        <v>0</v>
      </c>
      <c r="BC132" s="3174">
        <f t="shared" si="69"/>
        <v>0</v>
      </c>
      <c r="BD132" s="3174">
        <f t="shared" si="70"/>
        <v>0</v>
      </c>
      <c r="BE132" s="3174">
        <f t="shared" si="71"/>
        <v>0</v>
      </c>
      <c r="BF132" s="3174">
        <f t="shared" si="72"/>
        <v>0</v>
      </c>
      <c r="BG132" s="3174">
        <f t="shared" si="73"/>
        <v>0</v>
      </c>
      <c r="BH132" s="3174">
        <f t="shared" si="74"/>
        <v>0</v>
      </c>
      <c r="BI132" s="3174">
        <f t="shared" si="75"/>
        <v>0</v>
      </c>
      <c r="BJ132" s="3174">
        <f t="shared" si="76"/>
        <v>0</v>
      </c>
      <c r="BK132" s="3174">
        <f t="shared" si="77"/>
        <v>0</v>
      </c>
      <c r="BL132" s="3174">
        <f t="shared" si="78"/>
        <v>0</v>
      </c>
      <c r="BM132" s="3174">
        <f t="shared" si="79"/>
        <v>0</v>
      </c>
      <c r="BN132" s="3174">
        <f t="shared" si="80"/>
        <v>0</v>
      </c>
      <c r="BO132" s="3174">
        <f t="shared" si="81"/>
        <v>0</v>
      </c>
      <c r="BP132" s="3174">
        <f t="shared" si="82"/>
        <v>0</v>
      </c>
      <c r="BQ132" s="3174">
        <f t="shared" si="83"/>
        <v>0</v>
      </c>
      <c r="BR132" s="3174">
        <f t="shared" si="84"/>
        <v>0</v>
      </c>
      <c r="BS132" s="3174">
        <f t="shared" si="85"/>
        <v>0</v>
      </c>
      <c r="BT132" s="3249">
        <f t="shared" si="86"/>
        <v>0</v>
      </c>
    </row>
    <row r="133" spans="1:72">
      <c r="A133" s="489"/>
      <c r="B133" s="3179"/>
      <c r="C133" s="3180"/>
      <c r="D133" s="3181"/>
      <c r="E133" s="3174">
        <f t="shared" si="87"/>
        <v>0</v>
      </c>
      <c r="F133" s="3175"/>
      <c r="G133" s="3176">
        <f t="shared" si="62"/>
        <v>0</v>
      </c>
      <c r="H133" s="3177">
        <f t="shared" si="63"/>
        <v>0</v>
      </c>
      <c r="I133" s="3180"/>
      <c r="J133" s="3200"/>
      <c r="K133" s="3180"/>
      <c r="L133" s="3200"/>
      <c r="M133" s="3200"/>
      <c r="N133" s="3200"/>
      <c r="O133" s="3200"/>
      <c r="P133" s="3200"/>
      <c r="Q133" s="3200"/>
      <c r="R133" s="3200"/>
      <c r="S133" s="3200"/>
      <c r="T133" s="3200"/>
      <c r="U133" s="3200"/>
      <c r="V133" s="3200"/>
      <c r="W133" s="3200"/>
      <c r="X133" s="3200"/>
      <c r="Y133" s="3200"/>
      <c r="Z133" s="3200"/>
      <c r="AA133" s="3200"/>
      <c r="AB133" s="3200"/>
      <c r="AC133" s="3174">
        <f t="shared" si="64"/>
        <v>0</v>
      </c>
      <c r="AD133" s="3212"/>
      <c r="AE133" s="3212"/>
      <c r="AF133" s="3180"/>
      <c r="AG133" s="3212"/>
      <c r="AH133" s="3212"/>
      <c r="AI133" s="3212"/>
      <c r="AJ133" s="3212"/>
      <c r="AK133" s="3212"/>
      <c r="AL133" s="3212"/>
      <c r="AM133" s="3212"/>
      <c r="AN133" s="3212"/>
      <c r="AO133" s="3212"/>
      <c r="AP133" s="3212"/>
      <c r="AQ133" s="3212"/>
      <c r="AR133" s="3212"/>
      <c r="AS133" s="3212"/>
      <c r="AT133" s="3175"/>
      <c r="AU133" s="3232"/>
      <c r="AV133" s="466">
        <f t="shared" si="88"/>
        <v>0</v>
      </c>
      <c r="AW133" s="466">
        <f t="shared" si="89"/>
        <v>0</v>
      </c>
      <c r="AX133" s="466">
        <f t="shared" si="90"/>
        <v>0</v>
      </c>
      <c r="AY133" s="385">
        <f t="shared" si="65"/>
        <v>0</v>
      </c>
      <c r="AZ133" s="3174">
        <f t="shared" si="66"/>
        <v>0</v>
      </c>
      <c r="BA133" s="3174">
        <f t="shared" si="67"/>
        <v>0</v>
      </c>
      <c r="BB133" s="3174">
        <f t="shared" si="68"/>
        <v>0</v>
      </c>
      <c r="BC133" s="3174">
        <f t="shared" si="69"/>
        <v>0</v>
      </c>
      <c r="BD133" s="3174">
        <f t="shared" si="70"/>
        <v>0</v>
      </c>
      <c r="BE133" s="3174">
        <f t="shared" si="71"/>
        <v>0</v>
      </c>
      <c r="BF133" s="3174">
        <f t="shared" si="72"/>
        <v>0</v>
      </c>
      <c r="BG133" s="3174">
        <f t="shared" si="73"/>
        <v>0</v>
      </c>
      <c r="BH133" s="3174">
        <f t="shared" si="74"/>
        <v>0</v>
      </c>
      <c r="BI133" s="3174">
        <f t="shared" si="75"/>
        <v>0</v>
      </c>
      <c r="BJ133" s="3174">
        <f t="shared" si="76"/>
        <v>0</v>
      </c>
      <c r="BK133" s="3174">
        <f t="shared" si="77"/>
        <v>0</v>
      </c>
      <c r="BL133" s="3174">
        <f t="shared" si="78"/>
        <v>0</v>
      </c>
      <c r="BM133" s="3174">
        <f t="shared" si="79"/>
        <v>0</v>
      </c>
      <c r="BN133" s="3174">
        <f t="shared" si="80"/>
        <v>0</v>
      </c>
      <c r="BO133" s="3174">
        <f t="shared" si="81"/>
        <v>0</v>
      </c>
      <c r="BP133" s="3174">
        <f t="shared" si="82"/>
        <v>0</v>
      </c>
      <c r="BQ133" s="3174">
        <f t="shared" si="83"/>
        <v>0</v>
      </c>
      <c r="BR133" s="3174">
        <f t="shared" si="84"/>
        <v>0</v>
      </c>
      <c r="BS133" s="3174">
        <f t="shared" si="85"/>
        <v>0</v>
      </c>
      <c r="BT133" s="3249">
        <f t="shared" si="86"/>
        <v>0</v>
      </c>
    </row>
    <row r="134" spans="1:72">
      <c r="A134" s="489"/>
      <c r="B134" s="3179"/>
      <c r="C134" s="3180"/>
      <c r="D134" s="3181"/>
      <c r="E134" s="3174">
        <f t="shared" si="87"/>
        <v>0</v>
      </c>
      <c r="F134" s="3175"/>
      <c r="G134" s="3176">
        <f t="shared" si="62"/>
        <v>0</v>
      </c>
      <c r="H134" s="3177">
        <f t="shared" si="63"/>
        <v>0</v>
      </c>
      <c r="I134" s="3180"/>
      <c r="J134" s="3200"/>
      <c r="K134" s="3180"/>
      <c r="L134" s="3200"/>
      <c r="M134" s="3200"/>
      <c r="N134" s="3200"/>
      <c r="O134" s="3200"/>
      <c r="P134" s="3200"/>
      <c r="Q134" s="3200"/>
      <c r="R134" s="3200"/>
      <c r="S134" s="3200"/>
      <c r="T134" s="3200"/>
      <c r="U134" s="3200"/>
      <c r="V134" s="3200"/>
      <c r="W134" s="3200"/>
      <c r="X134" s="3200"/>
      <c r="Y134" s="3200"/>
      <c r="Z134" s="3200"/>
      <c r="AA134" s="3200"/>
      <c r="AB134" s="3200"/>
      <c r="AC134" s="3174">
        <f t="shared" si="64"/>
        <v>0</v>
      </c>
      <c r="AD134" s="3212"/>
      <c r="AE134" s="3212"/>
      <c r="AF134" s="3180"/>
      <c r="AG134" s="3212"/>
      <c r="AH134" s="3212"/>
      <c r="AI134" s="3212"/>
      <c r="AJ134" s="3212"/>
      <c r="AK134" s="3212"/>
      <c r="AL134" s="3212"/>
      <c r="AM134" s="3212"/>
      <c r="AN134" s="3212"/>
      <c r="AO134" s="3212"/>
      <c r="AP134" s="3212"/>
      <c r="AQ134" s="3212"/>
      <c r="AR134" s="3212"/>
      <c r="AS134" s="3212"/>
      <c r="AT134" s="3175"/>
      <c r="AU134" s="3232"/>
      <c r="AV134" s="466">
        <f t="shared" si="88"/>
        <v>0</v>
      </c>
      <c r="AW134" s="466">
        <f t="shared" si="89"/>
        <v>0</v>
      </c>
      <c r="AX134" s="466">
        <f t="shared" si="90"/>
        <v>0</v>
      </c>
      <c r="AY134" s="385">
        <f t="shared" si="65"/>
        <v>0</v>
      </c>
      <c r="AZ134" s="3174">
        <f t="shared" si="66"/>
        <v>0</v>
      </c>
      <c r="BA134" s="3174">
        <f t="shared" si="67"/>
        <v>0</v>
      </c>
      <c r="BB134" s="3174">
        <f t="shared" si="68"/>
        <v>0</v>
      </c>
      <c r="BC134" s="3174">
        <f t="shared" si="69"/>
        <v>0</v>
      </c>
      <c r="BD134" s="3174">
        <f t="shared" si="70"/>
        <v>0</v>
      </c>
      <c r="BE134" s="3174">
        <f t="shared" si="71"/>
        <v>0</v>
      </c>
      <c r="BF134" s="3174">
        <f t="shared" si="72"/>
        <v>0</v>
      </c>
      <c r="BG134" s="3174">
        <f t="shared" si="73"/>
        <v>0</v>
      </c>
      <c r="BH134" s="3174">
        <f t="shared" si="74"/>
        <v>0</v>
      </c>
      <c r="BI134" s="3174">
        <f t="shared" si="75"/>
        <v>0</v>
      </c>
      <c r="BJ134" s="3174">
        <f t="shared" si="76"/>
        <v>0</v>
      </c>
      <c r="BK134" s="3174">
        <f t="shared" si="77"/>
        <v>0</v>
      </c>
      <c r="BL134" s="3174">
        <f t="shared" si="78"/>
        <v>0</v>
      </c>
      <c r="BM134" s="3174">
        <f t="shared" si="79"/>
        <v>0</v>
      </c>
      <c r="BN134" s="3174">
        <f t="shared" si="80"/>
        <v>0</v>
      </c>
      <c r="BO134" s="3174">
        <f t="shared" si="81"/>
        <v>0</v>
      </c>
      <c r="BP134" s="3174">
        <f t="shared" si="82"/>
        <v>0</v>
      </c>
      <c r="BQ134" s="3174">
        <f t="shared" si="83"/>
        <v>0</v>
      </c>
      <c r="BR134" s="3174">
        <f t="shared" si="84"/>
        <v>0</v>
      </c>
      <c r="BS134" s="3174">
        <f t="shared" si="85"/>
        <v>0</v>
      </c>
      <c r="BT134" s="3249">
        <f t="shared" si="86"/>
        <v>0</v>
      </c>
    </row>
    <row r="135" spans="1:72">
      <c r="A135" s="489"/>
      <c r="B135" s="3179"/>
      <c r="C135" s="3180"/>
      <c r="D135" s="3181"/>
      <c r="E135" s="3174">
        <f t="shared" si="87"/>
        <v>0</v>
      </c>
      <c r="F135" s="3175"/>
      <c r="G135" s="3176">
        <f t="shared" si="62"/>
        <v>0</v>
      </c>
      <c r="H135" s="3177">
        <f t="shared" si="63"/>
        <v>0</v>
      </c>
      <c r="I135" s="3180"/>
      <c r="J135" s="3200"/>
      <c r="K135" s="3180"/>
      <c r="L135" s="3200"/>
      <c r="M135" s="3200"/>
      <c r="N135" s="3200"/>
      <c r="O135" s="3200"/>
      <c r="P135" s="3200"/>
      <c r="Q135" s="3200"/>
      <c r="R135" s="3200"/>
      <c r="S135" s="3200"/>
      <c r="T135" s="3200"/>
      <c r="U135" s="3200"/>
      <c r="V135" s="3200"/>
      <c r="W135" s="3200"/>
      <c r="X135" s="3200"/>
      <c r="Y135" s="3200"/>
      <c r="Z135" s="3200"/>
      <c r="AA135" s="3200"/>
      <c r="AB135" s="3200"/>
      <c r="AC135" s="3174">
        <f t="shared" si="64"/>
        <v>0</v>
      </c>
      <c r="AD135" s="3212"/>
      <c r="AE135" s="3212"/>
      <c r="AF135" s="3180"/>
      <c r="AG135" s="3212"/>
      <c r="AH135" s="3212"/>
      <c r="AI135" s="3212"/>
      <c r="AJ135" s="3212"/>
      <c r="AK135" s="3212"/>
      <c r="AL135" s="3212"/>
      <c r="AM135" s="3212"/>
      <c r="AN135" s="3212"/>
      <c r="AO135" s="3212"/>
      <c r="AP135" s="3212"/>
      <c r="AQ135" s="3212"/>
      <c r="AR135" s="3212"/>
      <c r="AS135" s="3212"/>
      <c r="AT135" s="3175"/>
      <c r="AU135" s="3232"/>
      <c r="AV135" s="466">
        <f t="shared" si="88"/>
        <v>0</v>
      </c>
      <c r="AW135" s="466">
        <f t="shared" si="89"/>
        <v>0</v>
      </c>
      <c r="AX135" s="466">
        <f t="shared" si="90"/>
        <v>0</v>
      </c>
      <c r="AY135" s="385">
        <f t="shared" si="65"/>
        <v>0</v>
      </c>
      <c r="AZ135" s="3174">
        <f t="shared" si="66"/>
        <v>0</v>
      </c>
      <c r="BA135" s="3174">
        <f t="shared" si="67"/>
        <v>0</v>
      </c>
      <c r="BB135" s="3174">
        <f t="shared" si="68"/>
        <v>0</v>
      </c>
      <c r="BC135" s="3174">
        <f t="shared" si="69"/>
        <v>0</v>
      </c>
      <c r="BD135" s="3174">
        <f t="shared" si="70"/>
        <v>0</v>
      </c>
      <c r="BE135" s="3174">
        <f t="shared" si="71"/>
        <v>0</v>
      </c>
      <c r="BF135" s="3174">
        <f t="shared" si="72"/>
        <v>0</v>
      </c>
      <c r="BG135" s="3174">
        <f t="shared" si="73"/>
        <v>0</v>
      </c>
      <c r="BH135" s="3174">
        <f t="shared" si="74"/>
        <v>0</v>
      </c>
      <c r="BI135" s="3174">
        <f t="shared" si="75"/>
        <v>0</v>
      </c>
      <c r="BJ135" s="3174">
        <f t="shared" si="76"/>
        <v>0</v>
      </c>
      <c r="BK135" s="3174">
        <f t="shared" si="77"/>
        <v>0</v>
      </c>
      <c r="BL135" s="3174">
        <f t="shared" si="78"/>
        <v>0</v>
      </c>
      <c r="BM135" s="3174">
        <f t="shared" si="79"/>
        <v>0</v>
      </c>
      <c r="BN135" s="3174">
        <f t="shared" si="80"/>
        <v>0</v>
      </c>
      <c r="BO135" s="3174">
        <f t="shared" si="81"/>
        <v>0</v>
      </c>
      <c r="BP135" s="3174">
        <f t="shared" si="82"/>
        <v>0</v>
      </c>
      <c r="BQ135" s="3174">
        <f t="shared" si="83"/>
        <v>0</v>
      </c>
      <c r="BR135" s="3174">
        <f t="shared" si="84"/>
        <v>0</v>
      </c>
      <c r="BS135" s="3174">
        <f t="shared" si="85"/>
        <v>0</v>
      </c>
      <c r="BT135" s="3249">
        <f t="shared" si="86"/>
        <v>0</v>
      </c>
    </row>
    <row r="136" spans="1:72">
      <c r="A136" s="489"/>
      <c r="B136" s="3179"/>
      <c r="C136" s="3180"/>
      <c r="D136" s="3181"/>
      <c r="E136" s="3174">
        <f t="shared" si="87"/>
        <v>0</v>
      </c>
      <c r="F136" s="3175"/>
      <c r="G136" s="3176">
        <f t="shared" si="62"/>
        <v>0</v>
      </c>
      <c r="H136" s="3177">
        <f t="shared" si="63"/>
        <v>0</v>
      </c>
      <c r="I136" s="3180"/>
      <c r="J136" s="3200"/>
      <c r="K136" s="3180"/>
      <c r="L136" s="3200"/>
      <c r="M136" s="3200"/>
      <c r="N136" s="3200"/>
      <c r="O136" s="3200"/>
      <c r="P136" s="3200"/>
      <c r="Q136" s="3200"/>
      <c r="R136" s="3200"/>
      <c r="S136" s="3200"/>
      <c r="T136" s="3200"/>
      <c r="U136" s="3200"/>
      <c r="V136" s="3200"/>
      <c r="W136" s="3200"/>
      <c r="X136" s="3200"/>
      <c r="Y136" s="3200"/>
      <c r="Z136" s="3200"/>
      <c r="AA136" s="3200"/>
      <c r="AB136" s="3200"/>
      <c r="AC136" s="3174">
        <f t="shared" si="64"/>
        <v>0</v>
      </c>
      <c r="AD136" s="3212"/>
      <c r="AE136" s="3212"/>
      <c r="AF136" s="3180"/>
      <c r="AG136" s="3212"/>
      <c r="AH136" s="3212"/>
      <c r="AI136" s="3212"/>
      <c r="AJ136" s="3212"/>
      <c r="AK136" s="3212"/>
      <c r="AL136" s="3212"/>
      <c r="AM136" s="3212"/>
      <c r="AN136" s="3212"/>
      <c r="AO136" s="3212"/>
      <c r="AP136" s="3212"/>
      <c r="AQ136" s="3212"/>
      <c r="AR136" s="3212"/>
      <c r="AS136" s="3212"/>
      <c r="AT136" s="3175"/>
      <c r="AU136" s="3232"/>
      <c r="AV136" s="466">
        <f t="shared" si="88"/>
        <v>0</v>
      </c>
      <c r="AW136" s="466">
        <f t="shared" si="89"/>
        <v>0</v>
      </c>
      <c r="AX136" s="466">
        <f t="shared" si="90"/>
        <v>0</v>
      </c>
      <c r="AY136" s="385">
        <f t="shared" si="65"/>
        <v>0</v>
      </c>
      <c r="AZ136" s="3174">
        <f t="shared" si="66"/>
        <v>0</v>
      </c>
      <c r="BA136" s="3174">
        <f t="shared" si="67"/>
        <v>0</v>
      </c>
      <c r="BB136" s="3174">
        <f t="shared" si="68"/>
        <v>0</v>
      </c>
      <c r="BC136" s="3174">
        <f t="shared" si="69"/>
        <v>0</v>
      </c>
      <c r="BD136" s="3174">
        <f t="shared" si="70"/>
        <v>0</v>
      </c>
      <c r="BE136" s="3174">
        <f t="shared" si="71"/>
        <v>0</v>
      </c>
      <c r="BF136" s="3174">
        <f t="shared" si="72"/>
        <v>0</v>
      </c>
      <c r="BG136" s="3174">
        <f t="shared" si="73"/>
        <v>0</v>
      </c>
      <c r="BH136" s="3174">
        <f t="shared" si="74"/>
        <v>0</v>
      </c>
      <c r="BI136" s="3174">
        <f t="shared" si="75"/>
        <v>0</v>
      </c>
      <c r="BJ136" s="3174">
        <f t="shared" si="76"/>
        <v>0</v>
      </c>
      <c r="BK136" s="3174">
        <f t="shared" si="77"/>
        <v>0</v>
      </c>
      <c r="BL136" s="3174">
        <f t="shared" si="78"/>
        <v>0</v>
      </c>
      <c r="BM136" s="3174">
        <f t="shared" si="79"/>
        <v>0</v>
      </c>
      <c r="BN136" s="3174">
        <f t="shared" si="80"/>
        <v>0</v>
      </c>
      <c r="BO136" s="3174">
        <f t="shared" si="81"/>
        <v>0</v>
      </c>
      <c r="BP136" s="3174">
        <f t="shared" si="82"/>
        <v>0</v>
      </c>
      <c r="BQ136" s="3174">
        <f t="shared" si="83"/>
        <v>0</v>
      </c>
      <c r="BR136" s="3174">
        <f t="shared" si="84"/>
        <v>0</v>
      </c>
      <c r="BS136" s="3174">
        <f t="shared" si="85"/>
        <v>0</v>
      </c>
      <c r="BT136" s="3249">
        <f t="shared" si="86"/>
        <v>0</v>
      </c>
    </row>
    <row r="137" spans="1:72">
      <c r="A137" s="489"/>
      <c r="B137" s="3179"/>
      <c r="C137" s="3180"/>
      <c r="D137" s="3181"/>
      <c r="E137" s="3174">
        <f t="shared" si="87"/>
        <v>0</v>
      </c>
      <c r="F137" s="3175"/>
      <c r="G137" s="3176">
        <f t="shared" si="62"/>
        <v>0</v>
      </c>
      <c r="H137" s="3177">
        <f t="shared" si="63"/>
        <v>0</v>
      </c>
      <c r="I137" s="3180"/>
      <c r="J137" s="3200"/>
      <c r="K137" s="3180"/>
      <c r="L137" s="3200"/>
      <c r="M137" s="3200"/>
      <c r="N137" s="3200"/>
      <c r="O137" s="3200"/>
      <c r="P137" s="3200"/>
      <c r="Q137" s="3200"/>
      <c r="R137" s="3200"/>
      <c r="S137" s="3200"/>
      <c r="T137" s="3200"/>
      <c r="U137" s="3200"/>
      <c r="V137" s="3200"/>
      <c r="W137" s="3200"/>
      <c r="X137" s="3200"/>
      <c r="Y137" s="3200"/>
      <c r="Z137" s="3200"/>
      <c r="AA137" s="3200"/>
      <c r="AB137" s="3200"/>
      <c r="AC137" s="3174">
        <f t="shared" si="64"/>
        <v>0</v>
      </c>
      <c r="AD137" s="3212"/>
      <c r="AE137" s="3212"/>
      <c r="AF137" s="3180"/>
      <c r="AG137" s="3212"/>
      <c r="AH137" s="3212"/>
      <c r="AI137" s="3212"/>
      <c r="AJ137" s="3212"/>
      <c r="AK137" s="3212"/>
      <c r="AL137" s="3212"/>
      <c r="AM137" s="3212"/>
      <c r="AN137" s="3212"/>
      <c r="AO137" s="3212"/>
      <c r="AP137" s="3212"/>
      <c r="AQ137" s="3212"/>
      <c r="AR137" s="3212"/>
      <c r="AS137" s="3212"/>
      <c r="AT137" s="3175"/>
      <c r="AU137" s="3232"/>
      <c r="AV137" s="466">
        <f t="shared" si="88"/>
        <v>0</v>
      </c>
      <c r="AW137" s="466">
        <f t="shared" si="89"/>
        <v>0</v>
      </c>
      <c r="AX137" s="466">
        <f t="shared" si="90"/>
        <v>0</v>
      </c>
      <c r="AY137" s="385">
        <f t="shared" si="65"/>
        <v>0</v>
      </c>
      <c r="AZ137" s="3174">
        <f t="shared" si="66"/>
        <v>0</v>
      </c>
      <c r="BA137" s="3174">
        <f t="shared" si="67"/>
        <v>0</v>
      </c>
      <c r="BB137" s="3174">
        <f t="shared" si="68"/>
        <v>0</v>
      </c>
      <c r="BC137" s="3174">
        <f t="shared" si="69"/>
        <v>0</v>
      </c>
      <c r="BD137" s="3174">
        <f t="shared" si="70"/>
        <v>0</v>
      </c>
      <c r="BE137" s="3174">
        <f t="shared" si="71"/>
        <v>0</v>
      </c>
      <c r="BF137" s="3174">
        <f t="shared" si="72"/>
        <v>0</v>
      </c>
      <c r="BG137" s="3174">
        <f t="shared" si="73"/>
        <v>0</v>
      </c>
      <c r="BH137" s="3174">
        <f t="shared" si="74"/>
        <v>0</v>
      </c>
      <c r="BI137" s="3174">
        <f t="shared" si="75"/>
        <v>0</v>
      </c>
      <c r="BJ137" s="3174">
        <f t="shared" si="76"/>
        <v>0</v>
      </c>
      <c r="BK137" s="3174">
        <f t="shared" si="77"/>
        <v>0</v>
      </c>
      <c r="BL137" s="3174">
        <f t="shared" si="78"/>
        <v>0</v>
      </c>
      <c r="BM137" s="3174">
        <f t="shared" si="79"/>
        <v>0</v>
      </c>
      <c r="BN137" s="3174">
        <f t="shared" si="80"/>
        <v>0</v>
      </c>
      <c r="BO137" s="3174">
        <f t="shared" si="81"/>
        <v>0</v>
      </c>
      <c r="BP137" s="3174">
        <f t="shared" si="82"/>
        <v>0</v>
      </c>
      <c r="BQ137" s="3174">
        <f t="shared" si="83"/>
        <v>0</v>
      </c>
      <c r="BR137" s="3174">
        <f t="shared" si="84"/>
        <v>0</v>
      </c>
      <c r="BS137" s="3174">
        <f t="shared" si="85"/>
        <v>0</v>
      </c>
      <c r="BT137" s="3249">
        <f t="shared" si="86"/>
        <v>0</v>
      </c>
    </row>
    <row r="138" spans="1:72">
      <c r="A138" s="489"/>
      <c r="B138" s="3179"/>
      <c r="C138" s="3180"/>
      <c r="D138" s="3181"/>
      <c r="E138" s="3174">
        <f t="shared" si="87"/>
        <v>0</v>
      </c>
      <c r="F138" s="3175"/>
      <c r="G138" s="3176">
        <f t="shared" si="62"/>
        <v>0</v>
      </c>
      <c r="H138" s="3177">
        <f t="shared" si="63"/>
        <v>0</v>
      </c>
      <c r="I138" s="3180"/>
      <c r="J138" s="3200"/>
      <c r="K138" s="3180"/>
      <c r="L138" s="3200"/>
      <c r="M138" s="3200"/>
      <c r="N138" s="3200"/>
      <c r="O138" s="3200"/>
      <c r="P138" s="3200"/>
      <c r="Q138" s="3200"/>
      <c r="R138" s="3200"/>
      <c r="S138" s="3200"/>
      <c r="T138" s="3200"/>
      <c r="U138" s="3200"/>
      <c r="V138" s="3200"/>
      <c r="W138" s="3200"/>
      <c r="X138" s="3200"/>
      <c r="Y138" s="3200"/>
      <c r="Z138" s="3200"/>
      <c r="AA138" s="3200"/>
      <c r="AB138" s="3200"/>
      <c r="AC138" s="3174">
        <f t="shared" si="64"/>
        <v>0</v>
      </c>
      <c r="AD138" s="3212"/>
      <c r="AE138" s="3212"/>
      <c r="AF138" s="3180"/>
      <c r="AG138" s="3212"/>
      <c r="AH138" s="3212"/>
      <c r="AI138" s="3212"/>
      <c r="AJ138" s="3212"/>
      <c r="AK138" s="3212"/>
      <c r="AL138" s="3212"/>
      <c r="AM138" s="3212"/>
      <c r="AN138" s="3212"/>
      <c r="AO138" s="3212"/>
      <c r="AP138" s="3212"/>
      <c r="AQ138" s="3212"/>
      <c r="AR138" s="3212"/>
      <c r="AS138" s="3212"/>
      <c r="AT138" s="3175"/>
      <c r="AU138" s="3232"/>
      <c r="AV138" s="466">
        <f t="shared" si="88"/>
        <v>0</v>
      </c>
      <c r="AW138" s="466">
        <f t="shared" si="89"/>
        <v>0</v>
      </c>
      <c r="AX138" s="466">
        <f t="shared" si="90"/>
        <v>0</v>
      </c>
      <c r="AY138" s="385">
        <f t="shared" si="65"/>
        <v>0</v>
      </c>
      <c r="AZ138" s="3174">
        <f t="shared" si="66"/>
        <v>0</v>
      </c>
      <c r="BA138" s="3174">
        <f t="shared" si="67"/>
        <v>0</v>
      </c>
      <c r="BB138" s="3174">
        <f t="shared" si="68"/>
        <v>0</v>
      </c>
      <c r="BC138" s="3174">
        <f t="shared" si="69"/>
        <v>0</v>
      </c>
      <c r="BD138" s="3174">
        <f t="shared" si="70"/>
        <v>0</v>
      </c>
      <c r="BE138" s="3174">
        <f t="shared" si="71"/>
        <v>0</v>
      </c>
      <c r="BF138" s="3174">
        <f t="shared" si="72"/>
        <v>0</v>
      </c>
      <c r="BG138" s="3174">
        <f t="shared" si="73"/>
        <v>0</v>
      </c>
      <c r="BH138" s="3174">
        <f t="shared" si="74"/>
        <v>0</v>
      </c>
      <c r="BI138" s="3174">
        <f t="shared" si="75"/>
        <v>0</v>
      </c>
      <c r="BJ138" s="3174">
        <f t="shared" si="76"/>
        <v>0</v>
      </c>
      <c r="BK138" s="3174">
        <f t="shared" si="77"/>
        <v>0</v>
      </c>
      <c r="BL138" s="3174">
        <f t="shared" si="78"/>
        <v>0</v>
      </c>
      <c r="BM138" s="3174">
        <f t="shared" si="79"/>
        <v>0</v>
      </c>
      <c r="BN138" s="3174">
        <f t="shared" si="80"/>
        <v>0</v>
      </c>
      <c r="BO138" s="3174">
        <f t="shared" si="81"/>
        <v>0</v>
      </c>
      <c r="BP138" s="3174">
        <f t="shared" si="82"/>
        <v>0</v>
      </c>
      <c r="BQ138" s="3174">
        <f t="shared" si="83"/>
        <v>0</v>
      </c>
      <c r="BR138" s="3174">
        <f t="shared" si="84"/>
        <v>0</v>
      </c>
      <c r="BS138" s="3174">
        <f t="shared" si="85"/>
        <v>0</v>
      </c>
      <c r="BT138" s="3249">
        <f t="shared" si="86"/>
        <v>0</v>
      </c>
    </row>
    <row r="139" spans="1:72">
      <c r="A139" s="489"/>
      <c r="B139" s="3179"/>
      <c r="C139" s="3180"/>
      <c r="D139" s="3181"/>
      <c r="E139" s="3174">
        <f t="shared" si="87"/>
        <v>0</v>
      </c>
      <c r="F139" s="3175"/>
      <c r="G139" s="3176">
        <f t="shared" si="62"/>
        <v>0</v>
      </c>
      <c r="H139" s="3177">
        <f t="shared" si="63"/>
        <v>0</v>
      </c>
      <c r="I139" s="3180"/>
      <c r="J139" s="3200"/>
      <c r="K139" s="3180"/>
      <c r="L139" s="3200"/>
      <c r="M139" s="3200"/>
      <c r="N139" s="3200"/>
      <c r="O139" s="3200"/>
      <c r="P139" s="3200"/>
      <c r="Q139" s="3200"/>
      <c r="R139" s="3200"/>
      <c r="S139" s="3200"/>
      <c r="T139" s="3200"/>
      <c r="U139" s="3200"/>
      <c r="V139" s="3200"/>
      <c r="W139" s="3200"/>
      <c r="X139" s="3200"/>
      <c r="Y139" s="3200"/>
      <c r="Z139" s="3200"/>
      <c r="AA139" s="3200"/>
      <c r="AB139" s="3200"/>
      <c r="AC139" s="3174">
        <f t="shared" si="64"/>
        <v>0</v>
      </c>
      <c r="AD139" s="3212"/>
      <c r="AE139" s="3212"/>
      <c r="AF139" s="3180"/>
      <c r="AG139" s="3212"/>
      <c r="AH139" s="3212"/>
      <c r="AI139" s="3212"/>
      <c r="AJ139" s="3212"/>
      <c r="AK139" s="3212"/>
      <c r="AL139" s="3212"/>
      <c r="AM139" s="3212"/>
      <c r="AN139" s="3212"/>
      <c r="AO139" s="3212"/>
      <c r="AP139" s="3212"/>
      <c r="AQ139" s="3212"/>
      <c r="AR139" s="3212"/>
      <c r="AS139" s="3212"/>
      <c r="AT139" s="3175"/>
      <c r="AU139" s="3232"/>
      <c r="AV139" s="466">
        <f t="shared" si="88"/>
        <v>0</v>
      </c>
      <c r="AW139" s="466">
        <f t="shared" si="89"/>
        <v>0</v>
      </c>
      <c r="AX139" s="466">
        <f t="shared" si="90"/>
        <v>0</v>
      </c>
      <c r="AY139" s="385">
        <f t="shared" si="65"/>
        <v>0</v>
      </c>
      <c r="AZ139" s="3174">
        <f t="shared" si="66"/>
        <v>0</v>
      </c>
      <c r="BA139" s="3174">
        <f t="shared" si="67"/>
        <v>0</v>
      </c>
      <c r="BB139" s="3174">
        <f t="shared" si="68"/>
        <v>0</v>
      </c>
      <c r="BC139" s="3174">
        <f t="shared" si="69"/>
        <v>0</v>
      </c>
      <c r="BD139" s="3174">
        <f t="shared" si="70"/>
        <v>0</v>
      </c>
      <c r="BE139" s="3174">
        <f t="shared" si="71"/>
        <v>0</v>
      </c>
      <c r="BF139" s="3174">
        <f t="shared" si="72"/>
        <v>0</v>
      </c>
      <c r="BG139" s="3174">
        <f t="shared" si="73"/>
        <v>0</v>
      </c>
      <c r="BH139" s="3174">
        <f t="shared" si="74"/>
        <v>0</v>
      </c>
      <c r="BI139" s="3174">
        <f t="shared" si="75"/>
        <v>0</v>
      </c>
      <c r="BJ139" s="3174">
        <f t="shared" si="76"/>
        <v>0</v>
      </c>
      <c r="BK139" s="3174">
        <f t="shared" si="77"/>
        <v>0</v>
      </c>
      <c r="BL139" s="3174">
        <f t="shared" si="78"/>
        <v>0</v>
      </c>
      <c r="BM139" s="3174">
        <f t="shared" si="79"/>
        <v>0</v>
      </c>
      <c r="BN139" s="3174">
        <f t="shared" si="80"/>
        <v>0</v>
      </c>
      <c r="BO139" s="3174">
        <f t="shared" si="81"/>
        <v>0</v>
      </c>
      <c r="BP139" s="3174">
        <f t="shared" si="82"/>
        <v>0</v>
      </c>
      <c r="BQ139" s="3174">
        <f t="shared" si="83"/>
        <v>0</v>
      </c>
      <c r="BR139" s="3174">
        <f t="shared" si="84"/>
        <v>0</v>
      </c>
      <c r="BS139" s="3174">
        <f t="shared" si="85"/>
        <v>0</v>
      </c>
      <c r="BT139" s="3249">
        <f t="shared" si="86"/>
        <v>0</v>
      </c>
    </row>
    <row r="140" spans="1:72">
      <c r="A140" s="489"/>
      <c r="B140" s="3179"/>
      <c r="C140" s="3180"/>
      <c r="D140" s="3181"/>
      <c r="E140" s="3174">
        <f t="shared" si="87"/>
        <v>0</v>
      </c>
      <c r="F140" s="3175"/>
      <c r="G140" s="3176">
        <f t="shared" si="62"/>
        <v>0</v>
      </c>
      <c r="H140" s="3177">
        <f t="shared" si="63"/>
        <v>0</v>
      </c>
      <c r="I140" s="3180"/>
      <c r="J140" s="3200"/>
      <c r="K140" s="3180"/>
      <c r="L140" s="3200"/>
      <c r="M140" s="3200"/>
      <c r="N140" s="3200"/>
      <c r="O140" s="3200"/>
      <c r="P140" s="3200"/>
      <c r="Q140" s="3200"/>
      <c r="R140" s="3200"/>
      <c r="S140" s="3200"/>
      <c r="T140" s="3200"/>
      <c r="U140" s="3200"/>
      <c r="V140" s="3200"/>
      <c r="W140" s="3200"/>
      <c r="X140" s="3200"/>
      <c r="Y140" s="3200"/>
      <c r="Z140" s="3200"/>
      <c r="AA140" s="3200"/>
      <c r="AB140" s="3200"/>
      <c r="AC140" s="3174">
        <f t="shared" si="64"/>
        <v>0</v>
      </c>
      <c r="AD140" s="3212"/>
      <c r="AE140" s="3212"/>
      <c r="AF140" s="3180"/>
      <c r="AG140" s="3212"/>
      <c r="AH140" s="3212"/>
      <c r="AI140" s="3212"/>
      <c r="AJ140" s="3212"/>
      <c r="AK140" s="3212"/>
      <c r="AL140" s="3212"/>
      <c r="AM140" s="3212"/>
      <c r="AN140" s="3212"/>
      <c r="AO140" s="3212"/>
      <c r="AP140" s="3212"/>
      <c r="AQ140" s="3212"/>
      <c r="AR140" s="3212"/>
      <c r="AS140" s="3212"/>
      <c r="AT140" s="3175"/>
      <c r="AU140" s="3232"/>
      <c r="AV140" s="466">
        <f t="shared" si="88"/>
        <v>0</v>
      </c>
      <c r="AW140" s="466">
        <f t="shared" si="89"/>
        <v>0</v>
      </c>
      <c r="AX140" s="466">
        <f t="shared" si="90"/>
        <v>0</v>
      </c>
      <c r="AY140" s="385">
        <f t="shared" si="65"/>
        <v>0</v>
      </c>
      <c r="AZ140" s="3174">
        <f t="shared" si="66"/>
        <v>0</v>
      </c>
      <c r="BA140" s="3174">
        <f t="shared" si="67"/>
        <v>0</v>
      </c>
      <c r="BB140" s="3174">
        <f t="shared" si="68"/>
        <v>0</v>
      </c>
      <c r="BC140" s="3174">
        <f t="shared" si="69"/>
        <v>0</v>
      </c>
      <c r="BD140" s="3174">
        <f t="shared" si="70"/>
        <v>0</v>
      </c>
      <c r="BE140" s="3174">
        <f t="shared" si="71"/>
        <v>0</v>
      </c>
      <c r="BF140" s="3174">
        <f t="shared" si="72"/>
        <v>0</v>
      </c>
      <c r="BG140" s="3174">
        <f t="shared" si="73"/>
        <v>0</v>
      </c>
      <c r="BH140" s="3174">
        <f t="shared" si="74"/>
        <v>0</v>
      </c>
      <c r="BI140" s="3174">
        <f t="shared" si="75"/>
        <v>0</v>
      </c>
      <c r="BJ140" s="3174">
        <f t="shared" si="76"/>
        <v>0</v>
      </c>
      <c r="BK140" s="3174">
        <f t="shared" si="77"/>
        <v>0</v>
      </c>
      <c r="BL140" s="3174">
        <f t="shared" si="78"/>
        <v>0</v>
      </c>
      <c r="BM140" s="3174">
        <f t="shared" si="79"/>
        <v>0</v>
      </c>
      <c r="BN140" s="3174">
        <f t="shared" si="80"/>
        <v>0</v>
      </c>
      <c r="BO140" s="3174">
        <f t="shared" si="81"/>
        <v>0</v>
      </c>
      <c r="BP140" s="3174">
        <f t="shared" si="82"/>
        <v>0</v>
      </c>
      <c r="BQ140" s="3174">
        <f t="shared" si="83"/>
        <v>0</v>
      </c>
      <c r="BR140" s="3174">
        <f t="shared" si="84"/>
        <v>0</v>
      </c>
      <c r="BS140" s="3174">
        <f t="shared" si="85"/>
        <v>0</v>
      </c>
      <c r="BT140" s="3249">
        <f t="shared" si="86"/>
        <v>0</v>
      </c>
    </row>
    <row r="141" spans="1:72">
      <c r="A141" s="489"/>
      <c r="B141" s="3179"/>
      <c r="C141" s="3180"/>
      <c r="D141" s="3181"/>
      <c r="E141" s="3174">
        <f t="shared" si="87"/>
        <v>0</v>
      </c>
      <c r="F141" s="3175"/>
      <c r="G141" s="3176">
        <f t="shared" si="62"/>
        <v>0</v>
      </c>
      <c r="H141" s="3177">
        <f t="shared" si="63"/>
        <v>0</v>
      </c>
      <c r="I141" s="3180"/>
      <c r="J141" s="3200"/>
      <c r="K141" s="3180"/>
      <c r="L141" s="3200"/>
      <c r="M141" s="3200"/>
      <c r="N141" s="3200"/>
      <c r="O141" s="3200"/>
      <c r="P141" s="3200"/>
      <c r="Q141" s="3200"/>
      <c r="R141" s="3200"/>
      <c r="S141" s="3200"/>
      <c r="T141" s="3200"/>
      <c r="U141" s="3200"/>
      <c r="V141" s="3200"/>
      <c r="W141" s="3200"/>
      <c r="X141" s="3200"/>
      <c r="Y141" s="3200"/>
      <c r="Z141" s="3200"/>
      <c r="AA141" s="3200"/>
      <c r="AB141" s="3200"/>
      <c r="AC141" s="3174">
        <f t="shared" si="64"/>
        <v>0</v>
      </c>
      <c r="AD141" s="3212"/>
      <c r="AE141" s="3212"/>
      <c r="AF141" s="3180"/>
      <c r="AG141" s="3212"/>
      <c r="AH141" s="3212"/>
      <c r="AI141" s="3212"/>
      <c r="AJ141" s="3212"/>
      <c r="AK141" s="3212"/>
      <c r="AL141" s="3212"/>
      <c r="AM141" s="3212"/>
      <c r="AN141" s="3212"/>
      <c r="AO141" s="3212"/>
      <c r="AP141" s="3212"/>
      <c r="AQ141" s="3212"/>
      <c r="AR141" s="3212"/>
      <c r="AS141" s="3212"/>
      <c r="AT141" s="3175"/>
      <c r="AU141" s="3232"/>
      <c r="AV141" s="466">
        <f t="shared" si="88"/>
        <v>0</v>
      </c>
      <c r="AW141" s="466">
        <f t="shared" si="89"/>
        <v>0</v>
      </c>
      <c r="AX141" s="466">
        <f t="shared" si="90"/>
        <v>0</v>
      </c>
      <c r="AY141" s="385">
        <f t="shared" si="65"/>
        <v>0</v>
      </c>
      <c r="AZ141" s="3174">
        <f t="shared" si="66"/>
        <v>0</v>
      </c>
      <c r="BA141" s="3174">
        <f t="shared" si="67"/>
        <v>0</v>
      </c>
      <c r="BB141" s="3174">
        <f t="shared" si="68"/>
        <v>0</v>
      </c>
      <c r="BC141" s="3174">
        <f t="shared" si="69"/>
        <v>0</v>
      </c>
      <c r="BD141" s="3174">
        <f t="shared" si="70"/>
        <v>0</v>
      </c>
      <c r="BE141" s="3174">
        <f t="shared" si="71"/>
        <v>0</v>
      </c>
      <c r="BF141" s="3174">
        <f t="shared" si="72"/>
        <v>0</v>
      </c>
      <c r="BG141" s="3174">
        <f t="shared" si="73"/>
        <v>0</v>
      </c>
      <c r="BH141" s="3174">
        <f t="shared" si="74"/>
        <v>0</v>
      </c>
      <c r="BI141" s="3174">
        <f t="shared" si="75"/>
        <v>0</v>
      </c>
      <c r="BJ141" s="3174">
        <f t="shared" si="76"/>
        <v>0</v>
      </c>
      <c r="BK141" s="3174">
        <f t="shared" si="77"/>
        <v>0</v>
      </c>
      <c r="BL141" s="3174">
        <f t="shared" si="78"/>
        <v>0</v>
      </c>
      <c r="BM141" s="3174">
        <f t="shared" si="79"/>
        <v>0</v>
      </c>
      <c r="BN141" s="3174">
        <f t="shared" si="80"/>
        <v>0</v>
      </c>
      <c r="BO141" s="3174">
        <f t="shared" si="81"/>
        <v>0</v>
      </c>
      <c r="BP141" s="3174">
        <f t="shared" si="82"/>
        <v>0</v>
      </c>
      <c r="BQ141" s="3174">
        <f t="shared" si="83"/>
        <v>0</v>
      </c>
      <c r="BR141" s="3174">
        <f t="shared" si="84"/>
        <v>0</v>
      </c>
      <c r="BS141" s="3174">
        <f t="shared" si="85"/>
        <v>0</v>
      </c>
      <c r="BT141" s="3249">
        <f t="shared" si="86"/>
        <v>0</v>
      </c>
    </row>
    <row r="142" spans="1:72">
      <c r="A142" s="489"/>
      <c r="B142" s="3179"/>
      <c r="C142" s="3180"/>
      <c r="D142" s="3181"/>
      <c r="E142" s="3174">
        <f t="shared" si="87"/>
        <v>0</v>
      </c>
      <c r="F142" s="3175"/>
      <c r="G142" s="3176">
        <f t="shared" ref="G142:G173" si="91">H142+AC142+AT142</f>
        <v>0</v>
      </c>
      <c r="H142" s="3177">
        <f t="shared" ref="H142:H173" si="92">SUMIF(I$12:AB$12,"总值",I142:AB142)</f>
        <v>0</v>
      </c>
      <c r="I142" s="3180"/>
      <c r="J142" s="3200"/>
      <c r="K142" s="3180"/>
      <c r="L142" s="3200"/>
      <c r="M142" s="3200"/>
      <c r="N142" s="3200"/>
      <c r="O142" s="3200"/>
      <c r="P142" s="3200"/>
      <c r="Q142" s="3200"/>
      <c r="R142" s="3200"/>
      <c r="S142" s="3200"/>
      <c r="T142" s="3200"/>
      <c r="U142" s="3200"/>
      <c r="V142" s="3200"/>
      <c r="W142" s="3200"/>
      <c r="X142" s="3200"/>
      <c r="Y142" s="3200"/>
      <c r="Z142" s="3200"/>
      <c r="AA142" s="3200"/>
      <c r="AB142" s="3200"/>
      <c r="AC142" s="3174">
        <f t="shared" ref="AC142:AC173" si="93">SUMIF(AD$12:AS$12,"总值",AD142:AS142)</f>
        <v>0</v>
      </c>
      <c r="AD142" s="3212"/>
      <c r="AE142" s="3212"/>
      <c r="AF142" s="3180"/>
      <c r="AG142" s="3212"/>
      <c r="AH142" s="3212"/>
      <c r="AI142" s="3212"/>
      <c r="AJ142" s="3212"/>
      <c r="AK142" s="3212"/>
      <c r="AL142" s="3212"/>
      <c r="AM142" s="3212"/>
      <c r="AN142" s="3212"/>
      <c r="AO142" s="3212"/>
      <c r="AP142" s="3212"/>
      <c r="AQ142" s="3212"/>
      <c r="AR142" s="3212"/>
      <c r="AS142" s="3212"/>
      <c r="AT142" s="3175"/>
      <c r="AU142" s="3232"/>
      <c r="AV142" s="466">
        <f t="shared" si="88"/>
        <v>0</v>
      </c>
      <c r="AW142" s="466">
        <f t="shared" si="89"/>
        <v>0</v>
      </c>
      <c r="AX142" s="466">
        <f t="shared" si="90"/>
        <v>0</v>
      </c>
      <c r="AY142" s="385">
        <f t="shared" ref="AY142:AY173" si="94">ROUND($AY$6*AZ142/$AZ$5,2)</f>
        <v>0</v>
      </c>
      <c r="AZ142" s="3174">
        <f t="shared" ref="AZ142:AZ173" si="95">BA142+BL142</f>
        <v>0</v>
      </c>
      <c r="BA142" s="3174">
        <f t="shared" ref="BA142:BA173" si="96">SUM(BB142:BK142)</f>
        <v>0</v>
      </c>
      <c r="BB142" s="3174">
        <f t="shared" ref="BB142:BB173" si="97">IF($D142="是",I142-J142,0)</f>
        <v>0</v>
      </c>
      <c r="BC142" s="3174">
        <f t="shared" ref="BC142:BC173" si="98">IF($D142="是",K142-L142,0)</f>
        <v>0</v>
      </c>
      <c r="BD142" s="3174">
        <f t="shared" ref="BD142:BD173" si="99">IF($D142="是",M142-N142,0)</f>
        <v>0</v>
      </c>
      <c r="BE142" s="3174">
        <f t="shared" ref="BE142:BE173" si="100">IF($D142="是",O142-P142,0)</f>
        <v>0</v>
      </c>
      <c r="BF142" s="3174">
        <f t="shared" ref="BF142:BF173" si="101">IF($D142="是",Q142-R142,0)</f>
        <v>0</v>
      </c>
      <c r="BG142" s="3174">
        <f t="shared" ref="BG142:BG173" si="102">IF($D142="是",S142-T142,0)</f>
        <v>0</v>
      </c>
      <c r="BH142" s="3174">
        <f t="shared" ref="BH142:BH173" si="103">IF($D142="是",U142-V142,0)</f>
        <v>0</v>
      </c>
      <c r="BI142" s="3174">
        <f t="shared" ref="BI142:BI173" si="104">IF($D142="是",W142-X142,0)</f>
        <v>0</v>
      </c>
      <c r="BJ142" s="3174">
        <f t="shared" ref="BJ142:BJ173" si="105">IF($D142="是",Y142-Z142,0)</f>
        <v>0</v>
      </c>
      <c r="BK142" s="3174">
        <f t="shared" ref="BK142:BK173" si="106">IF($D142="是",AA142-AB142,0)</f>
        <v>0</v>
      </c>
      <c r="BL142" s="3174">
        <f t="shared" ref="BL142:BL173" si="107">SUM(BM142:BT142)</f>
        <v>0</v>
      </c>
      <c r="BM142" s="3174">
        <f t="shared" ref="BM142:BM173" si="108">IF($D142="是",AD142-AE142,0)</f>
        <v>0</v>
      </c>
      <c r="BN142" s="3174">
        <f t="shared" ref="BN142:BN173" si="109">IF($D142="是",AF142-AG142,0)</f>
        <v>0</v>
      </c>
      <c r="BO142" s="3174">
        <f t="shared" ref="BO142:BO173" si="110">IF($D142="是",AH142-AI142,0)</f>
        <v>0</v>
      </c>
      <c r="BP142" s="3174">
        <f t="shared" ref="BP142:BP173" si="111">IF($D142="是",AJ142-AK142,0)</f>
        <v>0</v>
      </c>
      <c r="BQ142" s="3174">
        <f t="shared" ref="BQ142:BQ173" si="112">IF($D142="是",AL142-AM142,0)</f>
        <v>0</v>
      </c>
      <c r="BR142" s="3174">
        <f t="shared" ref="BR142:BR173" si="113">IF($D142="是",AN142-AO142,0)</f>
        <v>0</v>
      </c>
      <c r="BS142" s="3174">
        <f t="shared" ref="BS142:BS173" si="114">IF($D142="是",AP142-AQ142,0)</f>
        <v>0</v>
      </c>
      <c r="BT142" s="3249">
        <f t="shared" ref="BT142:BT173" si="115">IF($D142="是",AR142-AS142,0)</f>
        <v>0</v>
      </c>
    </row>
    <row r="143" spans="1:72">
      <c r="A143" s="489"/>
      <c r="B143" s="3179"/>
      <c r="C143" s="3180"/>
      <c r="D143" s="3181"/>
      <c r="E143" s="3174">
        <f t="shared" si="87"/>
        <v>0</v>
      </c>
      <c r="F143" s="3175"/>
      <c r="G143" s="3176">
        <f t="shared" si="91"/>
        <v>0</v>
      </c>
      <c r="H143" s="3177">
        <f t="shared" si="92"/>
        <v>0</v>
      </c>
      <c r="I143" s="3180"/>
      <c r="J143" s="3200"/>
      <c r="K143" s="3180"/>
      <c r="L143" s="3200"/>
      <c r="M143" s="3200"/>
      <c r="N143" s="3200"/>
      <c r="O143" s="3200"/>
      <c r="P143" s="3200"/>
      <c r="Q143" s="3200"/>
      <c r="R143" s="3200"/>
      <c r="S143" s="3200"/>
      <c r="T143" s="3200"/>
      <c r="U143" s="3200"/>
      <c r="V143" s="3200"/>
      <c r="W143" s="3200"/>
      <c r="X143" s="3200"/>
      <c r="Y143" s="3200"/>
      <c r="Z143" s="3200"/>
      <c r="AA143" s="3200"/>
      <c r="AB143" s="3200"/>
      <c r="AC143" s="3174">
        <f t="shared" si="93"/>
        <v>0</v>
      </c>
      <c r="AD143" s="3212"/>
      <c r="AE143" s="3212"/>
      <c r="AF143" s="3180"/>
      <c r="AG143" s="3212"/>
      <c r="AH143" s="3212"/>
      <c r="AI143" s="3212"/>
      <c r="AJ143" s="3212"/>
      <c r="AK143" s="3212"/>
      <c r="AL143" s="3212"/>
      <c r="AM143" s="3212"/>
      <c r="AN143" s="3212"/>
      <c r="AO143" s="3212"/>
      <c r="AP143" s="3212"/>
      <c r="AQ143" s="3212"/>
      <c r="AR143" s="3212"/>
      <c r="AS143" s="3212"/>
      <c r="AT143" s="3175"/>
      <c r="AU143" s="3232"/>
      <c r="AV143" s="466">
        <f t="shared" si="88"/>
        <v>0</v>
      </c>
      <c r="AW143" s="466">
        <f t="shared" si="89"/>
        <v>0</v>
      </c>
      <c r="AX143" s="466">
        <f t="shared" si="90"/>
        <v>0</v>
      </c>
      <c r="AY143" s="385">
        <f t="shared" si="94"/>
        <v>0</v>
      </c>
      <c r="AZ143" s="3174">
        <f t="shared" si="95"/>
        <v>0</v>
      </c>
      <c r="BA143" s="3174">
        <f t="shared" si="96"/>
        <v>0</v>
      </c>
      <c r="BB143" s="3174">
        <f t="shared" si="97"/>
        <v>0</v>
      </c>
      <c r="BC143" s="3174">
        <f t="shared" si="98"/>
        <v>0</v>
      </c>
      <c r="BD143" s="3174">
        <f t="shared" si="99"/>
        <v>0</v>
      </c>
      <c r="BE143" s="3174">
        <f t="shared" si="100"/>
        <v>0</v>
      </c>
      <c r="BF143" s="3174">
        <f t="shared" si="101"/>
        <v>0</v>
      </c>
      <c r="BG143" s="3174">
        <f t="shared" si="102"/>
        <v>0</v>
      </c>
      <c r="BH143" s="3174">
        <f t="shared" si="103"/>
        <v>0</v>
      </c>
      <c r="BI143" s="3174">
        <f t="shared" si="104"/>
        <v>0</v>
      </c>
      <c r="BJ143" s="3174">
        <f t="shared" si="105"/>
        <v>0</v>
      </c>
      <c r="BK143" s="3174">
        <f t="shared" si="106"/>
        <v>0</v>
      </c>
      <c r="BL143" s="3174">
        <f t="shared" si="107"/>
        <v>0</v>
      </c>
      <c r="BM143" s="3174">
        <f t="shared" si="108"/>
        <v>0</v>
      </c>
      <c r="BN143" s="3174">
        <f t="shared" si="109"/>
        <v>0</v>
      </c>
      <c r="BO143" s="3174">
        <f t="shared" si="110"/>
        <v>0</v>
      </c>
      <c r="BP143" s="3174">
        <f t="shared" si="111"/>
        <v>0</v>
      </c>
      <c r="BQ143" s="3174">
        <f t="shared" si="112"/>
        <v>0</v>
      </c>
      <c r="BR143" s="3174">
        <f t="shared" si="113"/>
        <v>0</v>
      </c>
      <c r="BS143" s="3174">
        <f t="shared" si="114"/>
        <v>0</v>
      </c>
      <c r="BT143" s="3249">
        <f t="shared" si="115"/>
        <v>0</v>
      </c>
    </row>
    <row r="144" spans="1:72">
      <c r="A144" s="489"/>
      <c r="B144" s="3179"/>
      <c r="C144" s="3180"/>
      <c r="D144" s="3181"/>
      <c r="E144" s="3174">
        <f t="shared" si="87"/>
        <v>0</v>
      </c>
      <c r="F144" s="3175"/>
      <c r="G144" s="3176">
        <f t="shared" si="91"/>
        <v>0</v>
      </c>
      <c r="H144" s="3177">
        <f t="shared" si="92"/>
        <v>0</v>
      </c>
      <c r="I144" s="3180"/>
      <c r="J144" s="3200"/>
      <c r="K144" s="3180"/>
      <c r="L144" s="3200"/>
      <c r="M144" s="3200"/>
      <c r="N144" s="3200"/>
      <c r="O144" s="3200"/>
      <c r="P144" s="3200"/>
      <c r="Q144" s="3200"/>
      <c r="R144" s="3200"/>
      <c r="S144" s="3200"/>
      <c r="T144" s="3200"/>
      <c r="U144" s="3200"/>
      <c r="V144" s="3200"/>
      <c r="W144" s="3200"/>
      <c r="X144" s="3200"/>
      <c r="Y144" s="3200"/>
      <c r="Z144" s="3200"/>
      <c r="AA144" s="3200"/>
      <c r="AB144" s="3200"/>
      <c r="AC144" s="3174">
        <f t="shared" si="93"/>
        <v>0</v>
      </c>
      <c r="AD144" s="3212"/>
      <c r="AE144" s="3212"/>
      <c r="AF144" s="3180"/>
      <c r="AG144" s="3212"/>
      <c r="AH144" s="3212"/>
      <c r="AI144" s="3212"/>
      <c r="AJ144" s="3212"/>
      <c r="AK144" s="3212"/>
      <c r="AL144" s="3212"/>
      <c r="AM144" s="3212"/>
      <c r="AN144" s="3212"/>
      <c r="AO144" s="3212"/>
      <c r="AP144" s="3212"/>
      <c r="AQ144" s="3212"/>
      <c r="AR144" s="3212"/>
      <c r="AS144" s="3212"/>
      <c r="AT144" s="3175"/>
      <c r="AU144" s="3232"/>
      <c r="AV144" s="466">
        <f t="shared" si="88"/>
        <v>0</v>
      </c>
      <c r="AW144" s="466">
        <f t="shared" si="89"/>
        <v>0</v>
      </c>
      <c r="AX144" s="466">
        <f t="shared" si="90"/>
        <v>0</v>
      </c>
      <c r="AY144" s="385">
        <f t="shared" si="94"/>
        <v>0</v>
      </c>
      <c r="AZ144" s="3174">
        <f t="shared" si="95"/>
        <v>0</v>
      </c>
      <c r="BA144" s="3174">
        <f t="shared" si="96"/>
        <v>0</v>
      </c>
      <c r="BB144" s="3174">
        <f t="shared" si="97"/>
        <v>0</v>
      </c>
      <c r="BC144" s="3174">
        <f t="shared" si="98"/>
        <v>0</v>
      </c>
      <c r="BD144" s="3174">
        <f t="shared" si="99"/>
        <v>0</v>
      </c>
      <c r="BE144" s="3174">
        <f t="shared" si="100"/>
        <v>0</v>
      </c>
      <c r="BF144" s="3174">
        <f t="shared" si="101"/>
        <v>0</v>
      </c>
      <c r="BG144" s="3174">
        <f t="shared" si="102"/>
        <v>0</v>
      </c>
      <c r="BH144" s="3174">
        <f t="shared" si="103"/>
        <v>0</v>
      </c>
      <c r="BI144" s="3174">
        <f t="shared" si="104"/>
        <v>0</v>
      </c>
      <c r="BJ144" s="3174">
        <f t="shared" si="105"/>
        <v>0</v>
      </c>
      <c r="BK144" s="3174">
        <f t="shared" si="106"/>
        <v>0</v>
      </c>
      <c r="BL144" s="3174">
        <f t="shared" si="107"/>
        <v>0</v>
      </c>
      <c r="BM144" s="3174">
        <f t="shared" si="108"/>
        <v>0</v>
      </c>
      <c r="BN144" s="3174">
        <f t="shared" si="109"/>
        <v>0</v>
      </c>
      <c r="BO144" s="3174">
        <f t="shared" si="110"/>
        <v>0</v>
      </c>
      <c r="BP144" s="3174">
        <f t="shared" si="111"/>
        <v>0</v>
      </c>
      <c r="BQ144" s="3174">
        <f t="shared" si="112"/>
        <v>0</v>
      </c>
      <c r="BR144" s="3174">
        <f t="shared" si="113"/>
        <v>0</v>
      </c>
      <c r="BS144" s="3174">
        <f t="shared" si="114"/>
        <v>0</v>
      </c>
      <c r="BT144" s="3249">
        <f t="shared" si="115"/>
        <v>0</v>
      </c>
    </row>
    <row r="145" spans="1:72">
      <c r="A145" s="489"/>
      <c r="B145" s="3179"/>
      <c r="C145" s="3180"/>
      <c r="D145" s="3181"/>
      <c r="E145" s="3174">
        <f t="shared" ref="E145:E176" si="116">IF($C$3="是",ROUND($A$3*G145/$B$3,2),ROUND($A$3*(G145-AT145)/$B$3,2))</f>
        <v>0</v>
      </c>
      <c r="F145" s="3175"/>
      <c r="G145" s="3176">
        <f t="shared" si="91"/>
        <v>0</v>
      </c>
      <c r="H145" s="3177">
        <f t="shared" si="92"/>
        <v>0</v>
      </c>
      <c r="I145" s="3180"/>
      <c r="J145" s="3200"/>
      <c r="K145" s="3180"/>
      <c r="L145" s="3200"/>
      <c r="M145" s="3200"/>
      <c r="N145" s="3200"/>
      <c r="O145" s="3200"/>
      <c r="P145" s="3200"/>
      <c r="Q145" s="3200"/>
      <c r="R145" s="3200"/>
      <c r="S145" s="3200"/>
      <c r="T145" s="3200"/>
      <c r="U145" s="3200"/>
      <c r="V145" s="3200"/>
      <c r="W145" s="3200"/>
      <c r="X145" s="3200"/>
      <c r="Y145" s="3200"/>
      <c r="Z145" s="3200"/>
      <c r="AA145" s="3200"/>
      <c r="AB145" s="3200"/>
      <c r="AC145" s="3174">
        <f t="shared" si="93"/>
        <v>0</v>
      </c>
      <c r="AD145" s="3212"/>
      <c r="AE145" s="3212"/>
      <c r="AF145" s="3180"/>
      <c r="AG145" s="3212"/>
      <c r="AH145" s="3212"/>
      <c r="AI145" s="3212"/>
      <c r="AJ145" s="3212"/>
      <c r="AK145" s="3212"/>
      <c r="AL145" s="3212"/>
      <c r="AM145" s="3212"/>
      <c r="AN145" s="3212"/>
      <c r="AO145" s="3212"/>
      <c r="AP145" s="3212"/>
      <c r="AQ145" s="3212"/>
      <c r="AR145" s="3212"/>
      <c r="AS145" s="3212"/>
      <c r="AT145" s="3175"/>
      <c r="AU145" s="3232"/>
      <c r="AV145" s="466">
        <f t="shared" ref="AV145:AV176" si="117">A145</f>
        <v>0</v>
      </c>
      <c r="AW145" s="466">
        <f t="shared" ref="AW145:AW176" si="118">B145</f>
        <v>0</v>
      </c>
      <c r="AX145" s="466">
        <f t="shared" ref="AX145:AX176" si="119">C145</f>
        <v>0</v>
      </c>
      <c r="AY145" s="385">
        <f t="shared" si="94"/>
        <v>0</v>
      </c>
      <c r="AZ145" s="3174">
        <f t="shared" si="95"/>
        <v>0</v>
      </c>
      <c r="BA145" s="3174">
        <f t="shared" si="96"/>
        <v>0</v>
      </c>
      <c r="BB145" s="3174">
        <f t="shared" si="97"/>
        <v>0</v>
      </c>
      <c r="BC145" s="3174">
        <f t="shared" si="98"/>
        <v>0</v>
      </c>
      <c r="BD145" s="3174">
        <f t="shared" si="99"/>
        <v>0</v>
      </c>
      <c r="BE145" s="3174">
        <f t="shared" si="100"/>
        <v>0</v>
      </c>
      <c r="BF145" s="3174">
        <f t="shared" si="101"/>
        <v>0</v>
      </c>
      <c r="BG145" s="3174">
        <f t="shared" si="102"/>
        <v>0</v>
      </c>
      <c r="BH145" s="3174">
        <f t="shared" si="103"/>
        <v>0</v>
      </c>
      <c r="BI145" s="3174">
        <f t="shared" si="104"/>
        <v>0</v>
      </c>
      <c r="BJ145" s="3174">
        <f t="shared" si="105"/>
        <v>0</v>
      </c>
      <c r="BK145" s="3174">
        <f t="shared" si="106"/>
        <v>0</v>
      </c>
      <c r="BL145" s="3174">
        <f t="shared" si="107"/>
        <v>0</v>
      </c>
      <c r="BM145" s="3174">
        <f t="shared" si="108"/>
        <v>0</v>
      </c>
      <c r="BN145" s="3174">
        <f t="shared" si="109"/>
        <v>0</v>
      </c>
      <c r="BO145" s="3174">
        <f t="shared" si="110"/>
        <v>0</v>
      </c>
      <c r="BP145" s="3174">
        <f t="shared" si="111"/>
        <v>0</v>
      </c>
      <c r="BQ145" s="3174">
        <f t="shared" si="112"/>
        <v>0</v>
      </c>
      <c r="BR145" s="3174">
        <f t="shared" si="113"/>
        <v>0</v>
      </c>
      <c r="BS145" s="3174">
        <f t="shared" si="114"/>
        <v>0</v>
      </c>
      <c r="BT145" s="3249">
        <f t="shared" si="115"/>
        <v>0</v>
      </c>
    </row>
    <row r="146" spans="1:72">
      <c r="A146" s="489"/>
      <c r="B146" s="3179"/>
      <c r="C146" s="3180"/>
      <c r="D146" s="3181"/>
      <c r="E146" s="3174">
        <f t="shared" si="116"/>
        <v>0</v>
      </c>
      <c r="F146" s="3175"/>
      <c r="G146" s="3176">
        <f t="shared" si="91"/>
        <v>0</v>
      </c>
      <c r="H146" s="3177">
        <f t="shared" si="92"/>
        <v>0</v>
      </c>
      <c r="I146" s="3180"/>
      <c r="J146" s="3200"/>
      <c r="K146" s="3180"/>
      <c r="L146" s="3200"/>
      <c r="M146" s="3200"/>
      <c r="N146" s="3200"/>
      <c r="O146" s="3200"/>
      <c r="P146" s="3200"/>
      <c r="Q146" s="3200"/>
      <c r="R146" s="3200"/>
      <c r="S146" s="3200"/>
      <c r="T146" s="3200"/>
      <c r="U146" s="3200"/>
      <c r="V146" s="3200"/>
      <c r="W146" s="3200"/>
      <c r="X146" s="3200"/>
      <c r="Y146" s="3200"/>
      <c r="Z146" s="3200"/>
      <c r="AA146" s="3200"/>
      <c r="AB146" s="3200"/>
      <c r="AC146" s="3174">
        <f t="shared" si="93"/>
        <v>0</v>
      </c>
      <c r="AD146" s="3212"/>
      <c r="AE146" s="3212"/>
      <c r="AF146" s="3180"/>
      <c r="AG146" s="3212"/>
      <c r="AH146" s="3212"/>
      <c r="AI146" s="3212"/>
      <c r="AJ146" s="3212"/>
      <c r="AK146" s="3212"/>
      <c r="AL146" s="3212"/>
      <c r="AM146" s="3212"/>
      <c r="AN146" s="3212"/>
      <c r="AO146" s="3212"/>
      <c r="AP146" s="3212"/>
      <c r="AQ146" s="3212"/>
      <c r="AR146" s="3212"/>
      <c r="AS146" s="3212"/>
      <c r="AT146" s="3175"/>
      <c r="AU146" s="3232"/>
      <c r="AV146" s="466">
        <f t="shared" si="117"/>
        <v>0</v>
      </c>
      <c r="AW146" s="466">
        <f t="shared" si="118"/>
        <v>0</v>
      </c>
      <c r="AX146" s="466">
        <f t="shared" si="119"/>
        <v>0</v>
      </c>
      <c r="AY146" s="385">
        <f t="shared" si="94"/>
        <v>0</v>
      </c>
      <c r="AZ146" s="3174">
        <f t="shared" si="95"/>
        <v>0</v>
      </c>
      <c r="BA146" s="3174">
        <f t="shared" si="96"/>
        <v>0</v>
      </c>
      <c r="BB146" s="3174">
        <f t="shared" si="97"/>
        <v>0</v>
      </c>
      <c r="BC146" s="3174">
        <f t="shared" si="98"/>
        <v>0</v>
      </c>
      <c r="BD146" s="3174">
        <f t="shared" si="99"/>
        <v>0</v>
      </c>
      <c r="BE146" s="3174">
        <f t="shared" si="100"/>
        <v>0</v>
      </c>
      <c r="BF146" s="3174">
        <f t="shared" si="101"/>
        <v>0</v>
      </c>
      <c r="BG146" s="3174">
        <f t="shared" si="102"/>
        <v>0</v>
      </c>
      <c r="BH146" s="3174">
        <f t="shared" si="103"/>
        <v>0</v>
      </c>
      <c r="BI146" s="3174">
        <f t="shared" si="104"/>
        <v>0</v>
      </c>
      <c r="BJ146" s="3174">
        <f t="shared" si="105"/>
        <v>0</v>
      </c>
      <c r="BK146" s="3174">
        <f t="shared" si="106"/>
        <v>0</v>
      </c>
      <c r="BL146" s="3174">
        <f t="shared" si="107"/>
        <v>0</v>
      </c>
      <c r="BM146" s="3174">
        <f t="shared" si="108"/>
        <v>0</v>
      </c>
      <c r="BN146" s="3174">
        <f t="shared" si="109"/>
        <v>0</v>
      </c>
      <c r="BO146" s="3174">
        <f t="shared" si="110"/>
        <v>0</v>
      </c>
      <c r="BP146" s="3174">
        <f t="shared" si="111"/>
        <v>0</v>
      </c>
      <c r="BQ146" s="3174">
        <f t="shared" si="112"/>
        <v>0</v>
      </c>
      <c r="BR146" s="3174">
        <f t="shared" si="113"/>
        <v>0</v>
      </c>
      <c r="BS146" s="3174">
        <f t="shared" si="114"/>
        <v>0</v>
      </c>
      <c r="BT146" s="3249">
        <f t="shared" si="115"/>
        <v>0</v>
      </c>
    </row>
    <row r="147" spans="1:72">
      <c r="A147" s="489"/>
      <c r="B147" s="3179"/>
      <c r="C147" s="3180"/>
      <c r="D147" s="3181"/>
      <c r="E147" s="3174">
        <f t="shared" si="116"/>
        <v>0</v>
      </c>
      <c r="F147" s="3175"/>
      <c r="G147" s="3176">
        <f t="shared" si="91"/>
        <v>0</v>
      </c>
      <c r="H147" s="3177">
        <f t="shared" si="92"/>
        <v>0</v>
      </c>
      <c r="I147" s="3180"/>
      <c r="J147" s="3200"/>
      <c r="K147" s="3180"/>
      <c r="L147" s="3200"/>
      <c r="M147" s="3180"/>
      <c r="N147" s="3200"/>
      <c r="O147" s="3200"/>
      <c r="P147" s="3200"/>
      <c r="Q147" s="3200"/>
      <c r="R147" s="3200"/>
      <c r="S147" s="3200"/>
      <c r="T147" s="3200"/>
      <c r="U147" s="3200"/>
      <c r="V147" s="3200"/>
      <c r="W147" s="3200"/>
      <c r="X147" s="3200"/>
      <c r="Y147" s="3200"/>
      <c r="Z147" s="3200"/>
      <c r="AA147" s="3200"/>
      <c r="AB147" s="3200"/>
      <c r="AC147" s="3174">
        <f t="shared" si="93"/>
        <v>0</v>
      </c>
      <c r="AD147" s="3212"/>
      <c r="AE147" s="3212"/>
      <c r="AF147" s="3180"/>
      <c r="AG147" s="3212"/>
      <c r="AH147" s="3212"/>
      <c r="AI147" s="3212"/>
      <c r="AJ147" s="3212"/>
      <c r="AK147" s="3212"/>
      <c r="AL147" s="3212"/>
      <c r="AM147" s="3212"/>
      <c r="AN147" s="3212"/>
      <c r="AO147" s="3212"/>
      <c r="AP147" s="3212"/>
      <c r="AQ147" s="3212"/>
      <c r="AR147" s="3212"/>
      <c r="AS147" s="3212"/>
      <c r="AT147" s="3175"/>
      <c r="AU147" s="3232"/>
      <c r="AV147" s="466">
        <f t="shared" si="117"/>
        <v>0</v>
      </c>
      <c r="AW147" s="466">
        <f t="shared" si="118"/>
        <v>0</v>
      </c>
      <c r="AX147" s="466">
        <f t="shared" si="119"/>
        <v>0</v>
      </c>
      <c r="AY147" s="385">
        <f t="shared" si="94"/>
        <v>0</v>
      </c>
      <c r="AZ147" s="3174">
        <f t="shared" si="95"/>
        <v>0</v>
      </c>
      <c r="BA147" s="3174">
        <f t="shared" si="96"/>
        <v>0</v>
      </c>
      <c r="BB147" s="3174">
        <f t="shared" si="97"/>
        <v>0</v>
      </c>
      <c r="BC147" s="3174">
        <f t="shared" si="98"/>
        <v>0</v>
      </c>
      <c r="BD147" s="3174">
        <f t="shared" si="99"/>
        <v>0</v>
      </c>
      <c r="BE147" s="3174">
        <f t="shared" si="100"/>
        <v>0</v>
      </c>
      <c r="BF147" s="3174">
        <f t="shared" si="101"/>
        <v>0</v>
      </c>
      <c r="BG147" s="3174">
        <f t="shared" si="102"/>
        <v>0</v>
      </c>
      <c r="BH147" s="3174">
        <f t="shared" si="103"/>
        <v>0</v>
      </c>
      <c r="BI147" s="3174">
        <f t="shared" si="104"/>
        <v>0</v>
      </c>
      <c r="BJ147" s="3174">
        <f t="shared" si="105"/>
        <v>0</v>
      </c>
      <c r="BK147" s="3174">
        <f t="shared" si="106"/>
        <v>0</v>
      </c>
      <c r="BL147" s="3174">
        <f t="shared" si="107"/>
        <v>0</v>
      </c>
      <c r="BM147" s="3174">
        <f t="shared" si="108"/>
        <v>0</v>
      </c>
      <c r="BN147" s="3174">
        <f t="shared" si="109"/>
        <v>0</v>
      </c>
      <c r="BO147" s="3174">
        <f t="shared" si="110"/>
        <v>0</v>
      </c>
      <c r="BP147" s="3174">
        <f t="shared" si="111"/>
        <v>0</v>
      </c>
      <c r="BQ147" s="3174">
        <f t="shared" si="112"/>
        <v>0</v>
      </c>
      <c r="BR147" s="3174">
        <f t="shared" si="113"/>
        <v>0</v>
      </c>
      <c r="BS147" s="3174">
        <f t="shared" si="114"/>
        <v>0</v>
      </c>
      <c r="BT147" s="3249">
        <f t="shared" si="115"/>
        <v>0</v>
      </c>
    </row>
    <row r="148" spans="1:72">
      <c r="A148" s="489"/>
      <c r="B148" s="356"/>
      <c r="C148" s="356"/>
      <c r="D148" s="3182"/>
      <c r="E148" s="3174">
        <f t="shared" si="116"/>
        <v>0</v>
      </c>
      <c r="F148" s="3175"/>
      <c r="G148" s="3176">
        <f t="shared" si="91"/>
        <v>0</v>
      </c>
      <c r="H148" s="3177">
        <f t="shared" si="92"/>
        <v>0</v>
      </c>
      <c r="I148" s="3200"/>
      <c r="J148" s="3200"/>
      <c r="K148" s="3200"/>
      <c r="L148" s="3200"/>
      <c r="M148" s="3200"/>
      <c r="N148" s="3200"/>
      <c r="O148" s="3200"/>
      <c r="P148" s="3200"/>
      <c r="Q148" s="3200"/>
      <c r="R148" s="3200"/>
      <c r="S148" s="3200"/>
      <c r="T148" s="3200"/>
      <c r="U148" s="3200"/>
      <c r="V148" s="3200"/>
      <c r="W148" s="3200"/>
      <c r="X148" s="3200"/>
      <c r="Y148" s="3200"/>
      <c r="Z148" s="3200"/>
      <c r="AA148" s="3200"/>
      <c r="AB148" s="3200"/>
      <c r="AC148" s="3174">
        <f t="shared" si="93"/>
        <v>0</v>
      </c>
      <c r="AD148" s="3212"/>
      <c r="AE148" s="3212"/>
      <c r="AF148" s="3212"/>
      <c r="AG148" s="3212"/>
      <c r="AH148" s="3212"/>
      <c r="AI148" s="3212"/>
      <c r="AJ148" s="3212"/>
      <c r="AK148" s="3212"/>
      <c r="AL148" s="3212"/>
      <c r="AM148" s="3212"/>
      <c r="AN148" s="3212"/>
      <c r="AO148" s="3212"/>
      <c r="AP148" s="3212"/>
      <c r="AQ148" s="3212"/>
      <c r="AR148" s="3212"/>
      <c r="AS148" s="3212"/>
      <c r="AT148" s="3175"/>
      <c r="AU148" s="3232"/>
      <c r="AV148" s="466">
        <f t="shared" si="117"/>
        <v>0</v>
      </c>
      <c r="AW148" s="466">
        <f t="shared" si="118"/>
        <v>0</v>
      </c>
      <c r="AX148" s="466">
        <f t="shared" si="119"/>
        <v>0</v>
      </c>
      <c r="AY148" s="385">
        <f t="shared" si="94"/>
        <v>0</v>
      </c>
      <c r="AZ148" s="3174">
        <f t="shared" si="95"/>
        <v>0</v>
      </c>
      <c r="BA148" s="3174">
        <f t="shared" si="96"/>
        <v>0</v>
      </c>
      <c r="BB148" s="3174">
        <f t="shared" si="97"/>
        <v>0</v>
      </c>
      <c r="BC148" s="3174">
        <f t="shared" si="98"/>
        <v>0</v>
      </c>
      <c r="BD148" s="3174">
        <f t="shared" si="99"/>
        <v>0</v>
      </c>
      <c r="BE148" s="3174">
        <f t="shared" si="100"/>
        <v>0</v>
      </c>
      <c r="BF148" s="3174">
        <f t="shared" si="101"/>
        <v>0</v>
      </c>
      <c r="BG148" s="3174">
        <f t="shared" si="102"/>
        <v>0</v>
      </c>
      <c r="BH148" s="3174">
        <f t="shared" si="103"/>
        <v>0</v>
      </c>
      <c r="BI148" s="3174">
        <f t="shared" si="104"/>
        <v>0</v>
      </c>
      <c r="BJ148" s="3174">
        <f t="shared" si="105"/>
        <v>0</v>
      </c>
      <c r="BK148" s="3174">
        <f t="shared" si="106"/>
        <v>0</v>
      </c>
      <c r="BL148" s="3174">
        <f t="shared" si="107"/>
        <v>0</v>
      </c>
      <c r="BM148" s="3174">
        <f t="shared" si="108"/>
        <v>0</v>
      </c>
      <c r="BN148" s="3174">
        <f t="shared" si="109"/>
        <v>0</v>
      </c>
      <c r="BO148" s="3174">
        <f t="shared" si="110"/>
        <v>0</v>
      </c>
      <c r="BP148" s="3174">
        <f t="shared" si="111"/>
        <v>0</v>
      </c>
      <c r="BQ148" s="3174">
        <f t="shared" si="112"/>
        <v>0</v>
      </c>
      <c r="BR148" s="3174">
        <f t="shared" si="113"/>
        <v>0</v>
      </c>
      <c r="BS148" s="3174">
        <f t="shared" si="114"/>
        <v>0</v>
      </c>
      <c r="BT148" s="3249">
        <f t="shared" si="115"/>
        <v>0</v>
      </c>
    </row>
    <row r="149" spans="1:72">
      <c r="A149" s="489"/>
      <c r="B149" s="356"/>
      <c r="C149" s="356"/>
      <c r="D149" s="3182"/>
      <c r="E149" s="3174">
        <f t="shared" si="116"/>
        <v>0</v>
      </c>
      <c r="F149" s="3175"/>
      <c r="G149" s="3176">
        <f t="shared" si="91"/>
        <v>0</v>
      </c>
      <c r="H149" s="3177">
        <f t="shared" si="92"/>
        <v>0</v>
      </c>
      <c r="I149" s="3200"/>
      <c r="J149" s="3200"/>
      <c r="K149" s="3200"/>
      <c r="L149" s="3200"/>
      <c r="M149" s="3200"/>
      <c r="N149" s="3200"/>
      <c r="O149" s="3200"/>
      <c r="P149" s="3200"/>
      <c r="Q149" s="3200"/>
      <c r="R149" s="3200"/>
      <c r="S149" s="3200"/>
      <c r="T149" s="3200"/>
      <c r="U149" s="3200"/>
      <c r="V149" s="3200"/>
      <c r="W149" s="3200"/>
      <c r="X149" s="3200"/>
      <c r="Y149" s="3200"/>
      <c r="Z149" s="3200"/>
      <c r="AA149" s="3200"/>
      <c r="AB149" s="3200"/>
      <c r="AC149" s="3174">
        <f t="shared" si="93"/>
        <v>0</v>
      </c>
      <c r="AD149" s="3212"/>
      <c r="AE149" s="3212"/>
      <c r="AF149" s="3212"/>
      <c r="AG149" s="3212"/>
      <c r="AH149" s="3212"/>
      <c r="AI149" s="3212"/>
      <c r="AJ149" s="3212"/>
      <c r="AK149" s="3212"/>
      <c r="AL149" s="3212"/>
      <c r="AM149" s="3212"/>
      <c r="AN149" s="3212"/>
      <c r="AO149" s="3212"/>
      <c r="AP149" s="3212"/>
      <c r="AQ149" s="3212"/>
      <c r="AR149" s="3212"/>
      <c r="AS149" s="3212"/>
      <c r="AT149" s="3175"/>
      <c r="AU149" s="3232"/>
      <c r="AV149" s="466">
        <f t="shared" si="117"/>
        <v>0</v>
      </c>
      <c r="AW149" s="466">
        <f t="shared" si="118"/>
        <v>0</v>
      </c>
      <c r="AX149" s="466">
        <f t="shared" si="119"/>
        <v>0</v>
      </c>
      <c r="AY149" s="385">
        <f t="shared" si="94"/>
        <v>0</v>
      </c>
      <c r="AZ149" s="3174">
        <f t="shared" si="95"/>
        <v>0</v>
      </c>
      <c r="BA149" s="3174">
        <f t="shared" si="96"/>
        <v>0</v>
      </c>
      <c r="BB149" s="3174">
        <f t="shared" si="97"/>
        <v>0</v>
      </c>
      <c r="BC149" s="3174">
        <f t="shared" si="98"/>
        <v>0</v>
      </c>
      <c r="BD149" s="3174">
        <f t="shared" si="99"/>
        <v>0</v>
      </c>
      <c r="BE149" s="3174">
        <f t="shared" si="100"/>
        <v>0</v>
      </c>
      <c r="BF149" s="3174">
        <f t="shared" si="101"/>
        <v>0</v>
      </c>
      <c r="BG149" s="3174">
        <f t="shared" si="102"/>
        <v>0</v>
      </c>
      <c r="BH149" s="3174">
        <f t="shared" si="103"/>
        <v>0</v>
      </c>
      <c r="BI149" s="3174">
        <f t="shared" si="104"/>
        <v>0</v>
      </c>
      <c r="BJ149" s="3174">
        <f t="shared" si="105"/>
        <v>0</v>
      </c>
      <c r="BK149" s="3174">
        <f t="shared" si="106"/>
        <v>0</v>
      </c>
      <c r="BL149" s="3174">
        <f t="shared" si="107"/>
        <v>0</v>
      </c>
      <c r="BM149" s="3174">
        <f t="shared" si="108"/>
        <v>0</v>
      </c>
      <c r="BN149" s="3174">
        <f t="shared" si="109"/>
        <v>0</v>
      </c>
      <c r="BO149" s="3174">
        <f t="shared" si="110"/>
        <v>0</v>
      </c>
      <c r="BP149" s="3174">
        <f t="shared" si="111"/>
        <v>0</v>
      </c>
      <c r="BQ149" s="3174">
        <f t="shared" si="112"/>
        <v>0</v>
      </c>
      <c r="BR149" s="3174">
        <f t="shared" si="113"/>
        <v>0</v>
      </c>
      <c r="BS149" s="3174">
        <f t="shared" si="114"/>
        <v>0</v>
      </c>
      <c r="BT149" s="3249">
        <f t="shared" si="115"/>
        <v>0</v>
      </c>
    </row>
    <row r="150" spans="1:72">
      <c r="A150" s="489"/>
      <c r="B150" s="356"/>
      <c r="C150" s="356"/>
      <c r="D150" s="3182"/>
      <c r="E150" s="3174">
        <f t="shared" si="116"/>
        <v>0</v>
      </c>
      <c r="F150" s="3175"/>
      <c r="G150" s="3176">
        <f t="shared" si="91"/>
        <v>0</v>
      </c>
      <c r="H150" s="3177">
        <f t="shared" si="92"/>
        <v>0</v>
      </c>
      <c r="I150" s="3200"/>
      <c r="J150" s="3200"/>
      <c r="K150" s="3200"/>
      <c r="L150" s="3200"/>
      <c r="M150" s="3200"/>
      <c r="N150" s="3200"/>
      <c r="O150" s="3200"/>
      <c r="P150" s="3200"/>
      <c r="Q150" s="3200"/>
      <c r="R150" s="3200"/>
      <c r="S150" s="3200"/>
      <c r="T150" s="3200"/>
      <c r="U150" s="3200"/>
      <c r="V150" s="3200"/>
      <c r="W150" s="3200"/>
      <c r="X150" s="3200"/>
      <c r="Y150" s="3200"/>
      <c r="Z150" s="3200"/>
      <c r="AA150" s="3200"/>
      <c r="AB150" s="3200"/>
      <c r="AC150" s="3174">
        <f t="shared" si="93"/>
        <v>0</v>
      </c>
      <c r="AD150" s="3212"/>
      <c r="AE150" s="3212"/>
      <c r="AF150" s="3212"/>
      <c r="AG150" s="3212"/>
      <c r="AH150" s="3212"/>
      <c r="AI150" s="3212"/>
      <c r="AJ150" s="3212"/>
      <c r="AK150" s="3212"/>
      <c r="AL150" s="3212"/>
      <c r="AM150" s="3212"/>
      <c r="AN150" s="3212"/>
      <c r="AO150" s="3212"/>
      <c r="AP150" s="3212"/>
      <c r="AQ150" s="3212"/>
      <c r="AR150" s="3212"/>
      <c r="AS150" s="3212"/>
      <c r="AT150" s="3175"/>
      <c r="AU150" s="3232"/>
      <c r="AV150" s="466">
        <f t="shared" si="117"/>
        <v>0</v>
      </c>
      <c r="AW150" s="466">
        <f t="shared" si="118"/>
        <v>0</v>
      </c>
      <c r="AX150" s="466">
        <f t="shared" si="119"/>
        <v>0</v>
      </c>
      <c r="AY150" s="385">
        <f t="shared" si="94"/>
        <v>0</v>
      </c>
      <c r="AZ150" s="3174">
        <f t="shared" si="95"/>
        <v>0</v>
      </c>
      <c r="BA150" s="3174">
        <f t="shared" si="96"/>
        <v>0</v>
      </c>
      <c r="BB150" s="3174">
        <f t="shared" si="97"/>
        <v>0</v>
      </c>
      <c r="BC150" s="3174">
        <f t="shared" si="98"/>
        <v>0</v>
      </c>
      <c r="BD150" s="3174">
        <f t="shared" si="99"/>
        <v>0</v>
      </c>
      <c r="BE150" s="3174">
        <f t="shared" si="100"/>
        <v>0</v>
      </c>
      <c r="BF150" s="3174">
        <f t="shared" si="101"/>
        <v>0</v>
      </c>
      <c r="BG150" s="3174">
        <f t="shared" si="102"/>
        <v>0</v>
      </c>
      <c r="BH150" s="3174">
        <f t="shared" si="103"/>
        <v>0</v>
      </c>
      <c r="BI150" s="3174">
        <f t="shared" si="104"/>
        <v>0</v>
      </c>
      <c r="BJ150" s="3174">
        <f t="shared" si="105"/>
        <v>0</v>
      </c>
      <c r="BK150" s="3174">
        <f t="shared" si="106"/>
        <v>0</v>
      </c>
      <c r="BL150" s="3174">
        <f t="shared" si="107"/>
        <v>0</v>
      </c>
      <c r="BM150" s="3174">
        <f t="shared" si="108"/>
        <v>0</v>
      </c>
      <c r="BN150" s="3174">
        <f t="shared" si="109"/>
        <v>0</v>
      </c>
      <c r="BO150" s="3174">
        <f t="shared" si="110"/>
        <v>0</v>
      </c>
      <c r="BP150" s="3174">
        <f t="shared" si="111"/>
        <v>0</v>
      </c>
      <c r="BQ150" s="3174">
        <f t="shared" si="112"/>
        <v>0</v>
      </c>
      <c r="BR150" s="3174">
        <f t="shared" si="113"/>
        <v>0</v>
      </c>
      <c r="BS150" s="3174">
        <f t="shared" si="114"/>
        <v>0</v>
      </c>
      <c r="BT150" s="3249">
        <f t="shared" si="115"/>
        <v>0</v>
      </c>
    </row>
    <row r="151" spans="1:72">
      <c r="A151" s="489"/>
      <c r="B151" s="356"/>
      <c r="C151" s="356"/>
      <c r="D151" s="3182"/>
      <c r="E151" s="3174">
        <f t="shared" si="116"/>
        <v>0</v>
      </c>
      <c r="F151" s="3175"/>
      <c r="G151" s="3176">
        <f t="shared" si="91"/>
        <v>0</v>
      </c>
      <c r="H151" s="3177">
        <f t="shared" si="92"/>
        <v>0</v>
      </c>
      <c r="I151" s="3200"/>
      <c r="J151" s="3200"/>
      <c r="K151" s="3200"/>
      <c r="L151" s="3200"/>
      <c r="M151" s="3200"/>
      <c r="N151" s="3200"/>
      <c r="O151" s="3200"/>
      <c r="P151" s="3200"/>
      <c r="Q151" s="3200"/>
      <c r="R151" s="3200"/>
      <c r="S151" s="3200"/>
      <c r="T151" s="3200"/>
      <c r="U151" s="3200"/>
      <c r="V151" s="3200"/>
      <c r="W151" s="3200"/>
      <c r="X151" s="3200"/>
      <c r="Y151" s="3200"/>
      <c r="Z151" s="3200"/>
      <c r="AA151" s="3200"/>
      <c r="AB151" s="3200"/>
      <c r="AC151" s="3174">
        <f t="shared" si="93"/>
        <v>0</v>
      </c>
      <c r="AD151" s="3212"/>
      <c r="AE151" s="3212"/>
      <c r="AF151" s="3212"/>
      <c r="AG151" s="3212"/>
      <c r="AH151" s="3212"/>
      <c r="AI151" s="3212"/>
      <c r="AJ151" s="3212"/>
      <c r="AK151" s="3212"/>
      <c r="AL151" s="3212"/>
      <c r="AM151" s="3212"/>
      <c r="AN151" s="3212"/>
      <c r="AO151" s="3212"/>
      <c r="AP151" s="3212"/>
      <c r="AQ151" s="3212"/>
      <c r="AR151" s="3212"/>
      <c r="AS151" s="3212"/>
      <c r="AT151" s="3175"/>
      <c r="AU151" s="3232"/>
      <c r="AV151" s="466">
        <f t="shared" si="117"/>
        <v>0</v>
      </c>
      <c r="AW151" s="466">
        <f t="shared" si="118"/>
        <v>0</v>
      </c>
      <c r="AX151" s="466">
        <f t="shared" si="119"/>
        <v>0</v>
      </c>
      <c r="AY151" s="385">
        <f t="shared" si="94"/>
        <v>0</v>
      </c>
      <c r="AZ151" s="3174">
        <f t="shared" si="95"/>
        <v>0</v>
      </c>
      <c r="BA151" s="3174">
        <f t="shared" si="96"/>
        <v>0</v>
      </c>
      <c r="BB151" s="3174">
        <f t="shared" si="97"/>
        <v>0</v>
      </c>
      <c r="BC151" s="3174">
        <f t="shared" si="98"/>
        <v>0</v>
      </c>
      <c r="BD151" s="3174">
        <f t="shared" si="99"/>
        <v>0</v>
      </c>
      <c r="BE151" s="3174">
        <f t="shared" si="100"/>
        <v>0</v>
      </c>
      <c r="BF151" s="3174">
        <f t="shared" si="101"/>
        <v>0</v>
      </c>
      <c r="BG151" s="3174">
        <f t="shared" si="102"/>
        <v>0</v>
      </c>
      <c r="BH151" s="3174">
        <f t="shared" si="103"/>
        <v>0</v>
      </c>
      <c r="BI151" s="3174">
        <f t="shared" si="104"/>
        <v>0</v>
      </c>
      <c r="BJ151" s="3174">
        <f t="shared" si="105"/>
        <v>0</v>
      </c>
      <c r="BK151" s="3174">
        <f t="shared" si="106"/>
        <v>0</v>
      </c>
      <c r="BL151" s="3174">
        <f t="shared" si="107"/>
        <v>0</v>
      </c>
      <c r="BM151" s="3174">
        <f t="shared" si="108"/>
        <v>0</v>
      </c>
      <c r="BN151" s="3174">
        <f t="shared" si="109"/>
        <v>0</v>
      </c>
      <c r="BO151" s="3174">
        <f t="shared" si="110"/>
        <v>0</v>
      </c>
      <c r="BP151" s="3174">
        <f t="shared" si="111"/>
        <v>0</v>
      </c>
      <c r="BQ151" s="3174">
        <f t="shared" si="112"/>
        <v>0</v>
      </c>
      <c r="BR151" s="3174">
        <f t="shared" si="113"/>
        <v>0</v>
      </c>
      <c r="BS151" s="3174">
        <f t="shared" si="114"/>
        <v>0</v>
      </c>
      <c r="BT151" s="3249">
        <f t="shared" si="115"/>
        <v>0</v>
      </c>
    </row>
    <row r="152" spans="1:72">
      <c r="A152" s="489"/>
      <c r="B152" s="356"/>
      <c r="C152" s="356"/>
      <c r="D152" s="3182"/>
      <c r="E152" s="3174">
        <f t="shared" si="116"/>
        <v>0</v>
      </c>
      <c r="F152" s="3175"/>
      <c r="G152" s="3176">
        <f t="shared" si="91"/>
        <v>0</v>
      </c>
      <c r="H152" s="3177">
        <f t="shared" si="92"/>
        <v>0</v>
      </c>
      <c r="I152" s="3200"/>
      <c r="J152" s="3200"/>
      <c r="K152" s="3200"/>
      <c r="L152" s="3200"/>
      <c r="M152" s="3200"/>
      <c r="N152" s="3200"/>
      <c r="O152" s="3200"/>
      <c r="P152" s="3200"/>
      <c r="Q152" s="3200"/>
      <c r="R152" s="3200"/>
      <c r="S152" s="3200"/>
      <c r="T152" s="3200"/>
      <c r="U152" s="3200"/>
      <c r="V152" s="3200"/>
      <c r="W152" s="3200"/>
      <c r="X152" s="3200"/>
      <c r="Y152" s="3200"/>
      <c r="Z152" s="3200"/>
      <c r="AA152" s="3200"/>
      <c r="AB152" s="3200"/>
      <c r="AC152" s="3174">
        <f t="shared" si="93"/>
        <v>0</v>
      </c>
      <c r="AD152" s="3212"/>
      <c r="AE152" s="3212"/>
      <c r="AF152" s="3212"/>
      <c r="AG152" s="3212"/>
      <c r="AH152" s="3212"/>
      <c r="AI152" s="3212"/>
      <c r="AJ152" s="3212"/>
      <c r="AK152" s="3212"/>
      <c r="AL152" s="3212"/>
      <c r="AM152" s="3212"/>
      <c r="AN152" s="3212"/>
      <c r="AO152" s="3212"/>
      <c r="AP152" s="3212"/>
      <c r="AQ152" s="3212"/>
      <c r="AR152" s="3212"/>
      <c r="AS152" s="3212"/>
      <c r="AT152" s="3175"/>
      <c r="AU152" s="3232"/>
      <c r="AV152" s="466">
        <f t="shared" si="117"/>
        <v>0</v>
      </c>
      <c r="AW152" s="466">
        <f t="shared" si="118"/>
        <v>0</v>
      </c>
      <c r="AX152" s="466">
        <f t="shared" si="119"/>
        <v>0</v>
      </c>
      <c r="AY152" s="385">
        <f t="shared" si="94"/>
        <v>0</v>
      </c>
      <c r="AZ152" s="3174">
        <f t="shared" si="95"/>
        <v>0</v>
      </c>
      <c r="BA152" s="3174">
        <f t="shared" si="96"/>
        <v>0</v>
      </c>
      <c r="BB152" s="3174">
        <f t="shared" si="97"/>
        <v>0</v>
      </c>
      <c r="BC152" s="3174">
        <f t="shared" si="98"/>
        <v>0</v>
      </c>
      <c r="BD152" s="3174">
        <f t="shared" si="99"/>
        <v>0</v>
      </c>
      <c r="BE152" s="3174">
        <f t="shared" si="100"/>
        <v>0</v>
      </c>
      <c r="BF152" s="3174">
        <f t="shared" si="101"/>
        <v>0</v>
      </c>
      <c r="BG152" s="3174">
        <f t="shared" si="102"/>
        <v>0</v>
      </c>
      <c r="BH152" s="3174">
        <f t="shared" si="103"/>
        <v>0</v>
      </c>
      <c r="BI152" s="3174">
        <f t="shared" si="104"/>
        <v>0</v>
      </c>
      <c r="BJ152" s="3174">
        <f t="shared" si="105"/>
        <v>0</v>
      </c>
      <c r="BK152" s="3174">
        <f t="shared" si="106"/>
        <v>0</v>
      </c>
      <c r="BL152" s="3174">
        <f t="shared" si="107"/>
        <v>0</v>
      </c>
      <c r="BM152" s="3174">
        <f t="shared" si="108"/>
        <v>0</v>
      </c>
      <c r="BN152" s="3174">
        <f t="shared" si="109"/>
        <v>0</v>
      </c>
      <c r="BO152" s="3174">
        <f t="shared" si="110"/>
        <v>0</v>
      </c>
      <c r="BP152" s="3174">
        <f t="shared" si="111"/>
        <v>0</v>
      </c>
      <c r="BQ152" s="3174">
        <f t="shared" si="112"/>
        <v>0</v>
      </c>
      <c r="BR152" s="3174">
        <f t="shared" si="113"/>
        <v>0</v>
      </c>
      <c r="BS152" s="3174">
        <f t="shared" si="114"/>
        <v>0</v>
      </c>
      <c r="BT152" s="3249">
        <f t="shared" si="115"/>
        <v>0</v>
      </c>
    </row>
    <row r="153" spans="1:72">
      <c r="A153" s="489"/>
      <c r="B153" s="356"/>
      <c r="C153" s="356"/>
      <c r="D153" s="3182"/>
      <c r="E153" s="3174">
        <f t="shared" si="116"/>
        <v>0</v>
      </c>
      <c r="F153" s="3175"/>
      <c r="G153" s="3176">
        <f t="shared" si="91"/>
        <v>0</v>
      </c>
      <c r="H153" s="3177">
        <f t="shared" si="92"/>
        <v>0</v>
      </c>
      <c r="I153" s="3200"/>
      <c r="J153" s="3200"/>
      <c r="K153" s="3200"/>
      <c r="L153" s="3200"/>
      <c r="M153" s="3200"/>
      <c r="N153" s="3200"/>
      <c r="O153" s="3200"/>
      <c r="P153" s="3200"/>
      <c r="Q153" s="3200"/>
      <c r="R153" s="3200"/>
      <c r="S153" s="3200"/>
      <c r="T153" s="3200"/>
      <c r="U153" s="3200"/>
      <c r="V153" s="3200"/>
      <c r="W153" s="3200"/>
      <c r="X153" s="3200"/>
      <c r="Y153" s="3200"/>
      <c r="Z153" s="3200"/>
      <c r="AA153" s="3200"/>
      <c r="AB153" s="3200"/>
      <c r="AC153" s="3174">
        <f t="shared" si="93"/>
        <v>0</v>
      </c>
      <c r="AD153" s="3212"/>
      <c r="AE153" s="3212"/>
      <c r="AF153" s="3212"/>
      <c r="AG153" s="3212"/>
      <c r="AH153" s="3212"/>
      <c r="AI153" s="3212"/>
      <c r="AJ153" s="3212"/>
      <c r="AK153" s="3212"/>
      <c r="AL153" s="3212"/>
      <c r="AM153" s="3212"/>
      <c r="AN153" s="3212"/>
      <c r="AO153" s="3212"/>
      <c r="AP153" s="3212"/>
      <c r="AQ153" s="3212"/>
      <c r="AR153" s="3212"/>
      <c r="AS153" s="3212"/>
      <c r="AT153" s="3175"/>
      <c r="AU153" s="3232"/>
      <c r="AV153" s="466">
        <f t="shared" si="117"/>
        <v>0</v>
      </c>
      <c r="AW153" s="466">
        <f t="shared" si="118"/>
        <v>0</v>
      </c>
      <c r="AX153" s="466">
        <f t="shared" si="119"/>
        <v>0</v>
      </c>
      <c r="AY153" s="385">
        <f t="shared" si="94"/>
        <v>0</v>
      </c>
      <c r="AZ153" s="3174">
        <f t="shared" si="95"/>
        <v>0</v>
      </c>
      <c r="BA153" s="3174">
        <f t="shared" si="96"/>
        <v>0</v>
      </c>
      <c r="BB153" s="3174">
        <f t="shared" si="97"/>
        <v>0</v>
      </c>
      <c r="BC153" s="3174">
        <f t="shared" si="98"/>
        <v>0</v>
      </c>
      <c r="BD153" s="3174">
        <f t="shared" si="99"/>
        <v>0</v>
      </c>
      <c r="BE153" s="3174">
        <f t="shared" si="100"/>
        <v>0</v>
      </c>
      <c r="BF153" s="3174">
        <f t="shared" si="101"/>
        <v>0</v>
      </c>
      <c r="BG153" s="3174">
        <f t="shared" si="102"/>
        <v>0</v>
      </c>
      <c r="BH153" s="3174">
        <f t="shared" si="103"/>
        <v>0</v>
      </c>
      <c r="BI153" s="3174">
        <f t="shared" si="104"/>
        <v>0</v>
      </c>
      <c r="BJ153" s="3174">
        <f t="shared" si="105"/>
        <v>0</v>
      </c>
      <c r="BK153" s="3174">
        <f t="shared" si="106"/>
        <v>0</v>
      </c>
      <c r="BL153" s="3174">
        <f t="shared" si="107"/>
        <v>0</v>
      </c>
      <c r="BM153" s="3174">
        <f t="shared" si="108"/>
        <v>0</v>
      </c>
      <c r="BN153" s="3174">
        <f t="shared" si="109"/>
        <v>0</v>
      </c>
      <c r="BO153" s="3174">
        <f t="shared" si="110"/>
        <v>0</v>
      </c>
      <c r="BP153" s="3174">
        <f t="shared" si="111"/>
        <v>0</v>
      </c>
      <c r="BQ153" s="3174">
        <f t="shared" si="112"/>
        <v>0</v>
      </c>
      <c r="BR153" s="3174">
        <f t="shared" si="113"/>
        <v>0</v>
      </c>
      <c r="BS153" s="3174">
        <f t="shared" si="114"/>
        <v>0</v>
      </c>
      <c r="BT153" s="3249">
        <f t="shared" si="115"/>
        <v>0</v>
      </c>
    </row>
    <row r="154" spans="1:72">
      <c r="A154" s="489"/>
      <c r="B154" s="356"/>
      <c r="C154" s="356"/>
      <c r="D154" s="3182"/>
      <c r="E154" s="3174">
        <f t="shared" si="116"/>
        <v>0</v>
      </c>
      <c r="F154" s="3175"/>
      <c r="G154" s="3176">
        <f t="shared" si="91"/>
        <v>0</v>
      </c>
      <c r="H154" s="3177">
        <f t="shared" si="92"/>
        <v>0</v>
      </c>
      <c r="I154" s="3200"/>
      <c r="J154" s="3200"/>
      <c r="K154" s="3200"/>
      <c r="L154" s="3200"/>
      <c r="M154" s="3200"/>
      <c r="N154" s="3200"/>
      <c r="O154" s="3200"/>
      <c r="P154" s="3200"/>
      <c r="Q154" s="3200"/>
      <c r="R154" s="3200"/>
      <c r="S154" s="3200"/>
      <c r="T154" s="3200"/>
      <c r="U154" s="3200"/>
      <c r="V154" s="3200"/>
      <c r="W154" s="3200"/>
      <c r="X154" s="3200"/>
      <c r="Y154" s="3200"/>
      <c r="Z154" s="3200"/>
      <c r="AA154" s="3200"/>
      <c r="AB154" s="3200"/>
      <c r="AC154" s="3174">
        <f t="shared" si="93"/>
        <v>0</v>
      </c>
      <c r="AD154" s="3212"/>
      <c r="AE154" s="3212"/>
      <c r="AF154" s="3212"/>
      <c r="AG154" s="3212"/>
      <c r="AH154" s="3212"/>
      <c r="AI154" s="3212"/>
      <c r="AJ154" s="3212"/>
      <c r="AK154" s="3212"/>
      <c r="AL154" s="3212"/>
      <c r="AM154" s="3212"/>
      <c r="AN154" s="3212"/>
      <c r="AO154" s="3212"/>
      <c r="AP154" s="3212"/>
      <c r="AQ154" s="3212"/>
      <c r="AR154" s="3212"/>
      <c r="AS154" s="3212"/>
      <c r="AT154" s="3175"/>
      <c r="AU154" s="3232"/>
      <c r="AV154" s="466">
        <f t="shared" si="117"/>
        <v>0</v>
      </c>
      <c r="AW154" s="466">
        <f t="shared" si="118"/>
        <v>0</v>
      </c>
      <c r="AX154" s="466">
        <f t="shared" si="119"/>
        <v>0</v>
      </c>
      <c r="AY154" s="385">
        <f t="shared" si="94"/>
        <v>0</v>
      </c>
      <c r="AZ154" s="3174">
        <f t="shared" si="95"/>
        <v>0</v>
      </c>
      <c r="BA154" s="3174">
        <f t="shared" si="96"/>
        <v>0</v>
      </c>
      <c r="BB154" s="3174">
        <f t="shared" si="97"/>
        <v>0</v>
      </c>
      <c r="BC154" s="3174">
        <f t="shared" si="98"/>
        <v>0</v>
      </c>
      <c r="BD154" s="3174">
        <f t="shared" si="99"/>
        <v>0</v>
      </c>
      <c r="BE154" s="3174">
        <f t="shared" si="100"/>
        <v>0</v>
      </c>
      <c r="BF154" s="3174">
        <f t="shared" si="101"/>
        <v>0</v>
      </c>
      <c r="BG154" s="3174">
        <f t="shared" si="102"/>
        <v>0</v>
      </c>
      <c r="BH154" s="3174">
        <f t="shared" si="103"/>
        <v>0</v>
      </c>
      <c r="BI154" s="3174">
        <f t="shared" si="104"/>
        <v>0</v>
      </c>
      <c r="BJ154" s="3174">
        <f t="shared" si="105"/>
        <v>0</v>
      </c>
      <c r="BK154" s="3174">
        <f t="shared" si="106"/>
        <v>0</v>
      </c>
      <c r="BL154" s="3174">
        <f t="shared" si="107"/>
        <v>0</v>
      </c>
      <c r="BM154" s="3174">
        <f t="shared" si="108"/>
        <v>0</v>
      </c>
      <c r="BN154" s="3174">
        <f t="shared" si="109"/>
        <v>0</v>
      </c>
      <c r="BO154" s="3174">
        <f t="shared" si="110"/>
        <v>0</v>
      </c>
      <c r="BP154" s="3174">
        <f t="shared" si="111"/>
        <v>0</v>
      </c>
      <c r="BQ154" s="3174">
        <f t="shared" si="112"/>
        <v>0</v>
      </c>
      <c r="BR154" s="3174">
        <f t="shared" si="113"/>
        <v>0</v>
      </c>
      <c r="BS154" s="3174">
        <f t="shared" si="114"/>
        <v>0</v>
      </c>
      <c r="BT154" s="3249">
        <f t="shared" si="115"/>
        <v>0</v>
      </c>
    </row>
    <row r="155" spans="1:72">
      <c r="A155" s="489"/>
      <c r="B155" s="356"/>
      <c r="C155" s="356"/>
      <c r="D155" s="3182"/>
      <c r="E155" s="3174">
        <f t="shared" si="116"/>
        <v>0</v>
      </c>
      <c r="F155" s="3175"/>
      <c r="G155" s="3176">
        <f t="shared" si="91"/>
        <v>0</v>
      </c>
      <c r="H155" s="3177">
        <f t="shared" si="92"/>
        <v>0</v>
      </c>
      <c r="I155" s="3200"/>
      <c r="J155" s="3200"/>
      <c r="K155" s="3200"/>
      <c r="L155" s="3200"/>
      <c r="M155" s="3200"/>
      <c r="N155" s="3200"/>
      <c r="O155" s="3200"/>
      <c r="P155" s="3200"/>
      <c r="Q155" s="3200"/>
      <c r="R155" s="3200"/>
      <c r="S155" s="3200"/>
      <c r="T155" s="3200"/>
      <c r="U155" s="3200"/>
      <c r="V155" s="3200"/>
      <c r="W155" s="3200"/>
      <c r="X155" s="3200"/>
      <c r="Y155" s="3200"/>
      <c r="Z155" s="3200"/>
      <c r="AA155" s="3200"/>
      <c r="AB155" s="3200"/>
      <c r="AC155" s="3174">
        <f t="shared" si="93"/>
        <v>0</v>
      </c>
      <c r="AD155" s="3212"/>
      <c r="AE155" s="3212"/>
      <c r="AF155" s="3212"/>
      <c r="AG155" s="3212"/>
      <c r="AH155" s="3212"/>
      <c r="AI155" s="3212"/>
      <c r="AJ155" s="3212"/>
      <c r="AK155" s="3212"/>
      <c r="AL155" s="3212"/>
      <c r="AM155" s="3212"/>
      <c r="AN155" s="3212"/>
      <c r="AO155" s="3212"/>
      <c r="AP155" s="3212"/>
      <c r="AQ155" s="3212"/>
      <c r="AR155" s="3212"/>
      <c r="AS155" s="3212"/>
      <c r="AT155" s="3175"/>
      <c r="AU155" s="3232"/>
      <c r="AV155" s="466">
        <f t="shared" si="117"/>
        <v>0</v>
      </c>
      <c r="AW155" s="466">
        <f t="shared" si="118"/>
        <v>0</v>
      </c>
      <c r="AX155" s="466">
        <f t="shared" si="119"/>
        <v>0</v>
      </c>
      <c r="AY155" s="385">
        <f t="shared" si="94"/>
        <v>0</v>
      </c>
      <c r="AZ155" s="3174">
        <f t="shared" si="95"/>
        <v>0</v>
      </c>
      <c r="BA155" s="3174">
        <f t="shared" si="96"/>
        <v>0</v>
      </c>
      <c r="BB155" s="3174">
        <f t="shared" si="97"/>
        <v>0</v>
      </c>
      <c r="BC155" s="3174">
        <f t="shared" si="98"/>
        <v>0</v>
      </c>
      <c r="BD155" s="3174">
        <f t="shared" si="99"/>
        <v>0</v>
      </c>
      <c r="BE155" s="3174">
        <f t="shared" si="100"/>
        <v>0</v>
      </c>
      <c r="BF155" s="3174">
        <f t="shared" si="101"/>
        <v>0</v>
      </c>
      <c r="BG155" s="3174">
        <f t="shared" si="102"/>
        <v>0</v>
      </c>
      <c r="BH155" s="3174">
        <f t="shared" si="103"/>
        <v>0</v>
      </c>
      <c r="BI155" s="3174">
        <f t="shared" si="104"/>
        <v>0</v>
      </c>
      <c r="BJ155" s="3174">
        <f t="shared" si="105"/>
        <v>0</v>
      </c>
      <c r="BK155" s="3174">
        <f t="shared" si="106"/>
        <v>0</v>
      </c>
      <c r="BL155" s="3174">
        <f t="shared" si="107"/>
        <v>0</v>
      </c>
      <c r="BM155" s="3174">
        <f t="shared" si="108"/>
        <v>0</v>
      </c>
      <c r="BN155" s="3174">
        <f t="shared" si="109"/>
        <v>0</v>
      </c>
      <c r="BO155" s="3174">
        <f t="shared" si="110"/>
        <v>0</v>
      </c>
      <c r="BP155" s="3174">
        <f t="shared" si="111"/>
        <v>0</v>
      </c>
      <c r="BQ155" s="3174">
        <f t="shared" si="112"/>
        <v>0</v>
      </c>
      <c r="BR155" s="3174">
        <f t="shared" si="113"/>
        <v>0</v>
      </c>
      <c r="BS155" s="3174">
        <f t="shared" si="114"/>
        <v>0</v>
      </c>
      <c r="BT155" s="3249">
        <f t="shared" si="115"/>
        <v>0</v>
      </c>
    </row>
    <row r="156" spans="1:72">
      <c r="A156" s="489"/>
      <c r="B156" s="356"/>
      <c r="C156" s="356"/>
      <c r="D156" s="3182"/>
      <c r="E156" s="3174">
        <f t="shared" si="116"/>
        <v>0</v>
      </c>
      <c r="F156" s="3175"/>
      <c r="G156" s="3176">
        <f t="shared" si="91"/>
        <v>0</v>
      </c>
      <c r="H156" s="3177">
        <f t="shared" si="92"/>
        <v>0</v>
      </c>
      <c r="I156" s="3200"/>
      <c r="J156" s="3200"/>
      <c r="K156" s="3200"/>
      <c r="L156" s="3200"/>
      <c r="M156" s="3200"/>
      <c r="N156" s="3200"/>
      <c r="O156" s="3200"/>
      <c r="P156" s="3200"/>
      <c r="Q156" s="3200"/>
      <c r="R156" s="3200"/>
      <c r="S156" s="3200"/>
      <c r="T156" s="3200"/>
      <c r="U156" s="3200"/>
      <c r="V156" s="3200"/>
      <c r="W156" s="3200"/>
      <c r="X156" s="3200"/>
      <c r="Y156" s="3200"/>
      <c r="Z156" s="3200"/>
      <c r="AA156" s="3200"/>
      <c r="AB156" s="3200"/>
      <c r="AC156" s="3174">
        <f t="shared" si="93"/>
        <v>0</v>
      </c>
      <c r="AD156" s="3212"/>
      <c r="AE156" s="3212"/>
      <c r="AF156" s="3212"/>
      <c r="AG156" s="3212"/>
      <c r="AH156" s="3212"/>
      <c r="AI156" s="3212"/>
      <c r="AJ156" s="3212"/>
      <c r="AK156" s="3212"/>
      <c r="AL156" s="3212"/>
      <c r="AM156" s="3212"/>
      <c r="AN156" s="3212"/>
      <c r="AO156" s="3212"/>
      <c r="AP156" s="3212"/>
      <c r="AQ156" s="3212"/>
      <c r="AR156" s="3212"/>
      <c r="AS156" s="3212"/>
      <c r="AT156" s="3175"/>
      <c r="AU156" s="3232"/>
      <c r="AV156" s="466">
        <f t="shared" si="117"/>
        <v>0</v>
      </c>
      <c r="AW156" s="466">
        <f t="shared" si="118"/>
        <v>0</v>
      </c>
      <c r="AX156" s="466">
        <f t="shared" si="119"/>
        <v>0</v>
      </c>
      <c r="AY156" s="385">
        <f t="shared" si="94"/>
        <v>0</v>
      </c>
      <c r="AZ156" s="3174">
        <f t="shared" si="95"/>
        <v>0</v>
      </c>
      <c r="BA156" s="3174">
        <f t="shared" si="96"/>
        <v>0</v>
      </c>
      <c r="BB156" s="3174">
        <f t="shared" si="97"/>
        <v>0</v>
      </c>
      <c r="BC156" s="3174">
        <f t="shared" si="98"/>
        <v>0</v>
      </c>
      <c r="BD156" s="3174">
        <f t="shared" si="99"/>
        <v>0</v>
      </c>
      <c r="BE156" s="3174">
        <f t="shared" si="100"/>
        <v>0</v>
      </c>
      <c r="BF156" s="3174">
        <f t="shared" si="101"/>
        <v>0</v>
      </c>
      <c r="BG156" s="3174">
        <f t="shared" si="102"/>
        <v>0</v>
      </c>
      <c r="BH156" s="3174">
        <f t="shared" si="103"/>
        <v>0</v>
      </c>
      <c r="BI156" s="3174">
        <f t="shared" si="104"/>
        <v>0</v>
      </c>
      <c r="BJ156" s="3174">
        <f t="shared" si="105"/>
        <v>0</v>
      </c>
      <c r="BK156" s="3174">
        <f t="shared" si="106"/>
        <v>0</v>
      </c>
      <c r="BL156" s="3174">
        <f t="shared" si="107"/>
        <v>0</v>
      </c>
      <c r="BM156" s="3174">
        <f t="shared" si="108"/>
        <v>0</v>
      </c>
      <c r="BN156" s="3174">
        <f t="shared" si="109"/>
        <v>0</v>
      </c>
      <c r="BO156" s="3174">
        <f t="shared" si="110"/>
        <v>0</v>
      </c>
      <c r="BP156" s="3174">
        <f t="shared" si="111"/>
        <v>0</v>
      </c>
      <c r="BQ156" s="3174">
        <f t="shared" si="112"/>
        <v>0</v>
      </c>
      <c r="BR156" s="3174">
        <f t="shared" si="113"/>
        <v>0</v>
      </c>
      <c r="BS156" s="3174">
        <f t="shared" si="114"/>
        <v>0</v>
      </c>
      <c r="BT156" s="3249">
        <f t="shared" si="115"/>
        <v>0</v>
      </c>
    </row>
    <row r="157" spans="1:72">
      <c r="A157" s="489"/>
      <c r="B157" s="356"/>
      <c r="C157" s="356"/>
      <c r="D157" s="3182"/>
      <c r="E157" s="3174">
        <f t="shared" si="116"/>
        <v>0</v>
      </c>
      <c r="F157" s="3175"/>
      <c r="G157" s="3176">
        <f t="shared" si="91"/>
        <v>0</v>
      </c>
      <c r="H157" s="3177">
        <f t="shared" si="92"/>
        <v>0</v>
      </c>
      <c r="I157" s="3200"/>
      <c r="J157" s="3200"/>
      <c r="K157" s="3200"/>
      <c r="L157" s="3200"/>
      <c r="M157" s="3200"/>
      <c r="N157" s="3200"/>
      <c r="O157" s="3200"/>
      <c r="P157" s="3200"/>
      <c r="Q157" s="3200"/>
      <c r="R157" s="3200"/>
      <c r="S157" s="3200"/>
      <c r="T157" s="3200"/>
      <c r="U157" s="3200"/>
      <c r="V157" s="3200"/>
      <c r="W157" s="3200"/>
      <c r="X157" s="3200"/>
      <c r="Y157" s="3200"/>
      <c r="Z157" s="3200"/>
      <c r="AA157" s="3200"/>
      <c r="AB157" s="3200"/>
      <c r="AC157" s="3174">
        <f t="shared" si="93"/>
        <v>0</v>
      </c>
      <c r="AD157" s="3212"/>
      <c r="AE157" s="3212"/>
      <c r="AF157" s="3212"/>
      <c r="AG157" s="3212"/>
      <c r="AH157" s="3212"/>
      <c r="AI157" s="3212"/>
      <c r="AJ157" s="3212"/>
      <c r="AK157" s="3212"/>
      <c r="AL157" s="3212"/>
      <c r="AM157" s="3212"/>
      <c r="AN157" s="3212"/>
      <c r="AO157" s="3212"/>
      <c r="AP157" s="3212"/>
      <c r="AQ157" s="3212"/>
      <c r="AR157" s="3212"/>
      <c r="AS157" s="3212"/>
      <c r="AT157" s="3175"/>
      <c r="AU157" s="3232"/>
      <c r="AV157" s="466">
        <f t="shared" si="117"/>
        <v>0</v>
      </c>
      <c r="AW157" s="466">
        <f t="shared" si="118"/>
        <v>0</v>
      </c>
      <c r="AX157" s="466">
        <f t="shared" si="119"/>
        <v>0</v>
      </c>
      <c r="AY157" s="385">
        <f t="shared" si="94"/>
        <v>0</v>
      </c>
      <c r="AZ157" s="3174">
        <f t="shared" si="95"/>
        <v>0</v>
      </c>
      <c r="BA157" s="3174">
        <f t="shared" si="96"/>
        <v>0</v>
      </c>
      <c r="BB157" s="3174">
        <f t="shared" si="97"/>
        <v>0</v>
      </c>
      <c r="BC157" s="3174">
        <f t="shared" si="98"/>
        <v>0</v>
      </c>
      <c r="BD157" s="3174">
        <f t="shared" si="99"/>
        <v>0</v>
      </c>
      <c r="BE157" s="3174">
        <f t="shared" si="100"/>
        <v>0</v>
      </c>
      <c r="BF157" s="3174">
        <f t="shared" si="101"/>
        <v>0</v>
      </c>
      <c r="BG157" s="3174">
        <f t="shared" si="102"/>
        <v>0</v>
      </c>
      <c r="BH157" s="3174">
        <f t="shared" si="103"/>
        <v>0</v>
      </c>
      <c r="BI157" s="3174">
        <f t="shared" si="104"/>
        <v>0</v>
      </c>
      <c r="BJ157" s="3174">
        <f t="shared" si="105"/>
        <v>0</v>
      </c>
      <c r="BK157" s="3174">
        <f t="shared" si="106"/>
        <v>0</v>
      </c>
      <c r="BL157" s="3174">
        <f t="shared" si="107"/>
        <v>0</v>
      </c>
      <c r="BM157" s="3174">
        <f t="shared" si="108"/>
        <v>0</v>
      </c>
      <c r="BN157" s="3174">
        <f t="shared" si="109"/>
        <v>0</v>
      </c>
      <c r="BO157" s="3174">
        <f t="shared" si="110"/>
        <v>0</v>
      </c>
      <c r="BP157" s="3174">
        <f t="shared" si="111"/>
        <v>0</v>
      </c>
      <c r="BQ157" s="3174">
        <f t="shared" si="112"/>
        <v>0</v>
      </c>
      <c r="BR157" s="3174">
        <f t="shared" si="113"/>
        <v>0</v>
      </c>
      <c r="BS157" s="3174">
        <f t="shared" si="114"/>
        <v>0</v>
      </c>
      <c r="BT157" s="3249">
        <f t="shared" si="115"/>
        <v>0</v>
      </c>
    </row>
    <row r="158" spans="1:72">
      <c r="A158" s="489"/>
      <c r="B158" s="356"/>
      <c r="C158" s="356"/>
      <c r="D158" s="3182"/>
      <c r="E158" s="3174">
        <f t="shared" si="116"/>
        <v>0</v>
      </c>
      <c r="F158" s="3175"/>
      <c r="G158" s="3176">
        <f t="shared" si="91"/>
        <v>0</v>
      </c>
      <c r="H158" s="3177">
        <f t="shared" si="92"/>
        <v>0</v>
      </c>
      <c r="I158" s="3200"/>
      <c r="J158" s="3200"/>
      <c r="K158" s="3200"/>
      <c r="L158" s="3200"/>
      <c r="M158" s="3200"/>
      <c r="N158" s="3200"/>
      <c r="O158" s="3200"/>
      <c r="P158" s="3200"/>
      <c r="Q158" s="3200"/>
      <c r="R158" s="3200"/>
      <c r="S158" s="3200"/>
      <c r="T158" s="3200"/>
      <c r="U158" s="3200"/>
      <c r="V158" s="3200"/>
      <c r="W158" s="3200"/>
      <c r="X158" s="3200"/>
      <c r="Y158" s="3200"/>
      <c r="Z158" s="3200"/>
      <c r="AA158" s="3200"/>
      <c r="AB158" s="3200"/>
      <c r="AC158" s="3174">
        <f t="shared" si="93"/>
        <v>0</v>
      </c>
      <c r="AD158" s="3212"/>
      <c r="AE158" s="3212"/>
      <c r="AF158" s="3212"/>
      <c r="AG158" s="3212"/>
      <c r="AH158" s="3212"/>
      <c r="AI158" s="3212"/>
      <c r="AJ158" s="3212"/>
      <c r="AK158" s="3212"/>
      <c r="AL158" s="3212"/>
      <c r="AM158" s="3212"/>
      <c r="AN158" s="3212"/>
      <c r="AO158" s="3212"/>
      <c r="AP158" s="3212"/>
      <c r="AQ158" s="3212"/>
      <c r="AR158" s="3212"/>
      <c r="AS158" s="3212"/>
      <c r="AT158" s="3175"/>
      <c r="AU158" s="3232"/>
      <c r="AV158" s="466">
        <f t="shared" si="117"/>
        <v>0</v>
      </c>
      <c r="AW158" s="466">
        <f t="shared" si="118"/>
        <v>0</v>
      </c>
      <c r="AX158" s="466">
        <f t="shared" si="119"/>
        <v>0</v>
      </c>
      <c r="AY158" s="385">
        <f t="shared" si="94"/>
        <v>0</v>
      </c>
      <c r="AZ158" s="3174">
        <f t="shared" si="95"/>
        <v>0</v>
      </c>
      <c r="BA158" s="3174">
        <f t="shared" si="96"/>
        <v>0</v>
      </c>
      <c r="BB158" s="3174">
        <f t="shared" si="97"/>
        <v>0</v>
      </c>
      <c r="BC158" s="3174">
        <f t="shared" si="98"/>
        <v>0</v>
      </c>
      <c r="BD158" s="3174">
        <f t="shared" si="99"/>
        <v>0</v>
      </c>
      <c r="BE158" s="3174">
        <f t="shared" si="100"/>
        <v>0</v>
      </c>
      <c r="BF158" s="3174">
        <f t="shared" si="101"/>
        <v>0</v>
      </c>
      <c r="BG158" s="3174">
        <f t="shared" si="102"/>
        <v>0</v>
      </c>
      <c r="BH158" s="3174">
        <f t="shared" si="103"/>
        <v>0</v>
      </c>
      <c r="BI158" s="3174">
        <f t="shared" si="104"/>
        <v>0</v>
      </c>
      <c r="BJ158" s="3174">
        <f t="shared" si="105"/>
        <v>0</v>
      </c>
      <c r="BK158" s="3174">
        <f t="shared" si="106"/>
        <v>0</v>
      </c>
      <c r="BL158" s="3174">
        <f t="shared" si="107"/>
        <v>0</v>
      </c>
      <c r="BM158" s="3174">
        <f t="shared" si="108"/>
        <v>0</v>
      </c>
      <c r="BN158" s="3174">
        <f t="shared" si="109"/>
        <v>0</v>
      </c>
      <c r="BO158" s="3174">
        <f t="shared" si="110"/>
        <v>0</v>
      </c>
      <c r="BP158" s="3174">
        <f t="shared" si="111"/>
        <v>0</v>
      </c>
      <c r="BQ158" s="3174">
        <f t="shared" si="112"/>
        <v>0</v>
      </c>
      <c r="BR158" s="3174">
        <f t="shared" si="113"/>
        <v>0</v>
      </c>
      <c r="BS158" s="3174">
        <f t="shared" si="114"/>
        <v>0</v>
      </c>
      <c r="BT158" s="3249">
        <f t="shared" si="115"/>
        <v>0</v>
      </c>
    </row>
    <row r="159" spans="1:72">
      <c r="A159" s="489"/>
      <c r="B159" s="356"/>
      <c r="C159" s="356"/>
      <c r="D159" s="3182"/>
      <c r="E159" s="3174">
        <f t="shared" si="116"/>
        <v>0</v>
      </c>
      <c r="F159" s="3175"/>
      <c r="G159" s="3176">
        <f t="shared" si="91"/>
        <v>0</v>
      </c>
      <c r="H159" s="3177">
        <f t="shared" si="92"/>
        <v>0</v>
      </c>
      <c r="I159" s="3200"/>
      <c r="J159" s="3200"/>
      <c r="K159" s="3200"/>
      <c r="L159" s="3200"/>
      <c r="M159" s="3200"/>
      <c r="N159" s="3200"/>
      <c r="O159" s="3200"/>
      <c r="P159" s="3200"/>
      <c r="Q159" s="3200"/>
      <c r="R159" s="3200"/>
      <c r="S159" s="3200"/>
      <c r="T159" s="3200"/>
      <c r="U159" s="3200"/>
      <c r="V159" s="3200"/>
      <c r="W159" s="3200"/>
      <c r="X159" s="3200"/>
      <c r="Y159" s="3200"/>
      <c r="Z159" s="3200"/>
      <c r="AA159" s="3200"/>
      <c r="AB159" s="3200"/>
      <c r="AC159" s="3174">
        <f t="shared" si="93"/>
        <v>0</v>
      </c>
      <c r="AD159" s="3212"/>
      <c r="AE159" s="3212"/>
      <c r="AF159" s="3212"/>
      <c r="AG159" s="3212"/>
      <c r="AH159" s="3212"/>
      <c r="AI159" s="3212"/>
      <c r="AJ159" s="3212"/>
      <c r="AK159" s="3212"/>
      <c r="AL159" s="3212"/>
      <c r="AM159" s="3212"/>
      <c r="AN159" s="3212"/>
      <c r="AO159" s="3212"/>
      <c r="AP159" s="3212"/>
      <c r="AQ159" s="3212"/>
      <c r="AR159" s="3212"/>
      <c r="AS159" s="3212"/>
      <c r="AT159" s="3175"/>
      <c r="AU159" s="3232"/>
      <c r="AV159" s="466">
        <f t="shared" si="117"/>
        <v>0</v>
      </c>
      <c r="AW159" s="466">
        <f t="shared" si="118"/>
        <v>0</v>
      </c>
      <c r="AX159" s="466">
        <f t="shared" si="119"/>
        <v>0</v>
      </c>
      <c r="AY159" s="385">
        <f t="shared" si="94"/>
        <v>0</v>
      </c>
      <c r="AZ159" s="3174">
        <f t="shared" si="95"/>
        <v>0</v>
      </c>
      <c r="BA159" s="3174">
        <f t="shared" si="96"/>
        <v>0</v>
      </c>
      <c r="BB159" s="3174">
        <f t="shared" si="97"/>
        <v>0</v>
      </c>
      <c r="BC159" s="3174">
        <f t="shared" si="98"/>
        <v>0</v>
      </c>
      <c r="BD159" s="3174">
        <f t="shared" si="99"/>
        <v>0</v>
      </c>
      <c r="BE159" s="3174">
        <f t="shared" si="100"/>
        <v>0</v>
      </c>
      <c r="BF159" s="3174">
        <f t="shared" si="101"/>
        <v>0</v>
      </c>
      <c r="BG159" s="3174">
        <f t="shared" si="102"/>
        <v>0</v>
      </c>
      <c r="BH159" s="3174">
        <f t="shared" si="103"/>
        <v>0</v>
      </c>
      <c r="BI159" s="3174">
        <f t="shared" si="104"/>
        <v>0</v>
      </c>
      <c r="BJ159" s="3174">
        <f t="shared" si="105"/>
        <v>0</v>
      </c>
      <c r="BK159" s="3174">
        <f t="shared" si="106"/>
        <v>0</v>
      </c>
      <c r="BL159" s="3174">
        <f t="shared" si="107"/>
        <v>0</v>
      </c>
      <c r="BM159" s="3174">
        <f t="shared" si="108"/>
        <v>0</v>
      </c>
      <c r="BN159" s="3174">
        <f t="shared" si="109"/>
        <v>0</v>
      </c>
      <c r="BO159" s="3174">
        <f t="shared" si="110"/>
        <v>0</v>
      </c>
      <c r="BP159" s="3174">
        <f t="shared" si="111"/>
        <v>0</v>
      </c>
      <c r="BQ159" s="3174">
        <f t="shared" si="112"/>
        <v>0</v>
      </c>
      <c r="BR159" s="3174">
        <f t="shared" si="113"/>
        <v>0</v>
      </c>
      <c r="BS159" s="3174">
        <f t="shared" si="114"/>
        <v>0</v>
      </c>
      <c r="BT159" s="3249">
        <f t="shared" si="115"/>
        <v>0</v>
      </c>
    </row>
    <row r="160" spans="1:72">
      <c r="A160" s="489"/>
      <c r="B160" s="356"/>
      <c r="C160" s="356"/>
      <c r="D160" s="3182"/>
      <c r="E160" s="3174">
        <f t="shared" si="116"/>
        <v>0</v>
      </c>
      <c r="F160" s="3175"/>
      <c r="G160" s="3176">
        <f t="shared" si="91"/>
        <v>0</v>
      </c>
      <c r="H160" s="3177">
        <f t="shared" si="92"/>
        <v>0</v>
      </c>
      <c r="I160" s="3200"/>
      <c r="J160" s="3200"/>
      <c r="K160" s="3200"/>
      <c r="L160" s="3200"/>
      <c r="M160" s="3200"/>
      <c r="N160" s="3200"/>
      <c r="O160" s="3200"/>
      <c r="P160" s="3200"/>
      <c r="Q160" s="3200"/>
      <c r="R160" s="3200"/>
      <c r="S160" s="3200"/>
      <c r="T160" s="3200"/>
      <c r="U160" s="3200"/>
      <c r="V160" s="3200"/>
      <c r="W160" s="3200"/>
      <c r="X160" s="3200"/>
      <c r="Y160" s="3200"/>
      <c r="Z160" s="3200"/>
      <c r="AA160" s="3200"/>
      <c r="AB160" s="3200"/>
      <c r="AC160" s="3174">
        <f t="shared" si="93"/>
        <v>0</v>
      </c>
      <c r="AD160" s="3212"/>
      <c r="AE160" s="3212"/>
      <c r="AF160" s="3212"/>
      <c r="AG160" s="3212"/>
      <c r="AH160" s="3212"/>
      <c r="AI160" s="3212"/>
      <c r="AJ160" s="3212"/>
      <c r="AK160" s="3212"/>
      <c r="AL160" s="3212"/>
      <c r="AM160" s="3212"/>
      <c r="AN160" s="3212"/>
      <c r="AO160" s="3212"/>
      <c r="AP160" s="3212"/>
      <c r="AQ160" s="3212"/>
      <c r="AR160" s="3212"/>
      <c r="AS160" s="3212"/>
      <c r="AT160" s="3175"/>
      <c r="AU160" s="3232"/>
      <c r="AV160" s="466">
        <f t="shared" si="117"/>
        <v>0</v>
      </c>
      <c r="AW160" s="466">
        <f t="shared" si="118"/>
        <v>0</v>
      </c>
      <c r="AX160" s="466">
        <f t="shared" si="119"/>
        <v>0</v>
      </c>
      <c r="AY160" s="385">
        <f t="shared" si="94"/>
        <v>0</v>
      </c>
      <c r="AZ160" s="3174">
        <f t="shared" si="95"/>
        <v>0</v>
      </c>
      <c r="BA160" s="3174">
        <f t="shared" si="96"/>
        <v>0</v>
      </c>
      <c r="BB160" s="3174">
        <f t="shared" si="97"/>
        <v>0</v>
      </c>
      <c r="BC160" s="3174">
        <f t="shared" si="98"/>
        <v>0</v>
      </c>
      <c r="BD160" s="3174">
        <f t="shared" si="99"/>
        <v>0</v>
      </c>
      <c r="BE160" s="3174">
        <f t="shared" si="100"/>
        <v>0</v>
      </c>
      <c r="BF160" s="3174">
        <f t="shared" si="101"/>
        <v>0</v>
      </c>
      <c r="BG160" s="3174">
        <f t="shared" si="102"/>
        <v>0</v>
      </c>
      <c r="BH160" s="3174">
        <f t="shared" si="103"/>
        <v>0</v>
      </c>
      <c r="BI160" s="3174">
        <f t="shared" si="104"/>
        <v>0</v>
      </c>
      <c r="BJ160" s="3174">
        <f t="shared" si="105"/>
        <v>0</v>
      </c>
      <c r="BK160" s="3174">
        <f t="shared" si="106"/>
        <v>0</v>
      </c>
      <c r="BL160" s="3174">
        <f t="shared" si="107"/>
        <v>0</v>
      </c>
      <c r="BM160" s="3174">
        <f t="shared" si="108"/>
        <v>0</v>
      </c>
      <c r="BN160" s="3174">
        <f t="shared" si="109"/>
        <v>0</v>
      </c>
      <c r="BO160" s="3174">
        <f t="shared" si="110"/>
        <v>0</v>
      </c>
      <c r="BP160" s="3174">
        <f t="shared" si="111"/>
        <v>0</v>
      </c>
      <c r="BQ160" s="3174">
        <f t="shared" si="112"/>
        <v>0</v>
      </c>
      <c r="BR160" s="3174">
        <f t="shared" si="113"/>
        <v>0</v>
      </c>
      <c r="BS160" s="3174">
        <f t="shared" si="114"/>
        <v>0</v>
      </c>
      <c r="BT160" s="3249">
        <f t="shared" si="115"/>
        <v>0</v>
      </c>
    </row>
    <row r="161" spans="1:72">
      <c r="A161" s="489"/>
      <c r="B161" s="356"/>
      <c r="C161" s="356"/>
      <c r="D161" s="3182"/>
      <c r="E161" s="3174">
        <f t="shared" si="116"/>
        <v>0</v>
      </c>
      <c r="F161" s="3175"/>
      <c r="G161" s="3176">
        <f t="shared" si="91"/>
        <v>0</v>
      </c>
      <c r="H161" s="3177">
        <f t="shared" si="92"/>
        <v>0</v>
      </c>
      <c r="I161" s="3200"/>
      <c r="J161" s="3200"/>
      <c r="K161" s="3200"/>
      <c r="L161" s="3200"/>
      <c r="M161" s="3200"/>
      <c r="N161" s="3200"/>
      <c r="O161" s="3200"/>
      <c r="P161" s="3200"/>
      <c r="Q161" s="3200"/>
      <c r="R161" s="3200"/>
      <c r="S161" s="3200"/>
      <c r="T161" s="3200"/>
      <c r="U161" s="3200"/>
      <c r="V161" s="3200"/>
      <c r="W161" s="3200"/>
      <c r="X161" s="3200"/>
      <c r="Y161" s="3200"/>
      <c r="Z161" s="3200"/>
      <c r="AA161" s="3200"/>
      <c r="AB161" s="3200"/>
      <c r="AC161" s="3174">
        <f t="shared" si="93"/>
        <v>0</v>
      </c>
      <c r="AD161" s="3212"/>
      <c r="AE161" s="3212"/>
      <c r="AF161" s="3212"/>
      <c r="AG161" s="3212"/>
      <c r="AH161" s="3212"/>
      <c r="AI161" s="3212"/>
      <c r="AJ161" s="3212"/>
      <c r="AK161" s="3212"/>
      <c r="AL161" s="3212"/>
      <c r="AM161" s="3212"/>
      <c r="AN161" s="3212"/>
      <c r="AO161" s="3212"/>
      <c r="AP161" s="3212"/>
      <c r="AQ161" s="3212"/>
      <c r="AR161" s="3212"/>
      <c r="AS161" s="3212"/>
      <c r="AT161" s="3175"/>
      <c r="AU161" s="3232"/>
      <c r="AV161" s="466">
        <f t="shared" si="117"/>
        <v>0</v>
      </c>
      <c r="AW161" s="466">
        <f t="shared" si="118"/>
        <v>0</v>
      </c>
      <c r="AX161" s="466">
        <f t="shared" si="119"/>
        <v>0</v>
      </c>
      <c r="AY161" s="385">
        <f t="shared" si="94"/>
        <v>0</v>
      </c>
      <c r="AZ161" s="3174">
        <f t="shared" si="95"/>
        <v>0</v>
      </c>
      <c r="BA161" s="3174">
        <f t="shared" si="96"/>
        <v>0</v>
      </c>
      <c r="BB161" s="3174">
        <f t="shared" si="97"/>
        <v>0</v>
      </c>
      <c r="BC161" s="3174">
        <f t="shared" si="98"/>
        <v>0</v>
      </c>
      <c r="BD161" s="3174">
        <f t="shared" si="99"/>
        <v>0</v>
      </c>
      <c r="BE161" s="3174">
        <f t="shared" si="100"/>
        <v>0</v>
      </c>
      <c r="BF161" s="3174">
        <f t="shared" si="101"/>
        <v>0</v>
      </c>
      <c r="BG161" s="3174">
        <f t="shared" si="102"/>
        <v>0</v>
      </c>
      <c r="BH161" s="3174">
        <f t="shared" si="103"/>
        <v>0</v>
      </c>
      <c r="BI161" s="3174">
        <f t="shared" si="104"/>
        <v>0</v>
      </c>
      <c r="BJ161" s="3174">
        <f t="shared" si="105"/>
        <v>0</v>
      </c>
      <c r="BK161" s="3174">
        <f t="shared" si="106"/>
        <v>0</v>
      </c>
      <c r="BL161" s="3174">
        <f t="shared" si="107"/>
        <v>0</v>
      </c>
      <c r="BM161" s="3174">
        <f t="shared" si="108"/>
        <v>0</v>
      </c>
      <c r="BN161" s="3174">
        <f t="shared" si="109"/>
        <v>0</v>
      </c>
      <c r="BO161" s="3174">
        <f t="shared" si="110"/>
        <v>0</v>
      </c>
      <c r="BP161" s="3174">
        <f t="shared" si="111"/>
        <v>0</v>
      </c>
      <c r="BQ161" s="3174">
        <f t="shared" si="112"/>
        <v>0</v>
      </c>
      <c r="BR161" s="3174">
        <f t="shared" si="113"/>
        <v>0</v>
      </c>
      <c r="BS161" s="3174">
        <f t="shared" si="114"/>
        <v>0</v>
      </c>
      <c r="BT161" s="3249">
        <f t="shared" si="115"/>
        <v>0</v>
      </c>
    </row>
    <row r="162" spans="1:72">
      <c r="A162" s="489"/>
      <c r="B162" s="356"/>
      <c r="C162" s="356"/>
      <c r="D162" s="3182"/>
      <c r="E162" s="3174">
        <f t="shared" si="116"/>
        <v>0</v>
      </c>
      <c r="F162" s="3175"/>
      <c r="G162" s="3176">
        <f t="shared" si="91"/>
        <v>0</v>
      </c>
      <c r="H162" s="3177">
        <f t="shared" si="92"/>
        <v>0</v>
      </c>
      <c r="I162" s="3200"/>
      <c r="J162" s="3200"/>
      <c r="K162" s="3200"/>
      <c r="L162" s="3200"/>
      <c r="M162" s="3200"/>
      <c r="N162" s="3200"/>
      <c r="O162" s="3200"/>
      <c r="P162" s="3200"/>
      <c r="Q162" s="3200"/>
      <c r="R162" s="3200"/>
      <c r="S162" s="3200"/>
      <c r="T162" s="3200"/>
      <c r="U162" s="3200"/>
      <c r="V162" s="3200"/>
      <c r="W162" s="3200"/>
      <c r="X162" s="3200"/>
      <c r="Y162" s="3200"/>
      <c r="Z162" s="3200"/>
      <c r="AA162" s="3200"/>
      <c r="AB162" s="3200"/>
      <c r="AC162" s="3174">
        <f t="shared" si="93"/>
        <v>0</v>
      </c>
      <c r="AD162" s="3212"/>
      <c r="AE162" s="3212"/>
      <c r="AF162" s="3212"/>
      <c r="AG162" s="3212"/>
      <c r="AH162" s="3212"/>
      <c r="AI162" s="3212"/>
      <c r="AJ162" s="3212"/>
      <c r="AK162" s="3212"/>
      <c r="AL162" s="3212"/>
      <c r="AM162" s="3212"/>
      <c r="AN162" s="3212"/>
      <c r="AO162" s="3212"/>
      <c r="AP162" s="3212"/>
      <c r="AQ162" s="3212"/>
      <c r="AR162" s="3212"/>
      <c r="AS162" s="3212"/>
      <c r="AT162" s="3175"/>
      <c r="AU162" s="3232"/>
      <c r="AV162" s="466">
        <f t="shared" si="117"/>
        <v>0</v>
      </c>
      <c r="AW162" s="466">
        <f t="shared" si="118"/>
        <v>0</v>
      </c>
      <c r="AX162" s="466">
        <f t="shared" si="119"/>
        <v>0</v>
      </c>
      <c r="AY162" s="385">
        <f t="shared" si="94"/>
        <v>0</v>
      </c>
      <c r="AZ162" s="3174">
        <f t="shared" si="95"/>
        <v>0</v>
      </c>
      <c r="BA162" s="3174">
        <f t="shared" si="96"/>
        <v>0</v>
      </c>
      <c r="BB162" s="3174">
        <f t="shared" si="97"/>
        <v>0</v>
      </c>
      <c r="BC162" s="3174">
        <f t="shared" si="98"/>
        <v>0</v>
      </c>
      <c r="BD162" s="3174">
        <f t="shared" si="99"/>
        <v>0</v>
      </c>
      <c r="BE162" s="3174">
        <f t="shared" si="100"/>
        <v>0</v>
      </c>
      <c r="BF162" s="3174">
        <f t="shared" si="101"/>
        <v>0</v>
      </c>
      <c r="BG162" s="3174">
        <f t="shared" si="102"/>
        <v>0</v>
      </c>
      <c r="BH162" s="3174">
        <f t="shared" si="103"/>
        <v>0</v>
      </c>
      <c r="BI162" s="3174">
        <f t="shared" si="104"/>
        <v>0</v>
      </c>
      <c r="BJ162" s="3174">
        <f t="shared" si="105"/>
        <v>0</v>
      </c>
      <c r="BK162" s="3174">
        <f t="shared" si="106"/>
        <v>0</v>
      </c>
      <c r="BL162" s="3174">
        <f t="shared" si="107"/>
        <v>0</v>
      </c>
      <c r="BM162" s="3174">
        <f t="shared" si="108"/>
        <v>0</v>
      </c>
      <c r="BN162" s="3174">
        <f t="shared" si="109"/>
        <v>0</v>
      </c>
      <c r="BO162" s="3174">
        <f t="shared" si="110"/>
        <v>0</v>
      </c>
      <c r="BP162" s="3174">
        <f t="shared" si="111"/>
        <v>0</v>
      </c>
      <c r="BQ162" s="3174">
        <f t="shared" si="112"/>
        <v>0</v>
      </c>
      <c r="BR162" s="3174">
        <f t="shared" si="113"/>
        <v>0</v>
      </c>
      <c r="BS162" s="3174">
        <f t="shared" si="114"/>
        <v>0</v>
      </c>
      <c r="BT162" s="3249">
        <f t="shared" si="115"/>
        <v>0</v>
      </c>
    </row>
    <row r="163" spans="1:72">
      <c r="A163" s="489"/>
      <c r="B163" s="356"/>
      <c r="C163" s="356"/>
      <c r="D163" s="3182"/>
      <c r="E163" s="3174">
        <f t="shared" si="116"/>
        <v>0</v>
      </c>
      <c r="F163" s="3175"/>
      <c r="G163" s="3176">
        <f t="shared" si="91"/>
        <v>0</v>
      </c>
      <c r="H163" s="3177">
        <f t="shared" si="92"/>
        <v>0</v>
      </c>
      <c r="I163" s="3200"/>
      <c r="J163" s="3200"/>
      <c r="K163" s="3200"/>
      <c r="L163" s="3200"/>
      <c r="M163" s="3200"/>
      <c r="N163" s="3200"/>
      <c r="O163" s="3200"/>
      <c r="P163" s="3200"/>
      <c r="Q163" s="3200"/>
      <c r="R163" s="3200"/>
      <c r="S163" s="3200"/>
      <c r="T163" s="3200"/>
      <c r="U163" s="3200"/>
      <c r="V163" s="3200"/>
      <c r="W163" s="3200"/>
      <c r="X163" s="3200"/>
      <c r="Y163" s="3200"/>
      <c r="Z163" s="3200"/>
      <c r="AA163" s="3200"/>
      <c r="AB163" s="3200"/>
      <c r="AC163" s="3174">
        <f t="shared" si="93"/>
        <v>0</v>
      </c>
      <c r="AD163" s="3212"/>
      <c r="AE163" s="3212"/>
      <c r="AF163" s="3212"/>
      <c r="AG163" s="3212"/>
      <c r="AH163" s="3212"/>
      <c r="AI163" s="3212"/>
      <c r="AJ163" s="3212"/>
      <c r="AK163" s="3212"/>
      <c r="AL163" s="3212"/>
      <c r="AM163" s="3212"/>
      <c r="AN163" s="3212"/>
      <c r="AO163" s="3212"/>
      <c r="AP163" s="3212"/>
      <c r="AQ163" s="3212"/>
      <c r="AR163" s="3212"/>
      <c r="AS163" s="3212"/>
      <c r="AT163" s="3175"/>
      <c r="AU163" s="3232"/>
      <c r="AV163" s="466">
        <f t="shared" si="117"/>
        <v>0</v>
      </c>
      <c r="AW163" s="466">
        <f t="shared" si="118"/>
        <v>0</v>
      </c>
      <c r="AX163" s="466">
        <f t="shared" si="119"/>
        <v>0</v>
      </c>
      <c r="AY163" s="385">
        <f t="shared" si="94"/>
        <v>0</v>
      </c>
      <c r="AZ163" s="3174">
        <f t="shared" si="95"/>
        <v>0</v>
      </c>
      <c r="BA163" s="3174">
        <f t="shared" si="96"/>
        <v>0</v>
      </c>
      <c r="BB163" s="3174">
        <f t="shared" si="97"/>
        <v>0</v>
      </c>
      <c r="BC163" s="3174">
        <f t="shared" si="98"/>
        <v>0</v>
      </c>
      <c r="BD163" s="3174">
        <f t="shared" si="99"/>
        <v>0</v>
      </c>
      <c r="BE163" s="3174">
        <f t="shared" si="100"/>
        <v>0</v>
      </c>
      <c r="BF163" s="3174">
        <f t="shared" si="101"/>
        <v>0</v>
      </c>
      <c r="BG163" s="3174">
        <f t="shared" si="102"/>
        <v>0</v>
      </c>
      <c r="BH163" s="3174">
        <f t="shared" si="103"/>
        <v>0</v>
      </c>
      <c r="BI163" s="3174">
        <f t="shared" si="104"/>
        <v>0</v>
      </c>
      <c r="BJ163" s="3174">
        <f t="shared" si="105"/>
        <v>0</v>
      </c>
      <c r="BK163" s="3174">
        <f t="shared" si="106"/>
        <v>0</v>
      </c>
      <c r="BL163" s="3174">
        <f t="shared" si="107"/>
        <v>0</v>
      </c>
      <c r="BM163" s="3174">
        <f t="shared" si="108"/>
        <v>0</v>
      </c>
      <c r="BN163" s="3174">
        <f t="shared" si="109"/>
        <v>0</v>
      </c>
      <c r="BO163" s="3174">
        <f t="shared" si="110"/>
        <v>0</v>
      </c>
      <c r="BP163" s="3174">
        <f t="shared" si="111"/>
        <v>0</v>
      </c>
      <c r="BQ163" s="3174">
        <f t="shared" si="112"/>
        <v>0</v>
      </c>
      <c r="BR163" s="3174">
        <f t="shared" si="113"/>
        <v>0</v>
      </c>
      <c r="BS163" s="3174">
        <f t="shared" si="114"/>
        <v>0</v>
      </c>
      <c r="BT163" s="3249">
        <f t="shared" si="115"/>
        <v>0</v>
      </c>
    </row>
    <row r="164" spans="1:72">
      <c r="A164" s="489"/>
      <c r="B164" s="356"/>
      <c r="C164" s="356"/>
      <c r="D164" s="3182"/>
      <c r="E164" s="3174">
        <f t="shared" si="116"/>
        <v>0</v>
      </c>
      <c r="F164" s="3175"/>
      <c r="G164" s="3176">
        <f t="shared" si="91"/>
        <v>0</v>
      </c>
      <c r="H164" s="3177">
        <f t="shared" si="92"/>
        <v>0</v>
      </c>
      <c r="I164" s="3200"/>
      <c r="J164" s="3200"/>
      <c r="K164" s="3200"/>
      <c r="L164" s="3200"/>
      <c r="M164" s="3200"/>
      <c r="N164" s="3200"/>
      <c r="O164" s="3200"/>
      <c r="P164" s="3200"/>
      <c r="Q164" s="3200"/>
      <c r="R164" s="3200"/>
      <c r="S164" s="3200"/>
      <c r="T164" s="3200"/>
      <c r="U164" s="3200"/>
      <c r="V164" s="3200"/>
      <c r="W164" s="3200"/>
      <c r="X164" s="3200"/>
      <c r="Y164" s="3200"/>
      <c r="Z164" s="3200"/>
      <c r="AA164" s="3200"/>
      <c r="AB164" s="3200"/>
      <c r="AC164" s="3174">
        <f t="shared" si="93"/>
        <v>0</v>
      </c>
      <c r="AD164" s="3212"/>
      <c r="AE164" s="3212"/>
      <c r="AF164" s="3212"/>
      <c r="AG164" s="3212"/>
      <c r="AH164" s="3212"/>
      <c r="AI164" s="3212"/>
      <c r="AJ164" s="3212"/>
      <c r="AK164" s="3212"/>
      <c r="AL164" s="3212"/>
      <c r="AM164" s="3212"/>
      <c r="AN164" s="3212"/>
      <c r="AO164" s="3212"/>
      <c r="AP164" s="3212"/>
      <c r="AQ164" s="3212"/>
      <c r="AR164" s="3212"/>
      <c r="AS164" s="3212"/>
      <c r="AT164" s="3175"/>
      <c r="AU164" s="3232"/>
      <c r="AV164" s="466">
        <f t="shared" si="117"/>
        <v>0</v>
      </c>
      <c r="AW164" s="466">
        <f t="shared" si="118"/>
        <v>0</v>
      </c>
      <c r="AX164" s="466">
        <f t="shared" si="119"/>
        <v>0</v>
      </c>
      <c r="AY164" s="385">
        <f t="shared" si="94"/>
        <v>0</v>
      </c>
      <c r="AZ164" s="3174">
        <f t="shared" si="95"/>
        <v>0</v>
      </c>
      <c r="BA164" s="3174">
        <f t="shared" si="96"/>
        <v>0</v>
      </c>
      <c r="BB164" s="3174">
        <f t="shared" si="97"/>
        <v>0</v>
      </c>
      <c r="BC164" s="3174">
        <f t="shared" si="98"/>
        <v>0</v>
      </c>
      <c r="BD164" s="3174">
        <f t="shared" si="99"/>
        <v>0</v>
      </c>
      <c r="BE164" s="3174">
        <f t="shared" si="100"/>
        <v>0</v>
      </c>
      <c r="BF164" s="3174">
        <f t="shared" si="101"/>
        <v>0</v>
      </c>
      <c r="BG164" s="3174">
        <f t="shared" si="102"/>
        <v>0</v>
      </c>
      <c r="BH164" s="3174">
        <f t="shared" si="103"/>
        <v>0</v>
      </c>
      <c r="BI164" s="3174">
        <f t="shared" si="104"/>
        <v>0</v>
      </c>
      <c r="BJ164" s="3174">
        <f t="shared" si="105"/>
        <v>0</v>
      </c>
      <c r="BK164" s="3174">
        <f t="shared" si="106"/>
        <v>0</v>
      </c>
      <c r="BL164" s="3174">
        <f t="shared" si="107"/>
        <v>0</v>
      </c>
      <c r="BM164" s="3174">
        <f t="shared" si="108"/>
        <v>0</v>
      </c>
      <c r="BN164" s="3174">
        <f t="shared" si="109"/>
        <v>0</v>
      </c>
      <c r="BO164" s="3174">
        <f t="shared" si="110"/>
        <v>0</v>
      </c>
      <c r="BP164" s="3174">
        <f t="shared" si="111"/>
        <v>0</v>
      </c>
      <c r="BQ164" s="3174">
        <f t="shared" si="112"/>
        <v>0</v>
      </c>
      <c r="BR164" s="3174">
        <f t="shared" si="113"/>
        <v>0</v>
      </c>
      <c r="BS164" s="3174">
        <f t="shared" si="114"/>
        <v>0</v>
      </c>
      <c r="BT164" s="3249">
        <f t="shared" si="115"/>
        <v>0</v>
      </c>
    </row>
    <row r="165" spans="1:72">
      <c r="A165" s="489"/>
      <c r="B165" s="356"/>
      <c r="C165" s="356"/>
      <c r="D165" s="3182"/>
      <c r="E165" s="3174">
        <f t="shared" si="116"/>
        <v>0</v>
      </c>
      <c r="F165" s="3175"/>
      <c r="G165" s="3176">
        <f t="shared" si="91"/>
        <v>0</v>
      </c>
      <c r="H165" s="3177">
        <f t="shared" si="92"/>
        <v>0</v>
      </c>
      <c r="I165" s="3200"/>
      <c r="J165" s="3200"/>
      <c r="K165" s="3200"/>
      <c r="L165" s="3200"/>
      <c r="M165" s="3200"/>
      <c r="N165" s="3200"/>
      <c r="O165" s="3200"/>
      <c r="P165" s="3200"/>
      <c r="Q165" s="3200"/>
      <c r="R165" s="3200"/>
      <c r="S165" s="3200"/>
      <c r="T165" s="3200"/>
      <c r="U165" s="3200"/>
      <c r="V165" s="3200"/>
      <c r="W165" s="3200"/>
      <c r="X165" s="3200"/>
      <c r="Y165" s="3200"/>
      <c r="Z165" s="3200"/>
      <c r="AA165" s="3200"/>
      <c r="AB165" s="3200"/>
      <c r="AC165" s="3174">
        <f t="shared" si="93"/>
        <v>0</v>
      </c>
      <c r="AD165" s="3212"/>
      <c r="AE165" s="3212"/>
      <c r="AF165" s="3212"/>
      <c r="AG165" s="3212"/>
      <c r="AH165" s="3212"/>
      <c r="AI165" s="3212"/>
      <c r="AJ165" s="3212"/>
      <c r="AK165" s="3212"/>
      <c r="AL165" s="3212"/>
      <c r="AM165" s="3212"/>
      <c r="AN165" s="3212"/>
      <c r="AO165" s="3212"/>
      <c r="AP165" s="3212"/>
      <c r="AQ165" s="3212"/>
      <c r="AR165" s="3212"/>
      <c r="AS165" s="3212"/>
      <c r="AT165" s="3175"/>
      <c r="AU165" s="3232"/>
      <c r="AV165" s="466">
        <f t="shared" si="117"/>
        <v>0</v>
      </c>
      <c r="AW165" s="466">
        <f t="shared" si="118"/>
        <v>0</v>
      </c>
      <c r="AX165" s="466">
        <f t="shared" si="119"/>
        <v>0</v>
      </c>
      <c r="AY165" s="385">
        <f t="shared" si="94"/>
        <v>0</v>
      </c>
      <c r="AZ165" s="3174">
        <f t="shared" si="95"/>
        <v>0</v>
      </c>
      <c r="BA165" s="3174">
        <f t="shared" si="96"/>
        <v>0</v>
      </c>
      <c r="BB165" s="3174">
        <f t="shared" si="97"/>
        <v>0</v>
      </c>
      <c r="BC165" s="3174">
        <f t="shared" si="98"/>
        <v>0</v>
      </c>
      <c r="BD165" s="3174">
        <f t="shared" si="99"/>
        <v>0</v>
      </c>
      <c r="BE165" s="3174">
        <f t="shared" si="100"/>
        <v>0</v>
      </c>
      <c r="BF165" s="3174">
        <f t="shared" si="101"/>
        <v>0</v>
      </c>
      <c r="BG165" s="3174">
        <f t="shared" si="102"/>
        <v>0</v>
      </c>
      <c r="BH165" s="3174">
        <f t="shared" si="103"/>
        <v>0</v>
      </c>
      <c r="BI165" s="3174">
        <f t="shared" si="104"/>
        <v>0</v>
      </c>
      <c r="BJ165" s="3174">
        <f t="shared" si="105"/>
        <v>0</v>
      </c>
      <c r="BK165" s="3174">
        <f t="shared" si="106"/>
        <v>0</v>
      </c>
      <c r="BL165" s="3174">
        <f t="shared" si="107"/>
        <v>0</v>
      </c>
      <c r="BM165" s="3174">
        <f t="shared" si="108"/>
        <v>0</v>
      </c>
      <c r="BN165" s="3174">
        <f t="shared" si="109"/>
        <v>0</v>
      </c>
      <c r="BO165" s="3174">
        <f t="shared" si="110"/>
        <v>0</v>
      </c>
      <c r="BP165" s="3174">
        <f t="shared" si="111"/>
        <v>0</v>
      </c>
      <c r="BQ165" s="3174">
        <f t="shared" si="112"/>
        <v>0</v>
      </c>
      <c r="BR165" s="3174">
        <f t="shared" si="113"/>
        <v>0</v>
      </c>
      <c r="BS165" s="3174">
        <f t="shared" si="114"/>
        <v>0</v>
      </c>
      <c r="BT165" s="3249">
        <f t="shared" si="115"/>
        <v>0</v>
      </c>
    </row>
    <row r="166" spans="1:72">
      <c r="A166" s="489"/>
      <c r="B166" s="356"/>
      <c r="C166" s="356"/>
      <c r="D166" s="3182"/>
      <c r="E166" s="3174">
        <f t="shared" si="116"/>
        <v>0</v>
      </c>
      <c r="F166" s="3175"/>
      <c r="G166" s="3176">
        <f t="shared" si="91"/>
        <v>0</v>
      </c>
      <c r="H166" s="3177">
        <f t="shared" si="92"/>
        <v>0</v>
      </c>
      <c r="I166" s="3200"/>
      <c r="J166" s="3200"/>
      <c r="K166" s="3200"/>
      <c r="L166" s="3200"/>
      <c r="M166" s="3200"/>
      <c r="N166" s="3200"/>
      <c r="O166" s="3200"/>
      <c r="P166" s="3200"/>
      <c r="Q166" s="3200"/>
      <c r="R166" s="3200"/>
      <c r="S166" s="3200"/>
      <c r="T166" s="3200"/>
      <c r="U166" s="3200"/>
      <c r="V166" s="3200"/>
      <c r="W166" s="3200"/>
      <c r="X166" s="3200"/>
      <c r="Y166" s="3200"/>
      <c r="Z166" s="3200"/>
      <c r="AA166" s="3200"/>
      <c r="AB166" s="3200"/>
      <c r="AC166" s="3174">
        <f t="shared" si="93"/>
        <v>0</v>
      </c>
      <c r="AD166" s="3212"/>
      <c r="AE166" s="3212"/>
      <c r="AF166" s="3212"/>
      <c r="AG166" s="3212"/>
      <c r="AH166" s="3212"/>
      <c r="AI166" s="3212"/>
      <c r="AJ166" s="3212"/>
      <c r="AK166" s="3212"/>
      <c r="AL166" s="3212"/>
      <c r="AM166" s="3212"/>
      <c r="AN166" s="3212"/>
      <c r="AO166" s="3212"/>
      <c r="AP166" s="3212"/>
      <c r="AQ166" s="3212"/>
      <c r="AR166" s="3212"/>
      <c r="AS166" s="3212"/>
      <c r="AT166" s="3175"/>
      <c r="AU166" s="3232"/>
      <c r="AV166" s="466">
        <f t="shared" si="117"/>
        <v>0</v>
      </c>
      <c r="AW166" s="466">
        <f t="shared" si="118"/>
        <v>0</v>
      </c>
      <c r="AX166" s="466">
        <f t="shared" si="119"/>
        <v>0</v>
      </c>
      <c r="AY166" s="385">
        <f t="shared" si="94"/>
        <v>0</v>
      </c>
      <c r="AZ166" s="3174">
        <f t="shared" si="95"/>
        <v>0</v>
      </c>
      <c r="BA166" s="3174">
        <f t="shared" si="96"/>
        <v>0</v>
      </c>
      <c r="BB166" s="3174">
        <f t="shared" si="97"/>
        <v>0</v>
      </c>
      <c r="BC166" s="3174">
        <f t="shared" si="98"/>
        <v>0</v>
      </c>
      <c r="BD166" s="3174">
        <f t="shared" si="99"/>
        <v>0</v>
      </c>
      <c r="BE166" s="3174">
        <f t="shared" si="100"/>
        <v>0</v>
      </c>
      <c r="BF166" s="3174">
        <f t="shared" si="101"/>
        <v>0</v>
      </c>
      <c r="BG166" s="3174">
        <f t="shared" si="102"/>
        <v>0</v>
      </c>
      <c r="BH166" s="3174">
        <f t="shared" si="103"/>
        <v>0</v>
      </c>
      <c r="BI166" s="3174">
        <f t="shared" si="104"/>
        <v>0</v>
      </c>
      <c r="BJ166" s="3174">
        <f t="shared" si="105"/>
        <v>0</v>
      </c>
      <c r="BK166" s="3174">
        <f t="shared" si="106"/>
        <v>0</v>
      </c>
      <c r="BL166" s="3174">
        <f t="shared" si="107"/>
        <v>0</v>
      </c>
      <c r="BM166" s="3174">
        <f t="shared" si="108"/>
        <v>0</v>
      </c>
      <c r="BN166" s="3174">
        <f t="shared" si="109"/>
        <v>0</v>
      </c>
      <c r="BO166" s="3174">
        <f t="shared" si="110"/>
        <v>0</v>
      </c>
      <c r="BP166" s="3174">
        <f t="shared" si="111"/>
        <v>0</v>
      </c>
      <c r="BQ166" s="3174">
        <f t="shared" si="112"/>
        <v>0</v>
      </c>
      <c r="BR166" s="3174">
        <f t="shared" si="113"/>
        <v>0</v>
      </c>
      <c r="BS166" s="3174">
        <f t="shared" si="114"/>
        <v>0</v>
      </c>
      <c r="BT166" s="3249">
        <f t="shared" si="115"/>
        <v>0</v>
      </c>
    </row>
    <row r="167" spans="1:72">
      <c r="A167" s="489"/>
      <c r="B167" s="356"/>
      <c r="C167" s="356"/>
      <c r="D167" s="3182"/>
      <c r="E167" s="3174">
        <f t="shared" si="116"/>
        <v>0</v>
      </c>
      <c r="F167" s="3175"/>
      <c r="G167" s="3176">
        <f t="shared" si="91"/>
        <v>0</v>
      </c>
      <c r="H167" s="3177">
        <f t="shared" si="92"/>
        <v>0</v>
      </c>
      <c r="I167" s="3200"/>
      <c r="J167" s="3200"/>
      <c r="K167" s="3200"/>
      <c r="L167" s="3200"/>
      <c r="M167" s="3200"/>
      <c r="N167" s="3200"/>
      <c r="O167" s="3200"/>
      <c r="P167" s="3200"/>
      <c r="Q167" s="3200"/>
      <c r="R167" s="3200"/>
      <c r="S167" s="3200"/>
      <c r="T167" s="3200"/>
      <c r="U167" s="3200"/>
      <c r="V167" s="3200"/>
      <c r="W167" s="3200"/>
      <c r="X167" s="3200"/>
      <c r="Y167" s="3200"/>
      <c r="Z167" s="3200"/>
      <c r="AA167" s="3200"/>
      <c r="AB167" s="3200"/>
      <c r="AC167" s="3174">
        <f t="shared" si="93"/>
        <v>0</v>
      </c>
      <c r="AD167" s="3212"/>
      <c r="AE167" s="3212"/>
      <c r="AF167" s="3212"/>
      <c r="AG167" s="3212"/>
      <c r="AH167" s="3212"/>
      <c r="AI167" s="3212"/>
      <c r="AJ167" s="3212"/>
      <c r="AK167" s="3212"/>
      <c r="AL167" s="3212"/>
      <c r="AM167" s="3212"/>
      <c r="AN167" s="3212"/>
      <c r="AO167" s="3212"/>
      <c r="AP167" s="3212"/>
      <c r="AQ167" s="3212"/>
      <c r="AR167" s="3212"/>
      <c r="AS167" s="3212"/>
      <c r="AT167" s="3175"/>
      <c r="AU167" s="3232"/>
      <c r="AV167" s="466">
        <f t="shared" si="117"/>
        <v>0</v>
      </c>
      <c r="AW167" s="466">
        <f t="shared" si="118"/>
        <v>0</v>
      </c>
      <c r="AX167" s="466">
        <f t="shared" si="119"/>
        <v>0</v>
      </c>
      <c r="AY167" s="385">
        <f t="shared" si="94"/>
        <v>0</v>
      </c>
      <c r="AZ167" s="3174">
        <f t="shared" si="95"/>
        <v>0</v>
      </c>
      <c r="BA167" s="3174">
        <f t="shared" si="96"/>
        <v>0</v>
      </c>
      <c r="BB167" s="3174">
        <f t="shared" si="97"/>
        <v>0</v>
      </c>
      <c r="BC167" s="3174">
        <f t="shared" si="98"/>
        <v>0</v>
      </c>
      <c r="BD167" s="3174">
        <f t="shared" si="99"/>
        <v>0</v>
      </c>
      <c r="BE167" s="3174">
        <f t="shared" si="100"/>
        <v>0</v>
      </c>
      <c r="BF167" s="3174">
        <f t="shared" si="101"/>
        <v>0</v>
      </c>
      <c r="BG167" s="3174">
        <f t="shared" si="102"/>
        <v>0</v>
      </c>
      <c r="BH167" s="3174">
        <f t="shared" si="103"/>
        <v>0</v>
      </c>
      <c r="BI167" s="3174">
        <f t="shared" si="104"/>
        <v>0</v>
      </c>
      <c r="BJ167" s="3174">
        <f t="shared" si="105"/>
        <v>0</v>
      </c>
      <c r="BK167" s="3174">
        <f t="shared" si="106"/>
        <v>0</v>
      </c>
      <c r="BL167" s="3174">
        <f t="shared" si="107"/>
        <v>0</v>
      </c>
      <c r="BM167" s="3174">
        <f t="shared" si="108"/>
        <v>0</v>
      </c>
      <c r="BN167" s="3174">
        <f t="shared" si="109"/>
        <v>0</v>
      </c>
      <c r="BO167" s="3174">
        <f t="shared" si="110"/>
        <v>0</v>
      </c>
      <c r="BP167" s="3174">
        <f t="shared" si="111"/>
        <v>0</v>
      </c>
      <c r="BQ167" s="3174">
        <f t="shared" si="112"/>
        <v>0</v>
      </c>
      <c r="BR167" s="3174">
        <f t="shared" si="113"/>
        <v>0</v>
      </c>
      <c r="BS167" s="3174">
        <f t="shared" si="114"/>
        <v>0</v>
      </c>
      <c r="BT167" s="3249">
        <f t="shared" si="115"/>
        <v>0</v>
      </c>
    </row>
    <row r="168" spans="1:72">
      <c r="A168" s="489"/>
      <c r="B168" s="356"/>
      <c r="C168" s="356"/>
      <c r="D168" s="3182"/>
      <c r="E168" s="3174">
        <f t="shared" si="116"/>
        <v>0</v>
      </c>
      <c r="F168" s="3175"/>
      <c r="G168" s="3176">
        <f t="shared" si="91"/>
        <v>0</v>
      </c>
      <c r="H168" s="3177">
        <f t="shared" si="92"/>
        <v>0</v>
      </c>
      <c r="I168" s="3200"/>
      <c r="J168" s="3200"/>
      <c r="K168" s="3200"/>
      <c r="L168" s="3200"/>
      <c r="M168" s="3200"/>
      <c r="N168" s="3200"/>
      <c r="O168" s="3200"/>
      <c r="P168" s="3200"/>
      <c r="Q168" s="3200"/>
      <c r="R168" s="3200"/>
      <c r="S168" s="3200"/>
      <c r="T168" s="3200"/>
      <c r="U168" s="3200"/>
      <c r="V168" s="3200"/>
      <c r="W168" s="3200"/>
      <c r="X168" s="3200"/>
      <c r="Y168" s="3200"/>
      <c r="Z168" s="3200"/>
      <c r="AA168" s="3200"/>
      <c r="AB168" s="3200"/>
      <c r="AC168" s="3174">
        <f t="shared" si="93"/>
        <v>0</v>
      </c>
      <c r="AD168" s="3212"/>
      <c r="AE168" s="3212"/>
      <c r="AF168" s="3212"/>
      <c r="AG168" s="3212"/>
      <c r="AH168" s="3212"/>
      <c r="AI168" s="3212"/>
      <c r="AJ168" s="3212"/>
      <c r="AK168" s="3212"/>
      <c r="AL168" s="3212"/>
      <c r="AM168" s="3212"/>
      <c r="AN168" s="3212"/>
      <c r="AO168" s="3212"/>
      <c r="AP168" s="3212"/>
      <c r="AQ168" s="3212"/>
      <c r="AR168" s="3212"/>
      <c r="AS168" s="3212"/>
      <c r="AT168" s="3175"/>
      <c r="AU168" s="3232"/>
      <c r="AV168" s="466">
        <f t="shared" si="117"/>
        <v>0</v>
      </c>
      <c r="AW168" s="466">
        <f t="shared" si="118"/>
        <v>0</v>
      </c>
      <c r="AX168" s="466">
        <f t="shared" si="119"/>
        <v>0</v>
      </c>
      <c r="AY168" s="385">
        <f t="shared" si="94"/>
        <v>0</v>
      </c>
      <c r="AZ168" s="3174">
        <f t="shared" si="95"/>
        <v>0</v>
      </c>
      <c r="BA168" s="3174">
        <f t="shared" si="96"/>
        <v>0</v>
      </c>
      <c r="BB168" s="3174">
        <f t="shared" si="97"/>
        <v>0</v>
      </c>
      <c r="BC168" s="3174">
        <f t="shared" si="98"/>
        <v>0</v>
      </c>
      <c r="BD168" s="3174">
        <f t="shared" si="99"/>
        <v>0</v>
      </c>
      <c r="BE168" s="3174">
        <f t="shared" si="100"/>
        <v>0</v>
      </c>
      <c r="BF168" s="3174">
        <f t="shared" si="101"/>
        <v>0</v>
      </c>
      <c r="BG168" s="3174">
        <f t="shared" si="102"/>
        <v>0</v>
      </c>
      <c r="BH168" s="3174">
        <f t="shared" si="103"/>
        <v>0</v>
      </c>
      <c r="BI168" s="3174">
        <f t="shared" si="104"/>
        <v>0</v>
      </c>
      <c r="BJ168" s="3174">
        <f t="shared" si="105"/>
        <v>0</v>
      </c>
      <c r="BK168" s="3174">
        <f t="shared" si="106"/>
        <v>0</v>
      </c>
      <c r="BL168" s="3174">
        <f t="shared" si="107"/>
        <v>0</v>
      </c>
      <c r="BM168" s="3174">
        <f t="shared" si="108"/>
        <v>0</v>
      </c>
      <c r="BN168" s="3174">
        <f t="shared" si="109"/>
        <v>0</v>
      </c>
      <c r="BO168" s="3174">
        <f t="shared" si="110"/>
        <v>0</v>
      </c>
      <c r="BP168" s="3174">
        <f t="shared" si="111"/>
        <v>0</v>
      </c>
      <c r="BQ168" s="3174">
        <f t="shared" si="112"/>
        <v>0</v>
      </c>
      <c r="BR168" s="3174">
        <f t="shared" si="113"/>
        <v>0</v>
      </c>
      <c r="BS168" s="3174">
        <f t="shared" si="114"/>
        <v>0</v>
      </c>
      <c r="BT168" s="3249">
        <f t="shared" si="115"/>
        <v>0</v>
      </c>
    </row>
    <row r="169" spans="1:72">
      <c r="A169" s="489"/>
      <c r="B169" s="356"/>
      <c r="C169" s="356"/>
      <c r="D169" s="3182"/>
      <c r="E169" s="3174">
        <f t="shared" si="116"/>
        <v>0</v>
      </c>
      <c r="F169" s="3175"/>
      <c r="G169" s="3176">
        <f t="shared" si="91"/>
        <v>0</v>
      </c>
      <c r="H169" s="3177">
        <f t="shared" si="92"/>
        <v>0</v>
      </c>
      <c r="I169" s="3200"/>
      <c r="J169" s="3200"/>
      <c r="K169" s="3200"/>
      <c r="L169" s="3200"/>
      <c r="M169" s="3200"/>
      <c r="N169" s="3200"/>
      <c r="O169" s="3200"/>
      <c r="P169" s="3200"/>
      <c r="Q169" s="3200"/>
      <c r="R169" s="3200"/>
      <c r="S169" s="3200"/>
      <c r="T169" s="3200"/>
      <c r="U169" s="3200"/>
      <c r="V169" s="3200"/>
      <c r="W169" s="3200"/>
      <c r="X169" s="3200"/>
      <c r="Y169" s="3200"/>
      <c r="Z169" s="3200"/>
      <c r="AA169" s="3200"/>
      <c r="AB169" s="3200"/>
      <c r="AC169" s="3174">
        <f t="shared" si="93"/>
        <v>0</v>
      </c>
      <c r="AD169" s="3212"/>
      <c r="AE169" s="3212"/>
      <c r="AF169" s="3212"/>
      <c r="AG169" s="3212"/>
      <c r="AH169" s="3212"/>
      <c r="AI169" s="3212"/>
      <c r="AJ169" s="3212"/>
      <c r="AK169" s="3212"/>
      <c r="AL169" s="3212"/>
      <c r="AM169" s="3212"/>
      <c r="AN169" s="3212"/>
      <c r="AO169" s="3212"/>
      <c r="AP169" s="3212"/>
      <c r="AQ169" s="3212"/>
      <c r="AR169" s="3212"/>
      <c r="AS169" s="3212"/>
      <c r="AT169" s="3175"/>
      <c r="AU169" s="3232"/>
      <c r="AV169" s="466">
        <f t="shared" si="117"/>
        <v>0</v>
      </c>
      <c r="AW169" s="466">
        <f t="shared" si="118"/>
        <v>0</v>
      </c>
      <c r="AX169" s="466">
        <f t="shared" si="119"/>
        <v>0</v>
      </c>
      <c r="AY169" s="385">
        <f t="shared" si="94"/>
        <v>0</v>
      </c>
      <c r="AZ169" s="3174">
        <f t="shared" si="95"/>
        <v>0</v>
      </c>
      <c r="BA169" s="3174">
        <f t="shared" si="96"/>
        <v>0</v>
      </c>
      <c r="BB169" s="3174">
        <f t="shared" si="97"/>
        <v>0</v>
      </c>
      <c r="BC169" s="3174">
        <f t="shared" si="98"/>
        <v>0</v>
      </c>
      <c r="BD169" s="3174">
        <f t="shared" si="99"/>
        <v>0</v>
      </c>
      <c r="BE169" s="3174">
        <f t="shared" si="100"/>
        <v>0</v>
      </c>
      <c r="BF169" s="3174">
        <f t="shared" si="101"/>
        <v>0</v>
      </c>
      <c r="BG169" s="3174">
        <f t="shared" si="102"/>
        <v>0</v>
      </c>
      <c r="BH169" s="3174">
        <f t="shared" si="103"/>
        <v>0</v>
      </c>
      <c r="BI169" s="3174">
        <f t="shared" si="104"/>
        <v>0</v>
      </c>
      <c r="BJ169" s="3174">
        <f t="shared" si="105"/>
        <v>0</v>
      </c>
      <c r="BK169" s="3174">
        <f t="shared" si="106"/>
        <v>0</v>
      </c>
      <c r="BL169" s="3174">
        <f t="shared" si="107"/>
        <v>0</v>
      </c>
      <c r="BM169" s="3174">
        <f t="shared" si="108"/>
        <v>0</v>
      </c>
      <c r="BN169" s="3174">
        <f t="shared" si="109"/>
        <v>0</v>
      </c>
      <c r="BO169" s="3174">
        <f t="shared" si="110"/>
        <v>0</v>
      </c>
      <c r="BP169" s="3174">
        <f t="shared" si="111"/>
        <v>0</v>
      </c>
      <c r="BQ169" s="3174">
        <f t="shared" si="112"/>
        <v>0</v>
      </c>
      <c r="BR169" s="3174">
        <f t="shared" si="113"/>
        <v>0</v>
      </c>
      <c r="BS169" s="3174">
        <f t="shared" si="114"/>
        <v>0</v>
      </c>
      <c r="BT169" s="3249">
        <f t="shared" si="115"/>
        <v>0</v>
      </c>
    </row>
    <row r="170" spans="1:72">
      <c r="A170" s="489"/>
      <c r="B170" s="356"/>
      <c r="C170" s="356"/>
      <c r="D170" s="3182"/>
      <c r="E170" s="3174">
        <f t="shared" si="116"/>
        <v>0</v>
      </c>
      <c r="F170" s="3175"/>
      <c r="G170" s="3176">
        <f t="shared" si="91"/>
        <v>0</v>
      </c>
      <c r="H170" s="3177">
        <f t="shared" si="92"/>
        <v>0</v>
      </c>
      <c r="I170" s="3200"/>
      <c r="J170" s="3200"/>
      <c r="K170" s="3200"/>
      <c r="L170" s="3200"/>
      <c r="M170" s="3200"/>
      <c r="N170" s="3200"/>
      <c r="O170" s="3200"/>
      <c r="P170" s="3200"/>
      <c r="Q170" s="3200"/>
      <c r="R170" s="3200"/>
      <c r="S170" s="3200"/>
      <c r="T170" s="3200"/>
      <c r="U170" s="3200"/>
      <c r="V170" s="3200"/>
      <c r="W170" s="3200"/>
      <c r="X170" s="3200"/>
      <c r="Y170" s="3200"/>
      <c r="Z170" s="3200"/>
      <c r="AA170" s="3200"/>
      <c r="AB170" s="3200"/>
      <c r="AC170" s="3174">
        <f t="shared" si="93"/>
        <v>0</v>
      </c>
      <c r="AD170" s="3212"/>
      <c r="AE170" s="3212"/>
      <c r="AF170" s="3212"/>
      <c r="AG170" s="3212"/>
      <c r="AH170" s="3212"/>
      <c r="AI170" s="3212"/>
      <c r="AJ170" s="3212"/>
      <c r="AK170" s="3212"/>
      <c r="AL170" s="3212"/>
      <c r="AM170" s="3212"/>
      <c r="AN170" s="3212"/>
      <c r="AO170" s="3212"/>
      <c r="AP170" s="3212"/>
      <c r="AQ170" s="3212"/>
      <c r="AR170" s="3212"/>
      <c r="AS170" s="3212"/>
      <c r="AT170" s="3175"/>
      <c r="AU170" s="3232"/>
      <c r="AV170" s="466">
        <f t="shared" si="117"/>
        <v>0</v>
      </c>
      <c r="AW170" s="466">
        <f t="shared" si="118"/>
        <v>0</v>
      </c>
      <c r="AX170" s="466">
        <f t="shared" si="119"/>
        <v>0</v>
      </c>
      <c r="AY170" s="385">
        <f t="shared" si="94"/>
        <v>0</v>
      </c>
      <c r="AZ170" s="3174">
        <f t="shared" si="95"/>
        <v>0</v>
      </c>
      <c r="BA170" s="3174">
        <f t="shared" si="96"/>
        <v>0</v>
      </c>
      <c r="BB170" s="3174">
        <f t="shared" si="97"/>
        <v>0</v>
      </c>
      <c r="BC170" s="3174">
        <f t="shared" si="98"/>
        <v>0</v>
      </c>
      <c r="BD170" s="3174">
        <f t="shared" si="99"/>
        <v>0</v>
      </c>
      <c r="BE170" s="3174">
        <f t="shared" si="100"/>
        <v>0</v>
      </c>
      <c r="BF170" s="3174">
        <f t="shared" si="101"/>
        <v>0</v>
      </c>
      <c r="BG170" s="3174">
        <f t="shared" si="102"/>
        <v>0</v>
      </c>
      <c r="BH170" s="3174">
        <f t="shared" si="103"/>
        <v>0</v>
      </c>
      <c r="BI170" s="3174">
        <f t="shared" si="104"/>
        <v>0</v>
      </c>
      <c r="BJ170" s="3174">
        <f t="shared" si="105"/>
        <v>0</v>
      </c>
      <c r="BK170" s="3174">
        <f t="shared" si="106"/>
        <v>0</v>
      </c>
      <c r="BL170" s="3174">
        <f t="shared" si="107"/>
        <v>0</v>
      </c>
      <c r="BM170" s="3174">
        <f t="shared" si="108"/>
        <v>0</v>
      </c>
      <c r="BN170" s="3174">
        <f t="shared" si="109"/>
        <v>0</v>
      </c>
      <c r="BO170" s="3174">
        <f t="shared" si="110"/>
        <v>0</v>
      </c>
      <c r="BP170" s="3174">
        <f t="shared" si="111"/>
        <v>0</v>
      </c>
      <c r="BQ170" s="3174">
        <f t="shared" si="112"/>
        <v>0</v>
      </c>
      <c r="BR170" s="3174">
        <f t="shared" si="113"/>
        <v>0</v>
      </c>
      <c r="BS170" s="3174">
        <f t="shared" si="114"/>
        <v>0</v>
      </c>
      <c r="BT170" s="3249">
        <f t="shared" si="115"/>
        <v>0</v>
      </c>
    </row>
    <row r="171" spans="1:72">
      <c r="A171" s="489"/>
      <c r="B171" s="356"/>
      <c r="C171" s="356"/>
      <c r="D171" s="3182"/>
      <c r="E171" s="3174">
        <f t="shared" si="116"/>
        <v>0</v>
      </c>
      <c r="F171" s="3175"/>
      <c r="G171" s="3176">
        <f t="shared" si="91"/>
        <v>0</v>
      </c>
      <c r="H171" s="3177">
        <f t="shared" si="92"/>
        <v>0</v>
      </c>
      <c r="I171" s="3200"/>
      <c r="J171" s="3200"/>
      <c r="K171" s="3200"/>
      <c r="L171" s="3200"/>
      <c r="M171" s="3200"/>
      <c r="N171" s="3200"/>
      <c r="O171" s="3200"/>
      <c r="P171" s="3200"/>
      <c r="Q171" s="3200"/>
      <c r="R171" s="3200"/>
      <c r="S171" s="3200"/>
      <c r="T171" s="3200"/>
      <c r="U171" s="3200"/>
      <c r="V171" s="3200"/>
      <c r="W171" s="3200"/>
      <c r="X171" s="3200"/>
      <c r="Y171" s="3200"/>
      <c r="Z171" s="3200"/>
      <c r="AA171" s="3200"/>
      <c r="AB171" s="3200"/>
      <c r="AC171" s="3174">
        <f t="shared" si="93"/>
        <v>0</v>
      </c>
      <c r="AD171" s="3212"/>
      <c r="AE171" s="3212"/>
      <c r="AF171" s="3212"/>
      <c r="AG171" s="3212"/>
      <c r="AH171" s="3212"/>
      <c r="AI171" s="3212"/>
      <c r="AJ171" s="3212"/>
      <c r="AK171" s="3212"/>
      <c r="AL171" s="3212"/>
      <c r="AM171" s="3212"/>
      <c r="AN171" s="3212"/>
      <c r="AO171" s="3212"/>
      <c r="AP171" s="3212"/>
      <c r="AQ171" s="3212"/>
      <c r="AR171" s="3212"/>
      <c r="AS171" s="3212"/>
      <c r="AT171" s="3175"/>
      <c r="AU171" s="3232"/>
      <c r="AV171" s="466">
        <f t="shared" si="117"/>
        <v>0</v>
      </c>
      <c r="AW171" s="466">
        <f t="shared" si="118"/>
        <v>0</v>
      </c>
      <c r="AX171" s="466">
        <f t="shared" si="119"/>
        <v>0</v>
      </c>
      <c r="AY171" s="385">
        <f t="shared" si="94"/>
        <v>0</v>
      </c>
      <c r="AZ171" s="3174">
        <f t="shared" si="95"/>
        <v>0</v>
      </c>
      <c r="BA171" s="3174">
        <f t="shared" si="96"/>
        <v>0</v>
      </c>
      <c r="BB171" s="3174">
        <f t="shared" si="97"/>
        <v>0</v>
      </c>
      <c r="BC171" s="3174">
        <f t="shared" si="98"/>
        <v>0</v>
      </c>
      <c r="BD171" s="3174">
        <f t="shared" si="99"/>
        <v>0</v>
      </c>
      <c r="BE171" s="3174">
        <f t="shared" si="100"/>
        <v>0</v>
      </c>
      <c r="BF171" s="3174">
        <f t="shared" si="101"/>
        <v>0</v>
      </c>
      <c r="BG171" s="3174">
        <f t="shared" si="102"/>
        <v>0</v>
      </c>
      <c r="BH171" s="3174">
        <f t="shared" si="103"/>
        <v>0</v>
      </c>
      <c r="BI171" s="3174">
        <f t="shared" si="104"/>
        <v>0</v>
      </c>
      <c r="BJ171" s="3174">
        <f t="shared" si="105"/>
        <v>0</v>
      </c>
      <c r="BK171" s="3174">
        <f t="shared" si="106"/>
        <v>0</v>
      </c>
      <c r="BL171" s="3174">
        <f t="shared" si="107"/>
        <v>0</v>
      </c>
      <c r="BM171" s="3174">
        <f t="shared" si="108"/>
        <v>0</v>
      </c>
      <c r="BN171" s="3174">
        <f t="shared" si="109"/>
        <v>0</v>
      </c>
      <c r="BO171" s="3174">
        <f t="shared" si="110"/>
        <v>0</v>
      </c>
      <c r="BP171" s="3174">
        <f t="shared" si="111"/>
        <v>0</v>
      </c>
      <c r="BQ171" s="3174">
        <f t="shared" si="112"/>
        <v>0</v>
      </c>
      <c r="BR171" s="3174">
        <f t="shared" si="113"/>
        <v>0</v>
      </c>
      <c r="BS171" s="3174">
        <f t="shared" si="114"/>
        <v>0</v>
      </c>
      <c r="BT171" s="3249">
        <f t="shared" si="115"/>
        <v>0</v>
      </c>
    </row>
    <row r="172" spans="1:72">
      <c r="A172" s="489"/>
      <c r="B172" s="356"/>
      <c r="C172" s="356"/>
      <c r="D172" s="3182"/>
      <c r="E172" s="3174">
        <f t="shared" si="116"/>
        <v>0</v>
      </c>
      <c r="F172" s="3175"/>
      <c r="G172" s="3176">
        <f t="shared" si="91"/>
        <v>0</v>
      </c>
      <c r="H172" s="3177">
        <f t="shared" si="92"/>
        <v>0</v>
      </c>
      <c r="I172" s="3200"/>
      <c r="J172" s="3200"/>
      <c r="K172" s="3200"/>
      <c r="L172" s="3200"/>
      <c r="M172" s="3200"/>
      <c r="N172" s="3200"/>
      <c r="O172" s="3200"/>
      <c r="P172" s="3200"/>
      <c r="Q172" s="3200"/>
      <c r="R172" s="3200"/>
      <c r="S172" s="3200"/>
      <c r="T172" s="3200"/>
      <c r="U172" s="3200"/>
      <c r="V172" s="3200"/>
      <c r="W172" s="3200"/>
      <c r="X172" s="3200"/>
      <c r="Y172" s="3200"/>
      <c r="Z172" s="3200"/>
      <c r="AA172" s="3200"/>
      <c r="AB172" s="3200"/>
      <c r="AC172" s="3174">
        <f t="shared" si="93"/>
        <v>0</v>
      </c>
      <c r="AD172" s="3212"/>
      <c r="AE172" s="3212"/>
      <c r="AF172" s="3212"/>
      <c r="AG172" s="3212"/>
      <c r="AH172" s="3212"/>
      <c r="AI172" s="3212"/>
      <c r="AJ172" s="3212"/>
      <c r="AK172" s="3212"/>
      <c r="AL172" s="3212"/>
      <c r="AM172" s="3212"/>
      <c r="AN172" s="3212"/>
      <c r="AO172" s="3212"/>
      <c r="AP172" s="3212"/>
      <c r="AQ172" s="3212"/>
      <c r="AR172" s="3212"/>
      <c r="AS172" s="3212"/>
      <c r="AT172" s="3175"/>
      <c r="AU172" s="3232"/>
      <c r="AV172" s="466">
        <f t="shared" si="117"/>
        <v>0</v>
      </c>
      <c r="AW172" s="466">
        <f t="shared" si="118"/>
        <v>0</v>
      </c>
      <c r="AX172" s="466">
        <f t="shared" si="119"/>
        <v>0</v>
      </c>
      <c r="AY172" s="385">
        <f t="shared" si="94"/>
        <v>0</v>
      </c>
      <c r="AZ172" s="3174">
        <f t="shared" si="95"/>
        <v>0</v>
      </c>
      <c r="BA172" s="3174">
        <f t="shared" si="96"/>
        <v>0</v>
      </c>
      <c r="BB172" s="3174">
        <f t="shared" si="97"/>
        <v>0</v>
      </c>
      <c r="BC172" s="3174">
        <f t="shared" si="98"/>
        <v>0</v>
      </c>
      <c r="BD172" s="3174">
        <f t="shared" si="99"/>
        <v>0</v>
      </c>
      <c r="BE172" s="3174">
        <f t="shared" si="100"/>
        <v>0</v>
      </c>
      <c r="BF172" s="3174">
        <f t="shared" si="101"/>
        <v>0</v>
      </c>
      <c r="BG172" s="3174">
        <f t="shared" si="102"/>
        <v>0</v>
      </c>
      <c r="BH172" s="3174">
        <f t="shared" si="103"/>
        <v>0</v>
      </c>
      <c r="BI172" s="3174">
        <f t="shared" si="104"/>
        <v>0</v>
      </c>
      <c r="BJ172" s="3174">
        <f t="shared" si="105"/>
        <v>0</v>
      </c>
      <c r="BK172" s="3174">
        <f t="shared" si="106"/>
        <v>0</v>
      </c>
      <c r="BL172" s="3174">
        <f t="shared" si="107"/>
        <v>0</v>
      </c>
      <c r="BM172" s="3174">
        <f t="shared" si="108"/>
        <v>0</v>
      </c>
      <c r="BN172" s="3174">
        <f t="shared" si="109"/>
        <v>0</v>
      </c>
      <c r="BO172" s="3174">
        <f t="shared" si="110"/>
        <v>0</v>
      </c>
      <c r="BP172" s="3174">
        <f t="shared" si="111"/>
        <v>0</v>
      </c>
      <c r="BQ172" s="3174">
        <f t="shared" si="112"/>
        <v>0</v>
      </c>
      <c r="BR172" s="3174">
        <f t="shared" si="113"/>
        <v>0</v>
      </c>
      <c r="BS172" s="3174">
        <f t="shared" si="114"/>
        <v>0</v>
      </c>
      <c r="BT172" s="3249">
        <f t="shared" si="115"/>
        <v>0</v>
      </c>
    </row>
    <row r="173" spans="1:72">
      <c r="A173" s="489"/>
      <c r="B173" s="356"/>
      <c r="C173" s="356"/>
      <c r="D173" s="3182"/>
      <c r="E173" s="3174">
        <f t="shared" si="116"/>
        <v>0</v>
      </c>
      <c r="F173" s="3175"/>
      <c r="G173" s="3176">
        <f t="shared" si="91"/>
        <v>0</v>
      </c>
      <c r="H173" s="3177">
        <f t="shared" si="92"/>
        <v>0</v>
      </c>
      <c r="I173" s="3200"/>
      <c r="J173" s="3200"/>
      <c r="K173" s="3200"/>
      <c r="L173" s="3200"/>
      <c r="M173" s="3200"/>
      <c r="N173" s="3200"/>
      <c r="O173" s="3200"/>
      <c r="P173" s="3200"/>
      <c r="Q173" s="3200"/>
      <c r="R173" s="3200"/>
      <c r="S173" s="3200"/>
      <c r="T173" s="3200"/>
      <c r="U173" s="3200"/>
      <c r="V173" s="3200"/>
      <c r="W173" s="3200"/>
      <c r="X173" s="3200"/>
      <c r="Y173" s="3200"/>
      <c r="Z173" s="3200"/>
      <c r="AA173" s="3200"/>
      <c r="AB173" s="3200"/>
      <c r="AC173" s="3174">
        <f t="shared" si="93"/>
        <v>0</v>
      </c>
      <c r="AD173" s="3212"/>
      <c r="AE173" s="3212"/>
      <c r="AF173" s="3212"/>
      <c r="AG173" s="3212"/>
      <c r="AH173" s="3212"/>
      <c r="AI173" s="3212"/>
      <c r="AJ173" s="3212"/>
      <c r="AK173" s="3212"/>
      <c r="AL173" s="3212"/>
      <c r="AM173" s="3212"/>
      <c r="AN173" s="3212"/>
      <c r="AO173" s="3212"/>
      <c r="AP173" s="3212"/>
      <c r="AQ173" s="3212"/>
      <c r="AR173" s="3212"/>
      <c r="AS173" s="3212"/>
      <c r="AT173" s="3175"/>
      <c r="AU173" s="3232"/>
      <c r="AV173" s="466">
        <f t="shared" si="117"/>
        <v>0</v>
      </c>
      <c r="AW173" s="466">
        <f t="shared" si="118"/>
        <v>0</v>
      </c>
      <c r="AX173" s="466">
        <f t="shared" si="119"/>
        <v>0</v>
      </c>
      <c r="AY173" s="385">
        <f t="shared" si="94"/>
        <v>0</v>
      </c>
      <c r="AZ173" s="3174">
        <f t="shared" si="95"/>
        <v>0</v>
      </c>
      <c r="BA173" s="3174">
        <f t="shared" si="96"/>
        <v>0</v>
      </c>
      <c r="BB173" s="3174">
        <f t="shared" si="97"/>
        <v>0</v>
      </c>
      <c r="BC173" s="3174">
        <f t="shared" si="98"/>
        <v>0</v>
      </c>
      <c r="BD173" s="3174">
        <f t="shared" si="99"/>
        <v>0</v>
      </c>
      <c r="BE173" s="3174">
        <f t="shared" si="100"/>
        <v>0</v>
      </c>
      <c r="BF173" s="3174">
        <f t="shared" si="101"/>
        <v>0</v>
      </c>
      <c r="BG173" s="3174">
        <f t="shared" si="102"/>
        <v>0</v>
      </c>
      <c r="BH173" s="3174">
        <f t="shared" si="103"/>
        <v>0</v>
      </c>
      <c r="BI173" s="3174">
        <f t="shared" si="104"/>
        <v>0</v>
      </c>
      <c r="BJ173" s="3174">
        <f t="shared" si="105"/>
        <v>0</v>
      </c>
      <c r="BK173" s="3174">
        <f t="shared" si="106"/>
        <v>0</v>
      </c>
      <c r="BL173" s="3174">
        <f t="shared" si="107"/>
        <v>0</v>
      </c>
      <c r="BM173" s="3174">
        <f t="shared" si="108"/>
        <v>0</v>
      </c>
      <c r="BN173" s="3174">
        <f t="shared" si="109"/>
        <v>0</v>
      </c>
      <c r="BO173" s="3174">
        <f t="shared" si="110"/>
        <v>0</v>
      </c>
      <c r="BP173" s="3174">
        <f t="shared" si="111"/>
        <v>0</v>
      </c>
      <c r="BQ173" s="3174">
        <f t="shared" si="112"/>
        <v>0</v>
      </c>
      <c r="BR173" s="3174">
        <f t="shared" si="113"/>
        <v>0</v>
      </c>
      <c r="BS173" s="3174">
        <f t="shared" si="114"/>
        <v>0</v>
      </c>
      <c r="BT173" s="3249">
        <f t="shared" si="115"/>
        <v>0</v>
      </c>
    </row>
    <row r="174" spans="1:72">
      <c r="A174" s="489"/>
      <c r="B174" s="356"/>
      <c r="C174" s="356"/>
      <c r="D174" s="3182"/>
      <c r="E174" s="3174">
        <f t="shared" si="116"/>
        <v>0</v>
      </c>
      <c r="F174" s="3175"/>
      <c r="G174" s="3176">
        <f t="shared" ref="G174:G204" si="120">H174+AC174+AT174</f>
        <v>0</v>
      </c>
      <c r="H174" s="3177">
        <f t="shared" ref="H174:H204" si="121">SUMIF(I$12:AB$12,"总值",I174:AB174)</f>
        <v>0</v>
      </c>
      <c r="I174" s="3200"/>
      <c r="J174" s="3200"/>
      <c r="K174" s="3200"/>
      <c r="L174" s="3200"/>
      <c r="M174" s="3200"/>
      <c r="N174" s="3200"/>
      <c r="O174" s="3200"/>
      <c r="P174" s="3200"/>
      <c r="Q174" s="3200"/>
      <c r="R174" s="3200"/>
      <c r="S174" s="3200"/>
      <c r="T174" s="3200"/>
      <c r="U174" s="3200"/>
      <c r="V174" s="3200"/>
      <c r="W174" s="3200"/>
      <c r="X174" s="3200"/>
      <c r="Y174" s="3200"/>
      <c r="Z174" s="3200"/>
      <c r="AA174" s="3200"/>
      <c r="AB174" s="3200"/>
      <c r="AC174" s="3174">
        <f t="shared" ref="AC174:AC204" si="122">SUMIF(AD$12:AS$12,"总值",AD174:AS174)</f>
        <v>0</v>
      </c>
      <c r="AD174" s="3212"/>
      <c r="AE174" s="3212"/>
      <c r="AF174" s="3212"/>
      <c r="AG174" s="3212"/>
      <c r="AH174" s="3212"/>
      <c r="AI174" s="3212"/>
      <c r="AJ174" s="3212"/>
      <c r="AK174" s="3212"/>
      <c r="AL174" s="3212"/>
      <c r="AM174" s="3212"/>
      <c r="AN174" s="3212"/>
      <c r="AO174" s="3212"/>
      <c r="AP174" s="3212"/>
      <c r="AQ174" s="3212"/>
      <c r="AR174" s="3212"/>
      <c r="AS174" s="3212"/>
      <c r="AT174" s="3175"/>
      <c r="AU174" s="3232"/>
      <c r="AV174" s="466">
        <f t="shared" si="117"/>
        <v>0</v>
      </c>
      <c r="AW174" s="466">
        <f t="shared" si="118"/>
        <v>0</v>
      </c>
      <c r="AX174" s="466">
        <f t="shared" si="119"/>
        <v>0</v>
      </c>
      <c r="AY174" s="385">
        <f t="shared" ref="AY174:AY204" si="123">ROUND($AY$6*AZ174/$AZ$5,2)</f>
        <v>0</v>
      </c>
      <c r="AZ174" s="3174">
        <f t="shared" ref="AZ174:AZ204" si="124">BA174+BL174</f>
        <v>0</v>
      </c>
      <c r="BA174" s="3174">
        <f t="shared" ref="BA174:BA204" si="125">SUM(BB174:BK174)</f>
        <v>0</v>
      </c>
      <c r="BB174" s="3174">
        <f t="shared" ref="BB174:BB204" si="126">IF($D174="是",I174-J174,0)</f>
        <v>0</v>
      </c>
      <c r="BC174" s="3174">
        <f t="shared" ref="BC174:BC204" si="127">IF($D174="是",K174-L174,0)</f>
        <v>0</v>
      </c>
      <c r="BD174" s="3174">
        <f t="shared" ref="BD174:BD204" si="128">IF($D174="是",M174-N174,0)</f>
        <v>0</v>
      </c>
      <c r="BE174" s="3174">
        <f t="shared" ref="BE174:BE204" si="129">IF($D174="是",O174-P174,0)</f>
        <v>0</v>
      </c>
      <c r="BF174" s="3174">
        <f t="shared" ref="BF174:BF204" si="130">IF($D174="是",Q174-R174,0)</f>
        <v>0</v>
      </c>
      <c r="BG174" s="3174">
        <f t="shared" ref="BG174:BG204" si="131">IF($D174="是",S174-T174,0)</f>
        <v>0</v>
      </c>
      <c r="BH174" s="3174">
        <f t="shared" ref="BH174:BH204" si="132">IF($D174="是",U174-V174,0)</f>
        <v>0</v>
      </c>
      <c r="BI174" s="3174">
        <f t="shared" ref="BI174:BI204" si="133">IF($D174="是",W174-X174,0)</f>
        <v>0</v>
      </c>
      <c r="BJ174" s="3174">
        <f t="shared" ref="BJ174:BJ204" si="134">IF($D174="是",Y174-Z174,0)</f>
        <v>0</v>
      </c>
      <c r="BK174" s="3174">
        <f t="shared" ref="BK174:BK204" si="135">IF($D174="是",AA174-AB174,0)</f>
        <v>0</v>
      </c>
      <c r="BL174" s="3174">
        <f t="shared" ref="BL174:BL204" si="136">SUM(BM174:BT174)</f>
        <v>0</v>
      </c>
      <c r="BM174" s="3174">
        <f t="shared" ref="BM174:BM204" si="137">IF($D174="是",AD174-AE174,0)</f>
        <v>0</v>
      </c>
      <c r="BN174" s="3174">
        <f t="shared" ref="BN174:BN204" si="138">IF($D174="是",AF174-AG174,0)</f>
        <v>0</v>
      </c>
      <c r="BO174" s="3174">
        <f t="shared" ref="BO174:BO204" si="139">IF($D174="是",AH174-AI174,0)</f>
        <v>0</v>
      </c>
      <c r="BP174" s="3174">
        <f t="shared" ref="BP174:BP204" si="140">IF($D174="是",AJ174-AK174,0)</f>
        <v>0</v>
      </c>
      <c r="BQ174" s="3174">
        <f t="shared" ref="BQ174:BQ204" si="141">IF($D174="是",AL174-AM174,0)</f>
        <v>0</v>
      </c>
      <c r="BR174" s="3174">
        <f t="shared" ref="BR174:BR204" si="142">IF($D174="是",AN174-AO174,0)</f>
        <v>0</v>
      </c>
      <c r="BS174" s="3174">
        <f t="shared" ref="BS174:BS204" si="143">IF($D174="是",AP174-AQ174,0)</f>
        <v>0</v>
      </c>
      <c r="BT174" s="3249">
        <f t="shared" ref="BT174:BT204" si="144">IF($D174="是",AR174-AS174,0)</f>
        <v>0</v>
      </c>
    </row>
    <row r="175" spans="1:72">
      <c r="A175" s="489"/>
      <c r="B175" s="356"/>
      <c r="C175" s="356"/>
      <c r="D175" s="3182"/>
      <c r="E175" s="3174">
        <f t="shared" si="116"/>
        <v>0</v>
      </c>
      <c r="F175" s="3175"/>
      <c r="G175" s="3176">
        <f t="shared" si="120"/>
        <v>0</v>
      </c>
      <c r="H175" s="3177">
        <f t="shared" si="121"/>
        <v>0</v>
      </c>
      <c r="I175" s="3200"/>
      <c r="J175" s="3200"/>
      <c r="K175" s="3200"/>
      <c r="L175" s="3200"/>
      <c r="M175" s="3200"/>
      <c r="N175" s="3200"/>
      <c r="O175" s="3200"/>
      <c r="P175" s="3200"/>
      <c r="Q175" s="3200"/>
      <c r="R175" s="3200"/>
      <c r="S175" s="3200"/>
      <c r="T175" s="3200"/>
      <c r="U175" s="3200"/>
      <c r="V175" s="3200"/>
      <c r="W175" s="3200"/>
      <c r="X175" s="3200"/>
      <c r="Y175" s="3200"/>
      <c r="Z175" s="3200"/>
      <c r="AA175" s="3200"/>
      <c r="AB175" s="3200"/>
      <c r="AC175" s="3174">
        <f t="shared" si="122"/>
        <v>0</v>
      </c>
      <c r="AD175" s="3212"/>
      <c r="AE175" s="3212"/>
      <c r="AF175" s="3212"/>
      <c r="AG175" s="3212"/>
      <c r="AH175" s="3212"/>
      <c r="AI175" s="3212"/>
      <c r="AJ175" s="3212"/>
      <c r="AK175" s="3212"/>
      <c r="AL175" s="3212"/>
      <c r="AM175" s="3212"/>
      <c r="AN175" s="3212"/>
      <c r="AO175" s="3212"/>
      <c r="AP175" s="3212"/>
      <c r="AQ175" s="3212"/>
      <c r="AR175" s="3212"/>
      <c r="AS175" s="3212"/>
      <c r="AT175" s="3175"/>
      <c r="AU175" s="3232"/>
      <c r="AV175" s="466">
        <f t="shared" si="117"/>
        <v>0</v>
      </c>
      <c r="AW175" s="466">
        <f t="shared" si="118"/>
        <v>0</v>
      </c>
      <c r="AX175" s="466">
        <f t="shared" si="119"/>
        <v>0</v>
      </c>
      <c r="AY175" s="385">
        <f t="shared" si="123"/>
        <v>0</v>
      </c>
      <c r="AZ175" s="3174">
        <f t="shared" si="124"/>
        <v>0</v>
      </c>
      <c r="BA175" s="3174">
        <f t="shared" si="125"/>
        <v>0</v>
      </c>
      <c r="BB175" s="3174">
        <f t="shared" si="126"/>
        <v>0</v>
      </c>
      <c r="BC175" s="3174">
        <f t="shared" si="127"/>
        <v>0</v>
      </c>
      <c r="BD175" s="3174">
        <f t="shared" si="128"/>
        <v>0</v>
      </c>
      <c r="BE175" s="3174">
        <f t="shared" si="129"/>
        <v>0</v>
      </c>
      <c r="BF175" s="3174">
        <f t="shared" si="130"/>
        <v>0</v>
      </c>
      <c r="BG175" s="3174">
        <f t="shared" si="131"/>
        <v>0</v>
      </c>
      <c r="BH175" s="3174">
        <f t="shared" si="132"/>
        <v>0</v>
      </c>
      <c r="BI175" s="3174">
        <f t="shared" si="133"/>
        <v>0</v>
      </c>
      <c r="BJ175" s="3174">
        <f t="shared" si="134"/>
        <v>0</v>
      </c>
      <c r="BK175" s="3174">
        <f t="shared" si="135"/>
        <v>0</v>
      </c>
      <c r="BL175" s="3174">
        <f t="shared" si="136"/>
        <v>0</v>
      </c>
      <c r="BM175" s="3174">
        <f t="shared" si="137"/>
        <v>0</v>
      </c>
      <c r="BN175" s="3174">
        <f t="shared" si="138"/>
        <v>0</v>
      </c>
      <c r="BO175" s="3174">
        <f t="shared" si="139"/>
        <v>0</v>
      </c>
      <c r="BP175" s="3174">
        <f t="shared" si="140"/>
        <v>0</v>
      </c>
      <c r="BQ175" s="3174">
        <f t="shared" si="141"/>
        <v>0</v>
      </c>
      <c r="BR175" s="3174">
        <f t="shared" si="142"/>
        <v>0</v>
      </c>
      <c r="BS175" s="3174">
        <f t="shared" si="143"/>
        <v>0</v>
      </c>
      <c r="BT175" s="3249">
        <f t="shared" si="144"/>
        <v>0</v>
      </c>
    </row>
    <row r="176" spans="1:72">
      <c r="A176" s="489"/>
      <c r="B176" s="356"/>
      <c r="C176" s="356"/>
      <c r="D176" s="3182"/>
      <c r="E176" s="3174">
        <f t="shared" si="116"/>
        <v>0</v>
      </c>
      <c r="F176" s="3175"/>
      <c r="G176" s="3176">
        <f t="shared" si="120"/>
        <v>0</v>
      </c>
      <c r="H176" s="3177">
        <f t="shared" si="121"/>
        <v>0</v>
      </c>
      <c r="I176" s="3200"/>
      <c r="J176" s="3200"/>
      <c r="K176" s="3200"/>
      <c r="L176" s="3200"/>
      <c r="M176" s="3200"/>
      <c r="N176" s="3200"/>
      <c r="O176" s="3200"/>
      <c r="P176" s="3200"/>
      <c r="Q176" s="3200"/>
      <c r="R176" s="3200"/>
      <c r="S176" s="3200"/>
      <c r="T176" s="3200"/>
      <c r="U176" s="3200"/>
      <c r="V176" s="3200"/>
      <c r="W176" s="3200"/>
      <c r="X176" s="3200"/>
      <c r="Y176" s="3200"/>
      <c r="Z176" s="3200"/>
      <c r="AA176" s="3200"/>
      <c r="AB176" s="3200"/>
      <c r="AC176" s="3174">
        <f t="shared" si="122"/>
        <v>0</v>
      </c>
      <c r="AD176" s="3212"/>
      <c r="AE176" s="3212"/>
      <c r="AF176" s="3212"/>
      <c r="AG176" s="3212"/>
      <c r="AH176" s="3212"/>
      <c r="AI176" s="3212"/>
      <c r="AJ176" s="3212"/>
      <c r="AK176" s="3212"/>
      <c r="AL176" s="3212"/>
      <c r="AM176" s="3212"/>
      <c r="AN176" s="3212"/>
      <c r="AO176" s="3212"/>
      <c r="AP176" s="3212"/>
      <c r="AQ176" s="3212"/>
      <c r="AR176" s="3212"/>
      <c r="AS176" s="3212"/>
      <c r="AT176" s="3175"/>
      <c r="AU176" s="3232"/>
      <c r="AV176" s="466">
        <f t="shared" si="117"/>
        <v>0</v>
      </c>
      <c r="AW176" s="466">
        <f t="shared" si="118"/>
        <v>0</v>
      </c>
      <c r="AX176" s="466">
        <f t="shared" si="119"/>
        <v>0</v>
      </c>
      <c r="AY176" s="385">
        <f t="shared" si="123"/>
        <v>0</v>
      </c>
      <c r="AZ176" s="3174">
        <f t="shared" si="124"/>
        <v>0</v>
      </c>
      <c r="BA176" s="3174">
        <f t="shared" si="125"/>
        <v>0</v>
      </c>
      <c r="BB176" s="3174">
        <f t="shared" si="126"/>
        <v>0</v>
      </c>
      <c r="BC176" s="3174">
        <f t="shared" si="127"/>
        <v>0</v>
      </c>
      <c r="BD176" s="3174">
        <f t="shared" si="128"/>
        <v>0</v>
      </c>
      <c r="BE176" s="3174">
        <f t="shared" si="129"/>
        <v>0</v>
      </c>
      <c r="BF176" s="3174">
        <f t="shared" si="130"/>
        <v>0</v>
      </c>
      <c r="BG176" s="3174">
        <f t="shared" si="131"/>
        <v>0</v>
      </c>
      <c r="BH176" s="3174">
        <f t="shared" si="132"/>
        <v>0</v>
      </c>
      <c r="BI176" s="3174">
        <f t="shared" si="133"/>
        <v>0</v>
      </c>
      <c r="BJ176" s="3174">
        <f t="shared" si="134"/>
        <v>0</v>
      </c>
      <c r="BK176" s="3174">
        <f t="shared" si="135"/>
        <v>0</v>
      </c>
      <c r="BL176" s="3174">
        <f t="shared" si="136"/>
        <v>0</v>
      </c>
      <c r="BM176" s="3174">
        <f t="shared" si="137"/>
        <v>0</v>
      </c>
      <c r="BN176" s="3174">
        <f t="shared" si="138"/>
        <v>0</v>
      </c>
      <c r="BO176" s="3174">
        <f t="shared" si="139"/>
        <v>0</v>
      </c>
      <c r="BP176" s="3174">
        <f t="shared" si="140"/>
        <v>0</v>
      </c>
      <c r="BQ176" s="3174">
        <f t="shared" si="141"/>
        <v>0</v>
      </c>
      <c r="BR176" s="3174">
        <f t="shared" si="142"/>
        <v>0</v>
      </c>
      <c r="BS176" s="3174">
        <f t="shared" si="143"/>
        <v>0</v>
      </c>
      <c r="BT176" s="3249">
        <f t="shared" si="144"/>
        <v>0</v>
      </c>
    </row>
    <row r="177" spans="1:72">
      <c r="A177" s="489"/>
      <c r="B177" s="356"/>
      <c r="C177" s="356"/>
      <c r="D177" s="3182"/>
      <c r="E177" s="3174">
        <f t="shared" ref="E177:E204" si="145">IF($C$3="是",ROUND($A$3*G177/$B$3,2),ROUND($A$3*(G177-AT177)/$B$3,2))</f>
        <v>0</v>
      </c>
      <c r="F177" s="3175"/>
      <c r="G177" s="3176">
        <f t="shared" si="120"/>
        <v>0</v>
      </c>
      <c r="H177" s="3177">
        <f t="shared" si="121"/>
        <v>0</v>
      </c>
      <c r="I177" s="3200"/>
      <c r="J177" s="3200"/>
      <c r="K177" s="3200"/>
      <c r="L177" s="3200"/>
      <c r="M177" s="3200"/>
      <c r="N177" s="3200"/>
      <c r="O177" s="3200"/>
      <c r="P177" s="3200"/>
      <c r="Q177" s="3200"/>
      <c r="R177" s="3200"/>
      <c r="S177" s="3200"/>
      <c r="T177" s="3200"/>
      <c r="U177" s="3200"/>
      <c r="V177" s="3200"/>
      <c r="W177" s="3200"/>
      <c r="X177" s="3200"/>
      <c r="Y177" s="3200"/>
      <c r="Z177" s="3200"/>
      <c r="AA177" s="3200"/>
      <c r="AB177" s="3200"/>
      <c r="AC177" s="3174">
        <f t="shared" si="122"/>
        <v>0</v>
      </c>
      <c r="AD177" s="3212"/>
      <c r="AE177" s="3212"/>
      <c r="AF177" s="3212"/>
      <c r="AG177" s="3212"/>
      <c r="AH177" s="3212"/>
      <c r="AI177" s="3212"/>
      <c r="AJ177" s="3212"/>
      <c r="AK177" s="3212"/>
      <c r="AL177" s="3212"/>
      <c r="AM177" s="3212"/>
      <c r="AN177" s="3212"/>
      <c r="AO177" s="3212"/>
      <c r="AP177" s="3212"/>
      <c r="AQ177" s="3212"/>
      <c r="AR177" s="3212"/>
      <c r="AS177" s="3212"/>
      <c r="AT177" s="3175"/>
      <c r="AU177" s="3232"/>
      <c r="AV177" s="466">
        <f t="shared" ref="AV177:AV204" si="146">A177</f>
        <v>0</v>
      </c>
      <c r="AW177" s="466">
        <f t="shared" ref="AW177:AW204" si="147">B177</f>
        <v>0</v>
      </c>
      <c r="AX177" s="466">
        <f t="shared" ref="AX177:AX204" si="148">C177</f>
        <v>0</v>
      </c>
      <c r="AY177" s="385">
        <f t="shared" si="123"/>
        <v>0</v>
      </c>
      <c r="AZ177" s="3174">
        <f t="shared" si="124"/>
        <v>0</v>
      </c>
      <c r="BA177" s="3174">
        <f t="shared" si="125"/>
        <v>0</v>
      </c>
      <c r="BB177" s="3174">
        <f t="shared" si="126"/>
        <v>0</v>
      </c>
      <c r="BC177" s="3174">
        <f t="shared" si="127"/>
        <v>0</v>
      </c>
      <c r="BD177" s="3174">
        <f t="shared" si="128"/>
        <v>0</v>
      </c>
      <c r="BE177" s="3174">
        <f t="shared" si="129"/>
        <v>0</v>
      </c>
      <c r="BF177" s="3174">
        <f t="shared" si="130"/>
        <v>0</v>
      </c>
      <c r="BG177" s="3174">
        <f t="shared" si="131"/>
        <v>0</v>
      </c>
      <c r="BH177" s="3174">
        <f t="shared" si="132"/>
        <v>0</v>
      </c>
      <c r="BI177" s="3174">
        <f t="shared" si="133"/>
        <v>0</v>
      </c>
      <c r="BJ177" s="3174">
        <f t="shared" si="134"/>
        <v>0</v>
      </c>
      <c r="BK177" s="3174">
        <f t="shared" si="135"/>
        <v>0</v>
      </c>
      <c r="BL177" s="3174">
        <f t="shared" si="136"/>
        <v>0</v>
      </c>
      <c r="BM177" s="3174">
        <f t="shared" si="137"/>
        <v>0</v>
      </c>
      <c r="BN177" s="3174">
        <f t="shared" si="138"/>
        <v>0</v>
      </c>
      <c r="BO177" s="3174">
        <f t="shared" si="139"/>
        <v>0</v>
      </c>
      <c r="BP177" s="3174">
        <f t="shared" si="140"/>
        <v>0</v>
      </c>
      <c r="BQ177" s="3174">
        <f t="shared" si="141"/>
        <v>0</v>
      </c>
      <c r="BR177" s="3174">
        <f t="shared" si="142"/>
        <v>0</v>
      </c>
      <c r="BS177" s="3174">
        <f t="shared" si="143"/>
        <v>0</v>
      </c>
      <c r="BT177" s="3249">
        <f t="shared" si="144"/>
        <v>0</v>
      </c>
    </row>
    <row r="178" spans="1:72">
      <c r="A178" s="489"/>
      <c r="B178" s="356"/>
      <c r="C178" s="356"/>
      <c r="D178" s="3182"/>
      <c r="E178" s="3174">
        <f t="shared" si="145"/>
        <v>0</v>
      </c>
      <c r="F178" s="3175"/>
      <c r="G178" s="3176">
        <f t="shared" si="120"/>
        <v>0</v>
      </c>
      <c r="H178" s="3177">
        <f t="shared" si="121"/>
        <v>0</v>
      </c>
      <c r="I178" s="3200"/>
      <c r="J178" s="3200"/>
      <c r="K178" s="3200"/>
      <c r="L178" s="3200"/>
      <c r="M178" s="3200"/>
      <c r="N178" s="3200"/>
      <c r="O178" s="3200"/>
      <c r="P178" s="3200"/>
      <c r="Q178" s="3200"/>
      <c r="R178" s="3200"/>
      <c r="S178" s="3200"/>
      <c r="T178" s="3200"/>
      <c r="U178" s="3200"/>
      <c r="V178" s="3200"/>
      <c r="W178" s="3200"/>
      <c r="X178" s="3200"/>
      <c r="Y178" s="3200"/>
      <c r="Z178" s="3200"/>
      <c r="AA178" s="3200"/>
      <c r="AB178" s="3200"/>
      <c r="AC178" s="3174">
        <f t="shared" si="122"/>
        <v>0</v>
      </c>
      <c r="AD178" s="3212"/>
      <c r="AE178" s="3212"/>
      <c r="AF178" s="3212"/>
      <c r="AG178" s="3212"/>
      <c r="AH178" s="3212"/>
      <c r="AI178" s="3212"/>
      <c r="AJ178" s="3212"/>
      <c r="AK178" s="3212"/>
      <c r="AL178" s="3212"/>
      <c r="AM178" s="3212"/>
      <c r="AN178" s="3212"/>
      <c r="AO178" s="3212"/>
      <c r="AP178" s="3212"/>
      <c r="AQ178" s="3212"/>
      <c r="AR178" s="3212"/>
      <c r="AS178" s="3212"/>
      <c r="AT178" s="3175"/>
      <c r="AU178" s="3232"/>
      <c r="AV178" s="466">
        <f t="shared" si="146"/>
        <v>0</v>
      </c>
      <c r="AW178" s="466">
        <f t="shared" si="147"/>
        <v>0</v>
      </c>
      <c r="AX178" s="466">
        <f t="shared" si="148"/>
        <v>0</v>
      </c>
      <c r="AY178" s="385">
        <f t="shared" si="123"/>
        <v>0</v>
      </c>
      <c r="AZ178" s="3174">
        <f t="shared" si="124"/>
        <v>0</v>
      </c>
      <c r="BA178" s="3174">
        <f t="shared" si="125"/>
        <v>0</v>
      </c>
      <c r="BB178" s="3174">
        <f t="shared" si="126"/>
        <v>0</v>
      </c>
      <c r="BC178" s="3174">
        <f t="shared" si="127"/>
        <v>0</v>
      </c>
      <c r="BD178" s="3174">
        <f t="shared" si="128"/>
        <v>0</v>
      </c>
      <c r="BE178" s="3174">
        <f t="shared" si="129"/>
        <v>0</v>
      </c>
      <c r="BF178" s="3174">
        <f t="shared" si="130"/>
        <v>0</v>
      </c>
      <c r="BG178" s="3174">
        <f t="shared" si="131"/>
        <v>0</v>
      </c>
      <c r="BH178" s="3174">
        <f t="shared" si="132"/>
        <v>0</v>
      </c>
      <c r="BI178" s="3174">
        <f t="shared" si="133"/>
        <v>0</v>
      </c>
      <c r="BJ178" s="3174">
        <f t="shared" si="134"/>
        <v>0</v>
      </c>
      <c r="BK178" s="3174">
        <f t="shared" si="135"/>
        <v>0</v>
      </c>
      <c r="BL178" s="3174">
        <f t="shared" si="136"/>
        <v>0</v>
      </c>
      <c r="BM178" s="3174">
        <f t="shared" si="137"/>
        <v>0</v>
      </c>
      <c r="BN178" s="3174">
        <f t="shared" si="138"/>
        <v>0</v>
      </c>
      <c r="BO178" s="3174">
        <f t="shared" si="139"/>
        <v>0</v>
      </c>
      <c r="BP178" s="3174">
        <f t="shared" si="140"/>
        <v>0</v>
      </c>
      <c r="BQ178" s="3174">
        <f t="shared" si="141"/>
        <v>0</v>
      </c>
      <c r="BR178" s="3174">
        <f t="shared" si="142"/>
        <v>0</v>
      </c>
      <c r="BS178" s="3174">
        <f t="shared" si="143"/>
        <v>0</v>
      </c>
      <c r="BT178" s="3249">
        <f t="shared" si="144"/>
        <v>0</v>
      </c>
    </row>
    <row r="179" spans="1:72">
      <c r="A179" s="489"/>
      <c r="B179" s="356"/>
      <c r="C179" s="356"/>
      <c r="D179" s="3182"/>
      <c r="E179" s="3174">
        <f t="shared" si="145"/>
        <v>0</v>
      </c>
      <c r="F179" s="3175"/>
      <c r="G179" s="3176">
        <f t="shared" si="120"/>
        <v>0</v>
      </c>
      <c r="H179" s="3177">
        <f t="shared" si="121"/>
        <v>0</v>
      </c>
      <c r="I179" s="3200"/>
      <c r="J179" s="3200"/>
      <c r="K179" s="3200"/>
      <c r="L179" s="3200"/>
      <c r="M179" s="3200"/>
      <c r="N179" s="3200"/>
      <c r="O179" s="3200"/>
      <c r="P179" s="3200"/>
      <c r="Q179" s="3200"/>
      <c r="R179" s="3200"/>
      <c r="S179" s="3200"/>
      <c r="T179" s="3200"/>
      <c r="U179" s="3200"/>
      <c r="V179" s="3200"/>
      <c r="W179" s="3200"/>
      <c r="X179" s="3200"/>
      <c r="Y179" s="3200"/>
      <c r="Z179" s="3200"/>
      <c r="AA179" s="3200"/>
      <c r="AB179" s="3200"/>
      <c r="AC179" s="3174">
        <f t="shared" si="122"/>
        <v>0</v>
      </c>
      <c r="AD179" s="3212"/>
      <c r="AE179" s="3212"/>
      <c r="AF179" s="3212"/>
      <c r="AG179" s="3212"/>
      <c r="AH179" s="3212"/>
      <c r="AI179" s="3212"/>
      <c r="AJ179" s="3212"/>
      <c r="AK179" s="3212"/>
      <c r="AL179" s="3212"/>
      <c r="AM179" s="3212"/>
      <c r="AN179" s="3212"/>
      <c r="AO179" s="3212"/>
      <c r="AP179" s="3212"/>
      <c r="AQ179" s="3212"/>
      <c r="AR179" s="3212"/>
      <c r="AS179" s="3212"/>
      <c r="AT179" s="3175"/>
      <c r="AU179" s="3232"/>
      <c r="AV179" s="466">
        <f t="shared" si="146"/>
        <v>0</v>
      </c>
      <c r="AW179" s="466">
        <f t="shared" si="147"/>
        <v>0</v>
      </c>
      <c r="AX179" s="466">
        <f t="shared" si="148"/>
        <v>0</v>
      </c>
      <c r="AY179" s="385">
        <f t="shared" si="123"/>
        <v>0</v>
      </c>
      <c r="AZ179" s="3174">
        <f t="shared" si="124"/>
        <v>0</v>
      </c>
      <c r="BA179" s="3174">
        <f t="shared" si="125"/>
        <v>0</v>
      </c>
      <c r="BB179" s="3174">
        <f t="shared" si="126"/>
        <v>0</v>
      </c>
      <c r="BC179" s="3174">
        <f t="shared" si="127"/>
        <v>0</v>
      </c>
      <c r="BD179" s="3174">
        <f t="shared" si="128"/>
        <v>0</v>
      </c>
      <c r="BE179" s="3174">
        <f t="shared" si="129"/>
        <v>0</v>
      </c>
      <c r="BF179" s="3174">
        <f t="shared" si="130"/>
        <v>0</v>
      </c>
      <c r="BG179" s="3174">
        <f t="shared" si="131"/>
        <v>0</v>
      </c>
      <c r="BH179" s="3174">
        <f t="shared" si="132"/>
        <v>0</v>
      </c>
      <c r="BI179" s="3174">
        <f t="shared" si="133"/>
        <v>0</v>
      </c>
      <c r="BJ179" s="3174">
        <f t="shared" si="134"/>
        <v>0</v>
      </c>
      <c r="BK179" s="3174">
        <f t="shared" si="135"/>
        <v>0</v>
      </c>
      <c r="BL179" s="3174">
        <f t="shared" si="136"/>
        <v>0</v>
      </c>
      <c r="BM179" s="3174">
        <f t="shared" si="137"/>
        <v>0</v>
      </c>
      <c r="BN179" s="3174">
        <f t="shared" si="138"/>
        <v>0</v>
      </c>
      <c r="BO179" s="3174">
        <f t="shared" si="139"/>
        <v>0</v>
      </c>
      <c r="BP179" s="3174">
        <f t="shared" si="140"/>
        <v>0</v>
      </c>
      <c r="BQ179" s="3174">
        <f t="shared" si="141"/>
        <v>0</v>
      </c>
      <c r="BR179" s="3174">
        <f t="shared" si="142"/>
        <v>0</v>
      </c>
      <c r="BS179" s="3174">
        <f t="shared" si="143"/>
        <v>0</v>
      </c>
      <c r="BT179" s="3249">
        <f t="shared" si="144"/>
        <v>0</v>
      </c>
    </row>
    <row r="180" spans="1:72">
      <c r="A180" s="489"/>
      <c r="B180" s="356"/>
      <c r="C180" s="356"/>
      <c r="D180" s="3182"/>
      <c r="E180" s="3174">
        <f t="shared" si="145"/>
        <v>0</v>
      </c>
      <c r="F180" s="3175"/>
      <c r="G180" s="3176">
        <f t="shared" si="120"/>
        <v>0</v>
      </c>
      <c r="H180" s="3177">
        <f t="shared" si="121"/>
        <v>0</v>
      </c>
      <c r="I180" s="3200"/>
      <c r="J180" s="3200"/>
      <c r="K180" s="3200"/>
      <c r="L180" s="3200"/>
      <c r="M180" s="3200"/>
      <c r="N180" s="3200"/>
      <c r="O180" s="3200"/>
      <c r="P180" s="3200"/>
      <c r="Q180" s="3200"/>
      <c r="R180" s="3200"/>
      <c r="S180" s="3200"/>
      <c r="T180" s="3200"/>
      <c r="U180" s="3200"/>
      <c r="V180" s="3200"/>
      <c r="W180" s="3200"/>
      <c r="X180" s="3200"/>
      <c r="Y180" s="3200"/>
      <c r="Z180" s="3200"/>
      <c r="AA180" s="3200"/>
      <c r="AB180" s="3200"/>
      <c r="AC180" s="3174">
        <f t="shared" si="122"/>
        <v>0</v>
      </c>
      <c r="AD180" s="3212"/>
      <c r="AE180" s="3212"/>
      <c r="AF180" s="3212"/>
      <c r="AG180" s="3212"/>
      <c r="AH180" s="3212"/>
      <c r="AI180" s="3212"/>
      <c r="AJ180" s="3212"/>
      <c r="AK180" s="3212"/>
      <c r="AL180" s="3212"/>
      <c r="AM180" s="3212"/>
      <c r="AN180" s="3212"/>
      <c r="AO180" s="3212"/>
      <c r="AP180" s="3212"/>
      <c r="AQ180" s="3212"/>
      <c r="AR180" s="3212"/>
      <c r="AS180" s="3212"/>
      <c r="AT180" s="3175"/>
      <c r="AU180" s="3232"/>
      <c r="AV180" s="466">
        <f t="shared" si="146"/>
        <v>0</v>
      </c>
      <c r="AW180" s="466">
        <f t="shared" si="147"/>
        <v>0</v>
      </c>
      <c r="AX180" s="466">
        <f t="shared" si="148"/>
        <v>0</v>
      </c>
      <c r="AY180" s="385">
        <f t="shared" si="123"/>
        <v>0</v>
      </c>
      <c r="AZ180" s="3174">
        <f t="shared" si="124"/>
        <v>0</v>
      </c>
      <c r="BA180" s="3174">
        <f t="shared" si="125"/>
        <v>0</v>
      </c>
      <c r="BB180" s="3174">
        <f t="shared" si="126"/>
        <v>0</v>
      </c>
      <c r="BC180" s="3174">
        <f t="shared" si="127"/>
        <v>0</v>
      </c>
      <c r="BD180" s="3174">
        <f t="shared" si="128"/>
        <v>0</v>
      </c>
      <c r="BE180" s="3174">
        <f t="shared" si="129"/>
        <v>0</v>
      </c>
      <c r="BF180" s="3174">
        <f t="shared" si="130"/>
        <v>0</v>
      </c>
      <c r="BG180" s="3174">
        <f t="shared" si="131"/>
        <v>0</v>
      </c>
      <c r="BH180" s="3174">
        <f t="shared" si="132"/>
        <v>0</v>
      </c>
      <c r="BI180" s="3174">
        <f t="shared" si="133"/>
        <v>0</v>
      </c>
      <c r="BJ180" s="3174">
        <f t="shared" si="134"/>
        <v>0</v>
      </c>
      <c r="BK180" s="3174">
        <f t="shared" si="135"/>
        <v>0</v>
      </c>
      <c r="BL180" s="3174">
        <f t="shared" si="136"/>
        <v>0</v>
      </c>
      <c r="BM180" s="3174">
        <f t="shared" si="137"/>
        <v>0</v>
      </c>
      <c r="BN180" s="3174">
        <f t="shared" si="138"/>
        <v>0</v>
      </c>
      <c r="BO180" s="3174">
        <f t="shared" si="139"/>
        <v>0</v>
      </c>
      <c r="BP180" s="3174">
        <f t="shared" si="140"/>
        <v>0</v>
      </c>
      <c r="BQ180" s="3174">
        <f t="shared" si="141"/>
        <v>0</v>
      </c>
      <c r="BR180" s="3174">
        <f t="shared" si="142"/>
        <v>0</v>
      </c>
      <c r="BS180" s="3174">
        <f t="shared" si="143"/>
        <v>0</v>
      </c>
      <c r="BT180" s="3249">
        <f t="shared" si="144"/>
        <v>0</v>
      </c>
    </row>
    <row r="181" spans="1:72">
      <c r="A181" s="489"/>
      <c r="B181" s="356"/>
      <c r="C181" s="356"/>
      <c r="D181" s="3182"/>
      <c r="E181" s="3174">
        <f t="shared" si="145"/>
        <v>0</v>
      </c>
      <c r="F181" s="3175"/>
      <c r="G181" s="3176">
        <f t="shared" si="120"/>
        <v>0</v>
      </c>
      <c r="H181" s="3177">
        <f t="shared" si="121"/>
        <v>0</v>
      </c>
      <c r="I181" s="3200"/>
      <c r="J181" s="3200"/>
      <c r="K181" s="3200"/>
      <c r="L181" s="3200"/>
      <c r="M181" s="3200"/>
      <c r="N181" s="3200"/>
      <c r="O181" s="3200"/>
      <c r="P181" s="3200"/>
      <c r="Q181" s="3200"/>
      <c r="R181" s="3200"/>
      <c r="S181" s="3200"/>
      <c r="T181" s="3200"/>
      <c r="U181" s="3200"/>
      <c r="V181" s="3200"/>
      <c r="W181" s="3200"/>
      <c r="X181" s="3200"/>
      <c r="Y181" s="3200"/>
      <c r="Z181" s="3200"/>
      <c r="AA181" s="3200"/>
      <c r="AB181" s="3200"/>
      <c r="AC181" s="3174">
        <f t="shared" si="122"/>
        <v>0</v>
      </c>
      <c r="AD181" s="3212"/>
      <c r="AE181" s="3212"/>
      <c r="AF181" s="3212"/>
      <c r="AG181" s="3212"/>
      <c r="AH181" s="3212"/>
      <c r="AI181" s="3212"/>
      <c r="AJ181" s="3212"/>
      <c r="AK181" s="3212"/>
      <c r="AL181" s="3212"/>
      <c r="AM181" s="3212"/>
      <c r="AN181" s="3212"/>
      <c r="AO181" s="3212"/>
      <c r="AP181" s="3212"/>
      <c r="AQ181" s="3212"/>
      <c r="AR181" s="3212"/>
      <c r="AS181" s="3212"/>
      <c r="AT181" s="3175"/>
      <c r="AU181" s="3232"/>
      <c r="AV181" s="466">
        <f t="shared" si="146"/>
        <v>0</v>
      </c>
      <c r="AW181" s="466">
        <f t="shared" si="147"/>
        <v>0</v>
      </c>
      <c r="AX181" s="466">
        <f t="shared" si="148"/>
        <v>0</v>
      </c>
      <c r="AY181" s="385">
        <f t="shared" si="123"/>
        <v>0</v>
      </c>
      <c r="AZ181" s="3174">
        <f t="shared" si="124"/>
        <v>0</v>
      </c>
      <c r="BA181" s="3174">
        <f t="shared" si="125"/>
        <v>0</v>
      </c>
      <c r="BB181" s="3174">
        <f t="shared" si="126"/>
        <v>0</v>
      </c>
      <c r="BC181" s="3174">
        <f t="shared" si="127"/>
        <v>0</v>
      </c>
      <c r="BD181" s="3174">
        <f t="shared" si="128"/>
        <v>0</v>
      </c>
      <c r="BE181" s="3174">
        <f t="shared" si="129"/>
        <v>0</v>
      </c>
      <c r="BF181" s="3174">
        <f t="shared" si="130"/>
        <v>0</v>
      </c>
      <c r="BG181" s="3174">
        <f t="shared" si="131"/>
        <v>0</v>
      </c>
      <c r="BH181" s="3174">
        <f t="shared" si="132"/>
        <v>0</v>
      </c>
      <c r="BI181" s="3174">
        <f t="shared" si="133"/>
        <v>0</v>
      </c>
      <c r="BJ181" s="3174">
        <f t="shared" si="134"/>
        <v>0</v>
      </c>
      <c r="BK181" s="3174">
        <f t="shared" si="135"/>
        <v>0</v>
      </c>
      <c r="BL181" s="3174">
        <f t="shared" si="136"/>
        <v>0</v>
      </c>
      <c r="BM181" s="3174">
        <f t="shared" si="137"/>
        <v>0</v>
      </c>
      <c r="BN181" s="3174">
        <f t="shared" si="138"/>
        <v>0</v>
      </c>
      <c r="BO181" s="3174">
        <f t="shared" si="139"/>
        <v>0</v>
      </c>
      <c r="BP181" s="3174">
        <f t="shared" si="140"/>
        <v>0</v>
      </c>
      <c r="BQ181" s="3174">
        <f t="shared" si="141"/>
        <v>0</v>
      </c>
      <c r="BR181" s="3174">
        <f t="shared" si="142"/>
        <v>0</v>
      </c>
      <c r="BS181" s="3174">
        <f t="shared" si="143"/>
        <v>0</v>
      </c>
      <c r="BT181" s="3249">
        <f t="shared" si="144"/>
        <v>0</v>
      </c>
    </row>
    <row r="182" spans="1:72">
      <c r="A182" s="489"/>
      <c r="B182" s="356"/>
      <c r="C182" s="356"/>
      <c r="D182" s="3182"/>
      <c r="E182" s="3174">
        <f t="shared" si="145"/>
        <v>0</v>
      </c>
      <c r="F182" s="3175"/>
      <c r="G182" s="3176">
        <f t="shared" si="120"/>
        <v>0</v>
      </c>
      <c r="H182" s="3177">
        <f t="shared" si="121"/>
        <v>0</v>
      </c>
      <c r="I182" s="3200"/>
      <c r="J182" s="3200"/>
      <c r="K182" s="3200"/>
      <c r="L182" s="3200"/>
      <c r="M182" s="3200"/>
      <c r="N182" s="3200"/>
      <c r="O182" s="3200"/>
      <c r="P182" s="3200"/>
      <c r="Q182" s="3200"/>
      <c r="R182" s="3200"/>
      <c r="S182" s="3200"/>
      <c r="T182" s="3200"/>
      <c r="U182" s="3200"/>
      <c r="V182" s="3200"/>
      <c r="W182" s="3200"/>
      <c r="X182" s="3200"/>
      <c r="Y182" s="3200"/>
      <c r="Z182" s="3200"/>
      <c r="AA182" s="3200"/>
      <c r="AB182" s="3200"/>
      <c r="AC182" s="3174">
        <f t="shared" si="122"/>
        <v>0</v>
      </c>
      <c r="AD182" s="3212"/>
      <c r="AE182" s="3212"/>
      <c r="AF182" s="3212"/>
      <c r="AG182" s="3212"/>
      <c r="AH182" s="3212"/>
      <c r="AI182" s="3212"/>
      <c r="AJ182" s="3212"/>
      <c r="AK182" s="3212"/>
      <c r="AL182" s="3212"/>
      <c r="AM182" s="3212"/>
      <c r="AN182" s="3212"/>
      <c r="AO182" s="3212"/>
      <c r="AP182" s="3212"/>
      <c r="AQ182" s="3212"/>
      <c r="AR182" s="3212"/>
      <c r="AS182" s="3212"/>
      <c r="AT182" s="3175"/>
      <c r="AU182" s="3232"/>
      <c r="AV182" s="466">
        <f t="shared" si="146"/>
        <v>0</v>
      </c>
      <c r="AW182" s="466">
        <f t="shared" si="147"/>
        <v>0</v>
      </c>
      <c r="AX182" s="466">
        <f t="shared" si="148"/>
        <v>0</v>
      </c>
      <c r="AY182" s="385">
        <f t="shared" si="123"/>
        <v>0</v>
      </c>
      <c r="AZ182" s="3174">
        <f t="shared" si="124"/>
        <v>0</v>
      </c>
      <c r="BA182" s="3174">
        <f t="shared" si="125"/>
        <v>0</v>
      </c>
      <c r="BB182" s="3174">
        <f t="shared" si="126"/>
        <v>0</v>
      </c>
      <c r="BC182" s="3174">
        <f t="shared" si="127"/>
        <v>0</v>
      </c>
      <c r="BD182" s="3174">
        <f t="shared" si="128"/>
        <v>0</v>
      </c>
      <c r="BE182" s="3174">
        <f t="shared" si="129"/>
        <v>0</v>
      </c>
      <c r="BF182" s="3174">
        <f t="shared" si="130"/>
        <v>0</v>
      </c>
      <c r="BG182" s="3174">
        <f t="shared" si="131"/>
        <v>0</v>
      </c>
      <c r="BH182" s="3174">
        <f t="shared" si="132"/>
        <v>0</v>
      </c>
      <c r="BI182" s="3174">
        <f t="shared" si="133"/>
        <v>0</v>
      </c>
      <c r="BJ182" s="3174">
        <f t="shared" si="134"/>
        <v>0</v>
      </c>
      <c r="BK182" s="3174">
        <f t="shared" si="135"/>
        <v>0</v>
      </c>
      <c r="BL182" s="3174">
        <f t="shared" si="136"/>
        <v>0</v>
      </c>
      <c r="BM182" s="3174">
        <f t="shared" si="137"/>
        <v>0</v>
      </c>
      <c r="BN182" s="3174">
        <f t="shared" si="138"/>
        <v>0</v>
      </c>
      <c r="BO182" s="3174">
        <f t="shared" si="139"/>
        <v>0</v>
      </c>
      <c r="BP182" s="3174">
        <f t="shared" si="140"/>
        <v>0</v>
      </c>
      <c r="BQ182" s="3174">
        <f t="shared" si="141"/>
        <v>0</v>
      </c>
      <c r="BR182" s="3174">
        <f t="shared" si="142"/>
        <v>0</v>
      </c>
      <c r="BS182" s="3174">
        <f t="shared" si="143"/>
        <v>0</v>
      </c>
      <c r="BT182" s="3249">
        <f t="shared" si="144"/>
        <v>0</v>
      </c>
    </row>
    <row r="183" spans="1:72">
      <c r="A183" s="489"/>
      <c r="B183" s="356"/>
      <c r="C183" s="356"/>
      <c r="D183" s="3182"/>
      <c r="E183" s="3174">
        <f t="shared" si="145"/>
        <v>0</v>
      </c>
      <c r="F183" s="3175"/>
      <c r="G183" s="3176">
        <f t="shared" si="120"/>
        <v>0</v>
      </c>
      <c r="H183" s="3177">
        <f t="shared" si="121"/>
        <v>0</v>
      </c>
      <c r="I183" s="3200"/>
      <c r="J183" s="3200"/>
      <c r="K183" s="3200"/>
      <c r="L183" s="3200"/>
      <c r="M183" s="3200"/>
      <c r="N183" s="3200"/>
      <c r="O183" s="3200"/>
      <c r="P183" s="3200"/>
      <c r="Q183" s="3200"/>
      <c r="R183" s="3200"/>
      <c r="S183" s="3200"/>
      <c r="T183" s="3200"/>
      <c r="U183" s="3200"/>
      <c r="V183" s="3200"/>
      <c r="W183" s="3200"/>
      <c r="X183" s="3200"/>
      <c r="Y183" s="3200"/>
      <c r="Z183" s="3200"/>
      <c r="AA183" s="3200"/>
      <c r="AB183" s="3200"/>
      <c r="AC183" s="3174">
        <f t="shared" si="122"/>
        <v>0</v>
      </c>
      <c r="AD183" s="3212"/>
      <c r="AE183" s="3212"/>
      <c r="AF183" s="3212"/>
      <c r="AG183" s="3212"/>
      <c r="AH183" s="3212"/>
      <c r="AI183" s="3212"/>
      <c r="AJ183" s="3212"/>
      <c r="AK183" s="3212"/>
      <c r="AL183" s="3212"/>
      <c r="AM183" s="3212"/>
      <c r="AN183" s="3212"/>
      <c r="AO183" s="3212"/>
      <c r="AP183" s="3212"/>
      <c r="AQ183" s="3212"/>
      <c r="AR183" s="3212"/>
      <c r="AS183" s="3212"/>
      <c r="AT183" s="3175"/>
      <c r="AU183" s="3232"/>
      <c r="AV183" s="466">
        <f t="shared" si="146"/>
        <v>0</v>
      </c>
      <c r="AW183" s="466">
        <f t="shared" si="147"/>
        <v>0</v>
      </c>
      <c r="AX183" s="466">
        <f t="shared" si="148"/>
        <v>0</v>
      </c>
      <c r="AY183" s="385">
        <f t="shared" si="123"/>
        <v>0</v>
      </c>
      <c r="AZ183" s="3174">
        <f t="shared" si="124"/>
        <v>0</v>
      </c>
      <c r="BA183" s="3174">
        <f t="shared" si="125"/>
        <v>0</v>
      </c>
      <c r="BB183" s="3174">
        <f t="shared" si="126"/>
        <v>0</v>
      </c>
      <c r="BC183" s="3174">
        <f t="shared" si="127"/>
        <v>0</v>
      </c>
      <c r="BD183" s="3174">
        <f t="shared" si="128"/>
        <v>0</v>
      </c>
      <c r="BE183" s="3174">
        <f t="shared" si="129"/>
        <v>0</v>
      </c>
      <c r="BF183" s="3174">
        <f t="shared" si="130"/>
        <v>0</v>
      </c>
      <c r="BG183" s="3174">
        <f t="shared" si="131"/>
        <v>0</v>
      </c>
      <c r="BH183" s="3174">
        <f t="shared" si="132"/>
        <v>0</v>
      </c>
      <c r="BI183" s="3174">
        <f t="shared" si="133"/>
        <v>0</v>
      </c>
      <c r="BJ183" s="3174">
        <f t="shared" si="134"/>
        <v>0</v>
      </c>
      <c r="BK183" s="3174">
        <f t="shared" si="135"/>
        <v>0</v>
      </c>
      <c r="BL183" s="3174">
        <f t="shared" si="136"/>
        <v>0</v>
      </c>
      <c r="BM183" s="3174">
        <f t="shared" si="137"/>
        <v>0</v>
      </c>
      <c r="BN183" s="3174">
        <f t="shared" si="138"/>
        <v>0</v>
      </c>
      <c r="BO183" s="3174">
        <f t="shared" si="139"/>
        <v>0</v>
      </c>
      <c r="BP183" s="3174">
        <f t="shared" si="140"/>
        <v>0</v>
      </c>
      <c r="BQ183" s="3174">
        <f t="shared" si="141"/>
        <v>0</v>
      </c>
      <c r="BR183" s="3174">
        <f t="shared" si="142"/>
        <v>0</v>
      </c>
      <c r="BS183" s="3174">
        <f t="shared" si="143"/>
        <v>0</v>
      </c>
      <c r="BT183" s="3249">
        <f t="shared" si="144"/>
        <v>0</v>
      </c>
    </row>
    <row r="184" spans="1:72">
      <c r="A184" s="489"/>
      <c r="B184" s="356"/>
      <c r="C184" s="356"/>
      <c r="D184" s="3182"/>
      <c r="E184" s="3174">
        <f t="shared" si="145"/>
        <v>0</v>
      </c>
      <c r="F184" s="3175"/>
      <c r="G184" s="3176">
        <f t="shared" si="120"/>
        <v>0</v>
      </c>
      <c r="H184" s="3177">
        <f t="shared" si="121"/>
        <v>0</v>
      </c>
      <c r="I184" s="3200"/>
      <c r="J184" s="3200"/>
      <c r="K184" s="3200"/>
      <c r="L184" s="3200"/>
      <c r="M184" s="3200"/>
      <c r="N184" s="3200"/>
      <c r="O184" s="3200"/>
      <c r="P184" s="3200"/>
      <c r="Q184" s="3200"/>
      <c r="R184" s="3200"/>
      <c r="S184" s="3200"/>
      <c r="T184" s="3200"/>
      <c r="U184" s="3200"/>
      <c r="V184" s="3200"/>
      <c r="W184" s="3200"/>
      <c r="X184" s="3200"/>
      <c r="Y184" s="3200"/>
      <c r="Z184" s="3200"/>
      <c r="AA184" s="3200"/>
      <c r="AB184" s="3200"/>
      <c r="AC184" s="3174">
        <f t="shared" si="122"/>
        <v>0</v>
      </c>
      <c r="AD184" s="3212"/>
      <c r="AE184" s="3212"/>
      <c r="AF184" s="3212"/>
      <c r="AG184" s="3212"/>
      <c r="AH184" s="3212"/>
      <c r="AI184" s="3212"/>
      <c r="AJ184" s="3212"/>
      <c r="AK184" s="3212"/>
      <c r="AL184" s="3212"/>
      <c r="AM184" s="3212"/>
      <c r="AN184" s="3212"/>
      <c r="AO184" s="3212"/>
      <c r="AP184" s="3212"/>
      <c r="AQ184" s="3212"/>
      <c r="AR184" s="3212"/>
      <c r="AS184" s="3212"/>
      <c r="AT184" s="3175"/>
      <c r="AU184" s="3232"/>
      <c r="AV184" s="466">
        <f t="shared" si="146"/>
        <v>0</v>
      </c>
      <c r="AW184" s="466">
        <f t="shared" si="147"/>
        <v>0</v>
      </c>
      <c r="AX184" s="466">
        <f t="shared" si="148"/>
        <v>0</v>
      </c>
      <c r="AY184" s="385">
        <f t="shared" si="123"/>
        <v>0</v>
      </c>
      <c r="AZ184" s="3174">
        <f t="shared" si="124"/>
        <v>0</v>
      </c>
      <c r="BA184" s="3174">
        <f t="shared" si="125"/>
        <v>0</v>
      </c>
      <c r="BB184" s="3174">
        <f t="shared" si="126"/>
        <v>0</v>
      </c>
      <c r="BC184" s="3174">
        <f t="shared" si="127"/>
        <v>0</v>
      </c>
      <c r="BD184" s="3174">
        <f t="shared" si="128"/>
        <v>0</v>
      </c>
      <c r="BE184" s="3174">
        <f t="shared" si="129"/>
        <v>0</v>
      </c>
      <c r="BF184" s="3174">
        <f t="shared" si="130"/>
        <v>0</v>
      </c>
      <c r="BG184" s="3174">
        <f t="shared" si="131"/>
        <v>0</v>
      </c>
      <c r="BH184" s="3174">
        <f t="shared" si="132"/>
        <v>0</v>
      </c>
      <c r="BI184" s="3174">
        <f t="shared" si="133"/>
        <v>0</v>
      </c>
      <c r="BJ184" s="3174">
        <f t="shared" si="134"/>
        <v>0</v>
      </c>
      <c r="BK184" s="3174">
        <f t="shared" si="135"/>
        <v>0</v>
      </c>
      <c r="BL184" s="3174">
        <f t="shared" si="136"/>
        <v>0</v>
      </c>
      <c r="BM184" s="3174">
        <f t="shared" si="137"/>
        <v>0</v>
      </c>
      <c r="BN184" s="3174">
        <f t="shared" si="138"/>
        <v>0</v>
      </c>
      <c r="BO184" s="3174">
        <f t="shared" si="139"/>
        <v>0</v>
      </c>
      <c r="BP184" s="3174">
        <f t="shared" si="140"/>
        <v>0</v>
      </c>
      <c r="BQ184" s="3174">
        <f t="shared" si="141"/>
        <v>0</v>
      </c>
      <c r="BR184" s="3174">
        <f t="shared" si="142"/>
        <v>0</v>
      </c>
      <c r="BS184" s="3174">
        <f t="shared" si="143"/>
        <v>0</v>
      </c>
      <c r="BT184" s="3249">
        <f t="shared" si="144"/>
        <v>0</v>
      </c>
    </row>
    <row r="185" spans="1:72">
      <c r="A185" s="489"/>
      <c r="B185" s="356"/>
      <c r="C185" s="356"/>
      <c r="D185" s="3182"/>
      <c r="E185" s="3174">
        <f t="shared" si="145"/>
        <v>0</v>
      </c>
      <c r="F185" s="3175"/>
      <c r="G185" s="3176">
        <f t="shared" si="120"/>
        <v>0</v>
      </c>
      <c r="H185" s="3177">
        <f t="shared" si="121"/>
        <v>0</v>
      </c>
      <c r="I185" s="3200"/>
      <c r="J185" s="3200"/>
      <c r="K185" s="3200"/>
      <c r="L185" s="3200"/>
      <c r="M185" s="3200"/>
      <c r="N185" s="3200"/>
      <c r="O185" s="3200"/>
      <c r="P185" s="3200"/>
      <c r="Q185" s="3200"/>
      <c r="R185" s="3200"/>
      <c r="S185" s="3200"/>
      <c r="T185" s="3200"/>
      <c r="U185" s="3200"/>
      <c r="V185" s="3200"/>
      <c r="W185" s="3200"/>
      <c r="X185" s="3200"/>
      <c r="Y185" s="3200"/>
      <c r="Z185" s="3200"/>
      <c r="AA185" s="3200"/>
      <c r="AB185" s="3200"/>
      <c r="AC185" s="3174">
        <f t="shared" si="122"/>
        <v>0</v>
      </c>
      <c r="AD185" s="3212"/>
      <c r="AE185" s="3212"/>
      <c r="AF185" s="3212"/>
      <c r="AG185" s="3212"/>
      <c r="AH185" s="3212"/>
      <c r="AI185" s="3212"/>
      <c r="AJ185" s="3212"/>
      <c r="AK185" s="3212"/>
      <c r="AL185" s="3212"/>
      <c r="AM185" s="3212"/>
      <c r="AN185" s="3212"/>
      <c r="AO185" s="3212"/>
      <c r="AP185" s="3212"/>
      <c r="AQ185" s="3212"/>
      <c r="AR185" s="3212"/>
      <c r="AS185" s="3212"/>
      <c r="AT185" s="3175"/>
      <c r="AU185" s="3232"/>
      <c r="AV185" s="466">
        <f t="shared" si="146"/>
        <v>0</v>
      </c>
      <c r="AW185" s="466">
        <f t="shared" si="147"/>
        <v>0</v>
      </c>
      <c r="AX185" s="466">
        <f t="shared" si="148"/>
        <v>0</v>
      </c>
      <c r="AY185" s="385">
        <f t="shared" si="123"/>
        <v>0</v>
      </c>
      <c r="AZ185" s="3174">
        <f t="shared" si="124"/>
        <v>0</v>
      </c>
      <c r="BA185" s="3174">
        <f t="shared" si="125"/>
        <v>0</v>
      </c>
      <c r="BB185" s="3174">
        <f t="shared" si="126"/>
        <v>0</v>
      </c>
      <c r="BC185" s="3174">
        <f t="shared" si="127"/>
        <v>0</v>
      </c>
      <c r="BD185" s="3174">
        <f t="shared" si="128"/>
        <v>0</v>
      </c>
      <c r="BE185" s="3174">
        <f t="shared" si="129"/>
        <v>0</v>
      </c>
      <c r="BF185" s="3174">
        <f t="shared" si="130"/>
        <v>0</v>
      </c>
      <c r="BG185" s="3174">
        <f t="shared" si="131"/>
        <v>0</v>
      </c>
      <c r="BH185" s="3174">
        <f t="shared" si="132"/>
        <v>0</v>
      </c>
      <c r="BI185" s="3174">
        <f t="shared" si="133"/>
        <v>0</v>
      </c>
      <c r="BJ185" s="3174">
        <f t="shared" si="134"/>
        <v>0</v>
      </c>
      <c r="BK185" s="3174">
        <f t="shared" si="135"/>
        <v>0</v>
      </c>
      <c r="BL185" s="3174">
        <f t="shared" si="136"/>
        <v>0</v>
      </c>
      <c r="BM185" s="3174">
        <f t="shared" si="137"/>
        <v>0</v>
      </c>
      <c r="BN185" s="3174">
        <f t="shared" si="138"/>
        <v>0</v>
      </c>
      <c r="BO185" s="3174">
        <f t="shared" si="139"/>
        <v>0</v>
      </c>
      <c r="BP185" s="3174">
        <f t="shared" si="140"/>
        <v>0</v>
      </c>
      <c r="BQ185" s="3174">
        <f t="shared" si="141"/>
        <v>0</v>
      </c>
      <c r="BR185" s="3174">
        <f t="shared" si="142"/>
        <v>0</v>
      </c>
      <c r="BS185" s="3174">
        <f t="shared" si="143"/>
        <v>0</v>
      </c>
      <c r="BT185" s="3249">
        <f t="shared" si="144"/>
        <v>0</v>
      </c>
    </row>
    <row r="186" spans="1:72">
      <c r="A186" s="489"/>
      <c r="B186" s="356"/>
      <c r="C186" s="356"/>
      <c r="D186" s="3182"/>
      <c r="E186" s="3174">
        <f t="shared" si="145"/>
        <v>0</v>
      </c>
      <c r="F186" s="3175"/>
      <c r="G186" s="3176">
        <f t="shared" si="120"/>
        <v>0</v>
      </c>
      <c r="H186" s="3177">
        <f t="shared" si="121"/>
        <v>0</v>
      </c>
      <c r="I186" s="3200"/>
      <c r="J186" s="3200"/>
      <c r="K186" s="3200"/>
      <c r="L186" s="3200"/>
      <c r="M186" s="3200"/>
      <c r="N186" s="3200"/>
      <c r="O186" s="3200"/>
      <c r="P186" s="3200"/>
      <c r="Q186" s="3200"/>
      <c r="R186" s="3200"/>
      <c r="S186" s="3200"/>
      <c r="T186" s="3200"/>
      <c r="U186" s="3200"/>
      <c r="V186" s="3200"/>
      <c r="W186" s="3200"/>
      <c r="X186" s="3200"/>
      <c r="Y186" s="3200"/>
      <c r="Z186" s="3200"/>
      <c r="AA186" s="3200"/>
      <c r="AB186" s="3200"/>
      <c r="AC186" s="3174">
        <f t="shared" si="122"/>
        <v>0</v>
      </c>
      <c r="AD186" s="3212"/>
      <c r="AE186" s="3212"/>
      <c r="AF186" s="3212"/>
      <c r="AG186" s="3212"/>
      <c r="AH186" s="3212"/>
      <c r="AI186" s="3212"/>
      <c r="AJ186" s="3212"/>
      <c r="AK186" s="3212"/>
      <c r="AL186" s="3212"/>
      <c r="AM186" s="3212"/>
      <c r="AN186" s="3212"/>
      <c r="AO186" s="3212"/>
      <c r="AP186" s="3212"/>
      <c r="AQ186" s="3212"/>
      <c r="AR186" s="3212"/>
      <c r="AS186" s="3212"/>
      <c r="AT186" s="3175"/>
      <c r="AU186" s="3232"/>
      <c r="AV186" s="466">
        <f t="shared" si="146"/>
        <v>0</v>
      </c>
      <c r="AW186" s="466">
        <f t="shared" si="147"/>
        <v>0</v>
      </c>
      <c r="AX186" s="466">
        <f t="shared" si="148"/>
        <v>0</v>
      </c>
      <c r="AY186" s="385">
        <f t="shared" si="123"/>
        <v>0</v>
      </c>
      <c r="AZ186" s="3174">
        <f t="shared" si="124"/>
        <v>0</v>
      </c>
      <c r="BA186" s="3174">
        <f t="shared" si="125"/>
        <v>0</v>
      </c>
      <c r="BB186" s="3174">
        <f t="shared" si="126"/>
        <v>0</v>
      </c>
      <c r="BC186" s="3174">
        <f t="shared" si="127"/>
        <v>0</v>
      </c>
      <c r="BD186" s="3174">
        <f t="shared" si="128"/>
        <v>0</v>
      </c>
      <c r="BE186" s="3174">
        <f t="shared" si="129"/>
        <v>0</v>
      </c>
      <c r="BF186" s="3174">
        <f t="shared" si="130"/>
        <v>0</v>
      </c>
      <c r="BG186" s="3174">
        <f t="shared" si="131"/>
        <v>0</v>
      </c>
      <c r="BH186" s="3174">
        <f t="shared" si="132"/>
        <v>0</v>
      </c>
      <c r="BI186" s="3174">
        <f t="shared" si="133"/>
        <v>0</v>
      </c>
      <c r="BJ186" s="3174">
        <f t="shared" si="134"/>
        <v>0</v>
      </c>
      <c r="BK186" s="3174">
        <f t="shared" si="135"/>
        <v>0</v>
      </c>
      <c r="BL186" s="3174">
        <f t="shared" si="136"/>
        <v>0</v>
      </c>
      <c r="BM186" s="3174">
        <f t="shared" si="137"/>
        <v>0</v>
      </c>
      <c r="BN186" s="3174">
        <f t="shared" si="138"/>
        <v>0</v>
      </c>
      <c r="BO186" s="3174">
        <f t="shared" si="139"/>
        <v>0</v>
      </c>
      <c r="BP186" s="3174">
        <f t="shared" si="140"/>
        <v>0</v>
      </c>
      <c r="BQ186" s="3174">
        <f t="shared" si="141"/>
        <v>0</v>
      </c>
      <c r="BR186" s="3174">
        <f t="shared" si="142"/>
        <v>0</v>
      </c>
      <c r="BS186" s="3174">
        <f t="shared" si="143"/>
        <v>0</v>
      </c>
      <c r="BT186" s="3249">
        <f t="shared" si="144"/>
        <v>0</v>
      </c>
    </row>
    <row r="187" spans="1:72">
      <c r="A187" s="489"/>
      <c r="B187" s="356"/>
      <c r="C187" s="356"/>
      <c r="D187" s="3182"/>
      <c r="E187" s="3174">
        <f t="shared" si="145"/>
        <v>0</v>
      </c>
      <c r="F187" s="3175"/>
      <c r="G187" s="3176">
        <f t="shared" si="120"/>
        <v>0</v>
      </c>
      <c r="H187" s="3177">
        <f t="shared" si="121"/>
        <v>0</v>
      </c>
      <c r="I187" s="3200"/>
      <c r="J187" s="3200"/>
      <c r="K187" s="3200"/>
      <c r="L187" s="3200"/>
      <c r="M187" s="3200"/>
      <c r="N187" s="3200"/>
      <c r="O187" s="3200"/>
      <c r="P187" s="3200"/>
      <c r="Q187" s="3200"/>
      <c r="R187" s="3200"/>
      <c r="S187" s="3200"/>
      <c r="T187" s="3200"/>
      <c r="U187" s="3200"/>
      <c r="V187" s="3200"/>
      <c r="W187" s="3200"/>
      <c r="X187" s="3200"/>
      <c r="Y187" s="3200"/>
      <c r="Z187" s="3200"/>
      <c r="AA187" s="3200"/>
      <c r="AB187" s="3200"/>
      <c r="AC187" s="3174">
        <f t="shared" si="122"/>
        <v>0</v>
      </c>
      <c r="AD187" s="3212"/>
      <c r="AE187" s="3212"/>
      <c r="AF187" s="3212"/>
      <c r="AG187" s="3212"/>
      <c r="AH187" s="3212"/>
      <c r="AI187" s="3212"/>
      <c r="AJ187" s="3212"/>
      <c r="AK187" s="3212"/>
      <c r="AL187" s="3212"/>
      <c r="AM187" s="3212"/>
      <c r="AN187" s="3212"/>
      <c r="AO187" s="3212"/>
      <c r="AP187" s="3212"/>
      <c r="AQ187" s="3212"/>
      <c r="AR187" s="3212"/>
      <c r="AS187" s="3212"/>
      <c r="AT187" s="3175"/>
      <c r="AU187" s="3232"/>
      <c r="AV187" s="466">
        <f t="shared" si="146"/>
        <v>0</v>
      </c>
      <c r="AW187" s="466">
        <f t="shared" si="147"/>
        <v>0</v>
      </c>
      <c r="AX187" s="466">
        <f t="shared" si="148"/>
        <v>0</v>
      </c>
      <c r="AY187" s="385">
        <f t="shared" si="123"/>
        <v>0</v>
      </c>
      <c r="AZ187" s="3174">
        <f t="shared" si="124"/>
        <v>0</v>
      </c>
      <c r="BA187" s="3174">
        <f t="shared" si="125"/>
        <v>0</v>
      </c>
      <c r="BB187" s="3174">
        <f t="shared" si="126"/>
        <v>0</v>
      </c>
      <c r="BC187" s="3174">
        <f t="shared" si="127"/>
        <v>0</v>
      </c>
      <c r="BD187" s="3174">
        <f t="shared" si="128"/>
        <v>0</v>
      </c>
      <c r="BE187" s="3174">
        <f t="shared" si="129"/>
        <v>0</v>
      </c>
      <c r="BF187" s="3174">
        <f t="shared" si="130"/>
        <v>0</v>
      </c>
      <c r="BG187" s="3174">
        <f t="shared" si="131"/>
        <v>0</v>
      </c>
      <c r="BH187" s="3174">
        <f t="shared" si="132"/>
        <v>0</v>
      </c>
      <c r="BI187" s="3174">
        <f t="shared" si="133"/>
        <v>0</v>
      </c>
      <c r="BJ187" s="3174">
        <f t="shared" si="134"/>
        <v>0</v>
      </c>
      <c r="BK187" s="3174">
        <f t="shared" si="135"/>
        <v>0</v>
      </c>
      <c r="BL187" s="3174">
        <f t="shared" si="136"/>
        <v>0</v>
      </c>
      <c r="BM187" s="3174">
        <f t="shared" si="137"/>
        <v>0</v>
      </c>
      <c r="BN187" s="3174">
        <f t="shared" si="138"/>
        <v>0</v>
      </c>
      <c r="BO187" s="3174">
        <f t="shared" si="139"/>
        <v>0</v>
      </c>
      <c r="BP187" s="3174">
        <f t="shared" si="140"/>
        <v>0</v>
      </c>
      <c r="BQ187" s="3174">
        <f t="shared" si="141"/>
        <v>0</v>
      </c>
      <c r="BR187" s="3174">
        <f t="shared" si="142"/>
        <v>0</v>
      </c>
      <c r="BS187" s="3174">
        <f t="shared" si="143"/>
        <v>0</v>
      </c>
      <c r="BT187" s="3249">
        <f t="shared" si="144"/>
        <v>0</v>
      </c>
    </row>
    <row r="188" spans="1:72">
      <c r="A188" s="489"/>
      <c r="B188" s="356"/>
      <c r="C188" s="356"/>
      <c r="D188" s="3182"/>
      <c r="E188" s="3174">
        <f t="shared" si="145"/>
        <v>0</v>
      </c>
      <c r="F188" s="3175"/>
      <c r="G188" s="3176">
        <f t="shared" si="120"/>
        <v>0</v>
      </c>
      <c r="H188" s="3177">
        <f t="shared" si="121"/>
        <v>0</v>
      </c>
      <c r="I188" s="3200"/>
      <c r="J188" s="3200"/>
      <c r="K188" s="3200"/>
      <c r="L188" s="3200"/>
      <c r="M188" s="3200"/>
      <c r="N188" s="3200"/>
      <c r="O188" s="3200"/>
      <c r="P188" s="3200"/>
      <c r="Q188" s="3200"/>
      <c r="R188" s="3200"/>
      <c r="S188" s="3200"/>
      <c r="T188" s="3200"/>
      <c r="U188" s="3200"/>
      <c r="V188" s="3200"/>
      <c r="W188" s="3200"/>
      <c r="X188" s="3200"/>
      <c r="Y188" s="3200"/>
      <c r="Z188" s="3200"/>
      <c r="AA188" s="3200"/>
      <c r="AB188" s="3200"/>
      <c r="AC188" s="3174">
        <f t="shared" si="122"/>
        <v>0</v>
      </c>
      <c r="AD188" s="3212"/>
      <c r="AE188" s="3212"/>
      <c r="AF188" s="3212"/>
      <c r="AG188" s="3212"/>
      <c r="AH188" s="3212"/>
      <c r="AI188" s="3212"/>
      <c r="AJ188" s="3212"/>
      <c r="AK188" s="3212"/>
      <c r="AL188" s="3212"/>
      <c r="AM188" s="3212"/>
      <c r="AN188" s="3212"/>
      <c r="AO188" s="3212"/>
      <c r="AP188" s="3212"/>
      <c r="AQ188" s="3212"/>
      <c r="AR188" s="3212"/>
      <c r="AS188" s="3212"/>
      <c r="AT188" s="3175"/>
      <c r="AU188" s="3232"/>
      <c r="AV188" s="466">
        <f t="shared" si="146"/>
        <v>0</v>
      </c>
      <c r="AW188" s="466">
        <f t="shared" si="147"/>
        <v>0</v>
      </c>
      <c r="AX188" s="466">
        <f t="shared" si="148"/>
        <v>0</v>
      </c>
      <c r="AY188" s="385">
        <f t="shared" si="123"/>
        <v>0</v>
      </c>
      <c r="AZ188" s="3174">
        <f t="shared" si="124"/>
        <v>0</v>
      </c>
      <c r="BA188" s="3174">
        <f t="shared" si="125"/>
        <v>0</v>
      </c>
      <c r="BB188" s="3174">
        <f t="shared" si="126"/>
        <v>0</v>
      </c>
      <c r="BC188" s="3174">
        <f t="shared" si="127"/>
        <v>0</v>
      </c>
      <c r="BD188" s="3174">
        <f t="shared" si="128"/>
        <v>0</v>
      </c>
      <c r="BE188" s="3174">
        <f t="shared" si="129"/>
        <v>0</v>
      </c>
      <c r="BF188" s="3174">
        <f t="shared" si="130"/>
        <v>0</v>
      </c>
      <c r="BG188" s="3174">
        <f t="shared" si="131"/>
        <v>0</v>
      </c>
      <c r="BH188" s="3174">
        <f t="shared" si="132"/>
        <v>0</v>
      </c>
      <c r="BI188" s="3174">
        <f t="shared" si="133"/>
        <v>0</v>
      </c>
      <c r="BJ188" s="3174">
        <f t="shared" si="134"/>
        <v>0</v>
      </c>
      <c r="BK188" s="3174">
        <f t="shared" si="135"/>
        <v>0</v>
      </c>
      <c r="BL188" s="3174">
        <f t="shared" si="136"/>
        <v>0</v>
      </c>
      <c r="BM188" s="3174">
        <f t="shared" si="137"/>
        <v>0</v>
      </c>
      <c r="BN188" s="3174">
        <f t="shared" si="138"/>
        <v>0</v>
      </c>
      <c r="BO188" s="3174">
        <f t="shared" si="139"/>
        <v>0</v>
      </c>
      <c r="BP188" s="3174">
        <f t="shared" si="140"/>
        <v>0</v>
      </c>
      <c r="BQ188" s="3174">
        <f t="shared" si="141"/>
        <v>0</v>
      </c>
      <c r="BR188" s="3174">
        <f t="shared" si="142"/>
        <v>0</v>
      </c>
      <c r="BS188" s="3174">
        <f t="shared" si="143"/>
        <v>0</v>
      </c>
      <c r="BT188" s="3249">
        <f t="shared" si="144"/>
        <v>0</v>
      </c>
    </row>
    <row r="189" spans="1:72">
      <c r="A189" s="489"/>
      <c r="B189" s="356"/>
      <c r="C189" s="356"/>
      <c r="D189" s="3182"/>
      <c r="E189" s="3174">
        <f t="shared" si="145"/>
        <v>0</v>
      </c>
      <c r="F189" s="3175"/>
      <c r="G189" s="3176">
        <f t="shared" si="120"/>
        <v>0</v>
      </c>
      <c r="H189" s="3177">
        <f t="shared" si="121"/>
        <v>0</v>
      </c>
      <c r="I189" s="3200"/>
      <c r="J189" s="3200"/>
      <c r="K189" s="3200"/>
      <c r="L189" s="3200"/>
      <c r="M189" s="3200"/>
      <c r="N189" s="3200"/>
      <c r="O189" s="3200"/>
      <c r="P189" s="3200"/>
      <c r="Q189" s="3200"/>
      <c r="R189" s="3200"/>
      <c r="S189" s="3200"/>
      <c r="T189" s="3200"/>
      <c r="U189" s="3200"/>
      <c r="V189" s="3200"/>
      <c r="W189" s="3200"/>
      <c r="X189" s="3200"/>
      <c r="Y189" s="3200"/>
      <c r="Z189" s="3200"/>
      <c r="AA189" s="3200"/>
      <c r="AB189" s="3200"/>
      <c r="AC189" s="3174">
        <f t="shared" si="122"/>
        <v>0</v>
      </c>
      <c r="AD189" s="3212"/>
      <c r="AE189" s="3212"/>
      <c r="AF189" s="3212"/>
      <c r="AG189" s="3212"/>
      <c r="AH189" s="3212"/>
      <c r="AI189" s="3212"/>
      <c r="AJ189" s="3212"/>
      <c r="AK189" s="3212"/>
      <c r="AL189" s="3212"/>
      <c r="AM189" s="3212"/>
      <c r="AN189" s="3212"/>
      <c r="AO189" s="3212"/>
      <c r="AP189" s="3212"/>
      <c r="AQ189" s="3212"/>
      <c r="AR189" s="3212"/>
      <c r="AS189" s="3212"/>
      <c r="AT189" s="3175"/>
      <c r="AU189" s="3232"/>
      <c r="AV189" s="466">
        <f t="shared" si="146"/>
        <v>0</v>
      </c>
      <c r="AW189" s="466">
        <f t="shared" si="147"/>
        <v>0</v>
      </c>
      <c r="AX189" s="466">
        <f t="shared" si="148"/>
        <v>0</v>
      </c>
      <c r="AY189" s="385">
        <f t="shared" si="123"/>
        <v>0</v>
      </c>
      <c r="AZ189" s="3174">
        <f t="shared" si="124"/>
        <v>0</v>
      </c>
      <c r="BA189" s="3174">
        <f t="shared" si="125"/>
        <v>0</v>
      </c>
      <c r="BB189" s="3174">
        <f t="shared" si="126"/>
        <v>0</v>
      </c>
      <c r="BC189" s="3174">
        <f t="shared" si="127"/>
        <v>0</v>
      </c>
      <c r="BD189" s="3174">
        <f t="shared" si="128"/>
        <v>0</v>
      </c>
      <c r="BE189" s="3174">
        <f t="shared" si="129"/>
        <v>0</v>
      </c>
      <c r="BF189" s="3174">
        <f t="shared" si="130"/>
        <v>0</v>
      </c>
      <c r="BG189" s="3174">
        <f t="shared" si="131"/>
        <v>0</v>
      </c>
      <c r="BH189" s="3174">
        <f t="shared" si="132"/>
        <v>0</v>
      </c>
      <c r="BI189" s="3174">
        <f t="shared" si="133"/>
        <v>0</v>
      </c>
      <c r="BJ189" s="3174">
        <f t="shared" si="134"/>
        <v>0</v>
      </c>
      <c r="BK189" s="3174">
        <f t="shared" si="135"/>
        <v>0</v>
      </c>
      <c r="BL189" s="3174">
        <f t="shared" si="136"/>
        <v>0</v>
      </c>
      <c r="BM189" s="3174">
        <f t="shared" si="137"/>
        <v>0</v>
      </c>
      <c r="BN189" s="3174">
        <f t="shared" si="138"/>
        <v>0</v>
      </c>
      <c r="BO189" s="3174">
        <f t="shared" si="139"/>
        <v>0</v>
      </c>
      <c r="BP189" s="3174">
        <f t="shared" si="140"/>
        <v>0</v>
      </c>
      <c r="BQ189" s="3174">
        <f t="shared" si="141"/>
        <v>0</v>
      </c>
      <c r="BR189" s="3174">
        <f t="shared" si="142"/>
        <v>0</v>
      </c>
      <c r="BS189" s="3174">
        <f t="shared" si="143"/>
        <v>0</v>
      </c>
      <c r="BT189" s="3249">
        <f t="shared" si="144"/>
        <v>0</v>
      </c>
    </row>
    <row r="190" spans="1:72">
      <c r="A190" s="489"/>
      <c r="B190" s="356"/>
      <c r="C190" s="356"/>
      <c r="D190" s="3182"/>
      <c r="E190" s="3174">
        <f t="shared" si="145"/>
        <v>0</v>
      </c>
      <c r="F190" s="3175"/>
      <c r="G190" s="3176">
        <f t="shared" si="120"/>
        <v>0</v>
      </c>
      <c r="H190" s="3177">
        <f t="shared" si="121"/>
        <v>0</v>
      </c>
      <c r="I190" s="3200"/>
      <c r="J190" s="3200"/>
      <c r="K190" s="3200"/>
      <c r="L190" s="3200"/>
      <c r="M190" s="3200"/>
      <c r="N190" s="3200"/>
      <c r="O190" s="3200"/>
      <c r="P190" s="3200"/>
      <c r="Q190" s="3200"/>
      <c r="R190" s="3200"/>
      <c r="S190" s="3200"/>
      <c r="T190" s="3200"/>
      <c r="U190" s="3200"/>
      <c r="V190" s="3200"/>
      <c r="W190" s="3200"/>
      <c r="X190" s="3200"/>
      <c r="Y190" s="3200"/>
      <c r="Z190" s="3200"/>
      <c r="AA190" s="3200"/>
      <c r="AB190" s="3200"/>
      <c r="AC190" s="3174">
        <f t="shared" si="122"/>
        <v>0</v>
      </c>
      <c r="AD190" s="3212"/>
      <c r="AE190" s="3212"/>
      <c r="AF190" s="3212"/>
      <c r="AG190" s="3212"/>
      <c r="AH190" s="3212"/>
      <c r="AI190" s="3212"/>
      <c r="AJ190" s="3212"/>
      <c r="AK190" s="3212"/>
      <c r="AL190" s="3212"/>
      <c r="AM190" s="3212"/>
      <c r="AN190" s="3212"/>
      <c r="AO190" s="3212"/>
      <c r="AP190" s="3212"/>
      <c r="AQ190" s="3212"/>
      <c r="AR190" s="3212"/>
      <c r="AS190" s="3212"/>
      <c r="AT190" s="3175"/>
      <c r="AU190" s="3232"/>
      <c r="AV190" s="466">
        <f t="shared" si="146"/>
        <v>0</v>
      </c>
      <c r="AW190" s="466">
        <f t="shared" si="147"/>
        <v>0</v>
      </c>
      <c r="AX190" s="466">
        <f t="shared" si="148"/>
        <v>0</v>
      </c>
      <c r="AY190" s="385">
        <f t="shared" si="123"/>
        <v>0</v>
      </c>
      <c r="AZ190" s="3174">
        <f t="shared" si="124"/>
        <v>0</v>
      </c>
      <c r="BA190" s="3174">
        <f t="shared" si="125"/>
        <v>0</v>
      </c>
      <c r="BB190" s="3174">
        <f t="shared" si="126"/>
        <v>0</v>
      </c>
      <c r="BC190" s="3174">
        <f t="shared" si="127"/>
        <v>0</v>
      </c>
      <c r="BD190" s="3174">
        <f t="shared" si="128"/>
        <v>0</v>
      </c>
      <c r="BE190" s="3174">
        <f t="shared" si="129"/>
        <v>0</v>
      </c>
      <c r="BF190" s="3174">
        <f t="shared" si="130"/>
        <v>0</v>
      </c>
      <c r="BG190" s="3174">
        <f t="shared" si="131"/>
        <v>0</v>
      </c>
      <c r="BH190" s="3174">
        <f t="shared" si="132"/>
        <v>0</v>
      </c>
      <c r="BI190" s="3174">
        <f t="shared" si="133"/>
        <v>0</v>
      </c>
      <c r="BJ190" s="3174">
        <f t="shared" si="134"/>
        <v>0</v>
      </c>
      <c r="BK190" s="3174">
        <f t="shared" si="135"/>
        <v>0</v>
      </c>
      <c r="BL190" s="3174">
        <f t="shared" si="136"/>
        <v>0</v>
      </c>
      <c r="BM190" s="3174">
        <f t="shared" si="137"/>
        <v>0</v>
      </c>
      <c r="BN190" s="3174">
        <f t="shared" si="138"/>
        <v>0</v>
      </c>
      <c r="BO190" s="3174">
        <f t="shared" si="139"/>
        <v>0</v>
      </c>
      <c r="BP190" s="3174">
        <f t="shared" si="140"/>
        <v>0</v>
      </c>
      <c r="BQ190" s="3174">
        <f t="shared" si="141"/>
        <v>0</v>
      </c>
      <c r="BR190" s="3174">
        <f t="shared" si="142"/>
        <v>0</v>
      </c>
      <c r="BS190" s="3174">
        <f t="shared" si="143"/>
        <v>0</v>
      </c>
      <c r="BT190" s="3249">
        <f t="shared" si="144"/>
        <v>0</v>
      </c>
    </row>
    <row r="191" spans="1:72">
      <c r="A191" s="489"/>
      <c r="B191" s="356"/>
      <c r="C191" s="356"/>
      <c r="D191" s="3182"/>
      <c r="E191" s="3174">
        <f t="shared" si="145"/>
        <v>0</v>
      </c>
      <c r="F191" s="3175"/>
      <c r="G191" s="3176">
        <f t="shared" si="120"/>
        <v>0</v>
      </c>
      <c r="H191" s="3177">
        <f t="shared" si="121"/>
        <v>0</v>
      </c>
      <c r="I191" s="3200"/>
      <c r="J191" s="3200"/>
      <c r="K191" s="3200"/>
      <c r="L191" s="3200"/>
      <c r="M191" s="3200"/>
      <c r="N191" s="3200"/>
      <c r="O191" s="3200"/>
      <c r="P191" s="3200"/>
      <c r="Q191" s="3200"/>
      <c r="R191" s="3200"/>
      <c r="S191" s="3200"/>
      <c r="T191" s="3200"/>
      <c r="U191" s="3200"/>
      <c r="V191" s="3200"/>
      <c r="W191" s="3200"/>
      <c r="X191" s="3200"/>
      <c r="Y191" s="3200"/>
      <c r="Z191" s="3200"/>
      <c r="AA191" s="3200"/>
      <c r="AB191" s="3200"/>
      <c r="AC191" s="3174">
        <f t="shared" si="122"/>
        <v>0</v>
      </c>
      <c r="AD191" s="3212"/>
      <c r="AE191" s="3212"/>
      <c r="AF191" s="3212"/>
      <c r="AG191" s="3212"/>
      <c r="AH191" s="3212"/>
      <c r="AI191" s="3212"/>
      <c r="AJ191" s="3212"/>
      <c r="AK191" s="3212"/>
      <c r="AL191" s="3212"/>
      <c r="AM191" s="3212"/>
      <c r="AN191" s="3212"/>
      <c r="AO191" s="3212"/>
      <c r="AP191" s="3212"/>
      <c r="AQ191" s="3212"/>
      <c r="AR191" s="3212"/>
      <c r="AS191" s="3212"/>
      <c r="AT191" s="3175"/>
      <c r="AU191" s="3232"/>
      <c r="AV191" s="466">
        <f t="shared" si="146"/>
        <v>0</v>
      </c>
      <c r="AW191" s="466">
        <f t="shared" si="147"/>
        <v>0</v>
      </c>
      <c r="AX191" s="466">
        <f t="shared" si="148"/>
        <v>0</v>
      </c>
      <c r="AY191" s="385">
        <f t="shared" si="123"/>
        <v>0</v>
      </c>
      <c r="AZ191" s="3174">
        <f t="shared" si="124"/>
        <v>0</v>
      </c>
      <c r="BA191" s="3174">
        <f t="shared" si="125"/>
        <v>0</v>
      </c>
      <c r="BB191" s="3174">
        <f t="shared" si="126"/>
        <v>0</v>
      </c>
      <c r="BC191" s="3174">
        <f t="shared" si="127"/>
        <v>0</v>
      </c>
      <c r="BD191" s="3174">
        <f t="shared" si="128"/>
        <v>0</v>
      </c>
      <c r="BE191" s="3174">
        <f t="shared" si="129"/>
        <v>0</v>
      </c>
      <c r="BF191" s="3174">
        <f t="shared" si="130"/>
        <v>0</v>
      </c>
      <c r="BG191" s="3174">
        <f t="shared" si="131"/>
        <v>0</v>
      </c>
      <c r="BH191" s="3174">
        <f t="shared" si="132"/>
        <v>0</v>
      </c>
      <c r="BI191" s="3174">
        <f t="shared" si="133"/>
        <v>0</v>
      </c>
      <c r="BJ191" s="3174">
        <f t="shared" si="134"/>
        <v>0</v>
      </c>
      <c r="BK191" s="3174">
        <f t="shared" si="135"/>
        <v>0</v>
      </c>
      <c r="BL191" s="3174">
        <f t="shared" si="136"/>
        <v>0</v>
      </c>
      <c r="BM191" s="3174">
        <f t="shared" si="137"/>
        <v>0</v>
      </c>
      <c r="BN191" s="3174">
        <f t="shared" si="138"/>
        <v>0</v>
      </c>
      <c r="BO191" s="3174">
        <f t="shared" si="139"/>
        <v>0</v>
      </c>
      <c r="BP191" s="3174">
        <f t="shared" si="140"/>
        <v>0</v>
      </c>
      <c r="BQ191" s="3174">
        <f t="shared" si="141"/>
        <v>0</v>
      </c>
      <c r="BR191" s="3174">
        <f t="shared" si="142"/>
        <v>0</v>
      </c>
      <c r="BS191" s="3174">
        <f t="shared" si="143"/>
        <v>0</v>
      </c>
      <c r="BT191" s="3249">
        <f t="shared" si="144"/>
        <v>0</v>
      </c>
    </row>
    <row r="192" spans="1:72">
      <c r="A192" s="489"/>
      <c r="B192" s="356"/>
      <c r="C192" s="356"/>
      <c r="D192" s="3182"/>
      <c r="E192" s="3174">
        <f t="shared" si="145"/>
        <v>0</v>
      </c>
      <c r="F192" s="3175"/>
      <c r="G192" s="3176">
        <f t="shared" si="120"/>
        <v>0</v>
      </c>
      <c r="H192" s="3177">
        <f t="shared" si="121"/>
        <v>0</v>
      </c>
      <c r="I192" s="3200"/>
      <c r="J192" s="3200"/>
      <c r="K192" s="3200"/>
      <c r="L192" s="3200"/>
      <c r="M192" s="3200"/>
      <c r="N192" s="3200"/>
      <c r="O192" s="3200"/>
      <c r="P192" s="3200"/>
      <c r="Q192" s="3200"/>
      <c r="R192" s="3200"/>
      <c r="S192" s="3200"/>
      <c r="T192" s="3200"/>
      <c r="U192" s="3200"/>
      <c r="V192" s="3200"/>
      <c r="W192" s="3200"/>
      <c r="X192" s="3200"/>
      <c r="Y192" s="3200"/>
      <c r="Z192" s="3200"/>
      <c r="AA192" s="3200"/>
      <c r="AB192" s="3200"/>
      <c r="AC192" s="3174">
        <f t="shared" si="122"/>
        <v>0</v>
      </c>
      <c r="AD192" s="3212"/>
      <c r="AE192" s="3212"/>
      <c r="AF192" s="3212"/>
      <c r="AG192" s="3212"/>
      <c r="AH192" s="3212"/>
      <c r="AI192" s="3212"/>
      <c r="AJ192" s="3212"/>
      <c r="AK192" s="3212"/>
      <c r="AL192" s="3212"/>
      <c r="AM192" s="3212"/>
      <c r="AN192" s="3212"/>
      <c r="AO192" s="3212"/>
      <c r="AP192" s="3212"/>
      <c r="AQ192" s="3212"/>
      <c r="AR192" s="3212"/>
      <c r="AS192" s="3212"/>
      <c r="AT192" s="3175"/>
      <c r="AU192" s="3232"/>
      <c r="AV192" s="466">
        <f t="shared" si="146"/>
        <v>0</v>
      </c>
      <c r="AW192" s="466">
        <f t="shared" si="147"/>
        <v>0</v>
      </c>
      <c r="AX192" s="466">
        <f t="shared" si="148"/>
        <v>0</v>
      </c>
      <c r="AY192" s="385">
        <f t="shared" si="123"/>
        <v>0</v>
      </c>
      <c r="AZ192" s="3174">
        <f t="shared" si="124"/>
        <v>0</v>
      </c>
      <c r="BA192" s="3174">
        <f t="shared" si="125"/>
        <v>0</v>
      </c>
      <c r="BB192" s="3174">
        <f t="shared" si="126"/>
        <v>0</v>
      </c>
      <c r="BC192" s="3174">
        <f t="shared" si="127"/>
        <v>0</v>
      </c>
      <c r="BD192" s="3174">
        <f t="shared" si="128"/>
        <v>0</v>
      </c>
      <c r="BE192" s="3174">
        <f t="shared" si="129"/>
        <v>0</v>
      </c>
      <c r="BF192" s="3174">
        <f t="shared" si="130"/>
        <v>0</v>
      </c>
      <c r="BG192" s="3174">
        <f t="shared" si="131"/>
        <v>0</v>
      </c>
      <c r="BH192" s="3174">
        <f t="shared" si="132"/>
        <v>0</v>
      </c>
      <c r="BI192" s="3174">
        <f t="shared" si="133"/>
        <v>0</v>
      </c>
      <c r="BJ192" s="3174">
        <f t="shared" si="134"/>
        <v>0</v>
      </c>
      <c r="BK192" s="3174">
        <f t="shared" si="135"/>
        <v>0</v>
      </c>
      <c r="BL192" s="3174">
        <f t="shared" si="136"/>
        <v>0</v>
      </c>
      <c r="BM192" s="3174">
        <f t="shared" si="137"/>
        <v>0</v>
      </c>
      <c r="BN192" s="3174">
        <f t="shared" si="138"/>
        <v>0</v>
      </c>
      <c r="BO192" s="3174">
        <f t="shared" si="139"/>
        <v>0</v>
      </c>
      <c r="BP192" s="3174">
        <f t="shared" si="140"/>
        <v>0</v>
      </c>
      <c r="BQ192" s="3174">
        <f t="shared" si="141"/>
        <v>0</v>
      </c>
      <c r="BR192" s="3174">
        <f t="shared" si="142"/>
        <v>0</v>
      </c>
      <c r="BS192" s="3174">
        <f t="shared" si="143"/>
        <v>0</v>
      </c>
      <c r="BT192" s="3249">
        <f t="shared" si="144"/>
        <v>0</v>
      </c>
    </row>
    <row r="193" spans="1:72">
      <c r="A193" s="489"/>
      <c r="B193" s="356"/>
      <c r="C193" s="356"/>
      <c r="D193" s="3182"/>
      <c r="E193" s="3174">
        <f t="shared" si="145"/>
        <v>0</v>
      </c>
      <c r="F193" s="3175"/>
      <c r="G193" s="3176">
        <f t="shared" si="120"/>
        <v>0</v>
      </c>
      <c r="H193" s="3177">
        <f t="shared" si="121"/>
        <v>0</v>
      </c>
      <c r="I193" s="3200"/>
      <c r="J193" s="3200"/>
      <c r="K193" s="3200"/>
      <c r="L193" s="3200"/>
      <c r="M193" s="3200"/>
      <c r="N193" s="3200"/>
      <c r="O193" s="3200"/>
      <c r="P193" s="3200"/>
      <c r="Q193" s="3200"/>
      <c r="R193" s="3200"/>
      <c r="S193" s="3200"/>
      <c r="T193" s="3200"/>
      <c r="U193" s="3200"/>
      <c r="V193" s="3200"/>
      <c r="W193" s="3200"/>
      <c r="X193" s="3200"/>
      <c r="Y193" s="3200"/>
      <c r="Z193" s="3200"/>
      <c r="AA193" s="3200"/>
      <c r="AB193" s="3200"/>
      <c r="AC193" s="3174">
        <f t="shared" si="122"/>
        <v>0</v>
      </c>
      <c r="AD193" s="3212"/>
      <c r="AE193" s="3212"/>
      <c r="AF193" s="3212"/>
      <c r="AG193" s="3212"/>
      <c r="AH193" s="3212"/>
      <c r="AI193" s="3212"/>
      <c r="AJ193" s="3212"/>
      <c r="AK193" s="3212"/>
      <c r="AL193" s="3212"/>
      <c r="AM193" s="3212"/>
      <c r="AN193" s="3212"/>
      <c r="AO193" s="3212"/>
      <c r="AP193" s="3212"/>
      <c r="AQ193" s="3212"/>
      <c r="AR193" s="3212"/>
      <c r="AS193" s="3212"/>
      <c r="AT193" s="3175"/>
      <c r="AU193" s="3232"/>
      <c r="AV193" s="466">
        <f t="shared" si="146"/>
        <v>0</v>
      </c>
      <c r="AW193" s="466">
        <f t="shared" si="147"/>
        <v>0</v>
      </c>
      <c r="AX193" s="466">
        <f t="shared" si="148"/>
        <v>0</v>
      </c>
      <c r="AY193" s="385">
        <f t="shared" si="123"/>
        <v>0</v>
      </c>
      <c r="AZ193" s="3174">
        <f t="shared" si="124"/>
        <v>0</v>
      </c>
      <c r="BA193" s="3174">
        <f t="shared" si="125"/>
        <v>0</v>
      </c>
      <c r="BB193" s="3174">
        <f t="shared" si="126"/>
        <v>0</v>
      </c>
      <c r="BC193" s="3174">
        <f t="shared" si="127"/>
        <v>0</v>
      </c>
      <c r="BD193" s="3174">
        <f t="shared" si="128"/>
        <v>0</v>
      </c>
      <c r="BE193" s="3174">
        <f t="shared" si="129"/>
        <v>0</v>
      </c>
      <c r="BF193" s="3174">
        <f t="shared" si="130"/>
        <v>0</v>
      </c>
      <c r="BG193" s="3174">
        <f t="shared" si="131"/>
        <v>0</v>
      </c>
      <c r="BH193" s="3174">
        <f t="shared" si="132"/>
        <v>0</v>
      </c>
      <c r="BI193" s="3174">
        <f t="shared" si="133"/>
        <v>0</v>
      </c>
      <c r="BJ193" s="3174">
        <f t="shared" si="134"/>
        <v>0</v>
      </c>
      <c r="BK193" s="3174">
        <f t="shared" si="135"/>
        <v>0</v>
      </c>
      <c r="BL193" s="3174">
        <f t="shared" si="136"/>
        <v>0</v>
      </c>
      <c r="BM193" s="3174">
        <f t="shared" si="137"/>
        <v>0</v>
      </c>
      <c r="BN193" s="3174">
        <f t="shared" si="138"/>
        <v>0</v>
      </c>
      <c r="BO193" s="3174">
        <f t="shared" si="139"/>
        <v>0</v>
      </c>
      <c r="BP193" s="3174">
        <f t="shared" si="140"/>
        <v>0</v>
      </c>
      <c r="BQ193" s="3174">
        <f t="shared" si="141"/>
        <v>0</v>
      </c>
      <c r="BR193" s="3174">
        <f t="shared" si="142"/>
        <v>0</v>
      </c>
      <c r="BS193" s="3174">
        <f t="shared" si="143"/>
        <v>0</v>
      </c>
      <c r="BT193" s="3249">
        <f t="shared" si="144"/>
        <v>0</v>
      </c>
    </row>
    <row r="194" spans="1:72">
      <c r="A194" s="489"/>
      <c r="B194" s="356"/>
      <c r="C194" s="356"/>
      <c r="D194" s="3182"/>
      <c r="E194" s="3174">
        <f t="shared" si="145"/>
        <v>0</v>
      </c>
      <c r="F194" s="3175"/>
      <c r="G194" s="3176">
        <f t="shared" si="120"/>
        <v>0</v>
      </c>
      <c r="H194" s="3177">
        <f t="shared" si="121"/>
        <v>0</v>
      </c>
      <c r="I194" s="3200"/>
      <c r="J194" s="3200"/>
      <c r="K194" s="3200"/>
      <c r="L194" s="3200"/>
      <c r="M194" s="3200"/>
      <c r="N194" s="3200"/>
      <c r="O194" s="3200"/>
      <c r="P194" s="3200"/>
      <c r="Q194" s="3200"/>
      <c r="R194" s="3200"/>
      <c r="S194" s="3200"/>
      <c r="T194" s="3200"/>
      <c r="U194" s="3200"/>
      <c r="V194" s="3200"/>
      <c r="W194" s="3200"/>
      <c r="X194" s="3200"/>
      <c r="Y194" s="3200"/>
      <c r="Z194" s="3200"/>
      <c r="AA194" s="3200"/>
      <c r="AB194" s="3200"/>
      <c r="AC194" s="3174">
        <f t="shared" si="122"/>
        <v>0</v>
      </c>
      <c r="AD194" s="3212"/>
      <c r="AE194" s="3212"/>
      <c r="AF194" s="3212"/>
      <c r="AG194" s="3212"/>
      <c r="AH194" s="3212"/>
      <c r="AI194" s="3212"/>
      <c r="AJ194" s="3212"/>
      <c r="AK194" s="3212"/>
      <c r="AL194" s="3212"/>
      <c r="AM194" s="3212"/>
      <c r="AN194" s="3212"/>
      <c r="AO194" s="3212"/>
      <c r="AP194" s="3212"/>
      <c r="AQ194" s="3212"/>
      <c r="AR194" s="3212"/>
      <c r="AS194" s="3212"/>
      <c r="AT194" s="3175"/>
      <c r="AU194" s="3232"/>
      <c r="AV194" s="466">
        <f t="shared" si="146"/>
        <v>0</v>
      </c>
      <c r="AW194" s="466">
        <f t="shared" si="147"/>
        <v>0</v>
      </c>
      <c r="AX194" s="466">
        <f t="shared" si="148"/>
        <v>0</v>
      </c>
      <c r="AY194" s="385">
        <f t="shared" si="123"/>
        <v>0</v>
      </c>
      <c r="AZ194" s="3174">
        <f t="shared" si="124"/>
        <v>0</v>
      </c>
      <c r="BA194" s="3174">
        <f t="shared" si="125"/>
        <v>0</v>
      </c>
      <c r="BB194" s="3174">
        <f t="shared" si="126"/>
        <v>0</v>
      </c>
      <c r="BC194" s="3174">
        <f t="shared" si="127"/>
        <v>0</v>
      </c>
      <c r="BD194" s="3174">
        <f t="shared" si="128"/>
        <v>0</v>
      </c>
      <c r="BE194" s="3174">
        <f t="shared" si="129"/>
        <v>0</v>
      </c>
      <c r="BF194" s="3174">
        <f t="shared" si="130"/>
        <v>0</v>
      </c>
      <c r="BG194" s="3174">
        <f t="shared" si="131"/>
        <v>0</v>
      </c>
      <c r="BH194" s="3174">
        <f t="shared" si="132"/>
        <v>0</v>
      </c>
      <c r="BI194" s="3174">
        <f t="shared" si="133"/>
        <v>0</v>
      </c>
      <c r="BJ194" s="3174">
        <f t="shared" si="134"/>
        <v>0</v>
      </c>
      <c r="BK194" s="3174">
        <f t="shared" si="135"/>
        <v>0</v>
      </c>
      <c r="BL194" s="3174">
        <f t="shared" si="136"/>
        <v>0</v>
      </c>
      <c r="BM194" s="3174">
        <f t="shared" si="137"/>
        <v>0</v>
      </c>
      <c r="BN194" s="3174">
        <f t="shared" si="138"/>
        <v>0</v>
      </c>
      <c r="BO194" s="3174">
        <f t="shared" si="139"/>
        <v>0</v>
      </c>
      <c r="BP194" s="3174">
        <f t="shared" si="140"/>
        <v>0</v>
      </c>
      <c r="BQ194" s="3174">
        <f t="shared" si="141"/>
        <v>0</v>
      </c>
      <c r="BR194" s="3174">
        <f t="shared" si="142"/>
        <v>0</v>
      </c>
      <c r="BS194" s="3174">
        <f t="shared" si="143"/>
        <v>0</v>
      </c>
      <c r="BT194" s="3249">
        <f t="shared" si="144"/>
        <v>0</v>
      </c>
    </row>
    <row r="195" spans="1:72">
      <c r="A195" s="489"/>
      <c r="B195" s="356"/>
      <c r="C195" s="356"/>
      <c r="D195" s="3182"/>
      <c r="E195" s="3174">
        <f t="shared" si="145"/>
        <v>0</v>
      </c>
      <c r="F195" s="3175"/>
      <c r="G195" s="3176">
        <f t="shared" si="120"/>
        <v>0</v>
      </c>
      <c r="H195" s="3177">
        <f t="shared" si="121"/>
        <v>0</v>
      </c>
      <c r="I195" s="3200"/>
      <c r="J195" s="3200"/>
      <c r="K195" s="3200"/>
      <c r="L195" s="3200"/>
      <c r="M195" s="3200"/>
      <c r="N195" s="3200"/>
      <c r="O195" s="3200"/>
      <c r="P195" s="3200"/>
      <c r="Q195" s="3200"/>
      <c r="R195" s="3200"/>
      <c r="S195" s="3200"/>
      <c r="T195" s="3200"/>
      <c r="U195" s="3200"/>
      <c r="V195" s="3200"/>
      <c r="W195" s="3200"/>
      <c r="X195" s="3200"/>
      <c r="Y195" s="3200"/>
      <c r="Z195" s="3200"/>
      <c r="AA195" s="3200"/>
      <c r="AB195" s="3200"/>
      <c r="AC195" s="3174">
        <f t="shared" si="122"/>
        <v>0</v>
      </c>
      <c r="AD195" s="3212"/>
      <c r="AE195" s="3212"/>
      <c r="AF195" s="3212"/>
      <c r="AG195" s="3212"/>
      <c r="AH195" s="3212"/>
      <c r="AI195" s="3212"/>
      <c r="AJ195" s="3212"/>
      <c r="AK195" s="3212"/>
      <c r="AL195" s="3212"/>
      <c r="AM195" s="3212"/>
      <c r="AN195" s="3212"/>
      <c r="AO195" s="3212"/>
      <c r="AP195" s="3212"/>
      <c r="AQ195" s="3212"/>
      <c r="AR195" s="3212"/>
      <c r="AS195" s="3212"/>
      <c r="AT195" s="3175"/>
      <c r="AU195" s="3232"/>
      <c r="AV195" s="466">
        <f t="shared" si="146"/>
        <v>0</v>
      </c>
      <c r="AW195" s="466">
        <f t="shared" si="147"/>
        <v>0</v>
      </c>
      <c r="AX195" s="466">
        <f t="shared" si="148"/>
        <v>0</v>
      </c>
      <c r="AY195" s="385">
        <f t="shared" si="123"/>
        <v>0</v>
      </c>
      <c r="AZ195" s="3174">
        <f t="shared" si="124"/>
        <v>0</v>
      </c>
      <c r="BA195" s="3174">
        <f t="shared" si="125"/>
        <v>0</v>
      </c>
      <c r="BB195" s="3174">
        <f t="shared" si="126"/>
        <v>0</v>
      </c>
      <c r="BC195" s="3174">
        <f t="shared" si="127"/>
        <v>0</v>
      </c>
      <c r="BD195" s="3174">
        <f t="shared" si="128"/>
        <v>0</v>
      </c>
      <c r="BE195" s="3174">
        <f t="shared" si="129"/>
        <v>0</v>
      </c>
      <c r="BF195" s="3174">
        <f t="shared" si="130"/>
        <v>0</v>
      </c>
      <c r="BG195" s="3174">
        <f t="shared" si="131"/>
        <v>0</v>
      </c>
      <c r="BH195" s="3174">
        <f t="shared" si="132"/>
        <v>0</v>
      </c>
      <c r="BI195" s="3174">
        <f t="shared" si="133"/>
        <v>0</v>
      </c>
      <c r="BJ195" s="3174">
        <f t="shared" si="134"/>
        <v>0</v>
      </c>
      <c r="BK195" s="3174">
        <f t="shared" si="135"/>
        <v>0</v>
      </c>
      <c r="BL195" s="3174">
        <f t="shared" si="136"/>
        <v>0</v>
      </c>
      <c r="BM195" s="3174">
        <f t="shared" si="137"/>
        <v>0</v>
      </c>
      <c r="BN195" s="3174">
        <f t="shared" si="138"/>
        <v>0</v>
      </c>
      <c r="BO195" s="3174">
        <f t="shared" si="139"/>
        <v>0</v>
      </c>
      <c r="BP195" s="3174">
        <f t="shared" si="140"/>
        <v>0</v>
      </c>
      <c r="BQ195" s="3174">
        <f t="shared" si="141"/>
        <v>0</v>
      </c>
      <c r="BR195" s="3174">
        <f t="shared" si="142"/>
        <v>0</v>
      </c>
      <c r="BS195" s="3174">
        <f t="shared" si="143"/>
        <v>0</v>
      </c>
      <c r="BT195" s="3249">
        <f t="shared" si="144"/>
        <v>0</v>
      </c>
    </row>
    <row r="196" spans="1:72">
      <c r="A196" s="489"/>
      <c r="B196" s="356"/>
      <c r="C196" s="356"/>
      <c r="D196" s="3182"/>
      <c r="E196" s="3174">
        <f t="shared" si="145"/>
        <v>0</v>
      </c>
      <c r="F196" s="3175"/>
      <c r="G196" s="3176">
        <f t="shared" si="120"/>
        <v>0</v>
      </c>
      <c r="H196" s="3177">
        <f t="shared" si="121"/>
        <v>0</v>
      </c>
      <c r="I196" s="3200"/>
      <c r="J196" s="3200"/>
      <c r="K196" s="3200"/>
      <c r="L196" s="3200"/>
      <c r="M196" s="3200"/>
      <c r="N196" s="3200"/>
      <c r="O196" s="3200"/>
      <c r="P196" s="3200"/>
      <c r="Q196" s="3200"/>
      <c r="R196" s="3200"/>
      <c r="S196" s="3200"/>
      <c r="T196" s="3200"/>
      <c r="U196" s="3200"/>
      <c r="V196" s="3200"/>
      <c r="W196" s="3200"/>
      <c r="X196" s="3200"/>
      <c r="Y196" s="3200"/>
      <c r="Z196" s="3200"/>
      <c r="AA196" s="3200"/>
      <c r="AB196" s="3200"/>
      <c r="AC196" s="3174">
        <f t="shared" si="122"/>
        <v>0</v>
      </c>
      <c r="AD196" s="3212"/>
      <c r="AE196" s="3212"/>
      <c r="AF196" s="3212"/>
      <c r="AG196" s="3212"/>
      <c r="AH196" s="3212"/>
      <c r="AI196" s="3212"/>
      <c r="AJ196" s="3212"/>
      <c r="AK196" s="3212"/>
      <c r="AL196" s="3212"/>
      <c r="AM196" s="3212"/>
      <c r="AN196" s="3212"/>
      <c r="AO196" s="3212"/>
      <c r="AP196" s="3212"/>
      <c r="AQ196" s="3212"/>
      <c r="AR196" s="3212"/>
      <c r="AS196" s="3212"/>
      <c r="AT196" s="3175"/>
      <c r="AU196" s="3232"/>
      <c r="AV196" s="466">
        <f t="shared" si="146"/>
        <v>0</v>
      </c>
      <c r="AW196" s="466">
        <f t="shared" si="147"/>
        <v>0</v>
      </c>
      <c r="AX196" s="466">
        <f t="shared" si="148"/>
        <v>0</v>
      </c>
      <c r="AY196" s="385">
        <f t="shared" si="123"/>
        <v>0</v>
      </c>
      <c r="AZ196" s="3174">
        <f t="shared" si="124"/>
        <v>0</v>
      </c>
      <c r="BA196" s="3174">
        <f t="shared" si="125"/>
        <v>0</v>
      </c>
      <c r="BB196" s="3174">
        <f t="shared" si="126"/>
        <v>0</v>
      </c>
      <c r="BC196" s="3174">
        <f t="shared" si="127"/>
        <v>0</v>
      </c>
      <c r="BD196" s="3174">
        <f t="shared" si="128"/>
        <v>0</v>
      </c>
      <c r="BE196" s="3174">
        <f t="shared" si="129"/>
        <v>0</v>
      </c>
      <c r="BF196" s="3174">
        <f t="shared" si="130"/>
        <v>0</v>
      </c>
      <c r="BG196" s="3174">
        <f t="shared" si="131"/>
        <v>0</v>
      </c>
      <c r="BH196" s="3174">
        <f t="shared" si="132"/>
        <v>0</v>
      </c>
      <c r="BI196" s="3174">
        <f t="shared" si="133"/>
        <v>0</v>
      </c>
      <c r="BJ196" s="3174">
        <f t="shared" si="134"/>
        <v>0</v>
      </c>
      <c r="BK196" s="3174">
        <f t="shared" si="135"/>
        <v>0</v>
      </c>
      <c r="BL196" s="3174">
        <f t="shared" si="136"/>
        <v>0</v>
      </c>
      <c r="BM196" s="3174">
        <f t="shared" si="137"/>
        <v>0</v>
      </c>
      <c r="BN196" s="3174">
        <f t="shared" si="138"/>
        <v>0</v>
      </c>
      <c r="BO196" s="3174">
        <f t="shared" si="139"/>
        <v>0</v>
      </c>
      <c r="BP196" s="3174">
        <f t="shared" si="140"/>
        <v>0</v>
      </c>
      <c r="BQ196" s="3174">
        <f t="shared" si="141"/>
        <v>0</v>
      </c>
      <c r="BR196" s="3174">
        <f t="shared" si="142"/>
        <v>0</v>
      </c>
      <c r="BS196" s="3174">
        <f t="shared" si="143"/>
        <v>0</v>
      </c>
      <c r="BT196" s="3249">
        <f t="shared" si="144"/>
        <v>0</v>
      </c>
    </row>
    <row r="197" spans="1:72">
      <c r="A197" s="489"/>
      <c r="B197" s="356"/>
      <c r="C197" s="356"/>
      <c r="D197" s="3182"/>
      <c r="E197" s="3174">
        <f t="shared" si="145"/>
        <v>0</v>
      </c>
      <c r="F197" s="3175"/>
      <c r="G197" s="3176">
        <f t="shared" si="120"/>
        <v>0</v>
      </c>
      <c r="H197" s="3177">
        <f t="shared" si="121"/>
        <v>0</v>
      </c>
      <c r="I197" s="3200"/>
      <c r="J197" s="3200"/>
      <c r="K197" s="3200"/>
      <c r="L197" s="3200"/>
      <c r="M197" s="3200"/>
      <c r="N197" s="3200"/>
      <c r="O197" s="3200"/>
      <c r="P197" s="3200"/>
      <c r="Q197" s="3200"/>
      <c r="R197" s="3200"/>
      <c r="S197" s="3200"/>
      <c r="T197" s="3200"/>
      <c r="U197" s="3200"/>
      <c r="V197" s="3200"/>
      <c r="W197" s="3200"/>
      <c r="X197" s="3200"/>
      <c r="Y197" s="3200"/>
      <c r="Z197" s="3200"/>
      <c r="AA197" s="3200"/>
      <c r="AB197" s="3200"/>
      <c r="AC197" s="3174">
        <f t="shared" si="122"/>
        <v>0</v>
      </c>
      <c r="AD197" s="3212"/>
      <c r="AE197" s="3212"/>
      <c r="AF197" s="3212"/>
      <c r="AG197" s="3212"/>
      <c r="AH197" s="3212"/>
      <c r="AI197" s="3212"/>
      <c r="AJ197" s="3212"/>
      <c r="AK197" s="3212"/>
      <c r="AL197" s="3212"/>
      <c r="AM197" s="3212"/>
      <c r="AN197" s="3212"/>
      <c r="AO197" s="3212"/>
      <c r="AP197" s="3212"/>
      <c r="AQ197" s="3212"/>
      <c r="AR197" s="3212"/>
      <c r="AS197" s="3212"/>
      <c r="AT197" s="3175"/>
      <c r="AU197" s="3232"/>
      <c r="AV197" s="466">
        <f t="shared" si="146"/>
        <v>0</v>
      </c>
      <c r="AW197" s="466">
        <f t="shared" si="147"/>
        <v>0</v>
      </c>
      <c r="AX197" s="466">
        <f t="shared" si="148"/>
        <v>0</v>
      </c>
      <c r="AY197" s="385">
        <f t="shared" si="123"/>
        <v>0</v>
      </c>
      <c r="AZ197" s="3174">
        <f t="shared" si="124"/>
        <v>0</v>
      </c>
      <c r="BA197" s="3174">
        <f t="shared" si="125"/>
        <v>0</v>
      </c>
      <c r="BB197" s="3174">
        <f t="shared" si="126"/>
        <v>0</v>
      </c>
      <c r="BC197" s="3174">
        <f t="shared" si="127"/>
        <v>0</v>
      </c>
      <c r="BD197" s="3174">
        <f t="shared" si="128"/>
        <v>0</v>
      </c>
      <c r="BE197" s="3174">
        <f t="shared" si="129"/>
        <v>0</v>
      </c>
      <c r="BF197" s="3174">
        <f t="shared" si="130"/>
        <v>0</v>
      </c>
      <c r="BG197" s="3174">
        <f t="shared" si="131"/>
        <v>0</v>
      </c>
      <c r="BH197" s="3174">
        <f t="shared" si="132"/>
        <v>0</v>
      </c>
      <c r="BI197" s="3174">
        <f t="shared" si="133"/>
        <v>0</v>
      </c>
      <c r="BJ197" s="3174">
        <f t="shared" si="134"/>
        <v>0</v>
      </c>
      <c r="BK197" s="3174">
        <f t="shared" si="135"/>
        <v>0</v>
      </c>
      <c r="BL197" s="3174">
        <f t="shared" si="136"/>
        <v>0</v>
      </c>
      <c r="BM197" s="3174">
        <f t="shared" si="137"/>
        <v>0</v>
      </c>
      <c r="BN197" s="3174">
        <f t="shared" si="138"/>
        <v>0</v>
      </c>
      <c r="BO197" s="3174">
        <f t="shared" si="139"/>
        <v>0</v>
      </c>
      <c r="BP197" s="3174">
        <f t="shared" si="140"/>
        <v>0</v>
      </c>
      <c r="BQ197" s="3174">
        <f t="shared" si="141"/>
        <v>0</v>
      </c>
      <c r="BR197" s="3174">
        <f t="shared" si="142"/>
        <v>0</v>
      </c>
      <c r="BS197" s="3174">
        <f t="shared" si="143"/>
        <v>0</v>
      </c>
      <c r="BT197" s="3249">
        <f t="shared" si="144"/>
        <v>0</v>
      </c>
    </row>
    <row r="198" spans="1:72">
      <c r="A198" s="489"/>
      <c r="B198" s="356"/>
      <c r="C198" s="356"/>
      <c r="D198" s="3182"/>
      <c r="E198" s="3174">
        <f t="shared" si="145"/>
        <v>0</v>
      </c>
      <c r="F198" s="3175"/>
      <c r="G198" s="3176">
        <f t="shared" si="120"/>
        <v>0</v>
      </c>
      <c r="H198" s="3177">
        <f t="shared" si="121"/>
        <v>0</v>
      </c>
      <c r="I198" s="3200"/>
      <c r="J198" s="3200"/>
      <c r="K198" s="3200"/>
      <c r="L198" s="3200"/>
      <c r="M198" s="3200"/>
      <c r="N198" s="3200"/>
      <c r="O198" s="3200"/>
      <c r="P198" s="3200"/>
      <c r="Q198" s="3200"/>
      <c r="R198" s="3200"/>
      <c r="S198" s="3200"/>
      <c r="T198" s="3200"/>
      <c r="U198" s="3200"/>
      <c r="V198" s="3200"/>
      <c r="W198" s="3200"/>
      <c r="X198" s="3200"/>
      <c r="Y198" s="3200"/>
      <c r="Z198" s="3200"/>
      <c r="AA198" s="3200"/>
      <c r="AB198" s="3200"/>
      <c r="AC198" s="3174">
        <f t="shared" si="122"/>
        <v>0</v>
      </c>
      <c r="AD198" s="3212"/>
      <c r="AE198" s="3212"/>
      <c r="AF198" s="3212"/>
      <c r="AG198" s="3212"/>
      <c r="AH198" s="3212"/>
      <c r="AI198" s="3212"/>
      <c r="AJ198" s="3212"/>
      <c r="AK198" s="3212"/>
      <c r="AL198" s="3212"/>
      <c r="AM198" s="3212"/>
      <c r="AN198" s="3212"/>
      <c r="AO198" s="3212"/>
      <c r="AP198" s="3212"/>
      <c r="AQ198" s="3212"/>
      <c r="AR198" s="3212"/>
      <c r="AS198" s="3212"/>
      <c r="AT198" s="3175"/>
      <c r="AU198" s="3232"/>
      <c r="AV198" s="466">
        <f t="shared" si="146"/>
        <v>0</v>
      </c>
      <c r="AW198" s="466">
        <f t="shared" si="147"/>
        <v>0</v>
      </c>
      <c r="AX198" s="466">
        <f t="shared" si="148"/>
        <v>0</v>
      </c>
      <c r="AY198" s="385">
        <f t="shared" si="123"/>
        <v>0</v>
      </c>
      <c r="AZ198" s="3174">
        <f t="shared" si="124"/>
        <v>0</v>
      </c>
      <c r="BA198" s="3174">
        <f t="shared" si="125"/>
        <v>0</v>
      </c>
      <c r="BB198" s="3174">
        <f t="shared" si="126"/>
        <v>0</v>
      </c>
      <c r="BC198" s="3174">
        <f t="shared" si="127"/>
        <v>0</v>
      </c>
      <c r="BD198" s="3174">
        <f t="shared" si="128"/>
        <v>0</v>
      </c>
      <c r="BE198" s="3174">
        <f t="shared" si="129"/>
        <v>0</v>
      </c>
      <c r="BF198" s="3174">
        <f t="shared" si="130"/>
        <v>0</v>
      </c>
      <c r="BG198" s="3174">
        <f t="shared" si="131"/>
        <v>0</v>
      </c>
      <c r="BH198" s="3174">
        <f t="shared" si="132"/>
        <v>0</v>
      </c>
      <c r="BI198" s="3174">
        <f t="shared" si="133"/>
        <v>0</v>
      </c>
      <c r="BJ198" s="3174">
        <f t="shared" si="134"/>
        <v>0</v>
      </c>
      <c r="BK198" s="3174">
        <f t="shared" si="135"/>
        <v>0</v>
      </c>
      <c r="BL198" s="3174">
        <f t="shared" si="136"/>
        <v>0</v>
      </c>
      <c r="BM198" s="3174">
        <f t="shared" si="137"/>
        <v>0</v>
      </c>
      <c r="BN198" s="3174">
        <f t="shared" si="138"/>
        <v>0</v>
      </c>
      <c r="BO198" s="3174">
        <f t="shared" si="139"/>
        <v>0</v>
      </c>
      <c r="BP198" s="3174">
        <f t="shared" si="140"/>
        <v>0</v>
      </c>
      <c r="BQ198" s="3174">
        <f t="shared" si="141"/>
        <v>0</v>
      </c>
      <c r="BR198" s="3174">
        <f t="shared" si="142"/>
        <v>0</v>
      </c>
      <c r="BS198" s="3174">
        <f t="shared" si="143"/>
        <v>0</v>
      </c>
      <c r="BT198" s="3249">
        <f t="shared" si="144"/>
        <v>0</v>
      </c>
    </row>
    <row r="199" spans="1:72">
      <c r="A199" s="489"/>
      <c r="B199" s="356"/>
      <c r="C199" s="356"/>
      <c r="D199" s="3182"/>
      <c r="E199" s="3174">
        <f t="shared" si="145"/>
        <v>0</v>
      </c>
      <c r="F199" s="3175"/>
      <c r="G199" s="3176">
        <f t="shared" si="120"/>
        <v>0</v>
      </c>
      <c r="H199" s="3177">
        <f t="shared" si="121"/>
        <v>0</v>
      </c>
      <c r="I199" s="3200"/>
      <c r="J199" s="3200"/>
      <c r="K199" s="3200"/>
      <c r="L199" s="3200"/>
      <c r="M199" s="3200"/>
      <c r="N199" s="3200"/>
      <c r="O199" s="3200"/>
      <c r="P199" s="3200"/>
      <c r="Q199" s="3200"/>
      <c r="R199" s="3200"/>
      <c r="S199" s="3200"/>
      <c r="T199" s="3200"/>
      <c r="U199" s="3200"/>
      <c r="V199" s="3200"/>
      <c r="W199" s="3200"/>
      <c r="X199" s="3200"/>
      <c r="Y199" s="3200"/>
      <c r="Z199" s="3200"/>
      <c r="AA199" s="3200"/>
      <c r="AB199" s="3200"/>
      <c r="AC199" s="3174">
        <f t="shared" si="122"/>
        <v>0</v>
      </c>
      <c r="AD199" s="3212"/>
      <c r="AE199" s="3212"/>
      <c r="AF199" s="3212"/>
      <c r="AG199" s="3212"/>
      <c r="AH199" s="3212"/>
      <c r="AI199" s="3212"/>
      <c r="AJ199" s="3212"/>
      <c r="AK199" s="3212"/>
      <c r="AL199" s="3212"/>
      <c r="AM199" s="3212"/>
      <c r="AN199" s="3212"/>
      <c r="AO199" s="3212"/>
      <c r="AP199" s="3212"/>
      <c r="AQ199" s="3212"/>
      <c r="AR199" s="3212"/>
      <c r="AS199" s="3212"/>
      <c r="AT199" s="3175"/>
      <c r="AU199" s="3232"/>
      <c r="AV199" s="466">
        <f t="shared" si="146"/>
        <v>0</v>
      </c>
      <c r="AW199" s="466">
        <f t="shared" si="147"/>
        <v>0</v>
      </c>
      <c r="AX199" s="466">
        <f t="shared" si="148"/>
        <v>0</v>
      </c>
      <c r="AY199" s="385">
        <f t="shared" si="123"/>
        <v>0</v>
      </c>
      <c r="AZ199" s="3174">
        <f t="shared" si="124"/>
        <v>0</v>
      </c>
      <c r="BA199" s="3174">
        <f t="shared" si="125"/>
        <v>0</v>
      </c>
      <c r="BB199" s="3174">
        <f t="shared" si="126"/>
        <v>0</v>
      </c>
      <c r="BC199" s="3174">
        <f t="shared" si="127"/>
        <v>0</v>
      </c>
      <c r="BD199" s="3174">
        <f t="shared" si="128"/>
        <v>0</v>
      </c>
      <c r="BE199" s="3174">
        <f t="shared" si="129"/>
        <v>0</v>
      </c>
      <c r="BF199" s="3174">
        <f t="shared" si="130"/>
        <v>0</v>
      </c>
      <c r="BG199" s="3174">
        <f t="shared" si="131"/>
        <v>0</v>
      </c>
      <c r="BH199" s="3174">
        <f t="shared" si="132"/>
        <v>0</v>
      </c>
      <c r="BI199" s="3174">
        <f t="shared" si="133"/>
        <v>0</v>
      </c>
      <c r="BJ199" s="3174">
        <f t="shared" si="134"/>
        <v>0</v>
      </c>
      <c r="BK199" s="3174">
        <f t="shared" si="135"/>
        <v>0</v>
      </c>
      <c r="BL199" s="3174">
        <f t="shared" si="136"/>
        <v>0</v>
      </c>
      <c r="BM199" s="3174">
        <f t="shared" si="137"/>
        <v>0</v>
      </c>
      <c r="BN199" s="3174">
        <f t="shared" si="138"/>
        <v>0</v>
      </c>
      <c r="BO199" s="3174">
        <f t="shared" si="139"/>
        <v>0</v>
      </c>
      <c r="BP199" s="3174">
        <f t="shared" si="140"/>
        <v>0</v>
      </c>
      <c r="BQ199" s="3174">
        <f t="shared" si="141"/>
        <v>0</v>
      </c>
      <c r="BR199" s="3174">
        <f t="shared" si="142"/>
        <v>0</v>
      </c>
      <c r="BS199" s="3174">
        <f t="shared" si="143"/>
        <v>0</v>
      </c>
      <c r="BT199" s="3249">
        <f t="shared" si="144"/>
        <v>0</v>
      </c>
    </row>
    <row r="200" spans="1:72">
      <c r="A200" s="489"/>
      <c r="B200" s="356"/>
      <c r="C200" s="356"/>
      <c r="D200" s="3182"/>
      <c r="E200" s="3174">
        <f t="shared" si="145"/>
        <v>0</v>
      </c>
      <c r="F200" s="3175"/>
      <c r="G200" s="3176">
        <f t="shared" si="120"/>
        <v>0</v>
      </c>
      <c r="H200" s="3177">
        <f t="shared" si="121"/>
        <v>0</v>
      </c>
      <c r="I200" s="3200"/>
      <c r="J200" s="3200"/>
      <c r="K200" s="3200"/>
      <c r="L200" s="3200"/>
      <c r="M200" s="3200"/>
      <c r="N200" s="3200"/>
      <c r="O200" s="3200"/>
      <c r="P200" s="3200"/>
      <c r="Q200" s="3200"/>
      <c r="R200" s="3200"/>
      <c r="S200" s="3200"/>
      <c r="T200" s="3200"/>
      <c r="U200" s="3200"/>
      <c r="V200" s="3200"/>
      <c r="W200" s="3200"/>
      <c r="X200" s="3200"/>
      <c r="Y200" s="3200"/>
      <c r="Z200" s="3200"/>
      <c r="AA200" s="3200"/>
      <c r="AB200" s="3200"/>
      <c r="AC200" s="3174">
        <f t="shared" si="122"/>
        <v>0</v>
      </c>
      <c r="AD200" s="3212"/>
      <c r="AE200" s="3212"/>
      <c r="AF200" s="3212"/>
      <c r="AG200" s="3212"/>
      <c r="AH200" s="3212"/>
      <c r="AI200" s="3212"/>
      <c r="AJ200" s="3212"/>
      <c r="AK200" s="3212"/>
      <c r="AL200" s="3212"/>
      <c r="AM200" s="3212"/>
      <c r="AN200" s="3212"/>
      <c r="AO200" s="3212"/>
      <c r="AP200" s="3212"/>
      <c r="AQ200" s="3212"/>
      <c r="AR200" s="3212"/>
      <c r="AS200" s="3212"/>
      <c r="AT200" s="3175"/>
      <c r="AU200" s="3232"/>
      <c r="AV200" s="466">
        <f t="shared" si="146"/>
        <v>0</v>
      </c>
      <c r="AW200" s="466">
        <f t="shared" si="147"/>
        <v>0</v>
      </c>
      <c r="AX200" s="466">
        <f t="shared" si="148"/>
        <v>0</v>
      </c>
      <c r="AY200" s="385">
        <f t="shared" si="123"/>
        <v>0</v>
      </c>
      <c r="AZ200" s="3174">
        <f t="shared" si="124"/>
        <v>0</v>
      </c>
      <c r="BA200" s="3174">
        <f t="shared" si="125"/>
        <v>0</v>
      </c>
      <c r="BB200" s="3174">
        <f t="shared" si="126"/>
        <v>0</v>
      </c>
      <c r="BC200" s="3174">
        <f t="shared" si="127"/>
        <v>0</v>
      </c>
      <c r="BD200" s="3174">
        <f t="shared" si="128"/>
        <v>0</v>
      </c>
      <c r="BE200" s="3174">
        <f t="shared" si="129"/>
        <v>0</v>
      </c>
      <c r="BF200" s="3174">
        <f t="shared" si="130"/>
        <v>0</v>
      </c>
      <c r="BG200" s="3174">
        <f t="shared" si="131"/>
        <v>0</v>
      </c>
      <c r="BH200" s="3174">
        <f t="shared" si="132"/>
        <v>0</v>
      </c>
      <c r="BI200" s="3174">
        <f t="shared" si="133"/>
        <v>0</v>
      </c>
      <c r="BJ200" s="3174">
        <f t="shared" si="134"/>
        <v>0</v>
      </c>
      <c r="BK200" s="3174">
        <f t="shared" si="135"/>
        <v>0</v>
      </c>
      <c r="BL200" s="3174">
        <f t="shared" si="136"/>
        <v>0</v>
      </c>
      <c r="BM200" s="3174">
        <f t="shared" si="137"/>
        <v>0</v>
      </c>
      <c r="BN200" s="3174">
        <f t="shared" si="138"/>
        <v>0</v>
      </c>
      <c r="BO200" s="3174">
        <f t="shared" si="139"/>
        <v>0</v>
      </c>
      <c r="BP200" s="3174">
        <f t="shared" si="140"/>
        <v>0</v>
      </c>
      <c r="BQ200" s="3174">
        <f t="shared" si="141"/>
        <v>0</v>
      </c>
      <c r="BR200" s="3174">
        <f t="shared" si="142"/>
        <v>0</v>
      </c>
      <c r="BS200" s="3174">
        <f t="shared" si="143"/>
        <v>0</v>
      </c>
      <c r="BT200" s="3249">
        <f t="shared" si="144"/>
        <v>0</v>
      </c>
    </row>
    <row r="201" spans="1:72">
      <c r="A201" s="489"/>
      <c r="B201" s="356"/>
      <c r="C201" s="356"/>
      <c r="D201" s="3182"/>
      <c r="E201" s="3174">
        <f t="shared" si="145"/>
        <v>0</v>
      </c>
      <c r="F201" s="3175"/>
      <c r="G201" s="3176">
        <f t="shared" si="120"/>
        <v>0</v>
      </c>
      <c r="H201" s="3177">
        <f t="shared" si="121"/>
        <v>0</v>
      </c>
      <c r="I201" s="3200"/>
      <c r="J201" s="3200"/>
      <c r="K201" s="3200"/>
      <c r="L201" s="3200"/>
      <c r="M201" s="3200"/>
      <c r="N201" s="3200"/>
      <c r="O201" s="3200"/>
      <c r="P201" s="3200"/>
      <c r="Q201" s="3200"/>
      <c r="R201" s="3200"/>
      <c r="S201" s="3200"/>
      <c r="T201" s="3200"/>
      <c r="U201" s="3200"/>
      <c r="V201" s="3200"/>
      <c r="W201" s="3200"/>
      <c r="X201" s="3200"/>
      <c r="Y201" s="3200"/>
      <c r="Z201" s="3200"/>
      <c r="AA201" s="3200"/>
      <c r="AB201" s="3200"/>
      <c r="AC201" s="3174">
        <f t="shared" si="122"/>
        <v>0</v>
      </c>
      <c r="AD201" s="3212"/>
      <c r="AE201" s="3212"/>
      <c r="AF201" s="3212"/>
      <c r="AG201" s="3212"/>
      <c r="AH201" s="3212"/>
      <c r="AI201" s="3212"/>
      <c r="AJ201" s="3212"/>
      <c r="AK201" s="3212"/>
      <c r="AL201" s="3212"/>
      <c r="AM201" s="3212"/>
      <c r="AN201" s="3212"/>
      <c r="AO201" s="3212"/>
      <c r="AP201" s="3212"/>
      <c r="AQ201" s="3212"/>
      <c r="AR201" s="3212"/>
      <c r="AS201" s="3212"/>
      <c r="AT201" s="3175"/>
      <c r="AU201" s="3232"/>
      <c r="AV201" s="466">
        <f t="shared" si="146"/>
        <v>0</v>
      </c>
      <c r="AW201" s="466">
        <f t="shared" si="147"/>
        <v>0</v>
      </c>
      <c r="AX201" s="466">
        <f t="shared" si="148"/>
        <v>0</v>
      </c>
      <c r="AY201" s="385">
        <f t="shared" si="123"/>
        <v>0</v>
      </c>
      <c r="AZ201" s="3174">
        <f t="shared" si="124"/>
        <v>0</v>
      </c>
      <c r="BA201" s="3174">
        <f t="shared" si="125"/>
        <v>0</v>
      </c>
      <c r="BB201" s="3174">
        <f t="shared" si="126"/>
        <v>0</v>
      </c>
      <c r="BC201" s="3174">
        <f t="shared" si="127"/>
        <v>0</v>
      </c>
      <c r="BD201" s="3174">
        <f t="shared" si="128"/>
        <v>0</v>
      </c>
      <c r="BE201" s="3174">
        <f t="shared" si="129"/>
        <v>0</v>
      </c>
      <c r="BF201" s="3174">
        <f t="shared" si="130"/>
        <v>0</v>
      </c>
      <c r="BG201" s="3174">
        <f t="shared" si="131"/>
        <v>0</v>
      </c>
      <c r="BH201" s="3174">
        <f t="shared" si="132"/>
        <v>0</v>
      </c>
      <c r="BI201" s="3174">
        <f t="shared" si="133"/>
        <v>0</v>
      </c>
      <c r="BJ201" s="3174">
        <f t="shared" si="134"/>
        <v>0</v>
      </c>
      <c r="BK201" s="3174">
        <f t="shared" si="135"/>
        <v>0</v>
      </c>
      <c r="BL201" s="3174">
        <f t="shared" si="136"/>
        <v>0</v>
      </c>
      <c r="BM201" s="3174">
        <f t="shared" si="137"/>
        <v>0</v>
      </c>
      <c r="BN201" s="3174">
        <f t="shared" si="138"/>
        <v>0</v>
      </c>
      <c r="BO201" s="3174">
        <f t="shared" si="139"/>
        <v>0</v>
      </c>
      <c r="BP201" s="3174">
        <f t="shared" si="140"/>
        <v>0</v>
      </c>
      <c r="BQ201" s="3174">
        <f t="shared" si="141"/>
        <v>0</v>
      </c>
      <c r="BR201" s="3174">
        <f t="shared" si="142"/>
        <v>0</v>
      </c>
      <c r="BS201" s="3174">
        <f t="shared" si="143"/>
        <v>0</v>
      </c>
      <c r="BT201" s="3249">
        <f t="shared" si="144"/>
        <v>0</v>
      </c>
    </row>
    <row r="202" spans="1:72">
      <c r="A202" s="489"/>
      <c r="B202" s="489"/>
      <c r="C202" s="489"/>
      <c r="D202" s="3182"/>
      <c r="E202" s="3174">
        <f t="shared" si="145"/>
        <v>0</v>
      </c>
      <c r="F202" s="3212"/>
      <c r="G202" s="3176">
        <f t="shared" si="120"/>
        <v>0</v>
      </c>
      <c r="H202" s="3177">
        <f t="shared" si="121"/>
        <v>0</v>
      </c>
      <c r="I202" s="3250"/>
      <c r="J202" s="3250"/>
      <c r="K202" s="3200"/>
      <c r="L202" s="3200"/>
      <c r="M202" s="3200"/>
      <c r="N202" s="3200"/>
      <c r="O202" s="3200"/>
      <c r="P202" s="3200"/>
      <c r="Q202" s="3200"/>
      <c r="R202" s="3200"/>
      <c r="S202" s="3200"/>
      <c r="T202" s="3200"/>
      <c r="U202" s="3200"/>
      <c r="V202" s="3200"/>
      <c r="W202" s="3200"/>
      <c r="X202" s="3200"/>
      <c r="Y202" s="3200"/>
      <c r="Z202" s="3200"/>
      <c r="AA202" s="3200"/>
      <c r="AB202" s="3200"/>
      <c r="AC202" s="3174">
        <f t="shared" si="122"/>
        <v>0</v>
      </c>
      <c r="AD202" s="3212"/>
      <c r="AE202" s="3212"/>
      <c r="AF202" s="3212"/>
      <c r="AG202" s="3212"/>
      <c r="AH202" s="3212"/>
      <c r="AI202" s="3212"/>
      <c r="AJ202" s="3212"/>
      <c r="AK202" s="3212"/>
      <c r="AL202" s="3212"/>
      <c r="AM202" s="3212"/>
      <c r="AN202" s="3212"/>
      <c r="AO202" s="3212"/>
      <c r="AP202" s="3212"/>
      <c r="AQ202" s="3212"/>
      <c r="AR202" s="3212"/>
      <c r="AS202" s="3212"/>
      <c r="AT202" s="3212"/>
      <c r="AU202" s="548"/>
      <c r="AV202" s="466">
        <f t="shared" si="146"/>
        <v>0</v>
      </c>
      <c r="AW202" s="466">
        <f t="shared" si="147"/>
        <v>0</v>
      </c>
      <c r="AX202" s="466">
        <f t="shared" si="148"/>
        <v>0</v>
      </c>
      <c r="AY202" s="385">
        <f t="shared" si="123"/>
        <v>0</v>
      </c>
      <c r="AZ202" s="3174">
        <f t="shared" si="124"/>
        <v>0</v>
      </c>
      <c r="BA202" s="3174">
        <f t="shared" si="125"/>
        <v>0</v>
      </c>
      <c r="BB202" s="3174">
        <f t="shared" si="126"/>
        <v>0</v>
      </c>
      <c r="BC202" s="3174">
        <f t="shared" si="127"/>
        <v>0</v>
      </c>
      <c r="BD202" s="3174">
        <f t="shared" si="128"/>
        <v>0</v>
      </c>
      <c r="BE202" s="3174">
        <f t="shared" si="129"/>
        <v>0</v>
      </c>
      <c r="BF202" s="3174">
        <f t="shared" si="130"/>
        <v>0</v>
      </c>
      <c r="BG202" s="3174">
        <f t="shared" si="131"/>
        <v>0</v>
      </c>
      <c r="BH202" s="3174">
        <f t="shared" si="132"/>
        <v>0</v>
      </c>
      <c r="BI202" s="3174">
        <f t="shared" si="133"/>
        <v>0</v>
      </c>
      <c r="BJ202" s="3174">
        <f t="shared" si="134"/>
        <v>0</v>
      </c>
      <c r="BK202" s="3174">
        <f t="shared" si="135"/>
        <v>0</v>
      </c>
      <c r="BL202" s="3174">
        <f t="shared" si="136"/>
        <v>0</v>
      </c>
      <c r="BM202" s="3174">
        <f t="shared" si="137"/>
        <v>0</v>
      </c>
      <c r="BN202" s="3174">
        <f t="shared" si="138"/>
        <v>0</v>
      </c>
      <c r="BO202" s="3174">
        <f t="shared" si="139"/>
        <v>0</v>
      </c>
      <c r="BP202" s="3174">
        <f t="shared" si="140"/>
        <v>0</v>
      </c>
      <c r="BQ202" s="3174">
        <f t="shared" si="141"/>
        <v>0</v>
      </c>
      <c r="BR202" s="3174">
        <f t="shared" si="142"/>
        <v>0</v>
      </c>
      <c r="BS202" s="3174">
        <f t="shared" si="143"/>
        <v>0</v>
      </c>
      <c r="BT202" s="3249">
        <f t="shared" si="144"/>
        <v>0</v>
      </c>
    </row>
    <row r="203" spans="1:72">
      <c r="A203" s="489"/>
      <c r="B203" s="489"/>
      <c r="C203" s="489"/>
      <c r="D203" s="3182"/>
      <c r="E203" s="3174">
        <f t="shared" si="145"/>
        <v>0</v>
      </c>
      <c r="F203" s="3212"/>
      <c r="G203" s="3176">
        <f t="shared" si="120"/>
        <v>0</v>
      </c>
      <c r="H203" s="3177">
        <f t="shared" si="121"/>
        <v>0</v>
      </c>
      <c r="I203" s="3200"/>
      <c r="J203" s="3200"/>
      <c r="K203" s="3200"/>
      <c r="L203" s="3200"/>
      <c r="M203" s="3200"/>
      <c r="N203" s="3200"/>
      <c r="O203" s="3200"/>
      <c r="P203" s="3200"/>
      <c r="Q203" s="3200"/>
      <c r="R203" s="3200"/>
      <c r="S203" s="3200"/>
      <c r="T203" s="3200"/>
      <c r="U203" s="3200"/>
      <c r="V203" s="3200"/>
      <c r="W203" s="3200"/>
      <c r="X203" s="3200"/>
      <c r="Y203" s="3200"/>
      <c r="Z203" s="3200"/>
      <c r="AA203" s="3200"/>
      <c r="AB203" s="3200"/>
      <c r="AC203" s="3174">
        <f t="shared" si="122"/>
        <v>0</v>
      </c>
      <c r="AD203" s="3212"/>
      <c r="AE203" s="3212"/>
      <c r="AF203" s="3212"/>
      <c r="AG203" s="3212"/>
      <c r="AH203" s="3212"/>
      <c r="AI203" s="3212"/>
      <c r="AJ203" s="3212"/>
      <c r="AK203" s="3212"/>
      <c r="AL203" s="3212"/>
      <c r="AM203" s="3212"/>
      <c r="AN203" s="3212"/>
      <c r="AO203" s="3212"/>
      <c r="AP203" s="3212"/>
      <c r="AQ203" s="3212"/>
      <c r="AR203" s="3212"/>
      <c r="AS203" s="3212"/>
      <c r="AT203" s="3212"/>
      <c r="AU203" s="548"/>
      <c r="AV203" s="466">
        <f t="shared" si="146"/>
        <v>0</v>
      </c>
      <c r="AW203" s="466">
        <f t="shared" si="147"/>
        <v>0</v>
      </c>
      <c r="AX203" s="466">
        <f t="shared" si="148"/>
        <v>0</v>
      </c>
      <c r="AY203" s="385">
        <f t="shared" si="123"/>
        <v>0</v>
      </c>
      <c r="AZ203" s="3174">
        <f t="shared" si="124"/>
        <v>0</v>
      </c>
      <c r="BA203" s="3174">
        <f t="shared" si="125"/>
        <v>0</v>
      </c>
      <c r="BB203" s="3174">
        <f t="shared" si="126"/>
        <v>0</v>
      </c>
      <c r="BC203" s="3174">
        <f t="shared" si="127"/>
        <v>0</v>
      </c>
      <c r="BD203" s="3174">
        <f t="shared" si="128"/>
        <v>0</v>
      </c>
      <c r="BE203" s="3174">
        <f t="shared" si="129"/>
        <v>0</v>
      </c>
      <c r="BF203" s="3174">
        <f t="shared" si="130"/>
        <v>0</v>
      </c>
      <c r="BG203" s="3174">
        <f t="shared" si="131"/>
        <v>0</v>
      </c>
      <c r="BH203" s="3174">
        <f t="shared" si="132"/>
        <v>0</v>
      </c>
      <c r="BI203" s="3174">
        <f t="shared" si="133"/>
        <v>0</v>
      </c>
      <c r="BJ203" s="3174">
        <f t="shared" si="134"/>
        <v>0</v>
      </c>
      <c r="BK203" s="3174">
        <f t="shared" si="135"/>
        <v>0</v>
      </c>
      <c r="BL203" s="3174">
        <f t="shared" si="136"/>
        <v>0</v>
      </c>
      <c r="BM203" s="3174">
        <f t="shared" si="137"/>
        <v>0</v>
      </c>
      <c r="BN203" s="3174">
        <f t="shared" si="138"/>
        <v>0</v>
      </c>
      <c r="BO203" s="3174">
        <f t="shared" si="139"/>
        <v>0</v>
      </c>
      <c r="BP203" s="3174">
        <f t="shared" si="140"/>
        <v>0</v>
      </c>
      <c r="BQ203" s="3174">
        <f t="shared" si="141"/>
        <v>0</v>
      </c>
      <c r="BR203" s="3174">
        <f t="shared" si="142"/>
        <v>0</v>
      </c>
      <c r="BS203" s="3174">
        <f t="shared" si="143"/>
        <v>0</v>
      </c>
      <c r="BT203" s="3249">
        <f t="shared" si="144"/>
        <v>0</v>
      </c>
    </row>
    <row r="204" spans="1:72">
      <c r="A204" s="489"/>
      <c r="B204" s="489"/>
      <c r="C204" s="489"/>
      <c r="D204" s="3182"/>
      <c r="E204" s="3174">
        <f t="shared" si="145"/>
        <v>0</v>
      </c>
      <c r="F204" s="3212"/>
      <c r="G204" s="3176">
        <f t="shared" si="120"/>
        <v>0</v>
      </c>
      <c r="H204" s="3177">
        <f t="shared" si="121"/>
        <v>0</v>
      </c>
      <c r="I204" s="3200"/>
      <c r="J204" s="3200"/>
      <c r="K204" s="3200"/>
      <c r="L204" s="3200"/>
      <c r="M204" s="3200"/>
      <c r="N204" s="3200"/>
      <c r="O204" s="3200"/>
      <c r="P204" s="3200"/>
      <c r="Q204" s="3200"/>
      <c r="R204" s="3200"/>
      <c r="S204" s="3200"/>
      <c r="T204" s="3200"/>
      <c r="U204" s="3200"/>
      <c r="V204" s="3200"/>
      <c r="W204" s="3200"/>
      <c r="X204" s="3200"/>
      <c r="Y204" s="3200"/>
      <c r="Z204" s="3200"/>
      <c r="AA204" s="3200"/>
      <c r="AB204" s="3200"/>
      <c r="AC204" s="3174">
        <f t="shared" si="122"/>
        <v>0</v>
      </c>
      <c r="AD204" s="3212"/>
      <c r="AE204" s="3212"/>
      <c r="AF204" s="3212"/>
      <c r="AG204" s="3212"/>
      <c r="AH204" s="3212"/>
      <c r="AI204" s="3212"/>
      <c r="AJ204" s="3212"/>
      <c r="AK204" s="3212"/>
      <c r="AL204" s="3212"/>
      <c r="AM204" s="3212"/>
      <c r="AN204" s="3212"/>
      <c r="AO204" s="3212"/>
      <c r="AP204" s="3212"/>
      <c r="AQ204" s="3212"/>
      <c r="AR204" s="3212"/>
      <c r="AS204" s="3212"/>
      <c r="AT204" s="3212"/>
      <c r="AU204" s="548"/>
      <c r="AV204" s="466">
        <f t="shared" si="146"/>
        <v>0</v>
      </c>
      <c r="AW204" s="466">
        <f t="shared" si="147"/>
        <v>0</v>
      </c>
      <c r="AX204" s="466">
        <f t="shared" si="148"/>
        <v>0</v>
      </c>
      <c r="AY204" s="385">
        <f t="shared" si="123"/>
        <v>0</v>
      </c>
      <c r="AZ204" s="3174">
        <f t="shared" si="124"/>
        <v>0</v>
      </c>
      <c r="BA204" s="3174">
        <f t="shared" si="125"/>
        <v>0</v>
      </c>
      <c r="BB204" s="3174">
        <f t="shared" si="126"/>
        <v>0</v>
      </c>
      <c r="BC204" s="3174">
        <f t="shared" si="127"/>
        <v>0</v>
      </c>
      <c r="BD204" s="3174">
        <f t="shared" si="128"/>
        <v>0</v>
      </c>
      <c r="BE204" s="3174">
        <f t="shared" si="129"/>
        <v>0</v>
      </c>
      <c r="BF204" s="3174">
        <f t="shared" si="130"/>
        <v>0</v>
      </c>
      <c r="BG204" s="3174">
        <f t="shared" si="131"/>
        <v>0</v>
      </c>
      <c r="BH204" s="3174">
        <f t="shared" si="132"/>
        <v>0</v>
      </c>
      <c r="BI204" s="3174">
        <f t="shared" si="133"/>
        <v>0</v>
      </c>
      <c r="BJ204" s="3174">
        <f t="shared" si="134"/>
        <v>0</v>
      </c>
      <c r="BK204" s="3174">
        <f t="shared" si="135"/>
        <v>0</v>
      </c>
      <c r="BL204" s="3174">
        <f t="shared" si="136"/>
        <v>0</v>
      </c>
      <c r="BM204" s="3174">
        <f t="shared" si="137"/>
        <v>0</v>
      </c>
      <c r="BN204" s="3174">
        <f t="shared" si="138"/>
        <v>0</v>
      </c>
      <c r="BO204" s="3174">
        <f t="shared" si="139"/>
        <v>0</v>
      </c>
      <c r="BP204" s="3174">
        <f t="shared" si="140"/>
        <v>0</v>
      </c>
      <c r="BQ204" s="3174">
        <f t="shared" si="141"/>
        <v>0</v>
      </c>
      <c r="BR204" s="3174">
        <f t="shared" si="142"/>
        <v>0</v>
      </c>
      <c r="BS204" s="3174">
        <f t="shared" si="143"/>
        <v>0</v>
      </c>
      <c r="BT204" s="3249">
        <f t="shared" si="144"/>
        <v>0</v>
      </c>
    </row>
    <row r="205" spans="1:72">
      <c r="A205" s="489"/>
      <c r="B205" s="3179"/>
      <c r="C205" s="3180"/>
      <c r="D205" s="3181"/>
      <c r="E205" s="3174">
        <f t="shared" ref="E205:E296" si="149">IF($C$3="是",ROUND($A$3*G205/$B$3,2),ROUND($A$3*(G205-AT205)/$B$3,2))</f>
        <v>0</v>
      </c>
      <c r="F205" s="3175"/>
      <c r="G205" s="3176">
        <f t="shared" ref="G205:G293" si="150">H205+AC205+AT205</f>
        <v>0</v>
      </c>
      <c r="H205" s="3177">
        <f t="shared" ref="H205:H293" si="151">SUMIF(I$12:AB$12,"总值",I205:AB205)</f>
        <v>0</v>
      </c>
      <c r="I205" s="3180"/>
      <c r="J205" s="3200"/>
      <c r="K205" s="3180"/>
      <c r="L205" s="3200"/>
      <c r="M205" s="3200"/>
      <c r="N205" s="3200"/>
      <c r="O205" s="3200"/>
      <c r="P205" s="3200"/>
      <c r="Q205" s="3200"/>
      <c r="R205" s="3200"/>
      <c r="S205" s="3200"/>
      <c r="T205" s="3200"/>
      <c r="U205" s="3200"/>
      <c r="V205" s="3200"/>
      <c r="W205" s="3200"/>
      <c r="X205" s="3200"/>
      <c r="Y205" s="3200"/>
      <c r="Z205" s="3200"/>
      <c r="AA205" s="3200"/>
      <c r="AB205" s="3200"/>
      <c r="AC205" s="3174">
        <f t="shared" ref="AC205:AC293" si="152">SUMIF(AD$12:AS$12,"总值",AD205:AS205)</f>
        <v>0</v>
      </c>
      <c r="AD205" s="3212"/>
      <c r="AE205" s="3212"/>
      <c r="AF205" s="3213"/>
      <c r="AG205" s="3212"/>
      <c r="AH205" s="3212"/>
      <c r="AI205" s="3212"/>
      <c r="AJ205" s="3212"/>
      <c r="AK205" s="3212"/>
      <c r="AL205" s="3212"/>
      <c r="AM205" s="3212"/>
      <c r="AN205" s="3202"/>
      <c r="AO205" s="3212"/>
      <c r="AP205" s="3212"/>
      <c r="AQ205" s="3212"/>
      <c r="AR205" s="3212"/>
      <c r="AS205" s="3212"/>
      <c r="AT205" s="3175"/>
      <c r="AU205" s="3232"/>
      <c r="AV205" s="466">
        <f t="shared" ref="AV205:AV296" si="153">A205</f>
        <v>0</v>
      </c>
      <c r="AW205" s="466">
        <f t="shared" ref="AW205:AW296" si="154">B205</f>
        <v>0</v>
      </c>
      <c r="AX205" s="466">
        <f t="shared" ref="AX205:AX296" si="155">C205</f>
        <v>0</v>
      </c>
      <c r="AY205" s="385">
        <f t="shared" ref="AY205:AY293" si="156">ROUND($AY$6*AZ205/$AZ$5,2)</f>
        <v>0</v>
      </c>
      <c r="AZ205" s="3174">
        <f t="shared" ref="AZ205:AZ293" si="157">BA205+BL205</f>
        <v>0</v>
      </c>
      <c r="BA205" s="3174">
        <f t="shared" ref="BA205:BA293" si="158">SUM(BB205:BK205)</f>
        <v>0</v>
      </c>
      <c r="BB205" s="3174">
        <f t="shared" ref="BB205:BB293" si="159">IF($D205="是",I205-J205,0)</f>
        <v>0</v>
      </c>
      <c r="BC205" s="3174">
        <f t="shared" ref="BC205:BC293" si="160">IF($D205="是",K205-L205,0)</f>
        <v>0</v>
      </c>
      <c r="BD205" s="3174">
        <f t="shared" ref="BD205:BD293" si="161">IF($D205="是",M205-N205,0)</f>
        <v>0</v>
      </c>
      <c r="BE205" s="3174">
        <f t="shared" ref="BE205:BE293" si="162">IF($D205="是",O205-P205,0)</f>
        <v>0</v>
      </c>
      <c r="BF205" s="3174">
        <f t="shared" ref="BF205:BF293" si="163">IF($D205="是",Q205-R205,0)</f>
        <v>0</v>
      </c>
      <c r="BG205" s="3174">
        <f t="shared" ref="BG205:BG293" si="164">IF($D205="是",S205-T205,0)</f>
        <v>0</v>
      </c>
      <c r="BH205" s="3174">
        <f t="shared" ref="BH205:BH293" si="165">IF($D205="是",U205-V205,0)</f>
        <v>0</v>
      </c>
      <c r="BI205" s="3174">
        <f t="shared" ref="BI205:BI293" si="166">IF($D205="是",W205-X205,0)</f>
        <v>0</v>
      </c>
      <c r="BJ205" s="3174">
        <f t="shared" ref="BJ205:BJ293" si="167">IF($D205="是",Y205-Z205,0)</f>
        <v>0</v>
      </c>
      <c r="BK205" s="3174">
        <f t="shared" ref="BK205:BK293" si="168">IF($D205="是",AA205-AB205,0)</f>
        <v>0</v>
      </c>
      <c r="BL205" s="3174">
        <f t="shared" ref="BL205:BL293" si="169">SUM(BM205:BT205)</f>
        <v>0</v>
      </c>
      <c r="BM205" s="3174">
        <f t="shared" ref="BM205:BM293" si="170">IF($D205="是",AD205-AE205,0)</f>
        <v>0</v>
      </c>
      <c r="BN205" s="3174">
        <f t="shared" ref="BN205:BN293" si="171">IF($D205="是",AF205-AG205,0)</f>
        <v>0</v>
      </c>
      <c r="BO205" s="3174">
        <f t="shared" ref="BO205:BO293" si="172">IF($D205="是",AH205-AI205,0)</f>
        <v>0</v>
      </c>
      <c r="BP205" s="3174">
        <f t="shared" ref="BP205:BP293" si="173">IF($D205="是",AJ205-AK205,0)</f>
        <v>0</v>
      </c>
      <c r="BQ205" s="3174">
        <f t="shared" ref="BQ205:BQ293" si="174">IF($D205="是",AL205-AM205,0)</f>
        <v>0</v>
      </c>
      <c r="BR205" s="3174">
        <f t="shared" ref="BR205:BR293" si="175">IF($D205="是",AN205-AO205,0)</f>
        <v>0</v>
      </c>
      <c r="BS205" s="3174">
        <f t="shared" ref="BS205:BS293" si="176">IF($D205="是",AP205-AQ205,0)</f>
        <v>0</v>
      </c>
      <c r="BT205" s="3249">
        <f t="shared" ref="BT205:BT293" si="177">IF($D205="是",AR205-AS205,0)</f>
        <v>0</v>
      </c>
    </row>
    <row r="206" spans="1:72">
      <c r="A206" s="489"/>
      <c r="B206" s="3179"/>
      <c r="C206" s="3180"/>
      <c r="D206" s="3181"/>
      <c r="E206" s="3174">
        <f t="shared" si="149"/>
        <v>0</v>
      </c>
      <c r="F206" s="3175"/>
      <c r="G206" s="3176">
        <f t="shared" si="150"/>
        <v>0</v>
      </c>
      <c r="H206" s="3177">
        <f t="shared" si="151"/>
        <v>0</v>
      </c>
      <c r="I206" s="3180"/>
      <c r="J206" s="3200"/>
      <c r="K206" s="3180"/>
      <c r="L206" s="3200"/>
      <c r="M206" s="3202"/>
      <c r="N206" s="3200"/>
      <c r="O206" s="3200"/>
      <c r="P206" s="3200"/>
      <c r="Q206" s="3200"/>
      <c r="R206" s="3200"/>
      <c r="S206" s="3200"/>
      <c r="T206" s="3200"/>
      <c r="U206" s="3200"/>
      <c r="V206" s="3200"/>
      <c r="W206" s="3200"/>
      <c r="X206" s="3200"/>
      <c r="Y206" s="3200"/>
      <c r="Z206" s="3200"/>
      <c r="AA206" s="3200"/>
      <c r="AB206" s="3200"/>
      <c r="AC206" s="3174">
        <f t="shared" si="152"/>
        <v>0</v>
      </c>
      <c r="AD206" s="3202"/>
      <c r="AE206" s="3212"/>
      <c r="AF206" s="3213"/>
      <c r="AG206" s="3212"/>
      <c r="AH206" s="3212"/>
      <c r="AI206" s="3212"/>
      <c r="AJ206" s="3212"/>
      <c r="AK206" s="3212"/>
      <c r="AL206" s="3202"/>
      <c r="AM206" s="3212"/>
      <c r="AN206" s="3202"/>
      <c r="AO206" s="3212"/>
      <c r="AP206" s="3212"/>
      <c r="AQ206" s="3212"/>
      <c r="AR206" s="3212"/>
      <c r="AS206" s="3212"/>
      <c r="AT206" s="3175"/>
      <c r="AU206" s="3232"/>
      <c r="AV206" s="466">
        <f t="shared" si="153"/>
        <v>0</v>
      </c>
      <c r="AW206" s="466">
        <f t="shared" si="154"/>
        <v>0</v>
      </c>
      <c r="AX206" s="466">
        <f t="shared" si="155"/>
        <v>0</v>
      </c>
      <c r="AY206" s="385">
        <f t="shared" si="156"/>
        <v>0</v>
      </c>
      <c r="AZ206" s="3174">
        <f t="shared" si="157"/>
        <v>0</v>
      </c>
      <c r="BA206" s="3174">
        <f t="shared" si="158"/>
        <v>0</v>
      </c>
      <c r="BB206" s="3174">
        <f t="shared" si="159"/>
        <v>0</v>
      </c>
      <c r="BC206" s="3174">
        <f t="shared" si="160"/>
        <v>0</v>
      </c>
      <c r="BD206" s="3174">
        <f t="shared" si="161"/>
        <v>0</v>
      </c>
      <c r="BE206" s="3174">
        <f t="shared" si="162"/>
        <v>0</v>
      </c>
      <c r="BF206" s="3174">
        <f t="shared" si="163"/>
        <v>0</v>
      </c>
      <c r="BG206" s="3174">
        <f t="shared" si="164"/>
        <v>0</v>
      </c>
      <c r="BH206" s="3174">
        <f t="shared" si="165"/>
        <v>0</v>
      </c>
      <c r="BI206" s="3174">
        <f t="shared" si="166"/>
        <v>0</v>
      </c>
      <c r="BJ206" s="3174">
        <f t="shared" si="167"/>
        <v>0</v>
      </c>
      <c r="BK206" s="3174">
        <f t="shared" si="168"/>
        <v>0</v>
      </c>
      <c r="BL206" s="3174">
        <f t="shared" si="169"/>
        <v>0</v>
      </c>
      <c r="BM206" s="3174">
        <f t="shared" si="170"/>
        <v>0</v>
      </c>
      <c r="BN206" s="3174">
        <f t="shared" si="171"/>
        <v>0</v>
      </c>
      <c r="BO206" s="3174">
        <f t="shared" si="172"/>
        <v>0</v>
      </c>
      <c r="BP206" s="3174">
        <f t="shared" si="173"/>
        <v>0</v>
      </c>
      <c r="BQ206" s="3174">
        <f t="shared" si="174"/>
        <v>0</v>
      </c>
      <c r="BR206" s="3174">
        <f t="shared" si="175"/>
        <v>0</v>
      </c>
      <c r="BS206" s="3174">
        <f t="shared" si="176"/>
        <v>0</v>
      </c>
      <c r="BT206" s="3249">
        <f t="shared" si="177"/>
        <v>0</v>
      </c>
    </row>
    <row r="207" spans="1:72">
      <c r="A207" s="489"/>
      <c r="B207" s="3179"/>
      <c r="C207" s="3180"/>
      <c r="D207" s="3181"/>
      <c r="E207" s="3174">
        <f t="shared" si="149"/>
        <v>0</v>
      </c>
      <c r="F207" s="3175"/>
      <c r="G207" s="3176">
        <f t="shared" si="150"/>
        <v>0</v>
      </c>
      <c r="H207" s="3177">
        <f t="shared" si="151"/>
        <v>0</v>
      </c>
      <c r="I207" s="3180"/>
      <c r="J207" s="3200"/>
      <c r="K207" s="3180"/>
      <c r="L207" s="3200"/>
      <c r="M207" s="3202"/>
      <c r="N207" s="3200"/>
      <c r="O207" s="3200"/>
      <c r="P207" s="3200"/>
      <c r="Q207" s="3200"/>
      <c r="R207" s="3200"/>
      <c r="S207" s="3200"/>
      <c r="T207" s="3200"/>
      <c r="U207" s="3200"/>
      <c r="V207" s="3200"/>
      <c r="W207" s="3200"/>
      <c r="X207" s="3200"/>
      <c r="Y207" s="3200"/>
      <c r="Z207" s="3200"/>
      <c r="AA207" s="3200"/>
      <c r="AB207" s="3200"/>
      <c r="AC207" s="3174">
        <f t="shared" si="152"/>
        <v>0</v>
      </c>
      <c r="AD207" s="3212"/>
      <c r="AE207" s="3212"/>
      <c r="AF207" s="3213"/>
      <c r="AG207" s="3212"/>
      <c r="AH207" s="3212"/>
      <c r="AI207" s="3212"/>
      <c r="AJ207" s="3212"/>
      <c r="AK207" s="3212"/>
      <c r="AL207" s="3202"/>
      <c r="AM207" s="3212"/>
      <c r="AN207" s="3202"/>
      <c r="AO207" s="3212"/>
      <c r="AP207" s="3212"/>
      <c r="AQ207" s="3212"/>
      <c r="AR207" s="3212"/>
      <c r="AS207" s="3212"/>
      <c r="AT207" s="3175"/>
      <c r="AU207" s="3232"/>
      <c r="AV207" s="466">
        <f t="shared" si="153"/>
        <v>0</v>
      </c>
      <c r="AW207" s="466">
        <f t="shared" si="154"/>
        <v>0</v>
      </c>
      <c r="AX207" s="466">
        <f t="shared" si="155"/>
        <v>0</v>
      </c>
      <c r="AY207" s="385">
        <f t="shared" si="156"/>
        <v>0</v>
      </c>
      <c r="AZ207" s="3174">
        <f t="shared" si="157"/>
        <v>0</v>
      </c>
      <c r="BA207" s="3174">
        <f t="shared" si="158"/>
        <v>0</v>
      </c>
      <c r="BB207" s="3174">
        <f t="shared" si="159"/>
        <v>0</v>
      </c>
      <c r="BC207" s="3174">
        <f t="shared" si="160"/>
        <v>0</v>
      </c>
      <c r="BD207" s="3174">
        <f t="shared" si="161"/>
        <v>0</v>
      </c>
      <c r="BE207" s="3174">
        <f t="shared" si="162"/>
        <v>0</v>
      </c>
      <c r="BF207" s="3174">
        <f t="shared" si="163"/>
        <v>0</v>
      </c>
      <c r="BG207" s="3174">
        <f t="shared" si="164"/>
        <v>0</v>
      </c>
      <c r="BH207" s="3174">
        <f t="shared" si="165"/>
        <v>0</v>
      </c>
      <c r="BI207" s="3174">
        <f t="shared" si="166"/>
        <v>0</v>
      </c>
      <c r="BJ207" s="3174">
        <f t="shared" si="167"/>
        <v>0</v>
      </c>
      <c r="BK207" s="3174">
        <f t="shared" si="168"/>
        <v>0</v>
      </c>
      <c r="BL207" s="3174">
        <f t="shared" si="169"/>
        <v>0</v>
      </c>
      <c r="BM207" s="3174">
        <f t="shared" si="170"/>
        <v>0</v>
      </c>
      <c r="BN207" s="3174">
        <f t="shared" si="171"/>
        <v>0</v>
      </c>
      <c r="BO207" s="3174">
        <f t="shared" si="172"/>
        <v>0</v>
      </c>
      <c r="BP207" s="3174">
        <f t="shared" si="173"/>
        <v>0</v>
      </c>
      <c r="BQ207" s="3174">
        <f t="shared" si="174"/>
        <v>0</v>
      </c>
      <c r="BR207" s="3174">
        <f t="shared" si="175"/>
        <v>0</v>
      </c>
      <c r="BS207" s="3174">
        <f t="shared" si="176"/>
        <v>0</v>
      </c>
      <c r="BT207" s="3249">
        <f t="shared" si="177"/>
        <v>0</v>
      </c>
    </row>
    <row r="208" spans="1:72">
      <c r="A208" s="489"/>
      <c r="B208" s="3179"/>
      <c r="C208" s="3180"/>
      <c r="D208" s="3181"/>
      <c r="E208" s="3174">
        <f t="shared" si="149"/>
        <v>0</v>
      </c>
      <c r="F208" s="3175"/>
      <c r="G208" s="3176">
        <f t="shared" si="150"/>
        <v>0</v>
      </c>
      <c r="H208" s="3177">
        <f t="shared" si="151"/>
        <v>0</v>
      </c>
      <c r="I208" s="3180"/>
      <c r="J208" s="3200"/>
      <c r="K208" s="3180"/>
      <c r="L208" s="3200"/>
      <c r="M208" s="3200"/>
      <c r="N208" s="3200"/>
      <c r="O208" s="3202"/>
      <c r="P208" s="3200"/>
      <c r="Q208" s="3200"/>
      <c r="R208" s="3200"/>
      <c r="S208" s="3200"/>
      <c r="T208" s="3200"/>
      <c r="U208" s="3200"/>
      <c r="V208" s="3200"/>
      <c r="W208" s="3200"/>
      <c r="X208" s="3200"/>
      <c r="Y208" s="3200"/>
      <c r="Z208" s="3200"/>
      <c r="AA208" s="3200"/>
      <c r="AB208" s="3200"/>
      <c r="AC208" s="3174">
        <f t="shared" si="152"/>
        <v>0</v>
      </c>
      <c r="AD208" s="3212"/>
      <c r="AE208" s="3212"/>
      <c r="AF208" s="3213"/>
      <c r="AG208" s="3212"/>
      <c r="AH208" s="3212"/>
      <c r="AI208" s="3212"/>
      <c r="AJ208" s="3212"/>
      <c r="AK208" s="3212"/>
      <c r="AL208" s="3212"/>
      <c r="AM208" s="3212"/>
      <c r="AN208" s="3202"/>
      <c r="AO208" s="3212"/>
      <c r="AP208" s="3212"/>
      <c r="AQ208" s="3212"/>
      <c r="AR208" s="3212"/>
      <c r="AS208" s="3212"/>
      <c r="AT208" s="3175"/>
      <c r="AU208" s="3232"/>
      <c r="AV208" s="466">
        <f t="shared" si="153"/>
        <v>0</v>
      </c>
      <c r="AW208" s="466">
        <f t="shared" si="154"/>
        <v>0</v>
      </c>
      <c r="AX208" s="466">
        <f t="shared" si="155"/>
        <v>0</v>
      </c>
      <c r="AY208" s="385">
        <f t="shared" si="156"/>
        <v>0</v>
      </c>
      <c r="AZ208" s="3174">
        <f t="shared" si="157"/>
        <v>0</v>
      </c>
      <c r="BA208" s="3174">
        <f t="shared" si="158"/>
        <v>0</v>
      </c>
      <c r="BB208" s="3174">
        <f t="shared" si="159"/>
        <v>0</v>
      </c>
      <c r="BC208" s="3174">
        <f t="shared" si="160"/>
        <v>0</v>
      </c>
      <c r="BD208" s="3174">
        <f t="shared" si="161"/>
        <v>0</v>
      </c>
      <c r="BE208" s="3174">
        <f t="shared" si="162"/>
        <v>0</v>
      </c>
      <c r="BF208" s="3174">
        <f t="shared" si="163"/>
        <v>0</v>
      </c>
      <c r="BG208" s="3174">
        <f t="shared" si="164"/>
        <v>0</v>
      </c>
      <c r="BH208" s="3174">
        <f t="shared" si="165"/>
        <v>0</v>
      </c>
      <c r="BI208" s="3174">
        <f t="shared" si="166"/>
        <v>0</v>
      </c>
      <c r="BJ208" s="3174">
        <f t="shared" si="167"/>
        <v>0</v>
      </c>
      <c r="BK208" s="3174">
        <f t="shared" si="168"/>
        <v>0</v>
      </c>
      <c r="BL208" s="3174">
        <f t="shared" si="169"/>
        <v>0</v>
      </c>
      <c r="BM208" s="3174">
        <f t="shared" si="170"/>
        <v>0</v>
      </c>
      <c r="BN208" s="3174">
        <f t="shared" si="171"/>
        <v>0</v>
      </c>
      <c r="BO208" s="3174">
        <f t="shared" si="172"/>
        <v>0</v>
      </c>
      <c r="BP208" s="3174">
        <f t="shared" si="173"/>
        <v>0</v>
      </c>
      <c r="BQ208" s="3174">
        <f t="shared" si="174"/>
        <v>0</v>
      </c>
      <c r="BR208" s="3174">
        <f t="shared" si="175"/>
        <v>0</v>
      </c>
      <c r="BS208" s="3174">
        <f t="shared" si="176"/>
        <v>0</v>
      </c>
      <c r="BT208" s="3249">
        <f t="shared" si="177"/>
        <v>0</v>
      </c>
    </row>
    <row r="209" spans="1:72">
      <c r="A209" s="489"/>
      <c r="B209" s="3179"/>
      <c r="C209" s="3180"/>
      <c r="D209" s="3181"/>
      <c r="E209" s="3174">
        <f t="shared" si="149"/>
        <v>0</v>
      </c>
      <c r="F209" s="3175"/>
      <c r="G209" s="3176">
        <f t="shared" si="150"/>
        <v>0</v>
      </c>
      <c r="H209" s="3177">
        <f t="shared" si="151"/>
        <v>0</v>
      </c>
      <c r="I209" s="3180"/>
      <c r="J209" s="3200"/>
      <c r="K209" s="3180"/>
      <c r="L209" s="3200"/>
      <c r="M209" s="3200"/>
      <c r="N209" s="3200"/>
      <c r="O209" s="3200"/>
      <c r="P209" s="3200"/>
      <c r="Q209" s="3200"/>
      <c r="R209" s="3200"/>
      <c r="S209" s="3200"/>
      <c r="T209" s="3200"/>
      <c r="U209" s="3200"/>
      <c r="V209" s="3200"/>
      <c r="W209" s="3200"/>
      <c r="X209" s="3200"/>
      <c r="Y209" s="3200"/>
      <c r="Z209" s="3200"/>
      <c r="AA209" s="3200"/>
      <c r="AB209" s="3200"/>
      <c r="AC209" s="3174">
        <f t="shared" si="152"/>
        <v>0</v>
      </c>
      <c r="AD209" s="3212"/>
      <c r="AE209" s="3212"/>
      <c r="AF209" s="3213"/>
      <c r="AG209" s="3212"/>
      <c r="AH209" s="3212"/>
      <c r="AI209" s="3212"/>
      <c r="AJ209" s="3212"/>
      <c r="AK209" s="3212"/>
      <c r="AL209" s="3212"/>
      <c r="AM209" s="3212"/>
      <c r="AN209" s="3212"/>
      <c r="AO209" s="3212"/>
      <c r="AP209" s="3212"/>
      <c r="AQ209" s="3212"/>
      <c r="AR209" s="3212"/>
      <c r="AS209" s="3212"/>
      <c r="AT209" s="3175"/>
      <c r="AU209" s="3232"/>
      <c r="AV209" s="466">
        <f t="shared" si="153"/>
        <v>0</v>
      </c>
      <c r="AW209" s="466">
        <f t="shared" si="154"/>
        <v>0</v>
      </c>
      <c r="AX209" s="466">
        <f t="shared" si="155"/>
        <v>0</v>
      </c>
      <c r="AY209" s="385">
        <f t="shared" si="156"/>
        <v>0</v>
      </c>
      <c r="AZ209" s="3174">
        <f t="shared" si="157"/>
        <v>0</v>
      </c>
      <c r="BA209" s="3174">
        <f t="shared" si="158"/>
        <v>0</v>
      </c>
      <c r="BB209" s="3174">
        <f t="shared" si="159"/>
        <v>0</v>
      </c>
      <c r="BC209" s="3174">
        <f t="shared" si="160"/>
        <v>0</v>
      </c>
      <c r="BD209" s="3174">
        <f t="shared" si="161"/>
        <v>0</v>
      </c>
      <c r="BE209" s="3174">
        <f t="shared" si="162"/>
        <v>0</v>
      </c>
      <c r="BF209" s="3174">
        <f t="shared" si="163"/>
        <v>0</v>
      </c>
      <c r="BG209" s="3174">
        <f t="shared" si="164"/>
        <v>0</v>
      </c>
      <c r="BH209" s="3174">
        <f t="shared" si="165"/>
        <v>0</v>
      </c>
      <c r="BI209" s="3174">
        <f t="shared" si="166"/>
        <v>0</v>
      </c>
      <c r="BJ209" s="3174">
        <f t="shared" si="167"/>
        <v>0</v>
      </c>
      <c r="BK209" s="3174">
        <f t="shared" si="168"/>
        <v>0</v>
      </c>
      <c r="BL209" s="3174">
        <f t="shared" si="169"/>
        <v>0</v>
      </c>
      <c r="BM209" s="3174">
        <f t="shared" si="170"/>
        <v>0</v>
      </c>
      <c r="BN209" s="3174">
        <f t="shared" si="171"/>
        <v>0</v>
      </c>
      <c r="BO209" s="3174">
        <f t="shared" si="172"/>
        <v>0</v>
      </c>
      <c r="BP209" s="3174">
        <f t="shared" si="173"/>
        <v>0</v>
      </c>
      <c r="BQ209" s="3174">
        <f t="shared" si="174"/>
        <v>0</v>
      </c>
      <c r="BR209" s="3174">
        <f t="shared" si="175"/>
        <v>0</v>
      </c>
      <c r="BS209" s="3174">
        <f t="shared" si="176"/>
        <v>0</v>
      </c>
      <c r="BT209" s="3249">
        <f t="shared" si="177"/>
        <v>0</v>
      </c>
    </row>
    <row r="210" spans="1:72">
      <c r="A210" s="489"/>
      <c r="B210" s="3179"/>
      <c r="C210" s="3180"/>
      <c r="D210" s="3181"/>
      <c r="E210" s="3174">
        <f t="shared" si="149"/>
        <v>0</v>
      </c>
      <c r="F210" s="3175"/>
      <c r="G210" s="3176">
        <f t="shared" si="150"/>
        <v>0</v>
      </c>
      <c r="H210" s="3177">
        <f t="shared" si="151"/>
        <v>0</v>
      </c>
      <c r="I210" s="3180"/>
      <c r="J210" s="3200"/>
      <c r="K210" s="3180"/>
      <c r="L210" s="3200"/>
      <c r="M210" s="3200"/>
      <c r="N210" s="3200"/>
      <c r="O210" s="3200"/>
      <c r="P210" s="3200"/>
      <c r="Q210" s="3200"/>
      <c r="R210" s="3200"/>
      <c r="S210" s="3200"/>
      <c r="T210" s="3200"/>
      <c r="U210" s="3200"/>
      <c r="V210" s="3200"/>
      <c r="W210" s="3200"/>
      <c r="X210" s="3200"/>
      <c r="Y210" s="3200"/>
      <c r="Z210" s="3200"/>
      <c r="AA210" s="3200"/>
      <c r="AB210" s="3200"/>
      <c r="AC210" s="3174">
        <f t="shared" si="152"/>
        <v>0</v>
      </c>
      <c r="AD210" s="3212"/>
      <c r="AE210" s="3212"/>
      <c r="AF210" s="3213"/>
      <c r="AG210" s="3212"/>
      <c r="AH210" s="3212"/>
      <c r="AI210" s="3212"/>
      <c r="AJ210" s="3212"/>
      <c r="AK210" s="3212"/>
      <c r="AL210" s="3212"/>
      <c r="AM210" s="3212"/>
      <c r="AN210" s="3212"/>
      <c r="AO210" s="3212"/>
      <c r="AP210" s="3212"/>
      <c r="AQ210" s="3212"/>
      <c r="AR210" s="3212"/>
      <c r="AS210" s="3212"/>
      <c r="AT210" s="3175"/>
      <c r="AU210" s="3232"/>
      <c r="AV210" s="466">
        <f t="shared" si="153"/>
        <v>0</v>
      </c>
      <c r="AW210" s="466">
        <f t="shared" si="154"/>
        <v>0</v>
      </c>
      <c r="AX210" s="466">
        <f t="shared" si="155"/>
        <v>0</v>
      </c>
      <c r="AY210" s="385">
        <f t="shared" si="156"/>
        <v>0</v>
      </c>
      <c r="AZ210" s="3174">
        <f t="shared" si="157"/>
        <v>0</v>
      </c>
      <c r="BA210" s="3174">
        <f t="shared" si="158"/>
        <v>0</v>
      </c>
      <c r="BB210" s="3174">
        <f t="shared" si="159"/>
        <v>0</v>
      </c>
      <c r="BC210" s="3174">
        <f t="shared" si="160"/>
        <v>0</v>
      </c>
      <c r="BD210" s="3174">
        <f t="shared" si="161"/>
        <v>0</v>
      </c>
      <c r="BE210" s="3174">
        <f t="shared" si="162"/>
        <v>0</v>
      </c>
      <c r="BF210" s="3174">
        <f t="shared" si="163"/>
        <v>0</v>
      </c>
      <c r="BG210" s="3174">
        <f t="shared" si="164"/>
        <v>0</v>
      </c>
      <c r="BH210" s="3174">
        <f t="shared" si="165"/>
        <v>0</v>
      </c>
      <c r="BI210" s="3174">
        <f t="shared" si="166"/>
        <v>0</v>
      </c>
      <c r="BJ210" s="3174">
        <f t="shared" si="167"/>
        <v>0</v>
      </c>
      <c r="BK210" s="3174">
        <f t="shared" si="168"/>
        <v>0</v>
      </c>
      <c r="BL210" s="3174">
        <f t="shared" si="169"/>
        <v>0</v>
      </c>
      <c r="BM210" s="3174">
        <f t="shared" si="170"/>
        <v>0</v>
      </c>
      <c r="BN210" s="3174">
        <f t="shared" si="171"/>
        <v>0</v>
      </c>
      <c r="BO210" s="3174">
        <f t="shared" si="172"/>
        <v>0</v>
      </c>
      <c r="BP210" s="3174">
        <f t="shared" si="173"/>
        <v>0</v>
      </c>
      <c r="BQ210" s="3174">
        <f t="shared" si="174"/>
        <v>0</v>
      </c>
      <c r="BR210" s="3174">
        <f t="shared" si="175"/>
        <v>0</v>
      </c>
      <c r="BS210" s="3174">
        <f t="shared" si="176"/>
        <v>0</v>
      </c>
      <c r="BT210" s="3249">
        <f t="shared" si="177"/>
        <v>0</v>
      </c>
    </row>
    <row r="211" spans="1:72">
      <c r="A211" s="489"/>
      <c r="B211" s="3179"/>
      <c r="C211" s="3180"/>
      <c r="D211" s="3181"/>
      <c r="E211" s="3174">
        <f t="shared" si="149"/>
        <v>0</v>
      </c>
      <c r="F211" s="3175"/>
      <c r="G211" s="3176">
        <f t="shared" si="150"/>
        <v>0</v>
      </c>
      <c r="H211" s="3177">
        <f t="shared" si="151"/>
        <v>0</v>
      </c>
      <c r="I211" s="3180"/>
      <c r="J211" s="3200"/>
      <c r="K211" s="3180"/>
      <c r="L211" s="3200"/>
      <c r="M211" s="3200"/>
      <c r="N211" s="3200"/>
      <c r="O211" s="3200"/>
      <c r="P211" s="3200"/>
      <c r="Q211" s="3200"/>
      <c r="R211" s="3200"/>
      <c r="S211" s="3200"/>
      <c r="T211" s="3200"/>
      <c r="U211" s="3200"/>
      <c r="V211" s="3200"/>
      <c r="W211" s="3200"/>
      <c r="X211" s="3200"/>
      <c r="Y211" s="3200"/>
      <c r="Z211" s="3200"/>
      <c r="AA211" s="3200"/>
      <c r="AB211" s="3200"/>
      <c r="AC211" s="3174">
        <f t="shared" si="152"/>
        <v>0</v>
      </c>
      <c r="AD211" s="3212"/>
      <c r="AE211" s="3212"/>
      <c r="AF211" s="3213"/>
      <c r="AG211" s="3212"/>
      <c r="AH211" s="3212"/>
      <c r="AI211" s="3212"/>
      <c r="AJ211" s="3212"/>
      <c r="AK211" s="3212"/>
      <c r="AL211" s="3212"/>
      <c r="AM211" s="3212"/>
      <c r="AN211" s="3212"/>
      <c r="AO211" s="3212"/>
      <c r="AP211" s="3212"/>
      <c r="AQ211" s="3212"/>
      <c r="AR211" s="3212"/>
      <c r="AS211" s="3212"/>
      <c r="AT211" s="3175"/>
      <c r="AU211" s="3232"/>
      <c r="AV211" s="466">
        <f t="shared" si="153"/>
        <v>0</v>
      </c>
      <c r="AW211" s="466">
        <f t="shared" si="154"/>
        <v>0</v>
      </c>
      <c r="AX211" s="466">
        <f t="shared" si="155"/>
        <v>0</v>
      </c>
      <c r="AY211" s="385">
        <f t="shared" si="156"/>
        <v>0</v>
      </c>
      <c r="AZ211" s="3174">
        <f t="shared" si="157"/>
        <v>0</v>
      </c>
      <c r="BA211" s="3174">
        <f t="shared" si="158"/>
        <v>0</v>
      </c>
      <c r="BB211" s="3174">
        <f t="shared" si="159"/>
        <v>0</v>
      </c>
      <c r="BC211" s="3174">
        <f t="shared" si="160"/>
        <v>0</v>
      </c>
      <c r="BD211" s="3174">
        <f t="shared" si="161"/>
        <v>0</v>
      </c>
      <c r="BE211" s="3174">
        <f t="shared" si="162"/>
        <v>0</v>
      </c>
      <c r="BF211" s="3174">
        <f t="shared" si="163"/>
        <v>0</v>
      </c>
      <c r="BG211" s="3174">
        <f t="shared" si="164"/>
        <v>0</v>
      </c>
      <c r="BH211" s="3174">
        <f t="shared" si="165"/>
        <v>0</v>
      </c>
      <c r="BI211" s="3174">
        <f t="shared" si="166"/>
        <v>0</v>
      </c>
      <c r="BJ211" s="3174">
        <f t="shared" si="167"/>
        <v>0</v>
      </c>
      <c r="BK211" s="3174">
        <f t="shared" si="168"/>
        <v>0</v>
      </c>
      <c r="BL211" s="3174">
        <f t="shared" si="169"/>
        <v>0</v>
      </c>
      <c r="BM211" s="3174">
        <f t="shared" si="170"/>
        <v>0</v>
      </c>
      <c r="BN211" s="3174">
        <f t="shared" si="171"/>
        <v>0</v>
      </c>
      <c r="BO211" s="3174">
        <f t="shared" si="172"/>
        <v>0</v>
      </c>
      <c r="BP211" s="3174">
        <f t="shared" si="173"/>
        <v>0</v>
      </c>
      <c r="BQ211" s="3174">
        <f t="shared" si="174"/>
        <v>0</v>
      </c>
      <c r="BR211" s="3174">
        <f t="shared" si="175"/>
        <v>0</v>
      </c>
      <c r="BS211" s="3174">
        <f t="shared" si="176"/>
        <v>0</v>
      </c>
      <c r="BT211" s="3249">
        <f t="shared" si="177"/>
        <v>0</v>
      </c>
    </row>
    <row r="212" spans="1:72">
      <c r="A212" s="489"/>
      <c r="B212" s="3179"/>
      <c r="C212" s="3180"/>
      <c r="D212" s="3181"/>
      <c r="E212" s="3174">
        <f t="shared" si="149"/>
        <v>0</v>
      </c>
      <c r="F212" s="3175"/>
      <c r="G212" s="3176">
        <f t="shared" si="150"/>
        <v>0</v>
      </c>
      <c r="H212" s="3177">
        <f t="shared" si="151"/>
        <v>0</v>
      </c>
      <c r="I212" s="3180"/>
      <c r="J212" s="3200"/>
      <c r="K212" s="3180"/>
      <c r="L212" s="3200"/>
      <c r="M212" s="3200"/>
      <c r="N212" s="3200"/>
      <c r="O212" s="3200"/>
      <c r="P212" s="3200"/>
      <c r="Q212" s="3200"/>
      <c r="R212" s="3200"/>
      <c r="S212" s="3200"/>
      <c r="T212" s="3200"/>
      <c r="U212" s="3200"/>
      <c r="V212" s="3200"/>
      <c r="W212" s="3200"/>
      <c r="X212" s="3200"/>
      <c r="Y212" s="3200"/>
      <c r="Z212" s="3200"/>
      <c r="AA212" s="3200"/>
      <c r="AB212" s="3200"/>
      <c r="AC212" s="3174">
        <f t="shared" si="152"/>
        <v>0</v>
      </c>
      <c r="AD212" s="3212"/>
      <c r="AE212" s="3212"/>
      <c r="AF212" s="3180"/>
      <c r="AG212" s="3212"/>
      <c r="AH212" s="3212"/>
      <c r="AI212" s="3212"/>
      <c r="AJ212" s="3212"/>
      <c r="AK212" s="3212"/>
      <c r="AL212" s="3212"/>
      <c r="AM212" s="3212"/>
      <c r="AN212" s="3212"/>
      <c r="AO212" s="3212"/>
      <c r="AP212" s="3212"/>
      <c r="AQ212" s="3212"/>
      <c r="AR212" s="3212"/>
      <c r="AS212" s="3212"/>
      <c r="AT212" s="3175"/>
      <c r="AU212" s="3232"/>
      <c r="AV212" s="466">
        <f t="shared" si="153"/>
        <v>0</v>
      </c>
      <c r="AW212" s="466">
        <f t="shared" si="154"/>
        <v>0</v>
      </c>
      <c r="AX212" s="466">
        <f t="shared" si="155"/>
        <v>0</v>
      </c>
      <c r="AY212" s="385">
        <f t="shared" si="156"/>
        <v>0</v>
      </c>
      <c r="AZ212" s="3174">
        <f t="shared" si="157"/>
        <v>0</v>
      </c>
      <c r="BA212" s="3174">
        <f t="shared" si="158"/>
        <v>0</v>
      </c>
      <c r="BB212" s="3174">
        <f t="shared" si="159"/>
        <v>0</v>
      </c>
      <c r="BC212" s="3174">
        <f t="shared" si="160"/>
        <v>0</v>
      </c>
      <c r="BD212" s="3174">
        <f t="shared" si="161"/>
        <v>0</v>
      </c>
      <c r="BE212" s="3174">
        <f t="shared" si="162"/>
        <v>0</v>
      </c>
      <c r="BF212" s="3174">
        <f t="shared" si="163"/>
        <v>0</v>
      </c>
      <c r="BG212" s="3174">
        <f t="shared" si="164"/>
        <v>0</v>
      </c>
      <c r="BH212" s="3174">
        <f t="shared" si="165"/>
        <v>0</v>
      </c>
      <c r="BI212" s="3174">
        <f t="shared" si="166"/>
        <v>0</v>
      </c>
      <c r="BJ212" s="3174">
        <f t="shared" si="167"/>
        <v>0</v>
      </c>
      <c r="BK212" s="3174">
        <f t="shared" si="168"/>
        <v>0</v>
      </c>
      <c r="BL212" s="3174">
        <f t="shared" si="169"/>
        <v>0</v>
      </c>
      <c r="BM212" s="3174">
        <f t="shared" si="170"/>
        <v>0</v>
      </c>
      <c r="BN212" s="3174">
        <f t="shared" si="171"/>
        <v>0</v>
      </c>
      <c r="BO212" s="3174">
        <f t="shared" si="172"/>
        <v>0</v>
      </c>
      <c r="BP212" s="3174">
        <f t="shared" si="173"/>
        <v>0</v>
      </c>
      <c r="BQ212" s="3174">
        <f t="shared" si="174"/>
        <v>0</v>
      </c>
      <c r="BR212" s="3174">
        <f t="shared" si="175"/>
        <v>0</v>
      </c>
      <c r="BS212" s="3174">
        <f t="shared" si="176"/>
        <v>0</v>
      </c>
      <c r="BT212" s="3249">
        <f t="shared" si="177"/>
        <v>0</v>
      </c>
    </row>
    <row r="213" spans="1:72">
      <c r="A213" s="489"/>
      <c r="B213" s="3179"/>
      <c r="C213" s="3180"/>
      <c r="D213" s="3181"/>
      <c r="E213" s="3174">
        <f t="shared" si="149"/>
        <v>0</v>
      </c>
      <c r="F213" s="3175"/>
      <c r="G213" s="3176">
        <f t="shared" si="150"/>
        <v>0</v>
      </c>
      <c r="H213" s="3177">
        <f t="shared" si="151"/>
        <v>0</v>
      </c>
      <c r="I213" s="3180"/>
      <c r="J213" s="3200"/>
      <c r="K213" s="3180"/>
      <c r="L213" s="3200"/>
      <c r="M213" s="3200"/>
      <c r="N213" s="3200"/>
      <c r="O213" s="3200"/>
      <c r="P213" s="3200"/>
      <c r="Q213" s="3200"/>
      <c r="R213" s="3200"/>
      <c r="S213" s="3200"/>
      <c r="T213" s="3200"/>
      <c r="U213" s="3200"/>
      <c r="V213" s="3200"/>
      <c r="W213" s="3200"/>
      <c r="X213" s="3200"/>
      <c r="Y213" s="3200"/>
      <c r="Z213" s="3200"/>
      <c r="AA213" s="3200"/>
      <c r="AB213" s="3200"/>
      <c r="AC213" s="3174">
        <f t="shared" si="152"/>
        <v>0</v>
      </c>
      <c r="AD213" s="3212"/>
      <c r="AE213" s="3212"/>
      <c r="AF213" s="3180"/>
      <c r="AG213" s="3212"/>
      <c r="AH213" s="3212"/>
      <c r="AI213" s="3212"/>
      <c r="AJ213" s="3212"/>
      <c r="AK213" s="3212"/>
      <c r="AL213" s="3212"/>
      <c r="AM213" s="3212"/>
      <c r="AN213" s="3212"/>
      <c r="AO213" s="3212"/>
      <c r="AP213" s="3212"/>
      <c r="AQ213" s="3212"/>
      <c r="AR213" s="3212"/>
      <c r="AS213" s="3212"/>
      <c r="AT213" s="3175"/>
      <c r="AU213" s="3232"/>
      <c r="AV213" s="466">
        <f t="shared" si="153"/>
        <v>0</v>
      </c>
      <c r="AW213" s="466">
        <f t="shared" si="154"/>
        <v>0</v>
      </c>
      <c r="AX213" s="466">
        <f t="shared" si="155"/>
        <v>0</v>
      </c>
      <c r="AY213" s="385">
        <f t="shared" si="156"/>
        <v>0</v>
      </c>
      <c r="AZ213" s="3174">
        <f t="shared" si="157"/>
        <v>0</v>
      </c>
      <c r="BA213" s="3174">
        <f t="shared" si="158"/>
        <v>0</v>
      </c>
      <c r="BB213" s="3174">
        <f t="shared" si="159"/>
        <v>0</v>
      </c>
      <c r="BC213" s="3174">
        <f t="shared" si="160"/>
        <v>0</v>
      </c>
      <c r="BD213" s="3174">
        <f t="shared" si="161"/>
        <v>0</v>
      </c>
      <c r="BE213" s="3174">
        <f t="shared" si="162"/>
        <v>0</v>
      </c>
      <c r="BF213" s="3174">
        <f t="shared" si="163"/>
        <v>0</v>
      </c>
      <c r="BG213" s="3174">
        <f t="shared" si="164"/>
        <v>0</v>
      </c>
      <c r="BH213" s="3174">
        <f t="shared" si="165"/>
        <v>0</v>
      </c>
      <c r="BI213" s="3174">
        <f t="shared" si="166"/>
        <v>0</v>
      </c>
      <c r="BJ213" s="3174">
        <f t="shared" si="167"/>
        <v>0</v>
      </c>
      <c r="BK213" s="3174">
        <f t="shared" si="168"/>
        <v>0</v>
      </c>
      <c r="BL213" s="3174">
        <f t="shared" si="169"/>
        <v>0</v>
      </c>
      <c r="BM213" s="3174">
        <f t="shared" si="170"/>
        <v>0</v>
      </c>
      <c r="BN213" s="3174">
        <f t="shared" si="171"/>
        <v>0</v>
      </c>
      <c r="BO213" s="3174">
        <f t="shared" si="172"/>
        <v>0</v>
      </c>
      <c r="BP213" s="3174">
        <f t="shared" si="173"/>
        <v>0</v>
      </c>
      <c r="BQ213" s="3174">
        <f t="shared" si="174"/>
        <v>0</v>
      </c>
      <c r="BR213" s="3174">
        <f t="shared" si="175"/>
        <v>0</v>
      </c>
      <c r="BS213" s="3174">
        <f t="shared" si="176"/>
        <v>0</v>
      </c>
      <c r="BT213" s="3249">
        <f t="shared" si="177"/>
        <v>0</v>
      </c>
    </row>
    <row r="214" spans="1:72">
      <c r="A214" s="489"/>
      <c r="B214" s="3179"/>
      <c r="C214" s="3180"/>
      <c r="D214" s="3181"/>
      <c r="E214" s="3174">
        <f t="shared" si="149"/>
        <v>0</v>
      </c>
      <c r="F214" s="3175"/>
      <c r="G214" s="3176">
        <f t="shared" si="150"/>
        <v>0</v>
      </c>
      <c r="H214" s="3177">
        <f t="shared" si="151"/>
        <v>0</v>
      </c>
      <c r="I214" s="3180"/>
      <c r="J214" s="3200"/>
      <c r="K214" s="3180"/>
      <c r="L214" s="3200"/>
      <c r="M214" s="3200"/>
      <c r="N214" s="3200"/>
      <c r="O214" s="3200"/>
      <c r="P214" s="3200"/>
      <c r="Q214" s="3200"/>
      <c r="R214" s="3200"/>
      <c r="S214" s="3200"/>
      <c r="T214" s="3200"/>
      <c r="U214" s="3200"/>
      <c r="V214" s="3200"/>
      <c r="W214" s="3200"/>
      <c r="X214" s="3200"/>
      <c r="Y214" s="3200"/>
      <c r="Z214" s="3200"/>
      <c r="AA214" s="3200"/>
      <c r="AB214" s="3200"/>
      <c r="AC214" s="3174">
        <f t="shared" si="152"/>
        <v>0</v>
      </c>
      <c r="AD214" s="3212"/>
      <c r="AE214" s="3212"/>
      <c r="AF214" s="3180"/>
      <c r="AG214" s="3212"/>
      <c r="AH214" s="3212"/>
      <c r="AI214" s="3212"/>
      <c r="AJ214" s="3212"/>
      <c r="AK214" s="3212"/>
      <c r="AL214" s="3212"/>
      <c r="AM214" s="3212"/>
      <c r="AN214" s="3212"/>
      <c r="AO214" s="3212"/>
      <c r="AP214" s="3212"/>
      <c r="AQ214" s="3212"/>
      <c r="AR214" s="3212"/>
      <c r="AS214" s="3212"/>
      <c r="AT214" s="3175"/>
      <c r="AU214" s="3232"/>
      <c r="AV214" s="466">
        <f t="shared" si="153"/>
        <v>0</v>
      </c>
      <c r="AW214" s="466">
        <f t="shared" si="154"/>
        <v>0</v>
      </c>
      <c r="AX214" s="466">
        <f t="shared" si="155"/>
        <v>0</v>
      </c>
      <c r="AY214" s="385">
        <f t="shared" si="156"/>
        <v>0</v>
      </c>
      <c r="AZ214" s="3174">
        <f t="shared" si="157"/>
        <v>0</v>
      </c>
      <c r="BA214" s="3174">
        <f t="shared" si="158"/>
        <v>0</v>
      </c>
      <c r="BB214" s="3174">
        <f t="shared" si="159"/>
        <v>0</v>
      </c>
      <c r="BC214" s="3174">
        <f t="shared" si="160"/>
        <v>0</v>
      </c>
      <c r="BD214" s="3174">
        <f t="shared" si="161"/>
        <v>0</v>
      </c>
      <c r="BE214" s="3174">
        <f t="shared" si="162"/>
        <v>0</v>
      </c>
      <c r="BF214" s="3174">
        <f t="shared" si="163"/>
        <v>0</v>
      </c>
      <c r="BG214" s="3174">
        <f t="shared" si="164"/>
        <v>0</v>
      </c>
      <c r="BH214" s="3174">
        <f t="shared" si="165"/>
        <v>0</v>
      </c>
      <c r="BI214" s="3174">
        <f t="shared" si="166"/>
        <v>0</v>
      </c>
      <c r="BJ214" s="3174">
        <f t="shared" si="167"/>
        <v>0</v>
      </c>
      <c r="BK214" s="3174">
        <f t="shared" si="168"/>
        <v>0</v>
      </c>
      <c r="BL214" s="3174">
        <f t="shared" si="169"/>
        <v>0</v>
      </c>
      <c r="BM214" s="3174">
        <f t="shared" si="170"/>
        <v>0</v>
      </c>
      <c r="BN214" s="3174">
        <f t="shared" si="171"/>
        <v>0</v>
      </c>
      <c r="BO214" s="3174">
        <f t="shared" si="172"/>
        <v>0</v>
      </c>
      <c r="BP214" s="3174">
        <f t="shared" si="173"/>
        <v>0</v>
      </c>
      <c r="BQ214" s="3174">
        <f t="shared" si="174"/>
        <v>0</v>
      </c>
      <c r="BR214" s="3174">
        <f t="shared" si="175"/>
        <v>0</v>
      </c>
      <c r="BS214" s="3174">
        <f t="shared" si="176"/>
        <v>0</v>
      </c>
      <c r="BT214" s="3249">
        <f t="shared" si="177"/>
        <v>0</v>
      </c>
    </row>
    <row r="215" spans="1:72">
      <c r="A215" s="489"/>
      <c r="B215" s="3179"/>
      <c r="C215" s="3180"/>
      <c r="D215" s="3181"/>
      <c r="E215" s="3174">
        <f t="shared" si="149"/>
        <v>0</v>
      </c>
      <c r="F215" s="3175"/>
      <c r="G215" s="3176">
        <f t="shared" si="150"/>
        <v>0</v>
      </c>
      <c r="H215" s="3177">
        <f t="shared" si="151"/>
        <v>0</v>
      </c>
      <c r="I215" s="3180"/>
      <c r="J215" s="3200"/>
      <c r="K215" s="3180"/>
      <c r="L215" s="3200"/>
      <c r="M215" s="3200"/>
      <c r="N215" s="3200"/>
      <c r="O215" s="3200"/>
      <c r="P215" s="3200"/>
      <c r="Q215" s="3200"/>
      <c r="R215" s="3200"/>
      <c r="S215" s="3200"/>
      <c r="T215" s="3200"/>
      <c r="U215" s="3200"/>
      <c r="V215" s="3200"/>
      <c r="W215" s="3200"/>
      <c r="X215" s="3200"/>
      <c r="Y215" s="3200"/>
      <c r="Z215" s="3200"/>
      <c r="AA215" s="3200"/>
      <c r="AB215" s="3200"/>
      <c r="AC215" s="3174">
        <f t="shared" si="152"/>
        <v>0</v>
      </c>
      <c r="AD215" s="3212"/>
      <c r="AE215" s="3212"/>
      <c r="AF215" s="3180"/>
      <c r="AG215" s="3212"/>
      <c r="AH215" s="3212"/>
      <c r="AI215" s="3212"/>
      <c r="AJ215" s="3212"/>
      <c r="AK215" s="3212"/>
      <c r="AL215" s="3212"/>
      <c r="AM215" s="3212"/>
      <c r="AN215" s="3212"/>
      <c r="AO215" s="3212"/>
      <c r="AP215" s="3212"/>
      <c r="AQ215" s="3212"/>
      <c r="AR215" s="3212"/>
      <c r="AS215" s="3212"/>
      <c r="AT215" s="3175"/>
      <c r="AU215" s="3232"/>
      <c r="AV215" s="466">
        <f t="shared" si="153"/>
        <v>0</v>
      </c>
      <c r="AW215" s="466">
        <f t="shared" si="154"/>
        <v>0</v>
      </c>
      <c r="AX215" s="466">
        <f t="shared" si="155"/>
        <v>0</v>
      </c>
      <c r="AY215" s="385">
        <f t="shared" si="156"/>
        <v>0</v>
      </c>
      <c r="AZ215" s="3174">
        <f t="shared" si="157"/>
        <v>0</v>
      </c>
      <c r="BA215" s="3174">
        <f t="shared" si="158"/>
        <v>0</v>
      </c>
      <c r="BB215" s="3174">
        <f t="shared" si="159"/>
        <v>0</v>
      </c>
      <c r="BC215" s="3174">
        <f t="shared" si="160"/>
        <v>0</v>
      </c>
      <c r="BD215" s="3174">
        <f t="shared" si="161"/>
        <v>0</v>
      </c>
      <c r="BE215" s="3174">
        <f t="shared" si="162"/>
        <v>0</v>
      </c>
      <c r="BF215" s="3174">
        <f t="shared" si="163"/>
        <v>0</v>
      </c>
      <c r="BG215" s="3174">
        <f t="shared" si="164"/>
        <v>0</v>
      </c>
      <c r="BH215" s="3174">
        <f t="shared" si="165"/>
        <v>0</v>
      </c>
      <c r="BI215" s="3174">
        <f t="shared" si="166"/>
        <v>0</v>
      </c>
      <c r="BJ215" s="3174">
        <f t="shared" si="167"/>
        <v>0</v>
      </c>
      <c r="BK215" s="3174">
        <f t="shared" si="168"/>
        <v>0</v>
      </c>
      <c r="BL215" s="3174">
        <f t="shared" si="169"/>
        <v>0</v>
      </c>
      <c r="BM215" s="3174">
        <f t="shared" si="170"/>
        <v>0</v>
      </c>
      <c r="BN215" s="3174">
        <f t="shared" si="171"/>
        <v>0</v>
      </c>
      <c r="BO215" s="3174">
        <f t="shared" si="172"/>
        <v>0</v>
      </c>
      <c r="BP215" s="3174">
        <f t="shared" si="173"/>
        <v>0</v>
      </c>
      <c r="BQ215" s="3174">
        <f t="shared" si="174"/>
        <v>0</v>
      </c>
      <c r="BR215" s="3174">
        <f t="shared" si="175"/>
        <v>0</v>
      </c>
      <c r="BS215" s="3174">
        <f t="shared" si="176"/>
        <v>0</v>
      </c>
      <c r="BT215" s="3249">
        <f t="shared" si="177"/>
        <v>0</v>
      </c>
    </row>
    <row r="216" spans="1:72">
      <c r="A216" s="489"/>
      <c r="B216" s="3179"/>
      <c r="C216" s="3180"/>
      <c r="D216" s="3181"/>
      <c r="E216" s="3174">
        <f t="shared" si="149"/>
        <v>0</v>
      </c>
      <c r="F216" s="3175"/>
      <c r="G216" s="3176">
        <f t="shared" si="150"/>
        <v>0</v>
      </c>
      <c r="H216" s="3177">
        <f t="shared" si="151"/>
        <v>0</v>
      </c>
      <c r="I216" s="3180"/>
      <c r="J216" s="3200"/>
      <c r="K216" s="3180"/>
      <c r="L216" s="3200"/>
      <c r="M216" s="3200"/>
      <c r="N216" s="3200"/>
      <c r="O216" s="3200"/>
      <c r="P216" s="3200"/>
      <c r="Q216" s="3200"/>
      <c r="R216" s="3200"/>
      <c r="S216" s="3200"/>
      <c r="T216" s="3200"/>
      <c r="U216" s="3200"/>
      <c r="V216" s="3200"/>
      <c r="W216" s="3200"/>
      <c r="X216" s="3200"/>
      <c r="Y216" s="3200"/>
      <c r="Z216" s="3200"/>
      <c r="AA216" s="3200"/>
      <c r="AB216" s="3200"/>
      <c r="AC216" s="3174">
        <f t="shared" si="152"/>
        <v>0</v>
      </c>
      <c r="AD216" s="3212"/>
      <c r="AE216" s="3212"/>
      <c r="AF216" s="3180"/>
      <c r="AG216" s="3212"/>
      <c r="AH216" s="3212"/>
      <c r="AI216" s="3212"/>
      <c r="AJ216" s="3212"/>
      <c r="AK216" s="3212"/>
      <c r="AL216" s="3212"/>
      <c r="AM216" s="3212"/>
      <c r="AN216" s="3212"/>
      <c r="AO216" s="3212"/>
      <c r="AP216" s="3212"/>
      <c r="AQ216" s="3212"/>
      <c r="AR216" s="3212"/>
      <c r="AS216" s="3212"/>
      <c r="AT216" s="3175"/>
      <c r="AU216" s="3232"/>
      <c r="AV216" s="466">
        <f t="shared" si="153"/>
        <v>0</v>
      </c>
      <c r="AW216" s="466">
        <f t="shared" si="154"/>
        <v>0</v>
      </c>
      <c r="AX216" s="466">
        <f t="shared" si="155"/>
        <v>0</v>
      </c>
      <c r="AY216" s="385">
        <f t="shared" si="156"/>
        <v>0</v>
      </c>
      <c r="AZ216" s="3174">
        <f t="shared" si="157"/>
        <v>0</v>
      </c>
      <c r="BA216" s="3174">
        <f t="shared" si="158"/>
        <v>0</v>
      </c>
      <c r="BB216" s="3174">
        <f t="shared" si="159"/>
        <v>0</v>
      </c>
      <c r="BC216" s="3174">
        <f t="shared" si="160"/>
        <v>0</v>
      </c>
      <c r="BD216" s="3174">
        <f t="shared" si="161"/>
        <v>0</v>
      </c>
      <c r="BE216" s="3174">
        <f t="shared" si="162"/>
        <v>0</v>
      </c>
      <c r="BF216" s="3174">
        <f t="shared" si="163"/>
        <v>0</v>
      </c>
      <c r="BG216" s="3174">
        <f t="shared" si="164"/>
        <v>0</v>
      </c>
      <c r="BH216" s="3174">
        <f t="shared" si="165"/>
        <v>0</v>
      </c>
      <c r="BI216" s="3174">
        <f t="shared" si="166"/>
        <v>0</v>
      </c>
      <c r="BJ216" s="3174">
        <f t="shared" si="167"/>
        <v>0</v>
      </c>
      <c r="BK216" s="3174">
        <f t="shared" si="168"/>
        <v>0</v>
      </c>
      <c r="BL216" s="3174">
        <f t="shared" si="169"/>
        <v>0</v>
      </c>
      <c r="BM216" s="3174">
        <f t="shared" si="170"/>
        <v>0</v>
      </c>
      <c r="BN216" s="3174">
        <f t="shared" si="171"/>
        <v>0</v>
      </c>
      <c r="BO216" s="3174">
        <f t="shared" si="172"/>
        <v>0</v>
      </c>
      <c r="BP216" s="3174">
        <f t="shared" si="173"/>
        <v>0</v>
      </c>
      <c r="BQ216" s="3174">
        <f t="shared" si="174"/>
        <v>0</v>
      </c>
      <c r="BR216" s="3174">
        <f t="shared" si="175"/>
        <v>0</v>
      </c>
      <c r="BS216" s="3174">
        <f t="shared" si="176"/>
        <v>0</v>
      </c>
      <c r="BT216" s="3249">
        <f t="shared" si="177"/>
        <v>0</v>
      </c>
    </row>
    <row r="217" spans="1:72">
      <c r="A217" s="489"/>
      <c r="B217" s="3179"/>
      <c r="C217" s="3180"/>
      <c r="D217" s="3181"/>
      <c r="E217" s="3174">
        <f t="shared" si="149"/>
        <v>0</v>
      </c>
      <c r="F217" s="3175"/>
      <c r="G217" s="3176">
        <f t="shared" si="150"/>
        <v>0</v>
      </c>
      <c r="H217" s="3177">
        <f t="shared" si="151"/>
        <v>0</v>
      </c>
      <c r="I217" s="3180"/>
      <c r="J217" s="3200"/>
      <c r="K217" s="3180"/>
      <c r="L217" s="3200"/>
      <c r="M217" s="3200"/>
      <c r="N217" s="3200"/>
      <c r="O217" s="3200"/>
      <c r="P217" s="3200"/>
      <c r="Q217" s="3200"/>
      <c r="R217" s="3200"/>
      <c r="S217" s="3200"/>
      <c r="T217" s="3200"/>
      <c r="U217" s="3200"/>
      <c r="V217" s="3200"/>
      <c r="W217" s="3200"/>
      <c r="X217" s="3200"/>
      <c r="Y217" s="3200"/>
      <c r="Z217" s="3200"/>
      <c r="AA217" s="3200"/>
      <c r="AB217" s="3200"/>
      <c r="AC217" s="3174">
        <f t="shared" si="152"/>
        <v>0</v>
      </c>
      <c r="AD217" s="3212"/>
      <c r="AE217" s="3212"/>
      <c r="AF217" s="3180"/>
      <c r="AG217" s="3212"/>
      <c r="AH217" s="3212"/>
      <c r="AI217" s="3212"/>
      <c r="AJ217" s="3212"/>
      <c r="AK217" s="3212"/>
      <c r="AL217" s="3212"/>
      <c r="AM217" s="3212"/>
      <c r="AN217" s="3212"/>
      <c r="AO217" s="3212"/>
      <c r="AP217" s="3212"/>
      <c r="AQ217" s="3212"/>
      <c r="AR217" s="3212"/>
      <c r="AS217" s="3212"/>
      <c r="AT217" s="3175"/>
      <c r="AU217" s="3232"/>
      <c r="AV217" s="466">
        <f t="shared" si="153"/>
        <v>0</v>
      </c>
      <c r="AW217" s="466">
        <f t="shared" si="154"/>
        <v>0</v>
      </c>
      <c r="AX217" s="466">
        <f t="shared" si="155"/>
        <v>0</v>
      </c>
      <c r="AY217" s="385">
        <f t="shared" si="156"/>
        <v>0</v>
      </c>
      <c r="AZ217" s="3174">
        <f t="shared" si="157"/>
        <v>0</v>
      </c>
      <c r="BA217" s="3174">
        <f t="shared" si="158"/>
        <v>0</v>
      </c>
      <c r="BB217" s="3174">
        <f t="shared" si="159"/>
        <v>0</v>
      </c>
      <c r="BC217" s="3174">
        <f t="shared" si="160"/>
        <v>0</v>
      </c>
      <c r="BD217" s="3174">
        <f t="shared" si="161"/>
        <v>0</v>
      </c>
      <c r="BE217" s="3174">
        <f t="shared" si="162"/>
        <v>0</v>
      </c>
      <c r="BF217" s="3174">
        <f t="shared" si="163"/>
        <v>0</v>
      </c>
      <c r="BG217" s="3174">
        <f t="shared" si="164"/>
        <v>0</v>
      </c>
      <c r="BH217" s="3174">
        <f t="shared" si="165"/>
        <v>0</v>
      </c>
      <c r="BI217" s="3174">
        <f t="shared" si="166"/>
        <v>0</v>
      </c>
      <c r="BJ217" s="3174">
        <f t="shared" si="167"/>
        <v>0</v>
      </c>
      <c r="BK217" s="3174">
        <f t="shared" si="168"/>
        <v>0</v>
      </c>
      <c r="BL217" s="3174">
        <f t="shared" si="169"/>
        <v>0</v>
      </c>
      <c r="BM217" s="3174">
        <f t="shared" si="170"/>
        <v>0</v>
      </c>
      <c r="BN217" s="3174">
        <f t="shared" si="171"/>
        <v>0</v>
      </c>
      <c r="BO217" s="3174">
        <f t="shared" si="172"/>
        <v>0</v>
      </c>
      <c r="BP217" s="3174">
        <f t="shared" si="173"/>
        <v>0</v>
      </c>
      <c r="BQ217" s="3174">
        <f t="shared" si="174"/>
        <v>0</v>
      </c>
      <c r="BR217" s="3174">
        <f t="shared" si="175"/>
        <v>0</v>
      </c>
      <c r="BS217" s="3174">
        <f t="shared" si="176"/>
        <v>0</v>
      </c>
      <c r="BT217" s="3249">
        <f t="shared" si="177"/>
        <v>0</v>
      </c>
    </row>
    <row r="218" spans="1:72">
      <c r="A218" s="489"/>
      <c r="B218" s="3179"/>
      <c r="C218" s="3180"/>
      <c r="D218" s="3181"/>
      <c r="E218" s="3174">
        <f t="shared" si="149"/>
        <v>0</v>
      </c>
      <c r="F218" s="3175"/>
      <c r="G218" s="3176">
        <f t="shared" si="150"/>
        <v>0</v>
      </c>
      <c r="H218" s="3177">
        <f t="shared" si="151"/>
        <v>0</v>
      </c>
      <c r="I218" s="3180"/>
      <c r="J218" s="3200"/>
      <c r="K218" s="3180"/>
      <c r="L218" s="3200"/>
      <c r="M218" s="3200"/>
      <c r="N218" s="3200"/>
      <c r="O218" s="3200"/>
      <c r="P218" s="3200"/>
      <c r="Q218" s="3200"/>
      <c r="R218" s="3200"/>
      <c r="S218" s="3200"/>
      <c r="T218" s="3200"/>
      <c r="U218" s="3200"/>
      <c r="V218" s="3200"/>
      <c r="W218" s="3200"/>
      <c r="X218" s="3200"/>
      <c r="Y218" s="3200"/>
      <c r="Z218" s="3200"/>
      <c r="AA218" s="3200"/>
      <c r="AB218" s="3200"/>
      <c r="AC218" s="3174">
        <f t="shared" si="152"/>
        <v>0</v>
      </c>
      <c r="AD218" s="3212"/>
      <c r="AE218" s="3212"/>
      <c r="AF218" s="3180"/>
      <c r="AG218" s="3212"/>
      <c r="AH218" s="3212"/>
      <c r="AI218" s="3212"/>
      <c r="AJ218" s="3212"/>
      <c r="AK218" s="3212"/>
      <c r="AL218" s="3212"/>
      <c r="AM218" s="3212"/>
      <c r="AN218" s="3212"/>
      <c r="AO218" s="3212"/>
      <c r="AP218" s="3212"/>
      <c r="AQ218" s="3212"/>
      <c r="AR218" s="3212"/>
      <c r="AS218" s="3212"/>
      <c r="AT218" s="3175"/>
      <c r="AU218" s="3232"/>
      <c r="AV218" s="466">
        <f t="shared" si="153"/>
        <v>0</v>
      </c>
      <c r="AW218" s="466">
        <f t="shared" si="154"/>
        <v>0</v>
      </c>
      <c r="AX218" s="466">
        <f t="shared" si="155"/>
        <v>0</v>
      </c>
      <c r="AY218" s="385">
        <f t="shared" si="156"/>
        <v>0</v>
      </c>
      <c r="AZ218" s="3174">
        <f t="shared" si="157"/>
        <v>0</v>
      </c>
      <c r="BA218" s="3174">
        <f t="shared" si="158"/>
        <v>0</v>
      </c>
      <c r="BB218" s="3174">
        <f t="shared" si="159"/>
        <v>0</v>
      </c>
      <c r="BC218" s="3174">
        <f t="shared" si="160"/>
        <v>0</v>
      </c>
      <c r="BD218" s="3174">
        <f t="shared" si="161"/>
        <v>0</v>
      </c>
      <c r="BE218" s="3174">
        <f t="shared" si="162"/>
        <v>0</v>
      </c>
      <c r="BF218" s="3174">
        <f t="shared" si="163"/>
        <v>0</v>
      </c>
      <c r="BG218" s="3174">
        <f t="shared" si="164"/>
        <v>0</v>
      </c>
      <c r="BH218" s="3174">
        <f t="shared" si="165"/>
        <v>0</v>
      </c>
      <c r="BI218" s="3174">
        <f t="shared" si="166"/>
        <v>0</v>
      </c>
      <c r="BJ218" s="3174">
        <f t="shared" si="167"/>
        <v>0</v>
      </c>
      <c r="BK218" s="3174">
        <f t="shared" si="168"/>
        <v>0</v>
      </c>
      <c r="BL218" s="3174">
        <f t="shared" si="169"/>
        <v>0</v>
      </c>
      <c r="BM218" s="3174">
        <f t="shared" si="170"/>
        <v>0</v>
      </c>
      <c r="BN218" s="3174">
        <f t="shared" si="171"/>
        <v>0</v>
      </c>
      <c r="BO218" s="3174">
        <f t="shared" si="172"/>
        <v>0</v>
      </c>
      <c r="BP218" s="3174">
        <f t="shared" si="173"/>
        <v>0</v>
      </c>
      <c r="BQ218" s="3174">
        <f t="shared" si="174"/>
        <v>0</v>
      </c>
      <c r="BR218" s="3174">
        <f t="shared" si="175"/>
        <v>0</v>
      </c>
      <c r="BS218" s="3174">
        <f t="shared" si="176"/>
        <v>0</v>
      </c>
      <c r="BT218" s="3249">
        <f t="shared" si="177"/>
        <v>0</v>
      </c>
    </row>
    <row r="219" spans="1:72">
      <c r="A219" s="489"/>
      <c r="B219" s="3179"/>
      <c r="C219" s="3180"/>
      <c r="D219" s="3181"/>
      <c r="E219" s="3174">
        <f t="shared" si="149"/>
        <v>0</v>
      </c>
      <c r="F219" s="3175"/>
      <c r="G219" s="3176">
        <f t="shared" si="150"/>
        <v>0</v>
      </c>
      <c r="H219" s="3177">
        <f t="shared" si="151"/>
        <v>0</v>
      </c>
      <c r="I219" s="3180"/>
      <c r="J219" s="3200"/>
      <c r="K219" s="3180"/>
      <c r="L219" s="3200"/>
      <c r="M219" s="3200"/>
      <c r="N219" s="3200"/>
      <c r="O219" s="3200"/>
      <c r="P219" s="3200"/>
      <c r="Q219" s="3200"/>
      <c r="R219" s="3200"/>
      <c r="S219" s="3200"/>
      <c r="T219" s="3200"/>
      <c r="U219" s="3200"/>
      <c r="V219" s="3200"/>
      <c r="W219" s="3200"/>
      <c r="X219" s="3200"/>
      <c r="Y219" s="3200"/>
      <c r="Z219" s="3200"/>
      <c r="AA219" s="3200"/>
      <c r="AB219" s="3200"/>
      <c r="AC219" s="3174">
        <f t="shared" si="152"/>
        <v>0</v>
      </c>
      <c r="AD219" s="3212"/>
      <c r="AE219" s="3212"/>
      <c r="AF219" s="3180"/>
      <c r="AG219" s="3212"/>
      <c r="AH219" s="3212"/>
      <c r="AI219" s="3212"/>
      <c r="AJ219" s="3212"/>
      <c r="AK219" s="3212"/>
      <c r="AL219" s="3212"/>
      <c r="AM219" s="3212"/>
      <c r="AN219" s="3212"/>
      <c r="AO219" s="3212"/>
      <c r="AP219" s="3212"/>
      <c r="AQ219" s="3212"/>
      <c r="AR219" s="3212"/>
      <c r="AS219" s="3212"/>
      <c r="AT219" s="3175"/>
      <c r="AU219" s="3232"/>
      <c r="AV219" s="466">
        <f t="shared" si="153"/>
        <v>0</v>
      </c>
      <c r="AW219" s="466">
        <f t="shared" si="154"/>
        <v>0</v>
      </c>
      <c r="AX219" s="466">
        <f t="shared" si="155"/>
        <v>0</v>
      </c>
      <c r="AY219" s="385">
        <f t="shared" si="156"/>
        <v>0</v>
      </c>
      <c r="AZ219" s="3174">
        <f t="shared" si="157"/>
        <v>0</v>
      </c>
      <c r="BA219" s="3174">
        <f t="shared" si="158"/>
        <v>0</v>
      </c>
      <c r="BB219" s="3174">
        <f t="shared" si="159"/>
        <v>0</v>
      </c>
      <c r="BC219" s="3174">
        <f t="shared" si="160"/>
        <v>0</v>
      </c>
      <c r="BD219" s="3174">
        <f t="shared" si="161"/>
        <v>0</v>
      </c>
      <c r="BE219" s="3174">
        <f t="shared" si="162"/>
        <v>0</v>
      </c>
      <c r="BF219" s="3174">
        <f t="shared" si="163"/>
        <v>0</v>
      </c>
      <c r="BG219" s="3174">
        <f t="shared" si="164"/>
        <v>0</v>
      </c>
      <c r="BH219" s="3174">
        <f t="shared" si="165"/>
        <v>0</v>
      </c>
      <c r="BI219" s="3174">
        <f t="shared" si="166"/>
        <v>0</v>
      </c>
      <c r="BJ219" s="3174">
        <f t="shared" si="167"/>
        <v>0</v>
      </c>
      <c r="BK219" s="3174">
        <f t="shared" si="168"/>
        <v>0</v>
      </c>
      <c r="BL219" s="3174">
        <f t="shared" si="169"/>
        <v>0</v>
      </c>
      <c r="BM219" s="3174">
        <f t="shared" si="170"/>
        <v>0</v>
      </c>
      <c r="BN219" s="3174">
        <f t="shared" si="171"/>
        <v>0</v>
      </c>
      <c r="BO219" s="3174">
        <f t="shared" si="172"/>
        <v>0</v>
      </c>
      <c r="BP219" s="3174">
        <f t="shared" si="173"/>
        <v>0</v>
      </c>
      <c r="BQ219" s="3174">
        <f t="shared" si="174"/>
        <v>0</v>
      </c>
      <c r="BR219" s="3174">
        <f t="shared" si="175"/>
        <v>0</v>
      </c>
      <c r="BS219" s="3174">
        <f t="shared" si="176"/>
        <v>0</v>
      </c>
      <c r="BT219" s="3249">
        <f t="shared" si="177"/>
        <v>0</v>
      </c>
    </row>
    <row r="220" spans="1:72">
      <c r="A220" s="489"/>
      <c r="B220" s="3179"/>
      <c r="C220" s="3180"/>
      <c r="D220" s="3181"/>
      <c r="E220" s="3174">
        <f t="shared" si="149"/>
        <v>0</v>
      </c>
      <c r="F220" s="3175"/>
      <c r="G220" s="3176">
        <f t="shared" si="150"/>
        <v>0</v>
      </c>
      <c r="H220" s="3177">
        <f t="shared" si="151"/>
        <v>0</v>
      </c>
      <c r="I220" s="3180"/>
      <c r="J220" s="3200"/>
      <c r="K220" s="3180"/>
      <c r="L220" s="3200"/>
      <c r="M220" s="3200"/>
      <c r="N220" s="3200"/>
      <c r="O220" s="3200"/>
      <c r="P220" s="3200"/>
      <c r="Q220" s="3200"/>
      <c r="R220" s="3200"/>
      <c r="S220" s="3200"/>
      <c r="T220" s="3200"/>
      <c r="U220" s="3200"/>
      <c r="V220" s="3200"/>
      <c r="W220" s="3200"/>
      <c r="X220" s="3200"/>
      <c r="Y220" s="3200"/>
      <c r="Z220" s="3200"/>
      <c r="AA220" s="3200"/>
      <c r="AB220" s="3200"/>
      <c r="AC220" s="3174">
        <f t="shared" si="152"/>
        <v>0</v>
      </c>
      <c r="AD220" s="3212"/>
      <c r="AE220" s="3212"/>
      <c r="AF220" s="3180"/>
      <c r="AG220" s="3212"/>
      <c r="AH220" s="3212"/>
      <c r="AI220" s="3212"/>
      <c r="AJ220" s="3212"/>
      <c r="AK220" s="3212"/>
      <c r="AL220" s="3212"/>
      <c r="AM220" s="3212"/>
      <c r="AN220" s="3212"/>
      <c r="AO220" s="3212"/>
      <c r="AP220" s="3212"/>
      <c r="AQ220" s="3212"/>
      <c r="AR220" s="3212"/>
      <c r="AS220" s="3212"/>
      <c r="AT220" s="3175"/>
      <c r="AU220" s="3232"/>
      <c r="AV220" s="466">
        <f t="shared" si="153"/>
        <v>0</v>
      </c>
      <c r="AW220" s="466">
        <f t="shared" si="154"/>
        <v>0</v>
      </c>
      <c r="AX220" s="466">
        <f t="shared" si="155"/>
        <v>0</v>
      </c>
      <c r="AY220" s="385">
        <f t="shared" si="156"/>
        <v>0</v>
      </c>
      <c r="AZ220" s="3174">
        <f t="shared" si="157"/>
        <v>0</v>
      </c>
      <c r="BA220" s="3174">
        <f t="shared" si="158"/>
        <v>0</v>
      </c>
      <c r="BB220" s="3174">
        <f t="shared" si="159"/>
        <v>0</v>
      </c>
      <c r="BC220" s="3174">
        <f t="shared" si="160"/>
        <v>0</v>
      </c>
      <c r="BD220" s="3174">
        <f t="shared" si="161"/>
        <v>0</v>
      </c>
      <c r="BE220" s="3174">
        <f t="shared" si="162"/>
        <v>0</v>
      </c>
      <c r="BF220" s="3174">
        <f t="shared" si="163"/>
        <v>0</v>
      </c>
      <c r="BG220" s="3174">
        <f t="shared" si="164"/>
        <v>0</v>
      </c>
      <c r="BH220" s="3174">
        <f t="shared" si="165"/>
        <v>0</v>
      </c>
      <c r="BI220" s="3174">
        <f t="shared" si="166"/>
        <v>0</v>
      </c>
      <c r="BJ220" s="3174">
        <f t="shared" si="167"/>
        <v>0</v>
      </c>
      <c r="BK220" s="3174">
        <f t="shared" si="168"/>
        <v>0</v>
      </c>
      <c r="BL220" s="3174">
        <f t="shared" si="169"/>
        <v>0</v>
      </c>
      <c r="BM220" s="3174">
        <f t="shared" si="170"/>
        <v>0</v>
      </c>
      <c r="BN220" s="3174">
        <f t="shared" si="171"/>
        <v>0</v>
      </c>
      <c r="BO220" s="3174">
        <f t="shared" si="172"/>
        <v>0</v>
      </c>
      <c r="BP220" s="3174">
        <f t="shared" si="173"/>
        <v>0</v>
      </c>
      <c r="BQ220" s="3174">
        <f t="shared" si="174"/>
        <v>0</v>
      </c>
      <c r="BR220" s="3174">
        <f t="shared" si="175"/>
        <v>0</v>
      </c>
      <c r="BS220" s="3174">
        <f t="shared" si="176"/>
        <v>0</v>
      </c>
      <c r="BT220" s="3249">
        <f t="shared" si="177"/>
        <v>0</v>
      </c>
    </row>
    <row r="221" spans="1:72">
      <c r="A221" s="489"/>
      <c r="B221" s="3179"/>
      <c r="C221" s="3180"/>
      <c r="D221" s="3181"/>
      <c r="E221" s="3174">
        <f t="shared" si="149"/>
        <v>0</v>
      </c>
      <c r="F221" s="3175"/>
      <c r="G221" s="3176">
        <f t="shared" si="150"/>
        <v>0</v>
      </c>
      <c r="H221" s="3177">
        <f t="shared" si="151"/>
        <v>0</v>
      </c>
      <c r="I221" s="3180"/>
      <c r="J221" s="3200"/>
      <c r="K221" s="3180"/>
      <c r="L221" s="3200"/>
      <c r="M221" s="3200"/>
      <c r="N221" s="3200"/>
      <c r="O221" s="3200"/>
      <c r="P221" s="3200"/>
      <c r="Q221" s="3200"/>
      <c r="R221" s="3200"/>
      <c r="S221" s="3200"/>
      <c r="T221" s="3200"/>
      <c r="U221" s="3200"/>
      <c r="V221" s="3200"/>
      <c r="W221" s="3200"/>
      <c r="X221" s="3200"/>
      <c r="Y221" s="3200"/>
      <c r="Z221" s="3200"/>
      <c r="AA221" s="3200"/>
      <c r="AB221" s="3200"/>
      <c r="AC221" s="3174">
        <f t="shared" si="152"/>
        <v>0</v>
      </c>
      <c r="AD221" s="3212"/>
      <c r="AE221" s="3212"/>
      <c r="AF221" s="3180"/>
      <c r="AG221" s="3212"/>
      <c r="AH221" s="3212"/>
      <c r="AI221" s="3212"/>
      <c r="AJ221" s="3212"/>
      <c r="AK221" s="3212"/>
      <c r="AL221" s="3212"/>
      <c r="AM221" s="3212"/>
      <c r="AN221" s="3212"/>
      <c r="AO221" s="3212"/>
      <c r="AP221" s="3212"/>
      <c r="AQ221" s="3212"/>
      <c r="AR221" s="3212"/>
      <c r="AS221" s="3212"/>
      <c r="AT221" s="3175"/>
      <c r="AU221" s="3232"/>
      <c r="AV221" s="466">
        <f t="shared" si="153"/>
        <v>0</v>
      </c>
      <c r="AW221" s="466">
        <f t="shared" si="154"/>
        <v>0</v>
      </c>
      <c r="AX221" s="466">
        <f t="shared" si="155"/>
        <v>0</v>
      </c>
      <c r="AY221" s="385">
        <f t="shared" si="156"/>
        <v>0</v>
      </c>
      <c r="AZ221" s="3174">
        <f t="shared" si="157"/>
        <v>0</v>
      </c>
      <c r="BA221" s="3174">
        <f t="shared" si="158"/>
        <v>0</v>
      </c>
      <c r="BB221" s="3174">
        <f t="shared" si="159"/>
        <v>0</v>
      </c>
      <c r="BC221" s="3174">
        <f t="shared" si="160"/>
        <v>0</v>
      </c>
      <c r="BD221" s="3174">
        <f t="shared" si="161"/>
        <v>0</v>
      </c>
      <c r="BE221" s="3174">
        <f t="shared" si="162"/>
        <v>0</v>
      </c>
      <c r="BF221" s="3174">
        <f t="shared" si="163"/>
        <v>0</v>
      </c>
      <c r="BG221" s="3174">
        <f t="shared" si="164"/>
        <v>0</v>
      </c>
      <c r="BH221" s="3174">
        <f t="shared" si="165"/>
        <v>0</v>
      </c>
      <c r="BI221" s="3174">
        <f t="shared" si="166"/>
        <v>0</v>
      </c>
      <c r="BJ221" s="3174">
        <f t="shared" si="167"/>
        <v>0</v>
      </c>
      <c r="BK221" s="3174">
        <f t="shared" si="168"/>
        <v>0</v>
      </c>
      <c r="BL221" s="3174">
        <f t="shared" si="169"/>
        <v>0</v>
      </c>
      <c r="BM221" s="3174">
        <f t="shared" si="170"/>
        <v>0</v>
      </c>
      <c r="BN221" s="3174">
        <f t="shared" si="171"/>
        <v>0</v>
      </c>
      <c r="BO221" s="3174">
        <f t="shared" si="172"/>
        <v>0</v>
      </c>
      <c r="BP221" s="3174">
        <f t="shared" si="173"/>
        <v>0</v>
      </c>
      <c r="BQ221" s="3174">
        <f t="shared" si="174"/>
        <v>0</v>
      </c>
      <c r="BR221" s="3174">
        <f t="shared" si="175"/>
        <v>0</v>
      </c>
      <c r="BS221" s="3174">
        <f t="shared" si="176"/>
        <v>0</v>
      </c>
      <c r="BT221" s="3249">
        <f t="shared" si="177"/>
        <v>0</v>
      </c>
    </row>
    <row r="222" spans="1:72">
      <c r="A222" s="489"/>
      <c r="B222" s="3179"/>
      <c r="C222" s="3180"/>
      <c r="D222" s="3181"/>
      <c r="E222" s="3174">
        <f t="shared" si="149"/>
        <v>0</v>
      </c>
      <c r="F222" s="3175"/>
      <c r="G222" s="3176">
        <f t="shared" si="150"/>
        <v>0</v>
      </c>
      <c r="H222" s="3177">
        <f t="shared" si="151"/>
        <v>0</v>
      </c>
      <c r="I222" s="3180"/>
      <c r="J222" s="3200"/>
      <c r="K222" s="3180"/>
      <c r="L222" s="3200"/>
      <c r="M222" s="3200"/>
      <c r="N222" s="3200"/>
      <c r="O222" s="3200"/>
      <c r="P222" s="3200"/>
      <c r="Q222" s="3200"/>
      <c r="R222" s="3200"/>
      <c r="S222" s="3200"/>
      <c r="T222" s="3200"/>
      <c r="U222" s="3200"/>
      <c r="V222" s="3200"/>
      <c r="W222" s="3200"/>
      <c r="X222" s="3200"/>
      <c r="Y222" s="3200"/>
      <c r="Z222" s="3200"/>
      <c r="AA222" s="3200"/>
      <c r="AB222" s="3200"/>
      <c r="AC222" s="3174">
        <f t="shared" si="152"/>
        <v>0</v>
      </c>
      <c r="AD222" s="3212"/>
      <c r="AE222" s="3212"/>
      <c r="AF222" s="3180"/>
      <c r="AG222" s="3212"/>
      <c r="AH222" s="3212"/>
      <c r="AI222" s="3212"/>
      <c r="AJ222" s="3212"/>
      <c r="AK222" s="3212"/>
      <c r="AL222" s="3212"/>
      <c r="AM222" s="3212"/>
      <c r="AN222" s="3212"/>
      <c r="AO222" s="3212"/>
      <c r="AP222" s="3212"/>
      <c r="AQ222" s="3212"/>
      <c r="AR222" s="3212"/>
      <c r="AS222" s="3212"/>
      <c r="AT222" s="3175"/>
      <c r="AU222" s="3232"/>
      <c r="AV222" s="466">
        <f t="shared" si="153"/>
        <v>0</v>
      </c>
      <c r="AW222" s="466">
        <f t="shared" si="154"/>
        <v>0</v>
      </c>
      <c r="AX222" s="466">
        <f t="shared" si="155"/>
        <v>0</v>
      </c>
      <c r="AY222" s="385">
        <f t="shared" si="156"/>
        <v>0</v>
      </c>
      <c r="AZ222" s="3174">
        <f t="shared" si="157"/>
        <v>0</v>
      </c>
      <c r="BA222" s="3174">
        <f t="shared" si="158"/>
        <v>0</v>
      </c>
      <c r="BB222" s="3174">
        <f t="shared" si="159"/>
        <v>0</v>
      </c>
      <c r="BC222" s="3174">
        <f t="shared" si="160"/>
        <v>0</v>
      </c>
      <c r="BD222" s="3174">
        <f t="shared" si="161"/>
        <v>0</v>
      </c>
      <c r="BE222" s="3174">
        <f t="shared" si="162"/>
        <v>0</v>
      </c>
      <c r="BF222" s="3174">
        <f t="shared" si="163"/>
        <v>0</v>
      </c>
      <c r="BG222" s="3174">
        <f t="shared" si="164"/>
        <v>0</v>
      </c>
      <c r="BH222" s="3174">
        <f t="shared" si="165"/>
        <v>0</v>
      </c>
      <c r="BI222" s="3174">
        <f t="shared" si="166"/>
        <v>0</v>
      </c>
      <c r="BJ222" s="3174">
        <f t="shared" si="167"/>
        <v>0</v>
      </c>
      <c r="BK222" s="3174">
        <f t="shared" si="168"/>
        <v>0</v>
      </c>
      <c r="BL222" s="3174">
        <f t="shared" si="169"/>
        <v>0</v>
      </c>
      <c r="BM222" s="3174">
        <f t="shared" si="170"/>
        <v>0</v>
      </c>
      <c r="BN222" s="3174">
        <f t="shared" si="171"/>
        <v>0</v>
      </c>
      <c r="BO222" s="3174">
        <f t="shared" si="172"/>
        <v>0</v>
      </c>
      <c r="BP222" s="3174">
        <f t="shared" si="173"/>
        <v>0</v>
      </c>
      <c r="BQ222" s="3174">
        <f t="shared" si="174"/>
        <v>0</v>
      </c>
      <c r="BR222" s="3174">
        <f t="shared" si="175"/>
        <v>0</v>
      </c>
      <c r="BS222" s="3174">
        <f t="shared" si="176"/>
        <v>0</v>
      </c>
      <c r="BT222" s="3249">
        <f t="shared" si="177"/>
        <v>0</v>
      </c>
    </row>
    <row r="223" spans="1:72">
      <c r="A223" s="489"/>
      <c r="B223" s="3179"/>
      <c r="C223" s="3180"/>
      <c r="D223" s="3181"/>
      <c r="E223" s="3174">
        <f t="shared" si="149"/>
        <v>0</v>
      </c>
      <c r="F223" s="3175"/>
      <c r="G223" s="3176">
        <f t="shared" si="150"/>
        <v>0</v>
      </c>
      <c r="H223" s="3177">
        <f t="shared" si="151"/>
        <v>0</v>
      </c>
      <c r="I223" s="3180"/>
      <c r="J223" s="3200"/>
      <c r="K223" s="3180"/>
      <c r="L223" s="3200"/>
      <c r="M223" s="3200"/>
      <c r="N223" s="3200"/>
      <c r="O223" s="3200"/>
      <c r="P223" s="3200"/>
      <c r="Q223" s="3200"/>
      <c r="R223" s="3200"/>
      <c r="S223" s="3200"/>
      <c r="T223" s="3200"/>
      <c r="U223" s="3200"/>
      <c r="V223" s="3200"/>
      <c r="W223" s="3200"/>
      <c r="X223" s="3200"/>
      <c r="Y223" s="3200"/>
      <c r="Z223" s="3200"/>
      <c r="AA223" s="3200"/>
      <c r="AB223" s="3200"/>
      <c r="AC223" s="3174">
        <f t="shared" si="152"/>
        <v>0</v>
      </c>
      <c r="AD223" s="3212"/>
      <c r="AE223" s="3212"/>
      <c r="AF223" s="3180"/>
      <c r="AG223" s="3212"/>
      <c r="AH223" s="3212"/>
      <c r="AI223" s="3212"/>
      <c r="AJ223" s="3212"/>
      <c r="AK223" s="3212"/>
      <c r="AL223" s="3212"/>
      <c r="AM223" s="3212"/>
      <c r="AN223" s="3212"/>
      <c r="AO223" s="3212"/>
      <c r="AP223" s="3212"/>
      <c r="AQ223" s="3212"/>
      <c r="AR223" s="3212"/>
      <c r="AS223" s="3212"/>
      <c r="AT223" s="3175"/>
      <c r="AU223" s="3232"/>
      <c r="AV223" s="466">
        <f t="shared" si="153"/>
        <v>0</v>
      </c>
      <c r="AW223" s="466">
        <f t="shared" si="154"/>
        <v>0</v>
      </c>
      <c r="AX223" s="466">
        <f t="shared" si="155"/>
        <v>0</v>
      </c>
      <c r="AY223" s="385">
        <f t="shared" si="156"/>
        <v>0</v>
      </c>
      <c r="AZ223" s="3174">
        <f t="shared" si="157"/>
        <v>0</v>
      </c>
      <c r="BA223" s="3174">
        <f t="shared" si="158"/>
        <v>0</v>
      </c>
      <c r="BB223" s="3174">
        <f t="shared" si="159"/>
        <v>0</v>
      </c>
      <c r="BC223" s="3174">
        <f t="shared" si="160"/>
        <v>0</v>
      </c>
      <c r="BD223" s="3174">
        <f t="shared" si="161"/>
        <v>0</v>
      </c>
      <c r="BE223" s="3174">
        <f t="shared" si="162"/>
        <v>0</v>
      </c>
      <c r="BF223" s="3174">
        <f t="shared" si="163"/>
        <v>0</v>
      </c>
      <c r="BG223" s="3174">
        <f t="shared" si="164"/>
        <v>0</v>
      </c>
      <c r="BH223" s="3174">
        <f t="shared" si="165"/>
        <v>0</v>
      </c>
      <c r="BI223" s="3174">
        <f t="shared" si="166"/>
        <v>0</v>
      </c>
      <c r="BJ223" s="3174">
        <f t="shared" si="167"/>
        <v>0</v>
      </c>
      <c r="BK223" s="3174">
        <f t="shared" si="168"/>
        <v>0</v>
      </c>
      <c r="BL223" s="3174">
        <f t="shared" si="169"/>
        <v>0</v>
      </c>
      <c r="BM223" s="3174">
        <f t="shared" si="170"/>
        <v>0</v>
      </c>
      <c r="BN223" s="3174">
        <f t="shared" si="171"/>
        <v>0</v>
      </c>
      <c r="BO223" s="3174">
        <f t="shared" si="172"/>
        <v>0</v>
      </c>
      <c r="BP223" s="3174">
        <f t="shared" si="173"/>
        <v>0</v>
      </c>
      <c r="BQ223" s="3174">
        <f t="shared" si="174"/>
        <v>0</v>
      </c>
      <c r="BR223" s="3174">
        <f t="shared" si="175"/>
        <v>0</v>
      </c>
      <c r="BS223" s="3174">
        <f t="shared" si="176"/>
        <v>0</v>
      </c>
      <c r="BT223" s="3249">
        <f t="shared" si="177"/>
        <v>0</v>
      </c>
    </row>
    <row r="224" spans="1:72">
      <c r="A224" s="489"/>
      <c r="B224" s="3179"/>
      <c r="C224" s="3180"/>
      <c r="D224" s="3181"/>
      <c r="E224" s="3174">
        <f t="shared" si="149"/>
        <v>0</v>
      </c>
      <c r="F224" s="3175"/>
      <c r="G224" s="3176">
        <f t="shared" si="150"/>
        <v>0</v>
      </c>
      <c r="H224" s="3177">
        <f t="shared" si="151"/>
        <v>0</v>
      </c>
      <c r="I224" s="3180"/>
      <c r="J224" s="3200"/>
      <c r="K224" s="3180"/>
      <c r="L224" s="3200"/>
      <c r="M224" s="3200"/>
      <c r="N224" s="3200"/>
      <c r="O224" s="3200"/>
      <c r="P224" s="3200"/>
      <c r="Q224" s="3200"/>
      <c r="R224" s="3200"/>
      <c r="S224" s="3200"/>
      <c r="T224" s="3200"/>
      <c r="U224" s="3200"/>
      <c r="V224" s="3200"/>
      <c r="W224" s="3200"/>
      <c r="X224" s="3200"/>
      <c r="Y224" s="3200"/>
      <c r="Z224" s="3200"/>
      <c r="AA224" s="3200"/>
      <c r="AB224" s="3200"/>
      <c r="AC224" s="3174">
        <f t="shared" si="152"/>
        <v>0</v>
      </c>
      <c r="AD224" s="3212"/>
      <c r="AE224" s="3212"/>
      <c r="AF224" s="3180"/>
      <c r="AG224" s="3212"/>
      <c r="AH224" s="3212"/>
      <c r="AI224" s="3212"/>
      <c r="AJ224" s="3212"/>
      <c r="AK224" s="3212"/>
      <c r="AL224" s="3212"/>
      <c r="AM224" s="3212"/>
      <c r="AN224" s="3212"/>
      <c r="AO224" s="3212"/>
      <c r="AP224" s="3212"/>
      <c r="AQ224" s="3212"/>
      <c r="AR224" s="3212"/>
      <c r="AS224" s="3212"/>
      <c r="AT224" s="3175"/>
      <c r="AU224" s="3232"/>
      <c r="AV224" s="466">
        <f t="shared" si="153"/>
        <v>0</v>
      </c>
      <c r="AW224" s="466">
        <f t="shared" si="154"/>
        <v>0</v>
      </c>
      <c r="AX224" s="466">
        <f t="shared" si="155"/>
        <v>0</v>
      </c>
      <c r="AY224" s="385">
        <f t="shared" si="156"/>
        <v>0</v>
      </c>
      <c r="AZ224" s="3174">
        <f t="shared" si="157"/>
        <v>0</v>
      </c>
      <c r="BA224" s="3174">
        <f t="shared" si="158"/>
        <v>0</v>
      </c>
      <c r="BB224" s="3174">
        <f t="shared" si="159"/>
        <v>0</v>
      </c>
      <c r="BC224" s="3174">
        <f t="shared" si="160"/>
        <v>0</v>
      </c>
      <c r="BD224" s="3174">
        <f t="shared" si="161"/>
        <v>0</v>
      </c>
      <c r="BE224" s="3174">
        <f t="shared" si="162"/>
        <v>0</v>
      </c>
      <c r="BF224" s="3174">
        <f t="shared" si="163"/>
        <v>0</v>
      </c>
      <c r="BG224" s="3174">
        <f t="shared" si="164"/>
        <v>0</v>
      </c>
      <c r="BH224" s="3174">
        <f t="shared" si="165"/>
        <v>0</v>
      </c>
      <c r="BI224" s="3174">
        <f t="shared" si="166"/>
        <v>0</v>
      </c>
      <c r="BJ224" s="3174">
        <f t="shared" si="167"/>
        <v>0</v>
      </c>
      <c r="BK224" s="3174">
        <f t="shared" si="168"/>
        <v>0</v>
      </c>
      <c r="BL224" s="3174">
        <f t="shared" si="169"/>
        <v>0</v>
      </c>
      <c r="BM224" s="3174">
        <f t="shared" si="170"/>
        <v>0</v>
      </c>
      <c r="BN224" s="3174">
        <f t="shared" si="171"/>
        <v>0</v>
      </c>
      <c r="BO224" s="3174">
        <f t="shared" si="172"/>
        <v>0</v>
      </c>
      <c r="BP224" s="3174">
        <f t="shared" si="173"/>
        <v>0</v>
      </c>
      <c r="BQ224" s="3174">
        <f t="shared" si="174"/>
        <v>0</v>
      </c>
      <c r="BR224" s="3174">
        <f t="shared" si="175"/>
        <v>0</v>
      </c>
      <c r="BS224" s="3174">
        <f t="shared" si="176"/>
        <v>0</v>
      </c>
      <c r="BT224" s="3249">
        <f t="shared" si="177"/>
        <v>0</v>
      </c>
    </row>
    <row r="225" spans="1:72">
      <c r="A225" s="489"/>
      <c r="B225" s="3179"/>
      <c r="C225" s="3180"/>
      <c r="D225" s="3181"/>
      <c r="E225" s="3174">
        <f t="shared" si="149"/>
        <v>0</v>
      </c>
      <c r="F225" s="3175"/>
      <c r="G225" s="3176">
        <f t="shared" si="150"/>
        <v>0</v>
      </c>
      <c r="H225" s="3177">
        <f t="shared" si="151"/>
        <v>0</v>
      </c>
      <c r="I225" s="3180"/>
      <c r="J225" s="3200"/>
      <c r="K225" s="3180"/>
      <c r="L225" s="3200"/>
      <c r="M225" s="3200"/>
      <c r="N225" s="3200"/>
      <c r="O225" s="3200"/>
      <c r="P225" s="3200"/>
      <c r="Q225" s="3200"/>
      <c r="R225" s="3200"/>
      <c r="S225" s="3200"/>
      <c r="T225" s="3200"/>
      <c r="U225" s="3200"/>
      <c r="V225" s="3200"/>
      <c r="W225" s="3200"/>
      <c r="X225" s="3200"/>
      <c r="Y225" s="3200"/>
      <c r="Z225" s="3200"/>
      <c r="AA225" s="3200"/>
      <c r="AB225" s="3200"/>
      <c r="AC225" s="3174">
        <f t="shared" si="152"/>
        <v>0</v>
      </c>
      <c r="AD225" s="3212"/>
      <c r="AE225" s="3212"/>
      <c r="AF225" s="3180"/>
      <c r="AG225" s="3212"/>
      <c r="AH225" s="3212"/>
      <c r="AI225" s="3212"/>
      <c r="AJ225" s="3212"/>
      <c r="AK225" s="3212"/>
      <c r="AL225" s="3212"/>
      <c r="AM225" s="3212"/>
      <c r="AN225" s="3212"/>
      <c r="AO225" s="3212"/>
      <c r="AP225" s="3212"/>
      <c r="AQ225" s="3212"/>
      <c r="AR225" s="3212"/>
      <c r="AS225" s="3212"/>
      <c r="AT225" s="3175"/>
      <c r="AU225" s="3232"/>
      <c r="AV225" s="466">
        <f t="shared" si="153"/>
        <v>0</v>
      </c>
      <c r="AW225" s="466">
        <f t="shared" si="154"/>
        <v>0</v>
      </c>
      <c r="AX225" s="466">
        <f t="shared" si="155"/>
        <v>0</v>
      </c>
      <c r="AY225" s="385">
        <f t="shared" si="156"/>
        <v>0</v>
      </c>
      <c r="AZ225" s="3174">
        <f t="shared" si="157"/>
        <v>0</v>
      </c>
      <c r="BA225" s="3174">
        <f t="shared" si="158"/>
        <v>0</v>
      </c>
      <c r="BB225" s="3174">
        <f t="shared" si="159"/>
        <v>0</v>
      </c>
      <c r="BC225" s="3174">
        <f t="shared" si="160"/>
        <v>0</v>
      </c>
      <c r="BD225" s="3174">
        <f t="shared" si="161"/>
        <v>0</v>
      </c>
      <c r="BE225" s="3174">
        <f t="shared" si="162"/>
        <v>0</v>
      </c>
      <c r="BF225" s="3174">
        <f t="shared" si="163"/>
        <v>0</v>
      </c>
      <c r="BG225" s="3174">
        <f t="shared" si="164"/>
        <v>0</v>
      </c>
      <c r="BH225" s="3174">
        <f t="shared" si="165"/>
        <v>0</v>
      </c>
      <c r="BI225" s="3174">
        <f t="shared" si="166"/>
        <v>0</v>
      </c>
      <c r="BJ225" s="3174">
        <f t="shared" si="167"/>
        <v>0</v>
      </c>
      <c r="BK225" s="3174">
        <f t="shared" si="168"/>
        <v>0</v>
      </c>
      <c r="BL225" s="3174">
        <f t="shared" si="169"/>
        <v>0</v>
      </c>
      <c r="BM225" s="3174">
        <f t="shared" si="170"/>
        <v>0</v>
      </c>
      <c r="BN225" s="3174">
        <f t="shared" si="171"/>
        <v>0</v>
      </c>
      <c r="BO225" s="3174">
        <f t="shared" si="172"/>
        <v>0</v>
      </c>
      <c r="BP225" s="3174">
        <f t="shared" si="173"/>
        <v>0</v>
      </c>
      <c r="BQ225" s="3174">
        <f t="shared" si="174"/>
        <v>0</v>
      </c>
      <c r="BR225" s="3174">
        <f t="shared" si="175"/>
        <v>0</v>
      </c>
      <c r="BS225" s="3174">
        <f t="shared" si="176"/>
        <v>0</v>
      </c>
      <c r="BT225" s="3249">
        <f t="shared" si="177"/>
        <v>0</v>
      </c>
    </row>
    <row r="226" spans="1:72">
      <c r="A226" s="489"/>
      <c r="B226" s="3179"/>
      <c r="C226" s="3180"/>
      <c r="D226" s="3181"/>
      <c r="E226" s="3174">
        <f t="shared" si="149"/>
        <v>0</v>
      </c>
      <c r="F226" s="3175"/>
      <c r="G226" s="3176">
        <f t="shared" si="150"/>
        <v>0</v>
      </c>
      <c r="H226" s="3177">
        <f t="shared" si="151"/>
        <v>0</v>
      </c>
      <c r="I226" s="3180"/>
      <c r="J226" s="3200"/>
      <c r="K226" s="3180"/>
      <c r="L226" s="3200"/>
      <c r="M226" s="3200"/>
      <c r="N226" s="3200"/>
      <c r="O226" s="3200"/>
      <c r="P226" s="3200"/>
      <c r="Q226" s="3200"/>
      <c r="R226" s="3200"/>
      <c r="S226" s="3200"/>
      <c r="T226" s="3200"/>
      <c r="U226" s="3200"/>
      <c r="V226" s="3200"/>
      <c r="W226" s="3200"/>
      <c r="X226" s="3200"/>
      <c r="Y226" s="3200"/>
      <c r="Z226" s="3200"/>
      <c r="AA226" s="3200"/>
      <c r="AB226" s="3200"/>
      <c r="AC226" s="3174">
        <f t="shared" si="152"/>
        <v>0</v>
      </c>
      <c r="AD226" s="3212"/>
      <c r="AE226" s="3212"/>
      <c r="AF226" s="3180"/>
      <c r="AG226" s="3212"/>
      <c r="AH226" s="3212"/>
      <c r="AI226" s="3212"/>
      <c r="AJ226" s="3212"/>
      <c r="AK226" s="3212"/>
      <c r="AL226" s="3212"/>
      <c r="AM226" s="3212"/>
      <c r="AN226" s="3212"/>
      <c r="AO226" s="3212"/>
      <c r="AP226" s="3212"/>
      <c r="AQ226" s="3212"/>
      <c r="AR226" s="3212"/>
      <c r="AS226" s="3212"/>
      <c r="AT226" s="3175"/>
      <c r="AU226" s="3232"/>
      <c r="AV226" s="466">
        <f t="shared" si="153"/>
        <v>0</v>
      </c>
      <c r="AW226" s="466">
        <f t="shared" si="154"/>
        <v>0</v>
      </c>
      <c r="AX226" s="466">
        <f t="shared" si="155"/>
        <v>0</v>
      </c>
      <c r="AY226" s="385">
        <f t="shared" si="156"/>
        <v>0</v>
      </c>
      <c r="AZ226" s="3174">
        <f t="shared" si="157"/>
        <v>0</v>
      </c>
      <c r="BA226" s="3174">
        <f t="shared" si="158"/>
        <v>0</v>
      </c>
      <c r="BB226" s="3174">
        <f t="shared" si="159"/>
        <v>0</v>
      </c>
      <c r="BC226" s="3174">
        <f t="shared" si="160"/>
        <v>0</v>
      </c>
      <c r="BD226" s="3174">
        <f t="shared" si="161"/>
        <v>0</v>
      </c>
      <c r="BE226" s="3174">
        <f t="shared" si="162"/>
        <v>0</v>
      </c>
      <c r="BF226" s="3174">
        <f t="shared" si="163"/>
        <v>0</v>
      </c>
      <c r="BG226" s="3174">
        <f t="shared" si="164"/>
        <v>0</v>
      </c>
      <c r="BH226" s="3174">
        <f t="shared" si="165"/>
        <v>0</v>
      </c>
      <c r="BI226" s="3174">
        <f t="shared" si="166"/>
        <v>0</v>
      </c>
      <c r="BJ226" s="3174">
        <f t="shared" si="167"/>
        <v>0</v>
      </c>
      <c r="BK226" s="3174">
        <f t="shared" si="168"/>
        <v>0</v>
      </c>
      <c r="BL226" s="3174">
        <f t="shared" si="169"/>
        <v>0</v>
      </c>
      <c r="BM226" s="3174">
        <f t="shared" si="170"/>
        <v>0</v>
      </c>
      <c r="BN226" s="3174">
        <f t="shared" si="171"/>
        <v>0</v>
      </c>
      <c r="BO226" s="3174">
        <f t="shared" si="172"/>
        <v>0</v>
      </c>
      <c r="BP226" s="3174">
        <f t="shared" si="173"/>
        <v>0</v>
      </c>
      <c r="BQ226" s="3174">
        <f t="shared" si="174"/>
        <v>0</v>
      </c>
      <c r="BR226" s="3174">
        <f t="shared" si="175"/>
        <v>0</v>
      </c>
      <c r="BS226" s="3174">
        <f t="shared" si="176"/>
        <v>0</v>
      </c>
      <c r="BT226" s="3249">
        <f t="shared" si="177"/>
        <v>0</v>
      </c>
    </row>
    <row r="227" spans="1:72">
      <c r="A227" s="489"/>
      <c r="B227" s="3179"/>
      <c r="C227" s="3180"/>
      <c r="D227" s="3181"/>
      <c r="E227" s="3174">
        <f t="shared" si="149"/>
        <v>0</v>
      </c>
      <c r="F227" s="3175"/>
      <c r="G227" s="3176">
        <f t="shared" si="150"/>
        <v>0</v>
      </c>
      <c r="H227" s="3177">
        <f t="shared" si="151"/>
        <v>0</v>
      </c>
      <c r="I227" s="3180"/>
      <c r="J227" s="3200"/>
      <c r="K227" s="3180"/>
      <c r="L227" s="3200"/>
      <c r="M227" s="3200"/>
      <c r="N227" s="3200"/>
      <c r="O227" s="3200"/>
      <c r="P227" s="3200"/>
      <c r="Q227" s="3200"/>
      <c r="R227" s="3200"/>
      <c r="S227" s="3200"/>
      <c r="T227" s="3200"/>
      <c r="U227" s="3200"/>
      <c r="V227" s="3200"/>
      <c r="W227" s="3200"/>
      <c r="X227" s="3200"/>
      <c r="Y227" s="3200"/>
      <c r="Z227" s="3200"/>
      <c r="AA227" s="3200"/>
      <c r="AB227" s="3200"/>
      <c r="AC227" s="3174">
        <f t="shared" si="152"/>
        <v>0</v>
      </c>
      <c r="AD227" s="3212"/>
      <c r="AE227" s="3212"/>
      <c r="AF227" s="3180"/>
      <c r="AG227" s="3212"/>
      <c r="AH227" s="3212"/>
      <c r="AI227" s="3212"/>
      <c r="AJ227" s="3212"/>
      <c r="AK227" s="3212"/>
      <c r="AL227" s="3212"/>
      <c r="AM227" s="3212"/>
      <c r="AN227" s="3212"/>
      <c r="AO227" s="3212"/>
      <c r="AP227" s="3212"/>
      <c r="AQ227" s="3212"/>
      <c r="AR227" s="3212"/>
      <c r="AS227" s="3212"/>
      <c r="AT227" s="3175"/>
      <c r="AU227" s="3232"/>
      <c r="AV227" s="466">
        <f t="shared" si="153"/>
        <v>0</v>
      </c>
      <c r="AW227" s="466">
        <f t="shared" si="154"/>
        <v>0</v>
      </c>
      <c r="AX227" s="466">
        <f t="shared" si="155"/>
        <v>0</v>
      </c>
      <c r="AY227" s="385">
        <f t="shared" si="156"/>
        <v>0</v>
      </c>
      <c r="AZ227" s="3174">
        <f t="shared" si="157"/>
        <v>0</v>
      </c>
      <c r="BA227" s="3174">
        <f t="shared" si="158"/>
        <v>0</v>
      </c>
      <c r="BB227" s="3174">
        <f t="shared" si="159"/>
        <v>0</v>
      </c>
      <c r="BC227" s="3174">
        <f t="shared" si="160"/>
        <v>0</v>
      </c>
      <c r="BD227" s="3174">
        <f t="shared" si="161"/>
        <v>0</v>
      </c>
      <c r="BE227" s="3174">
        <f t="shared" si="162"/>
        <v>0</v>
      </c>
      <c r="BF227" s="3174">
        <f t="shared" si="163"/>
        <v>0</v>
      </c>
      <c r="BG227" s="3174">
        <f t="shared" si="164"/>
        <v>0</v>
      </c>
      <c r="BH227" s="3174">
        <f t="shared" si="165"/>
        <v>0</v>
      </c>
      <c r="BI227" s="3174">
        <f t="shared" si="166"/>
        <v>0</v>
      </c>
      <c r="BJ227" s="3174">
        <f t="shared" si="167"/>
        <v>0</v>
      </c>
      <c r="BK227" s="3174">
        <f t="shared" si="168"/>
        <v>0</v>
      </c>
      <c r="BL227" s="3174">
        <f t="shared" si="169"/>
        <v>0</v>
      </c>
      <c r="BM227" s="3174">
        <f t="shared" si="170"/>
        <v>0</v>
      </c>
      <c r="BN227" s="3174">
        <f t="shared" si="171"/>
        <v>0</v>
      </c>
      <c r="BO227" s="3174">
        <f t="shared" si="172"/>
        <v>0</v>
      </c>
      <c r="BP227" s="3174">
        <f t="shared" si="173"/>
        <v>0</v>
      </c>
      <c r="BQ227" s="3174">
        <f t="shared" si="174"/>
        <v>0</v>
      </c>
      <c r="BR227" s="3174">
        <f t="shared" si="175"/>
        <v>0</v>
      </c>
      <c r="BS227" s="3174">
        <f t="shared" si="176"/>
        <v>0</v>
      </c>
      <c r="BT227" s="3249">
        <f t="shared" si="177"/>
        <v>0</v>
      </c>
    </row>
    <row r="228" spans="1:72">
      <c r="A228" s="489"/>
      <c r="B228" s="3179"/>
      <c r="C228" s="3180"/>
      <c r="D228" s="3181"/>
      <c r="E228" s="3174">
        <f t="shared" si="149"/>
        <v>0</v>
      </c>
      <c r="F228" s="3175"/>
      <c r="G228" s="3176">
        <f t="shared" si="150"/>
        <v>0</v>
      </c>
      <c r="H228" s="3177">
        <f t="shared" si="151"/>
        <v>0</v>
      </c>
      <c r="I228" s="3180"/>
      <c r="J228" s="3200"/>
      <c r="K228" s="3180"/>
      <c r="L228" s="3200"/>
      <c r="M228" s="3200"/>
      <c r="N228" s="3200"/>
      <c r="O228" s="3200"/>
      <c r="P228" s="3200"/>
      <c r="Q228" s="3200"/>
      <c r="R228" s="3200"/>
      <c r="S228" s="3200"/>
      <c r="T228" s="3200"/>
      <c r="U228" s="3200"/>
      <c r="V228" s="3200"/>
      <c r="W228" s="3200"/>
      <c r="X228" s="3200"/>
      <c r="Y228" s="3200"/>
      <c r="Z228" s="3200"/>
      <c r="AA228" s="3200"/>
      <c r="AB228" s="3200"/>
      <c r="AC228" s="3174">
        <f t="shared" si="152"/>
        <v>0</v>
      </c>
      <c r="AD228" s="3212"/>
      <c r="AE228" s="3212"/>
      <c r="AF228" s="3180"/>
      <c r="AG228" s="3212"/>
      <c r="AH228" s="3212"/>
      <c r="AI228" s="3212"/>
      <c r="AJ228" s="3212"/>
      <c r="AK228" s="3212"/>
      <c r="AL228" s="3212"/>
      <c r="AM228" s="3212"/>
      <c r="AN228" s="3212"/>
      <c r="AO228" s="3212"/>
      <c r="AP228" s="3212"/>
      <c r="AQ228" s="3212"/>
      <c r="AR228" s="3212"/>
      <c r="AS228" s="3212"/>
      <c r="AT228" s="3175"/>
      <c r="AU228" s="3232"/>
      <c r="AV228" s="466">
        <f t="shared" si="153"/>
        <v>0</v>
      </c>
      <c r="AW228" s="466">
        <f t="shared" si="154"/>
        <v>0</v>
      </c>
      <c r="AX228" s="466">
        <f t="shared" si="155"/>
        <v>0</v>
      </c>
      <c r="AY228" s="385">
        <f t="shared" si="156"/>
        <v>0</v>
      </c>
      <c r="AZ228" s="3174">
        <f t="shared" si="157"/>
        <v>0</v>
      </c>
      <c r="BA228" s="3174">
        <f t="shared" si="158"/>
        <v>0</v>
      </c>
      <c r="BB228" s="3174">
        <f t="shared" si="159"/>
        <v>0</v>
      </c>
      <c r="BC228" s="3174">
        <f t="shared" si="160"/>
        <v>0</v>
      </c>
      <c r="BD228" s="3174">
        <f t="shared" si="161"/>
        <v>0</v>
      </c>
      <c r="BE228" s="3174">
        <f t="shared" si="162"/>
        <v>0</v>
      </c>
      <c r="BF228" s="3174">
        <f t="shared" si="163"/>
        <v>0</v>
      </c>
      <c r="BG228" s="3174">
        <f t="shared" si="164"/>
        <v>0</v>
      </c>
      <c r="BH228" s="3174">
        <f t="shared" si="165"/>
        <v>0</v>
      </c>
      <c r="BI228" s="3174">
        <f t="shared" si="166"/>
        <v>0</v>
      </c>
      <c r="BJ228" s="3174">
        <f t="shared" si="167"/>
        <v>0</v>
      </c>
      <c r="BK228" s="3174">
        <f t="shared" si="168"/>
        <v>0</v>
      </c>
      <c r="BL228" s="3174">
        <f t="shared" si="169"/>
        <v>0</v>
      </c>
      <c r="BM228" s="3174">
        <f t="shared" si="170"/>
        <v>0</v>
      </c>
      <c r="BN228" s="3174">
        <f t="shared" si="171"/>
        <v>0</v>
      </c>
      <c r="BO228" s="3174">
        <f t="shared" si="172"/>
        <v>0</v>
      </c>
      <c r="BP228" s="3174">
        <f t="shared" si="173"/>
        <v>0</v>
      </c>
      <c r="BQ228" s="3174">
        <f t="shared" si="174"/>
        <v>0</v>
      </c>
      <c r="BR228" s="3174">
        <f t="shared" si="175"/>
        <v>0</v>
      </c>
      <c r="BS228" s="3174">
        <f t="shared" si="176"/>
        <v>0</v>
      </c>
      <c r="BT228" s="3249">
        <f t="shared" si="177"/>
        <v>0</v>
      </c>
    </row>
    <row r="229" spans="1:72">
      <c r="A229" s="489"/>
      <c r="B229" s="3179"/>
      <c r="C229" s="3180"/>
      <c r="D229" s="3181"/>
      <c r="E229" s="3174">
        <f t="shared" si="149"/>
        <v>0</v>
      </c>
      <c r="F229" s="3175"/>
      <c r="G229" s="3176">
        <f t="shared" si="150"/>
        <v>0</v>
      </c>
      <c r="H229" s="3177">
        <f t="shared" si="151"/>
        <v>0</v>
      </c>
      <c r="I229" s="3180"/>
      <c r="J229" s="3200"/>
      <c r="K229" s="3180"/>
      <c r="L229" s="3200"/>
      <c r="M229" s="3200"/>
      <c r="N229" s="3200"/>
      <c r="O229" s="3200"/>
      <c r="P229" s="3200"/>
      <c r="Q229" s="3200"/>
      <c r="R229" s="3200"/>
      <c r="S229" s="3200"/>
      <c r="T229" s="3200"/>
      <c r="U229" s="3200"/>
      <c r="V229" s="3200"/>
      <c r="W229" s="3200"/>
      <c r="X229" s="3200"/>
      <c r="Y229" s="3200"/>
      <c r="Z229" s="3200"/>
      <c r="AA229" s="3200"/>
      <c r="AB229" s="3200"/>
      <c r="AC229" s="3174">
        <f t="shared" si="152"/>
        <v>0</v>
      </c>
      <c r="AD229" s="3212"/>
      <c r="AE229" s="3212"/>
      <c r="AF229" s="3180"/>
      <c r="AG229" s="3212"/>
      <c r="AH229" s="3212"/>
      <c r="AI229" s="3212"/>
      <c r="AJ229" s="3212"/>
      <c r="AK229" s="3212"/>
      <c r="AL229" s="3212"/>
      <c r="AM229" s="3212"/>
      <c r="AN229" s="3212"/>
      <c r="AO229" s="3212"/>
      <c r="AP229" s="3212"/>
      <c r="AQ229" s="3212"/>
      <c r="AR229" s="3212"/>
      <c r="AS229" s="3212"/>
      <c r="AT229" s="3175"/>
      <c r="AU229" s="3232"/>
      <c r="AV229" s="466">
        <f t="shared" si="153"/>
        <v>0</v>
      </c>
      <c r="AW229" s="466">
        <f t="shared" si="154"/>
        <v>0</v>
      </c>
      <c r="AX229" s="466">
        <f t="shared" si="155"/>
        <v>0</v>
      </c>
      <c r="AY229" s="385">
        <f t="shared" si="156"/>
        <v>0</v>
      </c>
      <c r="AZ229" s="3174">
        <f t="shared" si="157"/>
        <v>0</v>
      </c>
      <c r="BA229" s="3174">
        <f t="shared" si="158"/>
        <v>0</v>
      </c>
      <c r="BB229" s="3174">
        <f t="shared" si="159"/>
        <v>0</v>
      </c>
      <c r="BC229" s="3174">
        <f t="shared" si="160"/>
        <v>0</v>
      </c>
      <c r="BD229" s="3174">
        <f t="shared" si="161"/>
        <v>0</v>
      </c>
      <c r="BE229" s="3174">
        <f t="shared" si="162"/>
        <v>0</v>
      </c>
      <c r="BF229" s="3174">
        <f t="shared" si="163"/>
        <v>0</v>
      </c>
      <c r="BG229" s="3174">
        <f t="shared" si="164"/>
        <v>0</v>
      </c>
      <c r="BH229" s="3174">
        <f t="shared" si="165"/>
        <v>0</v>
      </c>
      <c r="BI229" s="3174">
        <f t="shared" si="166"/>
        <v>0</v>
      </c>
      <c r="BJ229" s="3174">
        <f t="shared" si="167"/>
        <v>0</v>
      </c>
      <c r="BK229" s="3174">
        <f t="shared" si="168"/>
        <v>0</v>
      </c>
      <c r="BL229" s="3174">
        <f t="shared" si="169"/>
        <v>0</v>
      </c>
      <c r="BM229" s="3174">
        <f t="shared" si="170"/>
        <v>0</v>
      </c>
      <c r="BN229" s="3174">
        <f t="shared" si="171"/>
        <v>0</v>
      </c>
      <c r="BO229" s="3174">
        <f t="shared" si="172"/>
        <v>0</v>
      </c>
      <c r="BP229" s="3174">
        <f t="shared" si="173"/>
        <v>0</v>
      </c>
      <c r="BQ229" s="3174">
        <f t="shared" si="174"/>
        <v>0</v>
      </c>
      <c r="BR229" s="3174">
        <f t="shared" si="175"/>
        <v>0</v>
      </c>
      <c r="BS229" s="3174">
        <f t="shared" si="176"/>
        <v>0</v>
      </c>
      <c r="BT229" s="3249">
        <f t="shared" si="177"/>
        <v>0</v>
      </c>
    </row>
    <row r="230" spans="1:72">
      <c r="A230" s="489"/>
      <c r="B230" s="3179"/>
      <c r="C230" s="3180"/>
      <c r="D230" s="3181"/>
      <c r="E230" s="3174">
        <f t="shared" si="149"/>
        <v>0</v>
      </c>
      <c r="F230" s="3175"/>
      <c r="G230" s="3176">
        <f t="shared" si="150"/>
        <v>0</v>
      </c>
      <c r="H230" s="3177">
        <f t="shared" si="151"/>
        <v>0</v>
      </c>
      <c r="I230" s="3180"/>
      <c r="J230" s="3200"/>
      <c r="K230" s="3180"/>
      <c r="L230" s="3200"/>
      <c r="M230" s="3200"/>
      <c r="N230" s="3200"/>
      <c r="O230" s="3200"/>
      <c r="P230" s="3200"/>
      <c r="Q230" s="3200"/>
      <c r="R230" s="3200"/>
      <c r="S230" s="3200"/>
      <c r="T230" s="3200"/>
      <c r="U230" s="3200"/>
      <c r="V230" s="3200"/>
      <c r="W230" s="3200"/>
      <c r="X230" s="3200"/>
      <c r="Y230" s="3200"/>
      <c r="Z230" s="3200"/>
      <c r="AA230" s="3200"/>
      <c r="AB230" s="3200"/>
      <c r="AC230" s="3174">
        <f t="shared" si="152"/>
        <v>0</v>
      </c>
      <c r="AD230" s="3212"/>
      <c r="AE230" s="3212"/>
      <c r="AF230" s="3180"/>
      <c r="AG230" s="3212"/>
      <c r="AH230" s="3212"/>
      <c r="AI230" s="3212"/>
      <c r="AJ230" s="3212"/>
      <c r="AK230" s="3212"/>
      <c r="AL230" s="3212"/>
      <c r="AM230" s="3212"/>
      <c r="AN230" s="3212"/>
      <c r="AO230" s="3212"/>
      <c r="AP230" s="3212"/>
      <c r="AQ230" s="3212"/>
      <c r="AR230" s="3212"/>
      <c r="AS230" s="3212"/>
      <c r="AT230" s="3175"/>
      <c r="AU230" s="3232"/>
      <c r="AV230" s="466">
        <f t="shared" si="153"/>
        <v>0</v>
      </c>
      <c r="AW230" s="466">
        <f t="shared" si="154"/>
        <v>0</v>
      </c>
      <c r="AX230" s="466">
        <f t="shared" si="155"/>
        <v>0</v>
      </c>
      <c r="AY230" s="385">
        <f t="shared" si="156"/>
        <v>0</v>
      </c>
      <c r="AZ230" s="3174">
        <f t="shared" si="157"/>
        <v>0</v>
      </c>
      <c r="BA230" s="3174">
        <f t="shared" si="158"/>
        <v>0</v>
      </c>
      <c r="BB230" s="3174">
        <f t="shared" si="159"/>
        <v>0</v>
      </c>
      <c r="BC230" s="3174">
        <f t="shared" si="160"/>
        <v>0</v>
      </c>
      <c r="BD230" s="3174">
        <f t="shared" si="161"/>
        <v>0</v>
      </c>
      <c r="BE230" s="3174">
        <f t="shared" si="162"/>
        <v>0</v>
      </c>
      <c r="BF230" s="3174">
        <f t="shared" si="163"/>
        <v>0</v>
      </c>
      <c r="BG230" s="3174">
        <f t="shared" si="164"/>
        <v>0</v>
      </c>
      <c r="BH230" s="3174">
        <f t="shared" si="165"/>
        <v>0</v>
      </c>
      <c r="BI230" s="3174">
        <f t="shared" si="166"/>
        <v>0</v>
      </c>
      <c r="BJ230" s="3174">
        <f t="shared" si="167"/>
        <v>0</v>
      </c>
      <c r="BK230" s="3174">
        <f t="shared" si="168"/>
        <v>0</v>
      </c>
      <c r="BL230" s="3174">
        <f t="shared" si="169"/>
        <v>0</v>
      </c>
      <c r="BM230" s="3174">
        <f t="shared" si="170"/>
        <v>0</v>
      </c>
      <c r="BN230" s="3174">
        <f t="shared" si="171"/>
        <v>0</v>
      </c>
      <c r="BO230" s="3174">
        <f t="shared" si="172"/>
        <v>0</v>
      </c>
      <c r="BP230" s="3174">
        <f t="shared" si="173"/>
        <v>0</v>
      </c>
      <c r="BQ230" s="3174">
        <f t="shared" si="174"/>
        <v>0</v>
      </c>
      <c r="BR230" s="3174">
        <f t="shared" si="175"/>
        <v>0</v>
      </c>
      <c r="BS230" s="3174">
        <f t="shared" si="176"/>
        <v>0</v>
      </c>
      <c r="BT230" s="3249">
        <f t="shared" si="177"/>
        <v>0</v>
      </c>
    </row>
    <row r="231" spans="1:72">
      <c r="A231" s="489"/>
      <c r="B231" s="3179"/>
      <c r="C231" s="3180"/>
      <c r="D231" s="3181"/>
      <c r="E231" s="3174">
        <f t="shared" si="149"/>
        <v>0</v>
      </c>
      <c r="F231" s="3175"/>
      <c r="G231" s="3176">
        <f t="shared" si="150"/>
        <v>0</v>
      </c>
      <c r="H231" s="3177">
        <f t="shared" si="151"/>
        <v>0</v>
      </c>
      <c r="I231" s="3180"/>
      <c r="J231" s="3200"/>
      <c r="K231" s="3180"/>
      <c r="L231" s="3200"/>
      <c r="M231" s="3200"/>
      <c r="N231" s="3200"/>
      <c r="O231" s="3200"/>
      <c r="P231" s="3200"/>
      <c r="Q231" s="3200"/>
      <c r="R231" s="3200"/>
      <c r="S231" s="3200"/>
      <c r="T231" s="3200"/>
      <c r="U231" s="3200"/>
      <c r="V231" s="3200"/>
      <c r="W231" s="3200"/>
      <c r="X231" s="3200"/>
      <c r="Y231" s="3200"/>
      <c r="Z231" s="3200"/>
      <c r="AA231" s="3200"/>
      <c r="AB231" s="3200"/>
      <c r="AC231" s="3174">
        <f t="shared" si="152"/>
        <v>0</v>
      </c>
      <c r="AD231" s="3212"/>
      <c r="AE231" s="3212"/>
      <c r="AF231" s="3180"/>
      <c r="AG231" s="3212"/>
      <c r="AH231" s="3212"/>
      <c r="AI231" s="3212"/>
      <c r="AJ231" s="3212"/>
      <c r="AK231" s="3212"/>
      <c r="AL231" s="3212"/>
      <c r="AM231" s="3212"/>
      <c r="AN231" s="3212"/>
      <c r="AO231" s="3212"/>
      <c r="AP231" s="3212"/>
      <c r="AQ231" s="3212"/>
      <c r="AR231" s="3212"/>
      <c r="AS231" s="3212"/>
      <c r="AT231" s="3175"/>
      <c r="AU231" s="3232"/>
      <c r="AV231" s="466">
        <f t="shared" si="153"/>
        <v>0</v>
      </c>
      <c r="AW231" s="466">
        <f t="shared" si="154"/>
        <v>0</v>
      </c>
      <c r="AX231" s="466">
        <f t="shared" si="155"/>
        <v>0</v>
      </c>
      <c r="AY231" s="385">
        <f t="shared" si="156"/>
        <v>0</v>
      </c>
      <c r="AZ231" s="3174">
        <f t="shared" si="157"/>
        <v>0</v>
      </c>
      <c r="BA231" s="3174">
        <f t="shared" si="158"/>
        <v>0</v>
      </c>
      <c r="BB231" s="3174">
        <f t="shared" si="159"/>
        <v>0</v>
      </c>
      <c r="BC231" s="3174">
        <f t="shared" si="160"/>
        <v>0</v>
      </c>
      <c r="BD231" s="3174">
        <f t="shared" si="161"/>
        <v>0</v>
      </c>
      <c r="BE231" s="3174">
        <f t="shared" si="162"/>
        <v>0</v>
      </c>
      <c r="BF231" s="3174">
        <f t="shared" si="163"/>
        <v>0</v>
      </c>
      <c r="BG231" s="3174">
        <f t="shared" si="164"/>
        <v>0</v>
      </c>
      <c r="BH231" s="3174">
        <f t="shared" si="165"/>
        <v>0</v>
      </c>
      <c r="BI231" s="3174">
        <f t="shared" si="166"/>
        <v>0</v>
      </c>
      <c r="BJ231" s="3174">
        <f t="shared" si="167"/>
        <v>0</v>
      </c>
      <c r="BK231" s="3174">
        <f t="shared" si="168"/>
        <v>0</v>
      </c>
      <c r="BL231" s="3174">
        <f t="shared" si="169"/>
        <v>0</v>
      </c>
      <c r="BM231" s="3174">
        <f t="shared" si="170"/>
        <v>0</v>
      </c>
      <c r="BN231" s="3174">
        <f t="shared" si="171"/>
        <v>0</v>
      </c>
      <c r="BO231" s="3174">
        <f t="shared" si="172"/>
        <v>0</v>
      </c>
      <c r="BP231" s="3174">
        <f t="shared" si="173"/>
        <v>0</v>
      </c>
      <c r="BQ231" s="3174">
        <f t="shared" si="174"/>
        <v>0</v>
      </c>
      <c r="BR231" s="3174">
        <f t="shared" si="175"/>
        <v>0</v>
      </c>
      <c r="BS231" s="3174">
        <f t="shared" si="176"/>
        <v>0</v>
      </c>
      <c r="BT231" s="3249">
        <f t="shared" si="177"/>
        <v>0</v>
      </c>
    </row>
    <row r="232" spans="1:72">
      <c r="A232" s="489"/>
      <c r="B232" s="3179"/>
      <c r="C232" s="3180"/>
      <c r="D232" s="3181"/>
      <c r="E232" s="3174">
        <f t="shared" si="149"/>
        <v>0</v>
      </c>
      <c r="F232" s="3175"/>
      <c r="G232" s="3176">
        <f t="shared" si="150"/>
        <v>0</v>
      </c>
      <c r="H232" s="3177">
        <f t="shared" si="151"/>
        <v>0</v>
      </c>
      <c r="I232" s="3180"/>
      <c r="J232" s="3200"/>
      <c r="K232" s="3180"/>
      <c r="L232" s="3200"/>
      <c r="M232" s="3200"/>
      <c r="N232" s="3200"/>
      <c r="O232" s="3200"/>
      <c r="P232" s="3200"/>
      <c r="Q232" s="3200"/>
      <c r="R232" s="3200"/>
      <c r="S232" s="3200"/>
      <c r="T232" s="3200"/>
      <c r="U232" s="3200"/>
      <c r="V232" s="3200"/>
      <c r="W232" s="3200"/>
      <c r="X232" s="3200"/>
      <c r="Y232" s="3200"/>
      <c r="Z232" s="3200"/>
      <c r="AA232" s="3200"/>
      <c r="AB232" s="3200"/>
      <c r="AC232" s="3174">
        <f t="shared" si="152"/>
        <v>0</v>
      </c>
      <c r="AD232" s="3212"/>
      <c r="AE232" s="3212"/>
      <c r="AF232" s="3180"/>
      <c r="AG232" s="3212"/>
      <c r="AH232" s="3212"/>
      <c r="AI232" s="3212"/>
      <c r="AJ232" s="3212"/>
      <c r="AK232" s="3212"/>
      <c r="AL232" s="3212"/>
      <c r="AM232" s="3212"/>
      <c r="AN232" s="3212"/>
      <c r="AO232" s="3212"/>
      <c r="AP232" s="3212"/>
      <c r="AQ232" s="3212"/>
      <c r="AR232" s="3212"/>
      <c r="AS232" s="3212"/>
      <c r="AT232" s="3175"/>
      <c r="AU232" s="3232"/>
      <c r="AV232" s="466">
        <f t="shared" si="153"/>
        <v>0</v>
      </c>
      <c r="AW232" s="466">
        <f t="shared" si="154"/>
        <v>0</v>
      </c>
      <c r="AX232" s="466">
        <f t="shared" si="155"/>
        <v>0</v>
      </c>
      <c r="AY232" s="385">
        <f t="shared" si="156"/>
        <v>0</v>
      </c>
      <c r="AZ232" s="3174">
        <f t="shared" si="157"/>
        <v>0</v>
      </c>
      <c r="BA232" s="3174">
        <f t="shared" si="158"/>
        <v>0</v>
      </c>
      <c r="BB232" s="3174">
        <f t="shared" si="159"/>
        <v>0</v>
      </c>
      <c r="BC232" s="3174">
        <f t="shared" si="160"/>
        <v>0</v>
      </c>
      <c r="BD232" s="3174">
        <f t="shared" si="161"/>
        <v>0</v>
      </c>
      <c r="BE232" s="3174">
        <f t="shared" si="162"/>
        <v>0</v>
      </c>
      <c r="BF232" s="3174">
        <f t="shared" si="163"/>
        <v>0</v>
      </c>
      <c r="BG232" s="3174">
        <f t="shared" si="164"/>
        <v>0</v>
      </c>
      <c r="BH232" s="3174">
        <f t="shared" si="165"/>
        <v>0</v>
      </c>
      <c r="BI232" s="3174">
        <f t="shared" si="166"/>
        <v>0</v>
      </c>
      <c r="BJ232" s="3174">
        <f t="shared" si="167"/>
        <v>0</v>
      </c>
      <c r="BK232" s="3174">
        <f t="shared" si="168"/>
        <v>0</v>
      </c>
      <c r="BL232" s="3174">
        <f t="shared" si="169"/>
        <v>0</v>
      </c>
      <c r="BM232" s="3174">
        <f t="shared" si="170"/>
        <v>0</v>
      </c>
      <c r="BN232" s="3174">
        <f t="shared" si="171"/>
        <v>0</v>
      </c>
      <c r="BO232" s="3174">
        <f t="shared" si="172"/>
        <v>0</v>
      </c>
      <c r="BP232" s="3174">
        <f t="shared" si="173"/>
        <v>0</v>
      </c>
      <c r="BQ232" s="3174">
        <f t="shared" si="174"/>
        <v>0</v>
      </c>
      <c r="BR232" s="3174">
        <f t="shared" si="175"/>
        <v>0</v>
      </c>
      <c r="BS232" s="3174">
        <f t="shared" si="176"/>
        <v>0</v>
      </c>
      <c r="BT232" s="3249">
        <f t="shared" si="177"/>
        <v>0</v>
      </c>
    </row>
    <row r="233" spans="1:72">
      <c r="A233" s="489"/>
      <c r="B233" s="3179"/>
      <c r="C233" s="3180"/>
      <c r="D233" s="3181"/>
      <c r="E233" s="3174">
        <f t="shared" si="149"/>
        <v>0</v>
      </c>
      <c r="F233" s="3175"/>
      <c r="G233" s="3176">
        <f t="shared" si="150"/>
        <v>0</v>
      </c>
      <c r="H233" s="3177">
        <f t="shared" si="151"/>
        <v>0</v>
      </c>
      <c r="I233" s="3180"/>
      <c r="J233" s="3200"/>
      <c r="K233" s="3180"/>
      <c r="L233" s="3200"/>
      <c r="M233" s="3200"/>
      <c r="N233" s="3200"/>
      <c r="O233" s="3200"/>
      <c r="P233" s="3200"/>
      <c r="Q233" s="3200"/>
      <c r="R233" s="3200"/>
      <c r="S233" s="3200"/>
      <c r="T233" s="3200"/>
      <c r="U233" s="3200"/>
      <c r="V233" s="3200"/>
      <c r="W233" s="3200"/>
      <c r="X233" s="3200"/>
      <c r="Y233" s="3200"/>
      <c r="Z233" s="3200"/>
      <c r="AA233" s="3200"/>
      <c r="AB233" s="3200"/>
      <c r="AC233" s="3174">
        <f t="shared" si="152"/>
        <v>0</v>
      </c>
      <c r="AD233" s="3212"/>
      <c r="AE233" s="3212"/>
      <c r="AF233" s="3180"/>
      <c r="AG233" s="3212"/>
      <c r="AH233" s="3212"/>
      <c r="AI233" s="3212"/>
      <c r="AJ233" s="3212"/>
      <c r="AK233" s="3212"/>
      <c r="AL233" s="3212"/>
      <c r="AM233" s="3212"/>
      <c r="AN233" s="3212"/>
      <c r="AO233" s="3212"/>
      <c r="AP233" s="3212"/>
      <c r="AQ233" s="3212"/>
      <c r="AR233" s="3212"/>
      <c r="AS233" s="3212"/>
      <c r="AT233" s="3175"/>
      <c r="AU233" s="3232"/>
      <c r="AV233" s="466">
        <f t="shared" si="153"/>
        <v>0</v>
      </c>
      <c r="AW233" s="466">
        <f t="shared" si="154"/>
        <v>0</v>
      </c>
      <c r="AX233" s="466">
        <f t="shared" si="155"/>
        <v>0</v>
      </c>
      <c r="AY233" s="385">
        <f t="shared" si="156"/>
        <v>0</v>
      </c>
      <c r="AZ233" s="3174">
        <f t="shared" si="157"/>
        <v>0</v>
      </c>
      <c r="BA233" s="3174">
        <f t="shared" si="158"/>
        <v>0</v>
      </c>
      <c r="BB233" s="3174">
        <f t="shared" si="159"/>
        <v>0</v>
      </c>
      <c r="BC233" s="3174">
        <f t="shared" si="160"/>
        <v>0</v>
      </c>
      <c r="BD233" s="3174">
        <f t="shared" si="161"/>
        <v>0</v>
      </c>
      <c r="BE233" s="3174">
        <f t="shared" si="162"/>
        <v>0</v>
      </c>
      <c r="BF233" s="3174">
        <f t="shared" si="163"/>
        <v>0</v>
      </c>
      <c r="BG233" s="3174">
        <f t="shared" si="164"/>
        <v>0</v>
      </c>
      <c r="BH233" s="3174">
        <f t="shared" si="165"/>
        <v>0</v>
      </c>
      <c r="BI233" s="3174">
        <f t="shared" si="166"/>
        <v>0</v>
      </c>
      <c r="BJ233" s="3174">
        <f t="shared" si="167"/>
        <v>0</v>
      </c>
      <c r="BK233" s="3174">
        <f t="shared" si="168"/>
        <v>0</v>
      </c>
      <c r="BL233" s="3174">
        <f t="shared" si="169"/>
        <v>0</v>
      </c>
      <c r="BM233" s="3174">
        <f t="shared" si="170"/>
        <v>0</v>
      </c>
      <c r="BN233" s="3174">
        <f t="shared" si="171"/>
        <v>0</v>
      </c>
      <c r="BO233" s="3174">
        <f t="shared" si="172"/>
        <v>0</v>
      </c>
      <c r="BP233" s="3174">
        <f t="shared" si="173"/>
        <v>0</v>
      </c>
      <c r="BQ233" s="3174">
        <f t="shared" si="174"/>
        <v>0</v>
      </c>
      <c r="BR233" s="3174">
        <f t="shared" si="175"/>
        <v>0</v>
      </c>
      <c r="BS233" s="3174">
        <f t="shared" si="176"/>
        <v>0</v>
      </c>
      <c r="BT233" s="3249">
        <f t="shared" si="177"/>
        <v>0</v>
      </c>
    </row>
    <row r="234" spans="1:72">
      <c r="A234" s="489"/>
      <c r="B234" s="3179"/>
      <c r="C234" s="3180"/>
      <c r="D234" s="3181"/>
      <c r="E234" s="3174">
        <f t="shared" si="149"/>
        <v>0</v>
      </c>
      <c r="F234" s="3175"/>
      <c r="G234" s="3176">
        <f t="shared" si="150"/>
        <v>0</v>
      </c>
      <c r="H234" s="3177">
        <f t="shared" si="151"/>
        <v>0</v>
      </c>
      <c r="I234" s="3180"/>
      <c r="J234" s="3200"/>
      <c r="K234" s="3180"/>
      <c r="L234" s="3200"/>
      <c r="M234" s="3200"/>
      <c r="N234" s="3200"/>
      <c r="O234" s="3200"/>
      <c r="P234" s="3200"/>
      <c r="Q234" s="3200"/>
      <c r="R234" s="3200"/>
      <c r="S234" s="3200"/>
      <c r="T234" s="3200"/>
      <c r="U234" s="3200"/>
      <c r="V234" s="3200"/>
      <c r="W234" s="3200"/>
      <c r="X234" s="3200"/>
      <c r="Y234" s="3200"/>
      <c r="Z234" s="3200"/>
      <c r="AA234" s="3200"/>
      <c r="AB234" s="3200"/>
      <c r="AC234" s="3174">
        <f t="shared" si="152"/>
        <v>0</v>
      </c>
      <c r="AD234" s="3212"/>
      <c r="AE234" s="3212"/>
      <c r="AF234" s="3180"/>
      <c r="AG234" s="3212"/>
      <c r="AH234" s="3212"/>
      <c r="AI234" s="3212"/>
      <c r="AJ234" s="3212"/>
      <c r="AK234" s="3212"/>
      <c r="AL234" s="3212"/>
      <c r="AM234" s="3212"/>
      <c r="AN234" s="3212"/>
      <c r="AO234" s="3212"/>
      <c r="AP234" s="3212"/>
      <c r="AQ234" s="3212"/>
      <c r="AR234" s="3212"/>
      <c r="AS234" s="3212"/>
      <c r="AT234" s="3175"/>
      <c r="AU234" s="3232"/>
      <c r="AV234" s="466">
        <f t="shared" si="153"/>
        <v>0</v>
      </c>
      <c r="AW234" s="466">
        <f t="shared" si="154"/>
        <v>0</v>
      </c>
      <c r="AX234" s="466">
        <f t="shared" si="155"/>
        <v>0</v>
      </c>
      <c r="AY234" s="385">
        <f t="shared" si="156"/>
        <v>0</v>
      </c>
      <c r="AZ234" s="3174">
        <f t="shared" si="157"/>
        <v>0</v>
      </c>
      <c r="BA234" s="3174">
        <f t="shared" si="158"/>
        <v>0</v>
      </c>
      <c r="BB234" s="3174">
        <f t="shared" si="159"/>
        <v>0</v>
      </c>
      <c r="BC234" s="3174">
        <f t="shared" si="160"/>
        <v>0</v>
      </c>
      <c r="BD234" s="3174">
        <f t="shared" si="161"/>
        <v>0</v>
      </c>
      <c r="BE234" s="3174">
        <f t="shared" si="162"/>
        <v>0</v>
      </c>
      <c r="BF234" s="3174">
        <f t="shared" si="163"/>
        <v>0</v>
      </c>
      <c r="BG234" s="3174">
        <f t="shared" si="164"/>
        <v>0</v>
      </c>
      <c r="BH234" s="3174">
        <f t="shared" si="165"/>
        <v>0</v>
      </c>
      <c r="BI234" s="3174">
        <f t="shared" si="166"/>
        <v>0</v>
      </c>
      <c r="BJ234" s="3174">
        <f t="shared" si="167"/>
        <v>0</v>
      </c>
      <c r="BK234" s="3174">
        <f t="shared" si="168"/>
        <v>0</v>
      </c>
      <c r="BL234" s="3174">
        <f t="shared" si="169"/>
        <v>0</v>
      </c>
      <c r="BM234" s="3174">
        <f t="shared" si="170"/>
        <v>0</v>
      </c>
      <c r="BN234" s="3174">
        <f t="shared" si="171"/>
        <v>0</v>
      </c>
      <c r="BO234" s="3174">
        <f t="shared" si="172"/>
        <v>0</v>
      </c>
      <c r="BP234" s="3174">
        <f t="shared" si="173"/>
        <v>0</v>
      </c>
      <c r="BQ234" s="3174">
        <f t="shared" si="174"/>
        <v>0</v>
      </c>
      <c r="BR234" s="3174">
        <f t="shared" si="175"/>
        <v>0</v>
      </c>
      <c r="BS234" s="3174">
        <f t="shared" si="176"/>
        <v>0</v>
      </c>
      <c r="BT234" s="3249">
        <f t="shared" si="177"/>
        <v>0</v>
      </c>
    </row>
    <row r="235" spans="1:72">
      <c r="A235" s="489"/>
      <c r="B235" s="3179"/>
      <c r="C235" s="3180"/>
      <c r="D235" s="3181"/>
      <c r="E235" s="3174">
        <f t="shared" si="149"/>
        <v>0</v>
      </c>
      <c r="F235" s="3175"/>
      <c r="G235" s="3176">
        <f t="shared" si="150"/>
        <v>0</v>
      </c>
      <c r="H235" s="3177">
        <f t="shared" si="151"/>
        <v>0</v>
      </c>
      <c r="I235" s="3180"/>
      <c r="J235" s="3200"/>
      <c r="K235" s="3180"/>
      <c r="L235" s="3200"/>
      <c r="M235" s="3200"/>
      <c r="N235" s="3200"/>
      <c r="O235" s="3200"/>
      <c r="P235" s="3200"/>
      <c r="Q235" s="3200"/>
      <c r="R235" s="3200"/>
      <c r="S235" s="3200"/>
      <c r="T235" s="3200"/>
      <c r="U235" s="3200"/>
      <c r="V235" s="3200"/>
      <c r="W235" s="3200"/>
      <c r="X235" s="3200"/>
      <c r="Y235" s="3200"/>
      <c r="Z235" s="3200"/>
      <c r="AA235" s="3200"/>
      <c r="AB235" s="3200"/>
      <c r="AC235" s="3174">
        <f t="shared" si="152"/>
        <v>0</v>
      </c>
      <c r="AD235" s="3212"/>
      <c r="AE235" s="3212"/>
      <c r="AF235" s="3180"/>
      <c r="AG235" s="3212"/>
      <c r="AH235" s="3212"/>
      <c r="AI235" s="3212"/>
      <c r="AJ235" s="3212"/>
      <c r="AK235" s="3212"/>
      <c r="AL235" s="3212"/>
      <c r="AM235" s="3212"/>
      <c r="AN235" s="3212"/>
      <c r="AO235" s="3212"/>
      <c r="AP235" s="3212"/>
      <c r="AQ235" s="3212"/>
      <c r="AR235" s="3212"/>
      <c r="AS235" s="3212"/>
      <c r="AT235" s="3175"/>
      <c r="AU235" s="3232"/>
      <c r="AV235" s="466">
        <f t="shared" si="153"/>
        <v>0</v>
      </c>
      <c r="AW235" s="466">
        <f t="shared" si="154"/>
        <v>0</v>
      </c>
      <c r="AX235" s="466">
        <f t="shared" si="155"/>
        <v>0</v>
      </c>
      <c r="AY235" s="385">
        <f t="shared" si="156"/>
        <v>0</v>
      </c>
      <c r="AZ235" s="3174">
        <f t="shared" si="157"/>
        <v>0</v>
      </c>
      <c r="BA235" s="3174">
        <f t="shared" si="158"/>
        <v>0</v>
      </c>
      <c r="BB235" s="3174">
        <f t="shared" si="159"/>
        <v>0</v>
      </c>
      <c r="BC235" s="3174">
        <f t="shared" si="160"/>
        <v>0</v>
      </c>
      <c r="BD235" s="3174">
        <f t="shared" si="161"/>
        <v>0</v>
      </c>
      <c r="BE235" s="3174">
        <f t="shared" si="162"/>
        <v>0</v>
      </c>
      <c r="BF235" s="3174">
        <f t="shared" si="163"/>
        <v>0</v>
      </c>
      <c r="BG235" s="3174">
        <f t="shared" si="164"/>
        <v>0</v>
      </c>
      <c r="BH235" s="3174">
        <f t="shared" si="165"/>
        <v>0</v>
      </c>
      <c r="BI235" s="3174">
        <f t="shared" si="166"/>
        <v>0</v>
      </c>
      <c r="BJ235" s="3174">
        <f t="shared" si="167"/>
        <v>0</v>
      </c>
      <c r="BK235" s="3174">
        <f t="shared" si="168"/>
        <v>0</v>
      </c>
      <c r="BL235" s="3174">
        <f t="shared" si="169"/>
        <v>0</v>
      </c>
      <c r="BM235" s="3174">
        <f t="shared" si="170"/>
        <v>0</v>
      </c>
      <c r="BN235" s="3174">
        <f t="shared" si="171"/>
        <v>0</v>
      </c>
      <c r="BO235" s="3174">
        <f t="shared" si="172"/>
        <v>0</v>
      </c>
      <c r="BP235" s="3174">
        <f t="shared" si="173"/>
        <v>0</v>
      </c>
      <c r="BQ235" s="3174">
        <f t="shared" si="174"/>
        <v>0</v>
      </c>
      <c r="BR235" s="3174">
        <f t="shared" si="175"/>
        <v>0</v>
      </c>
      <c r="BS235" s="3174">
        <f t="shared" si="176"/>
        <v>0</v>
      </c>
      <c r="BT235" s="3249">
        <f t="shared" si="177"/>
        <v>0</v>
      </c>
    </row>
    <row r="236" spans="1:72">
      <c r="A236" s="489"/>
      <c r="B236" s="3179"/>
      <c r="C236" s="3180"/>
      <c r="D236" s="3181"/>
      <c r="E236" s="3174">
        <f t="shared" si="149"/>
        <v>0</v>
      </c>
      <c r="F236" s="3175"/>
      <c r="G236" s="3176">
        <f t="shared" si="150"/>
        <v>0</v>
      </c>
      <c r="H236" s="3177">
        <f t="shared" si="151"/>
        <v>0</v>
      </c>
      <c r="I236" s="3180"/>
      <c r="J236" s="3200"/>
      <c r="K236" s="3180"/>
      <c r="L236" s="3200"/>
      <c r="M236" s="3200"/>
      <c r="N236" s="3200"/>
      <c r="O236" s="3200"/>
      <c r="P236" s="3200"/>
      <c r="Q236" s="3200"/>
      <c r="R236" s="3200"/>
      <c r="S236" s="3200"/>
      <c r="T236" s="3200"/>
      <c r="U236" s="3200"/>
      <c r="V236" s="3200"/>
      <c r="W236" s="3200"/>
      <c r="X236" s="3200"/>
      <c r="Y236" s="3200"/>
      <c r="Z236" s="3200"/>
      <c r="AA236" s="3200"/>
      <c r="AB236" s="3200"/>
      <c r="AC236" s="3174">
        <f t="shared" si="152"/>
        <v>0</v>
      </c>
      <c r="AD236" s="3212"/>
      <c r="AE236" s="3212"/>
      <c r="AF236" s="3180"/>
      <c r="AG236" s="3212"/>
      <c r="AH236" s="3212"/>
      <c r="AI236" s="3212"/>
      <c r="AJ236" s="3212"/>
      <c r="AK236" s="3212"/>
      <c r="AL236" s="3212"/>
      <c r="AM236" s="3212"/>
      <c r="AN236" s="3212"/>
      <c r="AO236" s="3212"/>
      <c r="AP236" s="3212"/>
      <c r="AQ236" s="3212"/>
      <c r="AR236" s="3212"/>
      <c r="AS236" s="3212"/>
      <c r="AT236" s="3175"/>
      <c r="AU236" s="3232"/>
      <c r="AV236" s="466">
        <f t="shared" si="153"/>
        <v>0</v>
      </c>
      <c r="AW236" s="466">
        <f t="shared" si="154"/>
        <v>0</v>
      </c>
      <c r="AX236" s="466">
        <f t="shared" si="155"/>
        <v>0</v>
      </c>
      <c r="AY236" s="385">
        <f t="shared" si="156"/>
        <v>0</v>
      </c>
      <c r="AZ236" s="3174">
        <f t="shared" si="157"/>
        <v>0</v>
      </c>
      <c r="BA236" s="3174">
        <f t="shared" si="158"/>
        <v>0</v>
      </c>
      <c r="BB236" s="3174">
        <f t="shared" si="159"/>
        <v>0</v>
      </c>
      <c r="BC236" s="3174">
        <f t="shared" si="160"/>
        <v>0</v>
      </c>
      <c r="BD236" s="3174">
        <f t="shared" si="161"/>
        <v>0</v>
      </c>
      <c r="BE236" s="3174">
        <f t="shared" si="162"/>
        <v>0</v>
      </c>
      <c r="BF236" s="3174">
        <f t="shared" si="163"/>
        <v>0</v>
      </c>
      <c r="BG236" s="3174">
        <f t="shared" si="164"/>
        <v>0</v>
      </c>
      <c r="BH236" s="3174">
        <f t="shared" si="165"/>
        <v>0</v>
      </c>
      <c r="BI236" s="3174">
        <f t="shared" si="166"/>
        <v>0</v>
      </c>
      <c r="BJ236" s="3174">
        <f t="shared" si="167"/>
        <v>0</v>
      </c>
      <c r="BK236" s="3174">
        <f t="shared" si="168"/>
        <v>0</v>
      </c>
      <c r="BL236" s="3174">
        <f t="shared" si="169"/>
        <v>0</v>
      </c>
      <c r="BM236" s="3174">
        <f t="shared" si="170"/>
        <v>0</v>
      </c>
      <c r="BN236" s="3174">
        <f t="shared" si="171"/>
        <v>0</v>
      </c>
      <c r="BO236" s="3174">
        <f t="shared" si="172"/>
        <v>0</v>
      </c>
      <c r="BP236" s="3174">
        <f t="shared" si="173"/>
        <v>0</v>
      </c>
      <c r="BQ236" s="3174">
        <f t="shared" si="174"/>
        <v>0</v>
      </c>
      <c r="BR236" s="3174">
        <f t="shared" si="175"/>
        <v>0</v>
      </c>
      <c r="BS236" s="3174">
        <f t="shared" si="176"/>
        <v>0</v>
      </c>
      <c r="BT236" s="3249">
        <f t="shared" si="177"/>
        <v>0</v>
      </c>
    </row>
    <row r="237" spans="1:72">
      <c r="A237" s="489"/>
      <c r="B237" s="3179"/>
      <c r="C237" s="3180"/>
      <c r="D237" s="3181"/>
      <c r="E237" s="3174">
        <f t="shared" si="149"/>
        <v>0</v>
      </c>
      <c r="F237" s="3175"/>
      <c r="G237" s="3176">
        <f t="shared" si="150"/>
        <v>0</v>
      </c>
      <c r="H237" s="3177">
        <f t="shared" si="151"/>
        <v>0</v>
      </c>
      <c r="I237" s="3180"/>
      <c r="J237" s="3200"/>
      <c r="K237" s="3180"/>
      <c r="L237" s="3200"/>
      <c r="M237" s="3200"/>
      <c r="N237" s="3200"/>
      <c r="O237" s="3200"/>
      <c r="P237" s="3200"/>
      <c r="Q237" s="3200"/>
      <c r="R237" s="3200"/>
      <c r="S237" s="3200"/>
      <c r="T237" s="3200"/>
      <c r="U237" s="3200"/>
      <c r="V237" s="3200"/>
      <c r="W237" s="3200"/>
      <c r="X237" s="3200"/>
      <c r="Y237" s="3200"/>
      <c r="Z237" s="3200"/>
      <c r="AA237" s="3200"/>
      <c r="AB237" s="3200"/>
      <c r="AC237" s="3174">
        <f t="shared" si="152"/>
        <v>0</v>
      </c>
      <c r="AD237" s="3212"/>
      <c r="AE237" s="3212"/>
      <c r="AF237" s="3180"/>
      <c r="AG237" s="3212"/>
      <c r="AH237" s="3212"/>
      <c r="AI237" s="3212"/>
      <c r="AJ237" s="3212"/>
      <c r="AK237" s="3212"/>
      <c r="AL237" s="3212"/>
      <c r="AM237" s="3212"/>
      <c r="AN237" s="3212"/>
      <c r="AO237" s="3212"/>
      <c r="AP237" s="3212"/>
      <c r="AQ237" s="3212"/>
      <c r="AR237" s="3212"/>
      <c r="AS237" s="3212"/>
      <c r="AT237" s="3175"/>
      <c r="AU237" s="3232"/>
      <c r="AV237" s="466">
        <f t="shared" si="153"/>
        <v>0</v>
      </c>
      <c r="AW237" s="466">
        <f t="shared" si="154"/>
        <v>0</v>
      </c>
      <c r="AX237" s="466">
        <f t="shared" si="155"/>
        <v>0</v>
      </c>
      <c r="AY237" s="385">
        <f t="shared" si="156"/>
        <v>0</v>
      </c>
      <c r="AZ237" s="3174">
        <f t="shared" si="157"/>
        <v>0</v>
      </c>
      <c r="BA237" s="3174">
        <f t="shared" si="158"/>
        <v>0</v>
      </c>
      <c r="BB237" s="3174">
        <f t="shared" si="159"/>
        <v>0</v>
      </c>
      <c r="BC237" s="3174">
        <f t="shared" si="160"/>
        <v>0</v>
      </c>
      <c r="BD237" s="3174">
        <f t="shared" si="161"/>
        <v>0</v>
      </c>
      <c r="BE237" s="3174">
        <f t="shared" si="162"/>
        <v>0</v>
      </c>
      <c r="BF237" s="3174">
        <f t="shared" si="163"/>
        <v>0</v>
      </c>
      <c r="BG237" s="3174">
        <f t="shared" si="164"/>
        <v>0</v>
      </c>
      <c r="BH237" s="3174">
        <f t="shared" si="165"/>
        <v>0</v>
      </c>
      <c r="BI237" s="3174">
        <f t="shared" si="166"/>
        <v>0</v>
      </c>
      <c r="BJ237" s="3174">
        <f t="shared" si="167"/>
        <v>0</v>
      </c>
      <c r="BK237" s="3174">
        <f t="shared" si="168"/>
        <v>0</v>
      </c>
      <c r="BL237" s="3174">
        <f t="shared" si="169"/>
        <v>0</v>
      </c>
      <c r="BM237" s="3174">
        <f t="shared" si="170"/>
        <v>0</v>
      </c>
      <c r="BN237" s="3174">
        <f t="shared" si="171"/>
        <v>0</v>
      </c>
      <c r="BO237" s="3174">
        <f t="shared" si="172"/>
        <v>0</v>
      </c>
      <c r="BP237" s="3174">
        <f t="shared" si="173"/>
        <v>0</v>
      </c>
      <c r="BQ237" s="3174">
        <f t="shared" si="174"/>
        <v>0</v>
      </c>
      <c r="BR237" s="3174">
        <f t="shared" si="175"/>
        <v>0</v>
      </c>
      <c r="BS237" s="3174">
        <f t="shared" si="176"/>
        <v>0</v>
      </c>
      <c r="BT237" s="3249">
        <f t="shared" si="177"/>
        <v>0</v>
      </c>
    </row>
    <row r="238" spans="1:72">
      <c r="A238" s="489"/>
      <c r="B238" s="3179"/>
      <c r="C238" s="3180"/>
      <c r="D238" s="3181"/>
      <c r="E238" s="3174">
        <f t="shared" si="149"/>
        <v>0</v>
      </c>
      <c r="F238" s="3175"/>
      <c r="G238" s="3176">
        <f t="shared" si="150"/>
        <v>0</v>
      </c>
      <c r="H238" s="3177">
        <f t="shared" si="151"/>
        <v>0</v>
      </c>
      <c r="I238" s="3180"/>
      <c r="J238" s="3200"/>
      <c r="K238" s="3180"/>
      <c r="L238" s="3200"/>
      <c r="M238" s="3200"/>
      <c r="N238" s="3200"/>
      <c r="O238" s="3200"/>
      <c r="P238" s="3200"/>
      <c r="Q238" s="3200"/>
      <c r="R238" s="3200"/>
      <c r="S238" s="3200"/>
      <c r="T238" s="3200"/>
      <c r="U238" s="3200"/>
      <c r="V238" s="3200"/>
      <c r="W238" s="3200"/>
      <c r="X238" s="3200"/>
      <c r="Y238" s="3200"/>
      <c r="Z238" s="3200"/>
      <c r="AA238" s="3200"/>
      <c r="AB238" s="3200"/>
      <c r="AC238" s="3174">
        <f t="shared" si="152"/>
        <v>0</v>
      </c>
      <c r="AD238" s="3212"/>
      <c r="AE238" s="3212"/>
      <c r="AF238" s="3180"/>
      <c r="AG238" s="3212"/>
      <c r="AH238" s="3212"/>
      <c r="AI238" s="3212"/>
      <c r="AJ238" s="3212"/>
      <c r="AK238" s="3212"/>
      <c r="AL238" s="3212"/>
      <c r="AM238" s="3212"/>
      <c r="AN238" s="3212"/>
      <c r="AO238" s="3212"/>
      <c r="AP238" s="3212"/>
      <c r="AQ238" s="3212"/>
      <c r="AR238" s="3212"/>
      <c r="AS238" s="3212"/>
      <c r="AT238" s="3175"/>
      <c r="AU238" s="3232"/>
      <c r="AV238" s="466">
        <f t="shared" si="153"/>
        <v>0</v>
      </c>
      <c r="AW238" s="466">
        <f t="shared" si="154"/>
        <v>0</v>
      </c>
      <c r="AX238" s="466">
        <f t="shared" si="155"/>
        <v>0</v>
      </c>
      <c r="AY238" s="385">
        <f t="shared" si="156"/>
        <v>0</v>
      </c>
      <c r="AZ238" s="3174">
        <f t="shared" si="157"/>
        <v>0</v>
      </c>
      <c r="BA238" s="3174">
        <f t="shared" si="158"/>
        <v>0</v>
      </c>
      <c r="BB238" s="3174">
        <f t="shared" si="159"/>
        <v>0</v>
      </c>
      <c r="BC238" s="3174">
        <f t="shared" si="160"/>
        <v>0</v>
      </c>
      <c r="BD238" s="3174">
        <f t="shared" si="161"/>
        <v>0</v>
      </c>
      <c r="BE238" s="3174">
        <f t="shared" si="162"/>
        <v>0</v>
      </c>
      <c r="BF238" s="3174">
        <f t="shared" si="163"/>
        <v>0</v>
      </c>
      <c r="BG238" s="3174">
        <f t="shared" si="164"/>
        <v>0</v>
      </c>
      <c r="BH238" s="3174">
        <f t="shared" si="165"/>
        <v>0</v>
      </c>
      <c r="BI238" s="3174">
        <f t="shared" si="166"/>
        <v>0</v>
      </c>
      <c r="BJ238" s="3174">
        <f t="shared" si="167"/>
        <v>0</v>
      </c>
      <c r="BK238" s="3174">
        <f t="shared" si="168"/>
        <v>0</v>
      </c>
      <c r="BL238" s="3174">
        <f t="shared" si="169"/>
        <v>0</v>
      </c>
      <c r="BM238" s="3174">
        <f t="shared" si="170"/>
        <v>0</v>
      </c>
      <c r="BN238" s="3174">
        <f t="shared" si="171"/>
        <v>0</v>
      </c>
      <c r="BO238" s="3174">
        <f t="shared" si="172"/>
        <v>0</v>
      </c>
      <c r="BP238" s="3174">
        <f t="shared" si="173"/>
        <v>0</v>
      </c>
      <c r="BQ238" s="3174">
        <f t="shared" si="174"/>
        <v>0</v>
      </c>
      <c r="BR238" s="3174">
        <f t="shared" si="175"/>
        <v>0</v>
      </c>
      <c r="BS238" s="3174">
        <f t="shared" si="176"/>
        <v>0</v>
      </c>
      <c r="BT238" s="3249">
        <f t="shared" si="177"/>
        <v>0</v>
      </c>
    </row>
    <row r="239" spans="1:72">
      <c r="A239" s="489"/>
      <c r="B239" s="3179"/>
      <c r="C239" s="3180"/>
      <c r="D239" s="3181"/>
      <c r="E239" s="3174">
        <f t="shared" si="149"/>
        <v>0</v>
      </c>
      <c r="F239" s="3175"/>
      <c r="G239" s="3176">
        <f t="shared" si="150"/>
        <v>0</v>
      </c>
      <c r="H239" s="3177">
        <f t="shared" si="151"/>
        <v>0</v>
      </c>
      <c r="I239" s="3180"/>
      <c r="J239" s="3200"/>
      <c r="K239" s="3180"/>
      <c r="L239" s="3200"/>
      <c r="M239" s="3180"/>
      <c r="N239" s="3200"/>
      <c r="O239" s="3200"/>
      <c r="P239" s="3200"/>
      <c r="Q239" s="3200"/>
      <c r="R239" s="3200"/>
      <c r="S239" s="3200"/>
      <c r="T239" s="3200"/>
      <c r="U239" s="3200"/>
      <c r="V239" s="3200"/>
      <c r="W239" s="3200"/>
      <c r="X239" s="3200"/>
      <c r="Y239" s="3200"/>
      <c r="Z239" s="3200"/>
      <c r="AA239" s="3200"/>
      <c r="AB239" s="3200"/>
      <c r="AC239" s="3174">
        <f t="shared" si="152"/>
        <v>0</v>
      </c>
      <c r="AD239" s="3212"/>
      <c r="AE239" s="3212"/>
      <c r="AF239" s="3180"/>
      <c r="AG239" s="3212"/>
      <c r="AH239" s="3212"/>
      <c r="AI239" s="3212"/>
      <c r="AJ239" s="3212"/>
      <c r="AK239" s="3212"/>
      <c r="AL239" s="3212"/>
      <c r="AM239" s="3212"/>
      <c r="AN239" s="3212"/>
      <c r="AO239" s="3212"/>
      <c r="AP239" s="3212"/>
      <c r="AQ239" s="3212"/>
      <c r="AR239" s="3212"/>
      <c r="AS239" s="3212"/>
      <c r="AT239" s="3175"/>
      <c r="AU239" s="3232"/>
      <c r="AV239" s="466">
        <f t="shared" si="153"/>
        <v>0</v>
      </c>
      <c r="AW239" s="466">
        <f t="shared" si="154"/>
        <v>0</v>
      </c>
      <c r="AX239" s="466">
        <f t="shared" si="155"/>
        <v>0</v>
      </c>
      <c r="AY239" s="385">
        <f t="shared" si="156"/>
        <v>0</v>
      </c>
      <c r="AZ239" s="3174">
        <f t="shared" si="157"/>
        <v>0</v>
      </c>
      <c r="BA239" s="3174">
        <f t="shared" si="158"/>
        <v>0</v>
      </c>
      <c r="BB239" s="3174">
        <f t="shared" si="159"/>
        <v>0</v>
      </c>
      <c r="BC239" s="3174">
        <f t="shared" si="160"/>
        <v>0</v>
      </c>
      <c r="BD239" s="3174">
        <f t="shared" si="161"/>
        <v>0</v>
      </c>
      <c r="BE239" s="3174">
        <f t="shared" si="162"/>
        <v>0</v>
      </c>
      <c r="BF239" s="3174">
        <f t="shared" si="163"/>
        <v>0</v>
      </c>
      <c r="BG239" s="3174">
        <f t="shared" si="164"/>
        <v>0</v>
      </c>
      <c r="BH239" s="3174">
        <f t="shared" si="165"/>
        <v>0</v>
      </c>
      <c r="BI239" s="3174">
        <f t="shared" si="166"/>
        <v>0</v>
      </c>
      <c r="BJ239" s="3174">
        <f t="shared" si="167"/>
        <v>0</v>
      </c>
      <c r="BK239" s="3174">
        <f t="shared" si="168"/>
        <v>0</v>
      </c>
      <c r="BL239" s="3174">
        <f t="shared" si="169"/>
        <v>0</v>
      </c>
      <c r="BM239" s="3174">
        <f t="shared" si="170"/>
        <v>0</v>
      </c>
      <c r="BN239" s="3174">
        <f t="shared" si="171"/>
        <v>0</v>
      </c>
      <c r="BO239" s="3174">
        <f t="shared" si="172"/>
        <v>0</v>
      </c>
      <c r="BP239" s="3174">
        <f t="shared" si="173"/>
        <v>0</v>
      </c>
      <c r="BQ239" s="3174">
        <f t="shared" si="174"/>
        <v>0</v>
      </c>
      <c r="BR239" s="3174">
        <f t="shared" si="175"/>
        <v>0</v>
      </c>
      <c r="BS239" s="3174">
        <f t="shared" si="176"/>
        <v>0</v>
      </c>
      <c r="BT239" s="3249">
        <f t="shared" si="177"/>
        <v>0</v>
      </c>
    </row>
    <row r="240" spans="1:72">
      <c r="A240" s="489"/>
      <c r="B240" s="356"/>
      <c r="C240" s="356"/>
      <c r="D240" s="3182"/>
      <c r="E240" s="3174">
        <f t="shared" si="149"/>
        <v>0</v>
      </c>
      <c r="F240" s="3175"/>
      <c r="G240" s="3176">
        <f t="shared" si="150"/>
        <v>0</v>
      </c>
      <c r="H240" s="3177">
        <f t="shared" si="151"/>
        <v>0</v>
      </c>
      <c r="I240" s="3200"/>
      <c r="J240" s="3200"/>
      <c r="K240" s="3200"/>
      <c r="L240" s="3200"/>
      <c r="M240" s="3200"/>
      <c r="N240" s="3200"/>
      <c r="O240" s="3200"/>
      <c r="P240" s="3200"/>
      <c r="Q240" s="3200"/>
      <c r="R240" s="3200"/>
      <c r="S240" s="3200"/>
      <c r="T240" s="3200"/>
      <c r="U240" s="3200"/>
      <c r="V240" s="3200"/>
      <c r="W240" s="3200"/>
      <c r="X240" s="3200"/>
      <c r="Y240" s="3200"/>
      <c r="Z240" s="3200"/>
      <c r="AA240" s="3200"/>
      <c r="AB240" s="3200"/>
      <c r="AC240" s="3174">
        <f t="shared" si="152"/>
        <v>0</v>
      </c>
      <c r="AD240" s="3212"/>
      <c r="AE240" s="3212"/>
      <c r="AF240" s="3212"/>
      <c r="AG240" s="3212"/>
      <c r="AH240" s="3212"/>
      <c r="AI240" s="3212"/>
      <c r="AJ240" s="3212"/>
      <c r="AK240" s="3212"/>
      <c r="AL240" s="3212"/>
      <c r="AM240" s="3212"/>
      <c r="AN240" s="3212"/>
      <c r="AO240" s="3212"/>
      <c r="AP240" s="3212"/>
      <c r="AQ240" s="3212"/>
      <c r="AR240" s="3212"/>
      <c r="AS240" s="3212"/>
      <c r="AT240" s="3175"/>
      <c r="AU240" s="3232"/>
      <c r="AV240" s="466">
        <f t="shared" si="153"/>
        <v>0</v>
      </c>
      <c r="AW240" s="466">
        <f t="shared" si="154"/>
        <v>0</v>
      </c>
      <c r="AX240" s="466">
        <f t="shared" si="155"/>
        <v>0</v>
      </c>
      <c r="AY240" s="385">
        <f t="shared" si="156"/>
        <v>0</v>
      </c>
      <c r="AZ240" s="3174">
        <f t="shared" si="157"/>
        <v>0</v>
      </c>
      <c r="BA240" s="3174">
        <f t="shared" si="158"/>
        <v>0</v>
      </c>
      <c r="BB240" s="3174">
        <f t="shared" si="159"/>
        <v>0</v>
      </c>
      <c r="BC240" s="3174">
        <f t="shared" si="160"/>
        <v>0</v>
      </c>
      <c r="BD240" s="3174">
        <f t="shared" si="161"/>
        <v>0</v>
      </c>
      <c r="BE240" s="3174">
        <f t="shared" si="162"/>
        <v>0</v>
      </c>
      <c r="BF240" s="3174">
        <f t="shared" si="163"/>
        <v>0</v>
      </c>
      <c r="BG240" s="3174">
        <f t="shared" si="164"/>
        <v>0</v>
      </c>
      <c r="BH240" s="3174">
        <f t="shared" si="165"/>
        <v>0</v>
      </c>
      <c r="BI240" s="3174">
        <f t="shared" si="166"/>
        <v>0</v>
      </c>
      <c r="BJ240" s="3174">
        <f t="shared" si="167"/>
        <v>0</v>
      </c>
      <c r="BK240" s="3174">
        <f t="shared" si="168"/>
        <v>0</v>
      </c>
      <c r="BL240" s="3174">
        <f t="shared" si="169"/>
        <v>0</v>
      </c>
      <c r="BM240" s="3174">
        <f t="shared" si="170"/>
        <v>0</v>
      </c>
      <c r="BN240" s="3174">
        <f t="shared" si="171"/>
        <v>0</v>
      </c>
      <c r="BO240" s="3174">
        <f t="shared" si="172"/>
        <v>0</v>
      </c>
      <c r="BP240" s="3174">
        <f t="shared" si="173"/>
        <v>0</v>
      </c>
      <c r="BQ240" s="3174">
        <f t="shared" si="174"/>
        <v>0</v>
      </c>
      <c r="BR240" s="3174">
        <f t="shared" si="175"/>
        <v>0</v>
      </c>
      <c r="BS240" s="3174">
        <f t="shared" si="176"/>
        <v>0</v>
      </c>
      <c r="BT240" s="3249">
        <f t="shared" si="177"/>
        <v>0</v>
      </c>
    </row>
    <row r="241" spans="1:72">
      <c r="A241" s="489"/>
      <c r="B241" s="356"/>
      <c r="C241" s="356"/>
      <c r="D241" s="3182"/>
      <c r="E241" s="3174">
        <f t="shared" si="149"/>
        <v>0</v>
      </c>
      <c r="F241" s="3175"/>
      <c r="G241" s="3176">
        <f t="shared" si="150"/>
        <v>0</v>
      </c>
      <c r="H241" s="3177">
        <f t="shared" si="151"/>
        <v>0</v>
      </c>
      <c r="I241" s="3200"/>
      <c r="J241" s="3200"/>
      <c r="K241" s="3200"/>
      <c r="L241" s="3200"/>
      <c r="M241" s="3200"/>
      <c r="N241" s="3200"/>
      <c r="O241" s="3200"/>
      <c r="P241" s="3200"/>
      <c r="Q241" s="3200"/>
      <c r="R241" s="3200"/>
      <c r="S241" s="3200"/>
      <c r="T241" s="3200"/>
      <c r="U241" s="3200"/>
      <c r="V241" s="3200"/>
      <c r="W241" s="3200"/>
      <c r="X241" s="3200"/>
      <c r="Y241" s="3200"/>
      <c r="Z241" s="3200"/>
      <c r="AA241" s="3200"/>
      <c r="AB241" s="3200"/>
      <c r="AC241" s="3174">
        <f t="shared" si="152"/>
        <v>0</v>
      </c>
      <c r="AD241" s="3212"/>
      <c r="AE241" s="3212"/>
      <c r="AF241" s="3212"/>
      <c r="AG241" s="3212"/>
      <c r="AH241" s="3212"/>
      <c r="AI241" s="3212"/>
      <c r="AJ241" s="3212"/>
      <c r="AK241" s="3212"/>
      <c r="AL241" s="3212"/>
      <c r="AM241" s="3212"/>
      <c r="AN241" s="3212"/>
      <c r="AO241" s="3212"/>
      <c r="AP241" s="3212"/>
      <c r="AQ241" s="3212"/>
      <c r="AR241" s="3212"/>
      <c r="AS241" s="3212"/>
      <c r="AT241" s="3175"/>
      <c r="AU241" s="3232"/>
      <c r="AV241" s="466">
        <f t="shared" si="153"/>
        <v>0</v>
      </c>
      <c r="AW241" s="466">
        <f t="shared" si="154"/>
        <v>0</v>
      </c>
      <c r="AX241" s="466">
        <f t="shared" si="155"/>
        <v>0</v>
      </c>
      <c r="AY241" s="385">
        <f t="shared" si="156"/>
        <v>0</v>
      </c>
      <c r="AZ241" s="3174">
        <f t="shared" si="157"/>
        <v>0</v>
      </c>
      <c r="BA241" s="3174">
        <f t="shared" si="158"/>
        <v>0</v>
      </c>
      <c r="BB241" s="3174">
        <f t="shared" si="159"/>
        <v>0</v>
      </c>
      <c r="BC241" s="3174">
        <f t="shared" si="160"/>
        <v>0</v>
      </c>
      <c r="BD241" s="3174">
        <f t="shared" si="161"/>
        <v>0</v>
      </c>
      <c r="BE241" s="3174">
        <f t="shared" si="162"/>
        <v>0</v>
      </c>
      <c r="BF241" s="3174">
        <f t="shared" si="163"/>
        <v>0</v>
      </c>
      <c r="BG241" s="3174">
        <f t="shared" si="164"/>
        <v>0</v>
      </c>
      <c r="BH241" s="3174">
        <f t="shared" si="165"/>
        <v>0</v>
      </c>
      <c r="BI241" s="3174">
        <f t="shared" si="166"/>
        <v>0</v>
      </c>
      <c r="BJ241" s="3174">
        <f t="shared" si="167"/>
        <v>0</v>
      </c>
      <c r="BK241" s="3174">
        <f t="shared" si="168"/>
        <v>0</v>
      </c>
      <c r="BL241" s="3174">
        <f t="shared" si="169"/>
        <v>0</v>
      </c>
      <c r="BM241" s="3174">
        <f t="shared" si="170"/>
        <v>0</v>
      </c>
      <c r="BN241" s="3174">
        <f t="shared" si="171"/>
        <v>0</v>
      </c>
      <c r="BO241" s="3174">
        <f t="shared" si="172"/>
        <v>0</v>
      </c>
      <c r="BP241" s="3174">
        <f t="shared" si="173"/>
        <v>0</v>
      </c>
      <c r="BQ241" s="3174">
        <f t="shared" si="174"/>
        <v>0</v>
      </c>
      <c r="BR241" s="3174">
        <f t="shared" si="175"/>
        <v>0</v>
      </c>
      <c r="BS241" s="3174">
        <f t="shared" si="176"/>
        <v>0</v>
      </c>
      <c r="BT241" s="3249">
        <f t="shared" si="177"/>
        <v>0</v>
      </c>
    </row>
    <row r="242" spans="1:72">
      <c r="A242" s="489"/>
      <c r="B242" s="356"/>
      <c r="C242" s="356"/>
      <c r="D242" s="3182"/>
      <c r="E242" s="3174">
        <f t="shared" si="149"/>
        <v>0</v>
      </c>
      <c r="F242" s="3175"/>
      <c r="G242" s="3176">
        <f t="shared" si="150"/>
        <v>0</v>
      </c>
      <c r="H242" s="3177">
        <f t="shared" si="151"/>
        <v>0</v>
      </c>
      <c r="I242" s="3200"/>
      <c r="J242" s="3200"/>
      <c r="K242" s="3200"/>
      <c r="L242" s="3200"/>
      <c r="M242" s="3200"/>
      <c r="N242" s="3200"/>
      <c r="O242" s="3200"/>
      <c r="P242" s="3200"/>
      <c r="Q242" s="3200"/>
      <c r="R242" s="3200"/>
      <c r="S242" s="3200"/>
      <c r="T242" s="3200"/>
      <c r="U242" s="3200"/>
      <c r="V242" s="3200"/>
      <c r="W242" s="3200"/>
      <c r="X242" s="3200"/>
      <c r="Y242" s="3200"/>
      <c r="Z242" s="3200"/>
      <c r="AA242" s="3200"/>
      <c r="AB242" s="3200"/>
      <c r="AC242" s="3174">
        <f t="shared" si="152"/>
        <v>0</v>
      </c>
      <c r="AD242" s="3212"/>
      <c r="AE242" s="3212"/>
      <c r="AF242" s="3212"/>
      <c r="AG242" s="3212"/>
      <c r="AH242" s="3212"/>
      <c r="AI242" s="3212"/>
      <c r="AJ242" s="3212"/>
      <c r="AK242" s="3212"/>
      <c r="AL242" s="3212"/>
      <c r="AM242" s="3212"/>
      <c r="AN242" s="3212"/>
      <c r="AO242" s="3212"/>
      <c r="AP242" s="3212"/>
      <c r="AQ242" s="3212"/>
      <c r="AR242" s="3212"/>
      <c r="AS242" s="3212"/>
      <c r="AT242" s="3175"/>
      <c r="AU242" s="3232"/>
      <c r="AV242" s="466">
        <f t="shared" si="153"/>
        <v>0</v>
      </c>
      <c r="AW242" s="466">
        <f t="shared" si="154"/>
        <v>0</v>
      </c>
      <c r="AX242" s="466">
        <f t="shared" si="155"/>
        <v>0</v>
      </c>
      <c r="AY242" s="385">
        <f t="shared" si="156"/>
        <v>0</v>
      </c>
      <c r="AZ242" s="3174">
        <f t="shared" si="157"/>
        <v>0</v>
      </c>
      <c r="BA242" s="3174">
        <f t="shared" si="158"/>
        <v>0</v>
      </c>
      <c r="BB242" s="3174">
        <f t="shared" si="159"/>
        <v>0</v>
      </c>
      <c r="BC242" s="3174">
        <f t="shared" si="160"/>
        <v>0</v>
      </c>
      <c r="BD242" s="3174">
        <f t="shared" si="161"/>
        <v>0</v>
      </c>
      <c r="BE242" s="3174">
        <f t="shared" si="162"/>
        <v>0</v>
      </c>
      <c r="BF242" s="3174">
        <f t="shared" si="163"/>
        <v>0</v>
      </c>
      <c r="BG242" s="3174">
        <f t="shared" si="164"/>
        <v>0</v>
      </c>
      <c r="BH242" s="3174">
        <f t="shared" si="165"/>
        <v>0</v>
      </c>
      <c r="BI242" s="3174">
        <f t="shared" si="166"/>
        <v>0</v>
      </c>
      <c r="BJ242" s="3174">
        <f t="shared" si="167"/>
        <v>0</v>
      </c>
      <c r="BK242" s="3174">
        <f t="shared" si="168"/>
        <v>0</v>
      </c>
      <c r="BL242" s="3174">
        <f t="shared" si="169"/>
        <v>0</v>
      </c>
      <c r="BM242" s="3174">
        <f t="shared" si="170"/>
        <v>0</v>
      </c>
      <c r="BN242" s="3174">
        <f t="shared" si="171"/>
        <v>0</v>
      </c>
      <c r="BO242" s="3174">
        <f t="shared" si="172"/>
        <v>0</v>
      </c>
      <c r="BP242" s="3174">
        <f t="shared" si="173"/>
        <v>0</v>
      </c>
      <c r="BQ242" s="3174">
        <f t="shared" si="174"/>
        <v>0</v>
      </c>
      <c r="BR242" s="3174">
        <f t="shared" si="175"/>
        <v>0</v>
      </c>
      <c r="BS242" s="3174">
        <f t="shared" si="176"/>
        <v>0</v>
      </c>
      <c r="BT242" s="3249">
        <f t="shared" si="177"/>
        <v>0</v>
      </c>
    </row>
    <row r="243" spans="1:72">
      <c r="A243" s="489"/>
      <c r="B243" s="356"/>
      <c r="C243" s="356"/>
      <c r="D243" s="3182"/>
      <c r="E243" s="3174">
        <f t="shared" si="149"/>
        <v>0</v>
      </c>
      <c r="F243" s="3175"/>
      <c r="G243" s="3176">
        <f t="shared" si="150"/>
        <v>0</v>
      </c>
      <c r="H243" s="3177">
        <f t="shared" si="151"/>
        <v>0</v>
      </c>
      <c r="I243" s="3200"/>
      <c r="J243" s="3200"/>
      <c r="K243" s="3200"/>
      <c r="L243" s="3200"/>
      <c r="M243" s="3200"/>
      <c r="N243" s="3200"/>
      <c r="O243" s="3200"/>
      <c r="P243" s="3200"/>
      <c r="Q243" s="3200"/>
      <c r="R243" s="3200"/>
      <c r="S243" s="3200"/>
      <c r="T243" s="3200"/>
      <c r="U243" s="3200"/>
      <c r="V243" s="3200"/>
      <c r="W243" s="3200"/>
      <c r="X243" s="3200"/>
      <c r="Y243" s="3200"/>
      <c r="Z243" s="3200"/>
      <c r="AA243" s="3200"/>
      <c r="AB243" s="3200"/>
      <c r="AC243" s="3174">
        <f t="shared" si="152"/>
        <v>0</v>
      </c>
      <c r="AD243" s="3212"/>
      <c r="AE243" s="3212"/>
      <c r="AF243" s="3212"/>
      <c r="AG243" s="3212"/>
      <c r="AH243" s="3212"/>
      <c r="AI243" s="3212"/>
      <c r="AJ243" s="3212"/>
      <c r="AK243" s="3212"/>
      <c r="AL243" s="3212"/>
      <c r="AM243" s="3212"/>
      <c r="AN243" s="3212"/>
      <c r="AO243" s="3212"/>
      <c r="AP243" s="3212"/>
      <c r="AQ243" s="3212"/>
      <c r="AR243" s="3212"/>
      <c r="AS243" s="3212"/>
      <c r="AT243" s="3175"/>
      <c r="AU243" s="3232"/>
      <c r="AV243" s="466">
        <f t="shared" si="153"/>
        <v>0</v>
      </c>
      <c r="AW243" s="466">
        <f t="shared" si="154"/>
        <v>0</v>
      </c>
      <c r="AX243" s="466">
        <f t="shared" si="155"/>
        <v>0</v>
      </c>
      <c r="AY243" s="385">
        <f t="shared" si="156"/>
        <v>0</v>
      </c>
      <c r="AZ243" s="3174">
        <f t="shared" si="157"/>
        <v>0</v>
      </c>
      <c r="BA243" s="3174">
        <f t="shared" si="158"/>
        <v>0</v>
      </c>
      <c r="BB243" s="3174">
        <f t="shared" si="159"/>
        <v>0</v>
      </c>
      <c r="BC243" s="3174">
        <f t="shared" si="160"/>
        <v>0</v>
      </c>
      <c r="BD243" s="3174">
        <f t="shared" si="161"/>
        <v>0</v>
      </c>
      <c r="BE243" s="3174">
        <f t="shared" si="162"/>
        <v>0</v>
      </c>
      <c r="BF243" s="3174">
        <f t="shared" si="163"/>
        <v>0</v>
      </c>
      <c r="BG243" s="3174">
        <f t="shared" si="164"/>
        <v>0</v>
      </c>
      <c r="BH243" s="3174">
        <f t="shared" si="165"/>
        <v>0</v>
      </c>
      <c r="BI243" s="3174">
        <f t="shared" si="166"/>
        <v>0</v>
      </c>
      <c r="BJ243" s="3174">
        <f t="shared" si="167"/>
        <v>0</v>
      </c>
      <c r="BK243" s="3174">
        <f t="shared" si="168"/>
        <v>0</v>
      </c>
      <c r="BL243" s="3174">
        <f t="shared" si="169"/>
        <v>0</v>
      </c>
      <c r="BM243" s="3174">
        <f t="shared" si="170"/>
        <v>0</v>
      </c>
      <c r="BN243" s="3174">
        <f t="shared" si="171"/>
        <v>0</v>
      </c>
      <c r="BO243" s="3174">
        <f t="shared" si="172"/>
        <v>0</v>
      </c>
      <c r="BP243" s="3174">
        <f t="shared" si="173"/>
        <v>0</v>
      </c>
      <c r="BQ243" s="3174">
        <f t="shared" si="174"/>
        <v>0</v>
      </c>
      <c r="BR243" s="3174">
        <f t="shared" si="175"/>
        <v>0</v>
      </c>
      <c r="BS243" s="3174">
        <f t="shared" si="176"/>
        <v>0</v>
      </c>
      <c r="BT243" s="3249">
        <f t="shared" si="177"/>
        <v>0</v>
      </c>
    </row>
    <row r="244" spans="1:72">
      <c r="A244" s="489"/>
      <c r="B244" s="356"/>
      <c r="C244" s="356"/>
      <c r="D244" s="3182"/>
      <c r="E244" s="3174">
        <f t="shared" si="149"/>
        <v>0</v>
      </c>
      <c r="F244" s="3175"/>
      <c r="G244" s="3176">
        <f t="shared" si="150"/>
        <v>0</v>
      </c>
      <c r="H244" s="3177">
        <f t="shared" si="151"/>
        <v>0</v>
      </c>
      <c r="I244" s="3200"/>
      <c r="J244" s="3200"/>
      <c r="K244" s="3200"/>
      <c r="L244" s="3200"/>
      <c r="M244" s="3200"/>
      <c r="N244" s="3200"/>
      <c r="O244" s="3200"/>
      <c r="P244" s="3200"/>
      <c r="Q244" s="3200"/>
      <c r="R244" s="3200"/>
      <c r="S244" s="3200"/>
      <c r="T244" s="3200"/>
      <c r="U244" s="3200"/>
      <c r="V244" s="3200"/>
      <c r="W244" s="3200"/>
      <c r="X244" s="3200"/>
      <c r="Y244" s="3200"/>
      <c r="Z244" s="3200"/>
      <c r="AA244" s="3200"/>
      <c r="AB244" s="3200"/>
      <c r="AC244" s="3174">
        <f t="shared" si="152"/>
        <v>0</v>
      </c>
      <c r="AD244" s="3212"/>
      <c r="AE244" s="3212"/>
      <c r="AF244" s="3212"/>
      <c r="AG244" s="3212"/>
      <c r="AH244" s="3212"/>
      <c r="AI244" s="3212"/>
      <c r="AJ244" s="3212"/>
      <c r="AK244" s="3212"/>
      <c r="AL244" s="3212"/>
      <c r="AM244" s="3212"/>
      <c r="AN244" s="3212"/>
      <c r="AO244" s="3212"/>
      <c r="AP244" s="3212"/>
      <c r="AQ244" s="3212"/>
      <c r="AR244" s="3212"/>
      <c r="AS244" s="3212"/>
      <c r="AT244" s="3175"/>
      <c r="AU244" s="3232"/>
      <c r="AV244" s="466">
        <f t="shared" si="153"/>
        <v>0</v>
      </c>
      <c r="AW244" s="466">
        <f t="shared" si="154"/>
        <v>0</v>
      </c>
      <c r="AX244" s="466">
        <f t="shared" si="155"/>
        <v>0</v>
      </c>
      <c r="AY244" s="385">
        <f t="shared" si="156"/>
        <v>0</v>
      </c>
      <c r="AZ244" s="3174">
        <f t="shared" si="157"/>
        <v>0</v>
      </c>
      <c r="BA244" s="3174">
        <f t="shared" si="158"/>
        <v>0</v>
      </c>
      <c r="BB244" s="3174">
        <f t="shared" si="159"/>
        <v>0</v>
      </c>
      <c r="BC244" s="3174">
        <f t="shared" si="160"/>
        <v>0</v>
      </c>
      <c r="BD244" s="3174">
        <f t="shared" si="161"/>
        <v>0</v>
      </c>
      <c r="BE244" s="3174">
        <f t="shared" si="162"/>
        <v>0</v>
      </c>
      <c r="BF244" s="3174">
        <f t="shared" si="163"/>
        <v>0</v>
      </c>
      <c r="BG244" s="3174">
        <f t="shared" si="164"/>
        <v>0</v>
      </c>
      <c r="BH244" s="3174">
        <f t="shared" si="165"/>
        <v>0</v>
      </c>
      <c r="BI244" s="3174">
        <f t="shared" si="166"/>
        <v>0</v>
      </c>
      <c r="BJ244" s="3174">
        <f t="shared" si="167"/>
        <v>0</v>
      </c>
      <c r="BK244" s="3174">
        <f t="shared" si="168"/>
        <v>0</v>
      </c>
      <c r="BL244" s="3174">
        <f t="shared" si="169"/>
        <v>0</v>
      </c>
      <c r="BM244" s="3174">
        <f t="shared" si="170"/>
        <v>0</v>
      </c>
      <c r="BN244" s="3174">
        <f t="shared" si="171"/>
        <v>0</v>
      </c>
      <c r="BO244" s="3174">
        <f t="shared" si="172"/>
        <v>0</v>
      </c>
      <c r="BP244" s="3174">
        <f t="shared" si="173"/>
        <v>0</v>
      </c>
      <c r="BQ244" s="3174">
        <f t="shared" si="174"/>
        <v>0</v>
      </c>
      <c r="BR244" s="3174">
        <f t="shared" si="175"/>
        <v>0</v>
      </c>
      <c r="BS244" s="3174">
        <f t="shared" si="176"/>
        <v>0</v>
      </c>
      <c r="BT244" s="3249">
        <f t="shared" si="177"/>
        <v>0</v>
      </c>
    </row>
    <row r="245" spans="1:72">
      <c r="A245" s="489"/>
      <c r="B245" s="356"/>
      <c r="C245" s="356"/>
      <c r="D245" s="3182"/>
      <c r="E245" s="3174">
        <f t="shared" si="149"/>
        <v>0</v>
      </c>
      <c r="F245" s="3175"/>
      <c r="G245" s="3176">
        <f t="shared" si="150"/>
        <v>0</v>
      </c>
      <c r="H245" s="3177">
        <f t="shared" si="151"/>
        <v>0</v>
      </c>
      <c r="I245" s="3200"/>
      <c r="J245" s="3200"/>
      <c r="K245" s="3200"/>
      <c r="L245" s="3200"/>
      <c r="M245" s="3200"/>
      <c r="N245" s="3200"/>
      <c r="O245" s="3200"/>
      <c r="P245" s="3200"/>
      <c r="Q245" s="3200"/>
      <c r="R245" s="3200"/>
      <c r="S245" s="3200"/>
      <c r="T245" s="3200"/>
      <c r="U245" s="3200"/>
      <c r="V245" s="3200"/>
      <c r="W245" s="3200"/>
      <c r="X245" s="3200"/>
      <c r="Y245" s="3200"/>
      <c r="Z245" s="3200"/>
      <c r="AA245" s="3200"/>
      <c r="AB245" s="3200"/>
      <c r="AC245" s="3174">
        <f t="shared" si="152"/>
        <v>0</v>
      </c>
      <c r="AD245" s="3212"/>
      <c r="AE245" s="3212"/>
      <c r="AF245" s="3212"/>
      <c r="AG245" s="3212"/>
      <c r="AH245" s="3212"/>
      <c r="AI245" s="3212"/>
      <c r="AJ245" s="3212"/>
      <c r="AK245" s="3212"/>
      <c r="AL245" s="3212"/>
      <c r="AM245" s="3212"/>
      <c r="AN245" s="3212"/>
      <c r="AO245" s="3212"/>
      <c r="AP245" s="3212"/>
      <c r="AQ245" s="3212"/>
      <c r="AR245" s="3212"/>
      <c r="AS245" s="3212"/>
      <c r="AT245" s="3175"/>
      <c r="AU245" s="3232"/>
      <c r="AV245" s="466">
        <f t="shared" si="153"/>
        <v>0</v>
      </c>
      <c r="AW245" s="466">
        <f t="shared" si="154"/>
        <v>0</v>
      </c>
      <c r="AX245" s="466">
        <f t="shared" si="155"/>
        <v>0</v>
      </c>
      <c r="AY245" s="385">
        <f t="shared" si="156"/>
        <v>0</v>
      </c>
      <c r="AZ245" s="3174">
        <f t="shared" si="157"/>
        <v>0</v>
      </c>
      <c r="BA245" s="3174">
        <f t="shared" si="158"/>
        <v>0</v>
      </c>
      <c r="BB245" s="3174">
        <f t="shared" si="159"/>
        <v>0</v>
      </c>
      <c r="BC245" s="3174">
        <f t="shared" si="160"/>
        <v>0</v>
      </c>
      <c r="BD245" s="3174">
        <f t="shared" si="161"/>
        <v>0</v>
      </c>
      <c r="BE245" s="3174">
        <f t="shared" si="162"/>
        <v>0</v>
      </c>
      <c r="BF245" s="3174">
        <f t="shared" si="163"/>
        <v>0</v>
      </c>
      <c r="BG245" s="3174">
        <f t="shared" si="164"/>
        <v>0</v>
      </c>
      <c r="BH245" s="3174">
        <f t="shared" si="165"/>
        <v>0</v>
      </c>
      <c r="BI245" s="3174">
        <f t="shared" si="166"/>
        <v>0</v>
      </c>
      <c r="BJ245" s="3174">
        <f t="shared" si="167"/>
        <v>0</v>
      </c>
      <c r="BK245" s="3174">
        <f t="shared" si="168"/>
        <v>0</v>
      </c>
      <c r="BL245" s="3174">
        <f t="shared" si="169"/>
        <v>0</v>
      </c>
      <c r="BM245" s="3174">
        <f t="shared" si="170"/>
        <v>0</v>
      </c>
      <c r="BN245" s="3174">
        <f t="shared" si="171"/>
        <v>0</v>
      </c>
      <c r="BO245" s="3174">
        <f t="shared" si="172"/>
        <v>0</v>
      </c>
      <c r="BP245" s="3174">
        <f t="shared" si="173"/>
        <v>0</v>
      </c>
      <c r="BQ245" s="3174">
        <f t="shared" si="174"/>
        <v>0</v>
      </c>
      <c r="BR245" s="3174">
        <f t="shared" si="175"/>
        <v>0</v>
      </c>
      <c r="BS245" s="3174">
        <f t="shared" si="176"/>
        <v>0</v>
      </c>
      <c r="BT245" s="3249">
        <f t="shared" si="177"/>
        <v>0</v>
      </c>
    </row>
    <row r="246" spans="1:72">
      <c r="A246" s="489"/>
      <c r="B246" s="356"/>
      <c r="C246" s="356"/>
      <c r="D246" s="3182"/>
      <c r="E246" s="3174">
        <f t="shared" si="149"/>
        <v>0</v>
      </c>
      <c r="F246" s="3175"/>
      <c r="G246" s="3176">
        <f t="shared" si="150"/>
        <v>0</v>
      </c>
      <c r="H246" s="3177">
        <f t="shared" si="151"/>
        <v>0</v>
      </c>
      <c r="I246" s="3200"/>
      <c r="J246" s="3200"/>
      <c r="K246" s="3200"/>
      <c r="L246" s="3200"/>
      <c r="M246" s="3200"/>
      <c r="N246" s="3200"/>
      <c r="O246" s="3200"/>
      <c r="P246" s="3200"/>
      <c r="Q246" s="3200"/>
      <c r="R246" s="3200"/>
      <c r="S246" s="3200"/>
      <c r="T246" s="3200"/>
      <c r="U246" s="3200"/>
      <c r="V246" s="3200"/>
      <c r="W246" s="3200"/>
      <c r="X246" s="3200"/>
      <c r="Y246" s="3200"/>
      <c r="Z246" s="3200"/>
      <c r="AA246" s="3200"/>
      <c r="AB246" s="3200"/>
      <c r="AC246" s="3174">
        <f t="shared" si="152"/>
        <v>0</v>
      </c>
      <c r="AD246" s="3212"/>
      <c r="AE246" s="3212"/>
      <c r="AF246" s="3212"/>
      <c r="AG246" s="3212"/>
      <c r="AH246" s="3212"/>
      <c r="AI246" s="3212"/>
      <c r="AJ246" s="3212"/>
      <c r="AK246" s="3212"/>
      <c r="AL246" s="3212"/>
      <c r="AM246" s="3212"/>
      <c r="AN246" s="3212"/>
      <c r="AO246" s="3212"/>
      <c r="AP246" s="3212"/>
      <c r="AQ246" s="3212"/>
      <c r="AR246" s="3212"/>
      <c r="AS246" s="3212"/>
      <c r="AT246" s="3175"/>
      <c r="AU246" s="3232"/>
      <c r="AV246" s="466">
        <f t="shared" si="153"/>
        <v>0</v>
      </c>
      <c r="AW246" s="466">
        <f t="shared" si="154"/>
        <v>0</v>
      </c>
      <c r="AX246" s="466">
        <f t="shared" si="155"/>
        <v>0</v>
      </c>
      <c r="AY246" s="385">
        <f t="shared" si="156"/>
        <v>0</v>
      </c>
      <c r="AZ246" s="3174">
        <f t="shared" si="157"/>
        <v>0</v>
      </c>
      <c r="BA246" s="3174">
        <f t="shared" si="158"/>
        <v>0</v>
      </c>
      <c r="BB246" s="3174">
        <f t="shared" si="159"/>
        <v>0</v>
      </c>
      <c r="BC246" s="3174">
        <f t="shared" si="160"/>
        <v>0</v>
      </c>
      <c r="BD246" s="3174">
        <f t="shared" si="161"/>
        <v>0</v>
      </c>
      <c r="BE246" s="3174">
        <f t="shared" si="162"/>
        <v>0</v>
      </c>
      <c r="BF246" s="3174">
        <f t="shared" si="163"/>
        <v>0</v>
      </c>
      <c r="BG246" s="3174">
        <f t="shared" si="164"/>
        <v>0</v>
      </c>
      <c r="BH246" s="3174">
        <f t="shared" si="165"/>
        <v>0</v>
      </c>
      <c r="BI246" s="3174">
        <f t="shared" si="166"/>
        <v>0</v>
      </c>
      <c r="BJ246" s="3174">
        <f t="shared" si="167"/>
        <v>0</v>
      </c>
      <c r="BK246" s="3174">
        <f t="shared" si="168"/>
        <v>0</v>
      </c>
      <c r="BL246" s="3174">
        <f t="shared" si="169"/>
        <v>0</v>
      </c>
      <c r="BM246" s="3174">
        <f t="shared" si="170"/>
        <v>0</v>
      </c>
      <c r="BN246" s="3174">
        <f t="shared" si="171"/>
        <v>0</v>
      </c>
      <c r="BO246" s="3174">
        <f t="shared" si="172"/>
        <v>0</v>
      </c>
      <c r="BP246" s="3174">
        <f t="shared" si="173"/>
        <v>0</v>
      </c>
      <c r="BQ246" s="3174">
        <f t="shared" si="174"/>
        <v>0</v>
      </c>
      <c r="BR246" s="3174">
        <f t="shared" si="175"/>
        <v>0</v>
      </c>
      <c r="BS246" s="3174">
        <f t="shared" si="176"/>
        <v>0</v>
      </c>
      <c r="BT246" s="3249">
        <f t="shared" si="177"/>
        <v>0</v>
      </c>
    </row>
    <row r="247" spans="1:72">
      <c r="A247" s="489"/>
      <c r="B247" s="356"/>
      <c r="C247" s="356"/>
      <c r="D247" s="3182"/>
      <c r="E247" s="3174">
        <f t="shared" si="149"/>
        <v>0</v>
      </c>
      <c r="F247" s="3175"/>
      <c r="G247" s="3176">
        <f t="shared" si="150"/>
        <v>0</v>
      </c>
      <c r="H247" s="3177">
        <f t="shared" si="151"/>
        <v>0</v>
      </c>
      <c r="I247" s="3200"/>
      <c r="J247" s="3200"/>
      <c r="K247" s="3200"/>
      <c r="L247" s="3200"/>
      <c r="M247" s="3200"/>
      <c r="N247" s="3200"/>
      <c r="O247" s="3200"/>
      <c r="P247" s="3200"/>
      <c r="Q247" s="3200"/>
      <c r="R247" s="3200"/>
      <c r="S247" s="3200"/>
      <c r="T247" s="3200"/>
      <c r="U247" s="3200"/>
      <c r="V247" s="3200"/>
      <c r="W247" s="3200"/>
      <c r="X247" s="3200"/>
      <c r="Y247" s="3200"/>
      <c r="Z247" s="3200"/>
      <c r="AA247" s="3200"/>
      <c r="AB247" s="3200"/>
      <c r="AC247" s="3174">
        <f t="shared" si="152"/>
        <v>0</v>
      </c>
      <c r="AD247" s="3212"/>
      <c r="AE247" s="3212"/>
      <c r="AF247" s="3212"/>
      <c r="AG247" s="3212"/>
      <c r="AH247" s="3212"/>
      <c r="AI247" s="3212"/>
      <c r="AJ247" s="3212"/>
      <c r="AK247" s="3212"/>
      <c r="AL247" s="3212"/>
      <c r="AM247" s="3212"/>
      <c r="AN247" s="3212"/>
      <c r="AO247" s="3212"/>
      <c r="AP247" s="3212"/>
      <c r="AQ247" s="3212"/>
      <c r="AR247" s="3212"/>
      <c r="AS247" s="3212"/>
      <c r="AT247" s="3175"/>
      <c r="AU247" s="3232"/>
      <c r="AV247" s="466">
        <f t="shared" si="153"/>
        <v>0</v>
      </c>
      <c r="AW247" s="466">
        <f t="shared" si="154"/>
        <v>0</v>
      </c>
      <c r="AX247" s="466">
        <f t="shared" si="155"/>
        <v>0</v>
      </c>
      <c r="AY247" s="385">
        <f t="shared" si="156"/>
        <v>0</v>
      </c>
      <c r="AZ247" s="3174">
        <f t="shared" si="157"/>
        <v>0</v>
      </c>
      <c r="BA247" s="3174">
        <f t="shared" si="158"/>
        <v>0</v>
      </c>
      <c r="BB247" s="3174">
        <f t="shared" si="159"/>
        <v>0</v>
      </c>
      <c r="BC247" s="3174">
        <f t="shared" si="160"/>
        <v>0</v>
      </c>
      <c r="BD247" s="3174">
        <f t="shared" si="161"/>
        <v>0</v>
      </c>
      <c r="BE247" s="3174">
        <f t="shared" si="162"/>
        <v>0</v>
      </c>
      <c r="BF247" s="3174">
        <f t="shared" si="163"/>
        <v>0</v>
      </c>
      <c r="BG247" s="3174">
        <f t="shared" si="164"/>
        <v>0</v>
      </c>
      <c r="BH247" s="3174">
        <f t="shared" si="165"/>
        <v>0</v>
      </c>
      <c r="BI247" s="3174">
        <f t="shared" si="166"/>
        <v>0</v>
      </c>
      <c r="BJ247" s="3174">
        <f t="shared" si="167"/>
        <v>0</v>
      </c>
      <c r="BK247" s="3174">
        <f t="shared" si="168"/>
        <v>0</v>
      </c>
      <c r="BL247" s="3174">
        <f t="shared" si="169"/>
        <v>0</v>
      </c>
      <c r="BM247" s="3174">
        <f t="shared" si="170"/>
        <v>0</v>
      </c>
      <c r="BN247" s="3174">
        <f t="shared" si="171"/>
        <v>0</v>
      </c>
      <c r="BO247" s="3174">
        <f t="shared" si="172"/>
        <v>0</v>
      </c>
      <c r="BP247" s="3174">
        <f t="shared" si="173"/>
        <v>0</v>
      </c>
      <c r="BQ247" s="3174">
        <f t="shared" si="174"/>
        <v>0</v>
      </c>
      <c r="BR247" s="3174">
        <f t="shared" si="175"/>
        <v>0</v>
      </c>
      <c r="BS247" s="3174">
        <f t="shared" si="176"/>
        <v>0</v>
      </c>
      <c r="BT247" s="3249">
        <f t="shared" si="177"/>
        <v>0</v>
      </c>
    </row>
    <row r="248" spans="1:72">
      <c r="A248" s="489"/>
      <c r="B248" s="356"/>
      <c r="C248" s="356"/>
      <c r="D248" s="3182"/>
      <c r="E248" s="3174">
        <f t="shared" si="149"/>
        <v>0</v>
      </c>
      <c r="F248" s="3175"/>
      <c r="G248" s="3176">
        <f t="shared" si="150"/>
        <v>0</v>
      </c>
      <c r="H248" s="3177">
        <f t="shared" si="151"/>
        <v>0</v>
      </c>
      <c r="I248" s="3200"/>
      <c r="J248" s="3200"/>
      <c r="K248" s="3200"/>
      <c r="L248" s="3200"/>
      <c r="M248" s="3200"/>
      <c r="N248" s="3200"/>
      <c r="O248" s="3200"/>
      <c r="P248" s="3200"/>
      <c r="Q248" s="3200"/>
      <c r="R248" s="3200"/>
      <c r="S248" s="3200"/>
      <c r="T248" s="3200"/>
      <c r="U248" s="3200"/>
      <c r="V248" s="3200"/>
      <c r="W248" s="3200"/>
      <c r="X248" s="3200"/>
      <c r="Y248" s="3200"/>
      <c r="Z248" s="3200"/>
      <c r="AA248" s="3200"/>
      <c r="AB248" s="3200"/>
      <c r="AC248" s="3174">
        <f t="shared" si="152"/>
        <v>0</v>
      </c>
      <c r="AD248" s="3212"/>
      <c r="AE248" s="3212"/>
      <c r="AF248" s="3212"/>
      <c r="AG248" s="3212"/>
      <c r="AH248" s="3212"/>
      <c r="AI248" s="3212"/>
      <c r="AJ248" s="3212"/>
      <c r="AK248" s="3212"/>
      <c r="AL248" s="3212"/>
      <c r="AM248" s="3212"/>
      <c r="AN248" s="3212"/>
      <c r="AO248" s="3212"/>
      <c r="AP248" s="3212"/>
      <c r="AQ248" s="3212"/>
      <c r="AR248" s="3212"/>
      <c r="AS248" s="3212"/>
      <c r="AT248" s="3175"/>
      <c r="AU248" s="3232"/>
      <c r="AV248" s="466">
        <f t="shared" si="153"/>
        <v>0</v>
      </c>
      <c r="AW248" s="466">
        <f t="shared" si="154"/>
        <v>0</v>
      </c>
      <c r="AX248" s="466">
        <f t="shared" si="155"/>
        <v>0</v>
      </c>
      <c r="AY248" s="385">
        <f t="shared" si="156"/>
        <v>0</v>
      </c>
      <c r="AZ248" s="3174">
        <f t="shared" si="157"/>
        <v>0</v>
      </c>
      <c r="BA248" s="3174">
        <f t="shared" si="158"/>
        <v>0</v>
      </c>
      <c r="BB248" s="3174">
        <f t="shared" si="159"/>
        <v>0</v>
      </c>
      <c r="BC248" s="3174">
        <f t="shared" si="160"/>
        <v>0</v>
      </c>
      <c r="BD248" s="3174">
        <f t="shared" si="161"/>
        <v>0</v>
      </c>
      <c r="BE248" s="3174">
        <f t="shared" si="162"/>
        <v>0</v>
      </c>
      <c r="BF248" s="3174">
        <f t="shared" si="163"/>
        <v>0</v>
      </c>
      <c r="BG248" s="3174">
        <f t="shared" si="164"/>
        <v>0</v>
      </c>
      <c r="BH248" s="3174">
        <f t="shared" si="165"/>
        <v>0</v>
      </c>
      <c r="BI248" s="3174">
        <f t="shared" si="166"/>
        <v>0</v>
      </c>
      <c r="BJ248" s="3174">
        <f t="shared" si="167"/>
        <v>0</v>
      </c>
      <c r="BK248" s="3174">
        <f t="shared" si="168"/>
        <v>0</v>
      </c>
      <c r="BL248" s="3174">
        <f t="shared" si="169"/>
        <v>0</v>
      </c>
      <c r="BM248" s="3174">
        <f t="shared" si="170"/>
        <v>0</v>
      </c>
      <c r="BN248" s="3174">
        <f t="shared" si="171"/>
        <v>0</v>
      </c>
      <c r="BO248" s="3174">
        <f t="shared" si="172"/>
        <v>0</v>
      </c>
      <c r="BP248" s="3174">
        <f t="shared" si="173"/>
        <v>0</v>
      </c>
      <c r="BQ248" s="3174">
        <f t="shared" si="174"/>
        <v>0</v>
      </c>
      <c r="BR248" s="3174">
        <f t="shared" si="175"/>
        <v>0</v>
      </c>
      <c r="BS248" s="3174">
        <f t="shared" si="176"/>
        <v>0</v>
      </c>
      <c r="BT248" s="3249">
        <f t="shared" si="177"/>
        <v>0</v>
      </c>
    </row>
    <row r="249" spans="1:72">
      <c r="A249" s="489"/>
      <c r="B249" s="356"/>
      <c r="C249" s="356"/>
      <c r="D249" s="3182"/>
      <c r="E249" s="3174">
        <f t="shared" si="149"/>
        <v>0</v>
      </c>
      <c r="F249" s="3175"/>
      <c r="G249" s="3176">
        <f t="shared" si="150"/>
        <v>0</v>
      </c>
      <c r="H249" s="3177">
        <f t="shared" si="151"/>
        <v>0</v>
      </c>
      <c r="I249" s="3200"/>
      <c r="J249" s="3200"/>
      <c r="K249" s="3200"/>
      <c r="L249" s="3200"/>
      <c r="M249" s="3200"/>
      <c r="N249" s="3200"/>
      <c r="O249" s="3200"/>
      <c r="P249" s="3200"/>
      <c r="Q249" s="3200"/>
      <c r="R249" s="3200"/>
      <c r="S249" s="3200"/>
      <c r="T249" s="3200"/>
      <c r="U249" s="3200"/>
      <c r="V249" s="3200"/>
      <c r="W249" s="3200"/>
      <c r="X249" s="3200"/>
      <c r="Y249" s="3200"/>
      <c r="Z249" s="3200"/>
      <c r="AA249" s="3200"/>
      <c r="AB249" s="3200"/>
      <c r="AC249" s="3174">
        <f t="shared" si="152"/>
        <v>0</v>
      </c>
      <c r="AD249" s="3212"/>
      <c r="AE249" s="3212"/>
      <c r="AF249" s="3212"/>
      <c r="AG249" s="3212"/>
      <c r="AH249" s="3212"/>
      <c r="AI249" s="3212"/>
      <c r="AJ249" s="3212"/>
      <c r="AK249" s="3212"/>
      <c r="AL249" s="3212"/>
      <c r="AM249" s="3212"/>
      <c r="AN249" s="3212"/>
      <c r="AO249" s="3212"/>
      <c r="AP249" s="3212"/>
      <c r="AQ249" s="3212"/>
      <c r="AR249" s="3212"/>
      <c r="AS249" s="3212"/>
      <c r="AT249" s="3175"/>
      <c r="AU249" s="3232"/>
      <c r="AV249" s="466">
        <f t="shared" si="153"/>
        <v>0</v>
      </c>
      <c r="AW249" s="466">
        <f t="shared" si="154"/>
        <v>0</v>
      </c>
      <c r="AX249" s="466">
        <f t="shared" si="155"/>
        <v>0</v>
      </c>
      <c r="AY249" s="385">
        <f t="shared" si="156"/>
        <v>0</v>
      </c>
      <c r="AZ249" s="3174">
        <f t="shared" si="157"/>
        <v>0</v>
      </c>
      <c r="BA249" s="3174">
        <f t="shared" si="158"/>
        <v>0</v>
      </c>
      <c r="BB249" s="3174">
        <f t="shared" si="159"/>
        <v>0</v>
      </c>
      <c r="BC249" s="3174">
        <f t="shared" si="160"/>
        <v>0</v>
      </c>
      <c r="BD249" s="3174">
        <f t="shared" si="161"/>
        <v>0</v>
      </c>
      <c r="BE249" s="3174">
        <f t="shared" si="162"/>
        <v>0</v>
      </c>
      <c r="BF249" s="3174">
        <f t="shared" si="163"/>
        <v>0</v>
      </c>
      <c r="BG249" s="3174">
        <f t="shared" si="164"/>
        <v>0</v>
      </c>
      <c r="BH249" s="3174">
        <f t="shared" si="165"/>
        <v>0</v>
      </c>
      <c r="BI249" s="3174">
        <f t="shared" si="166"/>
        <v>0</v>
      </c>
      <c r="BJ249" s="3174">
        <f t="shared" si="167"/>
        <v>0</v>
      </c>
      <c r="BK249" s="3174">
        <f t="shared" si="168"/>
        <v>0</v>
      </c>
      <c r="BL249" s="3174">
        <f t="shared" si="169"/>
        <v>0</v>
      </c>
      <c r="BM249" s="3174">
        <f t="shared" si="170"/>
        <v>0</v>
      </c>
      <c r="BN249" s="3174">
        <f t="shared" si="171"/>
        <v>0</v>
      </c>
      <c r="BO249" s="3174">
        <f t="shared" si="172"/>
        <v>0</v>
      </c>
      <c r="BP249" s="3174">
        <f t="shared" si="173"/>
        <v>0</v>
      </c>
      <c r="BQ249" s="3174">
        <f t="shared" si="174"/>
        <v>0</v>
      </c>
      <c r="BR249" s="3174">
        <f t="shared" si="175"/>
        <v>0</v>
      </c>
      <c r="BS249" s="3174">
        <f t="shared" si="176"/>
        <v>0</v>
      </c>
      <c r="BT249" s="3249">
        <f t="shared" si="177"/>
        <v>0</v>
      </c>
    </row>
    <row r="250" spans="1:72">
      <c r="A250" s="489"/>
      <c r="B250" s="356"/>
      <c r="C250" s="356"/>
      <c r="D250" s="3182"/>
      <c r="E250" s="3174">
        <f t="shared" si="149"/>
        <v>0</v>
      </c>
      <c r="F250" s="3175"/>
      <c r="G250" s="3176">
        <f t="shared" si="150"/>
        <v>0</v>
      </c>
      <c r="H250" s="3177">
        <f t="shared" si="151"/>
        <v>0</v>
      </c>
      <c r="I250" s="3200"/>
      <c r="J250" s="3200"/>
      <c r="K250" s="3200"/>
      <c r="L250" s="3200"/>
      <c r="M250" s="3200"/>
      <c r="N250" s="3200"/>
      <c r="O250" s="3200"/>
      <c r="P250" s="3200"/>
      <c r="Q250" s="3200"/>
      <c r="R250" s="3200"/>
      <c r="S250" s="3200"/>
      <c r="T250" s="3200"/>
      <c r="U250" s="3200"/>
      <c r="V250" s="3200"/>
      <c r="W250" s="3200"/>
      <c r="X250" s="3200"/>
      <c r="Y250" s="3200"/>
      <c r="Z250" s="3200"/>
      <c r="AA250" s="3200"/>
      <c r="AB250" s="3200"/>
      <c r="AC250" s="3174">
        <f t="shared" si="152"/>
        <v>0</v>
      </c>
      <c r="AD250" s="3212"/>
      <c r="AE250" s="3212"/>
      <c r="AF250" s="3212"/>
      <c r="AG250" s="3212"/>
      <c r="AH250" s="3212"/>
      <c r="AI250" s="3212"/>
      <c r="AJ250" s="3212"/>
      <c r="AK250" s="3212"/>
      <c r="AL250" s="3212"/>
      <c r="AM250" s="3212"/>
      <c r="AN250" s="3212"/>
      <c r="AO250" s="3212"/>
      <c r="AP250" s="3212"/>
      <c r="AQ250" s="3212"/>
      <c r="AR250" s="3212"/>
      <c r="AS250" s="3212"/>
      <c r="AT250" s="3175"/>
      <c r="AU250" s="3232"/>
      <c r="AV250" s="466">
        <f t="shared" si="153"/>
        <v>0</v>
      </c>
      <c r="AW250" s="466">
        <f t="shared" si="154"/>
        <v>0</v>
      </c>
      <c r="AX250" s="466">
        <f t="shared" si="155"/>
        <v>0</v>
      </c>
      <c r="AY250" s="385">
        <f t="shared" si="156"/>
        <v>0</v>
      </c>
      <c r="AZ250" s="3174">
        <f t="shared" si="157"/>
        <v>0</v>
      </c>
      <c r="BA250" s="3174">
        <f t="shared" si="158"/>
        <v>0</v>
      </c>
      <c r="BB250" s="3174">
        <f t="shared" si="159"/>
        <v>0</v>
      </c>
      <c r="BC250" s="3174">
        <f t="shared" si="160"/>
        <v>0</v>
      </c>
      <c r="BD250" s="3174">
        <f t="shared" si="161"/>
        <v>0</v>
      </c>
      <c r="BE250" s="3174">
        <f t="shared" si="162"/>
        <v>0</v>
      </c>
      <c r="BF250" s="3174">
        <f t="shared" si="163"/>
        <v>0</v>
      </c>
      <c r="BG250" s="3174">
        <f t="shared" si="164"/>
        <v>0</v>
      </c>
      <c r="BH250" s="3174">
        <f t="shared" si="165"/>
        <v>0</v>
      </c>
      <c r="BI250" s="3174">
        <f t="shared" si="166"/>
        <v>0</v>
      </c>
      <c r="BJ250" s="3174">
        <f t="shared" si="167"/>
        <v>0</v>
      </c>
      <c r="BK250" s="3174">
        <f t="shared" si="168"/>
        <v>0</v>
      </c>
      <c r="BL250" s="3174">
        <f t="shared" si="169"/>
        <v>0</v>
      </c>
      <c r="BM250" s="3174">
        <f t="shared" si="170"/>
        <v>0</v>
      </c>
      <c r="BN250" s="3174">
        <f t="shared" si="171"/>
        <v>0</v>
      </c>
      <c r="BO250" s="3174">
        <f t="shared" si="172"/>
        <v>0</v>
      </c>
      <c r="BP250" s="3174">
        <f t="shared" si="173"/>
        <v>0</v>
      </c>
      <c r="BQ250" s="3174">
        <f t="shared" si="174"/>
        <v>0</v>
      </c>
      <c r="BR250" s="3174">
        <f t="shared" si="175"/>
        <v>0</v>
      </c>
      <c r="BS250" s="3174">
        <f t="shared" si="176"/>
        <v>0</v>
      </c>
      <c r="BT250" s="3249">
        <f t="shared" si="177"/>
        <v>0</v>
      </c>
    </row>
    <row r="251" spans="1:72">
      <c r="A251" s="489"/>
      <c r="B251" s="356"/>
      <c r="C251" s="356"/>
      <c r="D251" s="3182"/>
      <c r="E251" s="3174">
        <f t="shared" si="149"/>
        <v>0</v>
      </c>
      <c r="F251" s="3175"/>
      <c r="G251" s="3176">
        <f t="shared" si="150"/>
        <v>0</v>
      </c>
      <c r="H251" s="3177">
        <f t="shared" si="151"/>
        <v>0</v>
      </c>
      <c r="I251" s="3200"/>
      <c r="J251" s="3200"/>
      <c r="K251" s="3200"/>
      <c r="L251" s="3200"/>
      <c r="M251" s="3200"/>
      <c r="N251" s="3200"/>
      <c r="O251" s="3200"/>
      <c r="P251" s="3200"/>
      <c r="Q251" s="3200"/>
      <c r="R251" s="3200"/>
      <c r="S251" s="3200"/>
      <c r="T251" s="3200"/>
      <c r="U251" s="3200"/>
      <c r="V251" s="3200"/>
      <c r="W251" s="3200"/>
      <c r="X251" s="3200"/>
      <c r="Y251" s="3200"/>
      <c r="Z251" s="3200"/>
      <c r="AA251" s="3200"/>
      <c r="AB251" s="3200"/>
      <c r="AC251" s="3174">
        <f t="shared" si="152"/>
        <v>0</v>
      </c>
      <c r="AD251" s="3212"/>
      <c r="AE251" s="3212"/>
      <c r="AF251" s="3212"/>
      <c r="AG251" s="3212"/>
      <c r="AH251" s="3212"/>
      <c r="AI251" s="3212"/>
      <c r="AJ251" s="3212"/>
      <c r="AK251" s="3212"/>
      <c r="AL251" s="3212"/>
      <c r="AM251" s="3212"/>
      <c r="AN251" s="3212"/>
      <c r="AO251" s="3212"/>
      <c r="AP251" s="3212"/>
      <c r="AQ251" s="3212"/>
      <c r="AR251" s="3212"/>
      <c r="AS251" s="3212"/>
      <c r="AT251" s="3175"/>
      <c r="AU251" s="3232"/>
      <c r="AV251" s="466">
        <f t="shared" si="153"/>
        <v>0</v>
      </c>
      <c r="AW251" s="466">
        <f t="shared" si="154"/>
        <v>0</v>
      </c>
      <c r="AX251" s="466">
        <f t="shared" si="155"/>
        <v>0</v>
      </c>
      <c r="AY251" s="385">
        <f t="shared" si="156"/>
        <v>0</v>
      </c>
      <c r="AZ251" s="3174">
        <f t="shared" si="157"/>
        <v>0</v>
      </c>
      <c r="BA251" s="3174">
        <f t="shared" si="158"/>
        <v>0</v>
      </c>
      <c r="BB251" s="3174">
        <f t="shared" si="159"/>
        <v>0</v>
      </c>
      <c r="BC251" s="3174">
        <f t="shared" si="160"/>
        <v>0</v>
      </c>
      <c r="BD251" s="3174">
        <f t="shared" si="161"/>
        <v>0</v>
      </c>
      <c r="BE251" s="3174">
        <f t="shared" si="162"/>
        <v>0</v>
      </c>
      <c r="BF251" s="3174">
        <f t="shared" si="163"/>
        <v>0</v>
      </c>
      <c r="BG251" s="3174">
        <f t="shared" si="164"/>
        <v>0</v>
      </c>
      <c r="BH251" s="3174">
        <f t="shared" si="165"/>
        <v>0</v>
      </c>
      <c r="BI251" s="3174">
        <f t="shared" si="166"/>
        <v>0</v>
      </c>
      <c r="BJ251" s="3174">
        <f t="shared" si="167"/>
        <v>0</v>
      </c>
      <c r="BK251" s="3174">
        <f t="shared" si="168"/>
        <v>0</v>
      </c>
      <c r="BL251" s="3174">
        <f t="shared" si="169"/>
        <v>0</v>
      </c>
      <c r="BM251" s="3174">
        <f t="shared" si="170"/>
        <v>0</v>
      </c>
      <c r="BN251" s="3174">
        <f t="shared" si="171"/>
        <v>0</v>
      </c>
      <c r="BO251" s="3174">
        <f t="shared" si="172"/>
        <v>0</v>
      </c>
      <c r="BP251" s="3174">
        <f t="shared" si="173"/>
        <v>0</v>
      </c>
      <c r="BQ251" s="3174">
        <f t="shared" si="174"/>
        <v>0</v>
      </c>
      <c r="BR251" s="3174">
        <f t="shared" si="175"/>
        <v>0</v>
      </c>
      <c r="BS251" s="3174">
        <f t="shared" si="176"/>
        <v>0</v>
      </c>
      <c r="BT251" s="3249">
        <f t="shared" si="177"/>
        <v>0</v>
      </c>
    </row>
    <row r="252" spans="1:72">
      <c r="A252" s="489"/>
      <c r="B252" s="356"/>
      <c r="C252" s="356"/>
      <c r="D252" s="3182"/>
      <c r="E252" s="3174">
        <f t="shared" si="149"/>
        <v>0</v>
      </c>
      <c r="F252" s="3175"/>
      <c r="G252" s="3176">
        <f t="shared" si="150"/>
        <v>0</v>
      </c>
      <c r="H252" s="3177">
        <f t="shared" si="151"/>
        <v>0</v>
      </c>
      <c r="I252" s="3200"/>
      <c r="J252" s="3200"/>
      <c r="K252" s="3200"/>
      <c r="L252" s="3200"/>
      <c r="M252" s="3200"/>
      <c r="N252" s="3200"/>
      <c r="O252" s="3200"/>
      <c r="P252" s="3200"/>
      <c r="Q252" s="3200"/>
      <c r="R252" s="3200"/>
      <c r="S252" s="3200"/>
      <c r="T252" s="3200"/>
      <c r="U252" s="3200"/>
      <c r="V252" s="3200"/>
      <c r="W252" s="3200"/>
      <c r="X252" s="3200"/>
      <c r="Y252" s="3200"/>
      <c r="Z252" s="3200"/>
      <c r="AA252" s="3200"/>
      <c r="AB252" s="3200"/>
      <c r="AC252" s="3174">
        <f t="shared" si="152"/>
        <v>0</v>
      </c>
      <c r="AD252" s="3212"/>
      <c r="AE252" s="3212"/>
      <c r="AF252" s="3212"/>
      <c r="AG252" s="3212"/>
      <c r="AH252" s="3212"/>
      <c r="AI252" s="3212"/>
      <c r="AJ252" s="3212"/>
      <c r="AK252" s="3212"/>
      <c r="AL252" s="3212"/>
      <c r="AM252" s="3212"/>
      <c r="AN252" s="3212"/>
      <c r="AO252" s="3212"/>
      <c r="AP252" s="3212"/>
      <c r="AQ252" s="3212"/>
      <c r="AR252" s="3212"/>
      <c r="AS252" s="3212"/>
      <c r="AT252" s="3175"/>
      <c r="AU252" s="3232"/>
      <c r="AV252" s="466">
        <f t="shared" si="153"/>
        <v>0</v>
      </c>
      <c r="AW252" s="466">
        <f t="shared" si="154"/>
        <v>0</v>
      </c>
      <c r="AX252" s="466">
        <f t="shared" si="155"/>
        <v>0</v>
      </c>
      <c r="AY252" s="385">
        <f t="shared" si="156"/>
        <v>0</v>
      </c>
      <c r="AZ252" s="3174">
        <f t="shared" si="157"/>
        <v>0</v>
      </c>
      <c r="BA252" s="3174">
        <f t="shared" si="158"/>
        <v>0</v>
      </c>
      <c r="BB252" s="3174">
        <f t="shared" si="159"/>
        <v>0</v>
      </c>
      <c r="BC252" s="3174">
        <f t="shared" si="160"/>
        <v>0</v>
      </c>
      <c r="BD252" s="3174">
        <f t="shared" si="161"/>
        <v>0</v>
      </c>
      <c r="BE252" s="3174">
        <f t="shared" si="162"/>
        <v>0</v>
      </c>
      <c r="BF252" s="3174">
        <f t="shared" si="163"/>
        <v>0</v>
      </c>
      <c r="BG252" s="3174">
        <f t="shared" si="164"/>
        <v>0</v>
      </c>
      <c r="BH252" s="3174">
        <f t="shared" si="165"/>
        <v>0</v>
      </c>
      <c r="BI252" s="3174">
        <f t="shared" si="166"/>
        <v>0</v>
      </c>
      <c r="BJ252" s="3174">
        <f t="shared" si="167"/>
        <v>0</v>
      </c>
      <c r="BK252" s="3174">
        <f t="shared" si="168"/>
        <v>0</v>
      </c>
      <c r="BL252" s="3174">
        <f t="shared" si="169"/>
        <v>0</v>
      </c>
      <c r="BM252" s="3174">
        <f t="shared" si="170"/>
        <v>0</v>
      </c>
      <c r="BN252" s="3174">
        <f t="shared" si="171"/>
        <v>0</v>
      </c>
      <c r="BO252" s="3174">
        <f t="shared" si="172"/>
        <v>0</v>
      </c>
      <c r="BP252" s="3174">
        <f t="shared" si="173"/>
        <v>0</v>
      </c>
      <c r="BQ252" s="3174">
        <f t="shared" si="174"/>
        <v>0</v>
      </c>
      <c r="BR252" s="3174">
        <f t="shared" si="175"/>
        <v>0</v>
      </c>
      <c r="BS252" s="3174">
        <f t="shared" si="176"/>
        <v>0</v>
      </c>
      <c r="BT252" s="3249">
        <f t="shared" si="177"/>
        <v>0</v>
      </c>
    </row>
    <row r="253" spans="1:72">
      <c r="A253" s="489"/>
      <c r="B253" s="356"/>
      <c r="C253" s="356"/>
      <c r="D253" s="3182"/>
      <c r="E253" s="3174">
        <f t="shared" si="149"/>
        <v>0</v>
      </c>
      <c r="F253" s="3175"/>
      <c r="G253" s="3176">
        <f t="shared" si="150"/>
        <v>0</v>
      </c>
      <c r="H253" s="3177">
        <f t="shared" si="151"/>
        <v>0</v>
      </c>
      <c r="I253" s="3200"/>
      <c r="J253" s="3200"/>
      <c r="K253" s="3200"/>
      <c r="L253" s="3200"/>
      <c r="M253" s="3200"/>
      <c r="N253" s="3200"/>
      <c r="O253" s="3200"/>
      <c r="P253" s="3200"/>
      <c r="Q253" s="3200"/>
      <c r="R253" s="3200"/>
      <c r="S253" s="3200"/>
      <c r="T253" s="3200"/>
      <c r="U253" s="3200"/>
      <c r="V253" s="3200"/>
      <c r="W253" s="3200"/>
      <c r="X253" s="3200"/>
      <c r="Y253" s="3200"/>
      <c r="Z253" s="3200"/>
      <c r="AA253" s="3200"/>
      <c r="AB253" s="3200"/>
      <c r="AC253" s="3174">
        <f t="shared" si="152"/>
        <v>0</v>
      </c>
      <c r="AD253" s="3212"/>
      <c r="AE253" s="3212"/>
      <c r="AF253" s="3212"/>
      <c r="AG253" s="3212"/>
      <c r="AH253" s="3212"/>
      <c r="AI253" s="3212"/>
      <c r="AJ253" s="3212"/>
      <c r="AK253" s="3212"/>
      <c r="AL253" s="3212"/>
      <c r="AM253" s="3212"/>
      <c r="AN253" s="3212"/>
      <c r="AO253" s="3212"/>
      <c r="AP253" s="3212"/>
      <c r="AQ253" s="3212"/>
      <c r="AR253" s="3212"/>
      <c r="AS253" s="3212"/>
      <c r="AT253" s="3175"/>
      <c r="AU253" s="3232"/>
      <c r="AV253" s="466">
        <f t="shared" si="153"/>
        <v>0</v>
      </c>
      <c r="AW253" s="466">
        <f t="shared" si="154"/>
        <v>0</v>
      </c>
      <c r="AX253" s="466">
        <f t="shared" si="155"/>
        <v>0</v>
      </c>
      <c r="AY253" s="385">
        <f t="shared" si="156"/>
        <v>0</v>
      </c>
      <c r="AZ253" s="3174">
        <f t="shared" si="157"/>
        <v>0</v>
      </c>
      <c r="BA253" s="3174">
        <f t="shared" si="158"/>
        <v>0</v>
      </c>
      <c r="BB253" s="3174">
        <f t="shared" si="159"/>
        <v>0</v>
      </c>
      <c r="BC253" s="3174">
        <f t="shared" si="160"/>
        <v>0</v>
      </c>
      <c r="BD253" s="3174">
        <f t="shared" si="161"/>
        <v>0</v>
      </c>
      <c r="BE253" s="3174">
        <f t="shared" si="162"/>
        <v>0</v>
      </c>
      <c r="BF253" s="3174">
        <f t="shared" si="163"/>
        <v>0</v>
      </c>
      <c r="BG253" s="3174">
        <f t="shared" si="164"/>
        <v>0</v>
      </c>
      <c r="BH253" s="3174">
        <f t="shared" si="165"/>
        <v>0</v>
      </c>
      <c r="BI253" s="3174">
        <f t="shared" si="166"/>
        <v>0</v>
      </c>
      <c r="BJ253" s="3174">
        <f t="shared" si="167"/>
        <v>0</v>
      </c>
      <c r="BK253" s="3174">
        <f t="shared" si="168"/>
        <v>0</v>
      </c>
      <c r="BL253" s="3174">
        <f t="shared" si="169"/>
        <v>0</v>
      </c>
      <c r="BM253" s="3174">
        <f t="shared" si="170"/>
        <v>0</v>
      </c>
      <c r="BN253" s="3174">
        <f t="shared" si="171"/>
        <v>0</v>
      </c>
      <c r="BO253" s="3174">
        <f t="shared" si="172"/>
        <v>0</v>
      </c>
      <c r="BP253" s="3174">
        <f t="shared" si="173"/>
        <v>0</v>
      </c>
      <c r="BQ253" s="3174">
        <f t="shared" si="174"/>
        <v>0</v>
      </c>
      <c r="BR253" s="3174">
        <f t="shared" si="175"/>
        <v>0</v>
      </c>
      <c r="BS253" s="3174">
        <f t="shared" si="176"/>
        <v>0</v>
      </c>
      <c r="BT253" s="3249">
        <f t="shared" si="177"/>
        <v>0</v>
      </c>
    </row>
    <row r="254" spans="1:72">
      <c r="A254" s="489"/>
      <c r="B254" s="356"/>
      <c r="C254" s="356"/>
      <c r="D254" s="3182"/>
      <c r="E254" s="3174">
        <f t="shared" si="149"/>
        <v>0</v>
      </c>
      <c r="F254" s="3175"/>
      <c r="G254" s="3176">
        <f t="shared" si="150"/>
        <v>0</v>
      </c>
      <c r="H254" s="3177">
        <f t="shared" si="151"/>
        <v>0</v>
      </c>
      <c r="I254" s="3200"/>
      <c r="J254" s="3200"/>
      <c r="K254" s="3200"/>
      <c r="L254" s="3200"/>
      <c r="M254" s="3200"/>
      <c r="N254" s="3200"/>
      <c r="O254" s="3200"/>
      <c r="P254" s="3200"/>
      <c r="Q254" s="3200"/>
      <c r="R254" s="3200"/>
      <c r="S254" s="3200"/>
      <c r="T254" s="3200"/>
      <c r="U254" s="3200"/>
      <c r="V254" s="3200"/>
      <c r="W254" s="3200"/>
      <c r="X254" s="3200"/>
      <c r="Y254" s="3200"/>
      <c r="Z254" s="3200"/>
      <c r="AA254" s="3200"/>
      <c r="AB254" s="3200"/>
      <c r="AC254" s="3174">
        <f t="shared" si="152"/>
        <v>0</v>
      </c>
      <c r="AD254" s="3212"/>
      <c r="AE254" s="3212"/>
      <c r="AF254" s="3212"/>
      <c r="AG254" s="3212"/>
      <c r="AH254" s="3212"/>
      <c r="AI254" s="3212"/>
      <c r="AJ254" s="3212"/>
      <c r="AK254" s="3212"/>
      <c r="AL254" s="3212"/>
      <c r="AM254" s="3212"/>
      <c r="AN254" s="3212"/>
      <c r="AO254" s="3212"/>
      <c r="AP254" s="3212"/>
      <c r="AQ254" s="3212"/>
      <c r="AR254" s="3212"/>
      <c r="AS254" s="3212"/>
      <c r="AT254" s="3175"/>
      <c r="AU254" s="3232"/>
      <c r="AV254" s="466">
        <f t="shared" si="153"/>
        <v>0</v>
      </c>
      <c r="AW254" s="466">
        <f t="shared" si="154"/>
        <v>0</v>
      </c>
      <c r="AX254" s="466">
        <f t="shared" si="155"/>
        <v>0</v>
      </c>
      <c r="AY254" s="385">
        <f t="shared" si="156"/>
        <v>0</v>
      </c>
      <c r="AZ254" s="3174">
        <f t="shared" si="157"/>
        <v>0</v>
      </c>
      <c r="BA254" s="3174">
        <f t="shared" si="158"/>
        <v>0</v>
      </c>
      <c r="BB254" s="3174">
        <f t="shared" si="159"/>
        <v>0</v>
      </c>
      <c r="BC254" s="3174">
        <f t="shared" si="160"/>
        <v>0</v>
      </c>
      <c r="BD254" s="3174">
        <f t="shared" si="161"/>
        <v>0</v>
      </c>
      <c r="BE254" s="3174">
        <f t="shared" si="162"/>
        <v>0</v>
      </c>
      <c r="BF254" s="3174">
        <f t="shared" si="163"/>
        <v>0</v>
      </c>
      <c r="BG254" s="3174">
        <f t="shared" si="164"/>
        <v>0</v>
      </c>
      <c r="BH254" s="3174">
        <f t="shared" si="165"/>
        <v>0</v>
      </c>
      <c r="BI254" s="3174">
        <f t="shared" si="166"/>
        <v>0</v>
      </c>
      <c r="BJ254" s="3174">
        <f t="shared" si="167"/>
        <v>0</v>
      </c>
      <c r="BK254" s="3174">
        <f t="shared" si="168"/>
        <v>0</v>
      </c>
      <c r="BL254" s="3174">
        <f t="shared" si="169"/>
        <v>0</v>
      </c>
      <c r="BM254" s="3174">
        <f t="shared" si="170"/>
        <v>0</v>
      </c>
      <c r="BN254" s="3174">
        <f t="shared" si="171"/>
        <v>0</v>
      </c>
      <c r="BO254" s="3174">
        <f t="shared" si="172"/>
        <v>0</v>
      </c>
      <c r="BP254" s="3174">
        <f t="shared" si="173"/>
        <v>0</v>
      </c>
      <c r="BQ254" s="3174">
        <f t="shared" si="174"/>
        <v>0</v>
      </c>
      <c r="BR254" s="3174">
        <f t="shared" si="175"/>
        <v>0</v>
      </c>
      <c r="BS254" s="3174">
        <f t="shared" si="176"/>
        <v>0</v>
      </c>
      <c r="BT254" s="3249">
        <f t="shared" si="177"/>
        <v>0</v>
      </c>
    </row>
    <row r="255" spans="1:72">
      <c r="A255" s="489"/>
      <c r="B255" s="356"/>
      <c r="C255" s="356"/>
      <c r="D255" s="3182"/>
      <c r="E255" s="3174">
        <f t="shared" si="149"/>
        <v>0</v>
      </c>
      <c r="F255" s="3175"/>
      <c r="G255" s="3176">
        <f t="shared" si="150"/>
        <v>0</v>
      </c>
      <c r="H255" s="3177">
        <f t="shared" si="151"/>
        <v>0</v>
      </c>
      <c r="I255" s="3200"/>
      <c r="J255" s="3200"/>
      <c r="K255" s="3200"/>
      <c r="L255" s="3200"/>
      <c r="M255" s="3200"/>
      <c r="N255" s="3200"/>
      <c r="O255" s="3200"/>
      <c r="P255" s="3200"/>
      <c r="Q255" s="3200"/>
      <c r="R255" s="3200"/>
      <c r="S255" s="3200"/>
      <c r="T255" s="3200"/>
      <c r="U255" s="3200"/>
      <c r="V255" s="3200"/>
      <c r="W255" s="3200"/>
      <c r="X255" s="3200"/>
      <c r="Y255" s="3200"/>
      <c r="Z255" s="3200"/>
      <c r="AA255" s="3200"/>
      <c r="AB255" s="3200"/>
      <c r="AC255" s="3174">
        <f t="shared" si="152"/>
        <v>0</v>
      </c>
      <c r="AD255" s="3212"/>
      <c r="AE255" s="3212"/>
      <c r="AF255" s="3212"/>
      <c r="AG255" s="3212"/>
      <c r="AH255" s="3212"/>
      <c r="AI255" s="3212"/>
      <c r="AJ255" s="3212"/>
      <c r="AK255" s="3212"/>
      <c r="AL255" s="3212"/>
      <c r="AM255" s="3212"/>
      <c r="AN255" s="3212"/>
      <c r="AO255" s="3212"/>
      <c r="AP255" s="3212"/>
      <c r="AQ255" s="3212"/>
      <c r="AR255" s="3212"/>
      <c r="AS255" s="3212"/>
      <c r="AT255" s="3175"/>
      <c r="AU255" s="3232"/>
      <c r="AV255" s="466">
        <f t="shared" si="153"/>
        <v>0</v>
      </c>
      <c r="AW255" s="466">
        <f t="shared" si="154"/>
        <v>0</v>
      </c>
      <c r="AX255" s="466">
        <f t="shared" si="155"/>
        <v>0</v>
      </c>
      <c r="AY255" s="385">
        <f t="shared" si="156"/>
        <v>0</v>
      </c>
      <c r="AZ255" s="3174">
        <f t="shared" si="157"/>
        <v>0</v>
      </c>
      <c r="BA255" s="3174">
        <f t="shared" si="158"/>
        <v>0</v>
      </c>
      <c r="BB255" s="3174">
        <f t="shared" si="159"/>
        <v>0</v>
      </c>
      <c r="BC255" s="3174">
        <f t="shared" si="160"/>
        <v>0</v>
      </c>
      <c r="BD255" s="3174">
        <f t="shared" si="161"/>
        <v>0</v>
      </c>
      <c r="BE255" s="3174">
        <f t="shared" si="162"/>
        <v>0</v>
      </c>
      <c r="BF255" s="3174">
        <f t="shared" si="163"/>
        <v>0</v>
      </c>
      <c r="BG255" s="3174">
        <f t="shared" si="164"/>
        <v>0</v>
      </c>
      <c r="BH255" s="3174">
        <f t="shared" si="165"/>
        <v>0</v>
      </c>
      <c r="BI255" s="3174">
        <f t="shared" si="166"/>
        <v>0</v>
      </c>
      <c r="BJ255" s="3174">
        <f t="shared" si="167"/>
        <v>0</v>
      </c>
      <c r="BK255" s="3174">
        <f t="shared" si="168"/>
        <v>0</v>
      </c>
      <c r="BL255" s="3174">
        <f t="shared" si="169"/>
        <v>0</v>
      </c>
      <c r="BM255" s="3174">
        <f t="shared" si="170"/>
        <v>0</v>
      </c>
      <c r="BN255" s="3174">
        <f t="shared" si="171"/>
        <v>0</v>
      </c>
      <c r="BO255" s="3174">
        <f t="shared" si="172"/>
        <v>0</v>
      </c>
      <c r="BP255" s="3174">
        <f t="shared" si="173"/>
        <v>0</v>
      </c>
      <c r="BQ255" s="3174">
        <f t="shared" si="174"/>
        <v>0</v>
      </c>
      <c r="BR255" s="3174">
        <f t="shared" si="175"/>
        <v>0</v>
      </c>
      <c r="BS255" s="3174">
        <f t="shared" si="176"/>
        <v>0</v>
      </c>
      <c r="BT255" s="3249">
        <f t="shared" si="177"/>
        <v>0</v>
      </c>
    </row>
    <row r="256" spans="1:72">
      <c r="A256" s="489"/>
      <c r="B256" s="356"/>
      <c r="C256" s="356"/>
      <c r="D256" s="3182"/>
      <c r="E256" s="3174">
        <f t="shared" si="149"/>
        <v>0</v>
      </c>
      <c r="F256" s="3175"/>
      <c r="G256" s="3176">
        <f t="shared" si="150"/>
        <v>0</v>
      </c>
      <c r="H256" s="3177">
        <f t="shared" si="151"/>
        <v>0</v>
      </c>
      <c r="I256" s="3200"/>
      <c r="J256" s="3200"/>
      <c r="K256" s="3200"/>
      <c r="L256" s="3200"/>
      <c r="M256" s="3200"/>
      <c r="N256" s="3200"/>
      <c r="O256" s="3200"/>
      <c r="P256" s="3200"/>
      <c r="Q256" s="3200"/>
      <c r="R256" s="3200"/>
      <c r="S256" s="3200"/>
      <c r="T256" s="3200"/>
      <c r="U256" s="3200"/>
      <c r="V256" s="3200"/>
      <c r="W256" s="3200"/>
      <c r="X256" s="3200"/>
      <c r="Y256" s="3200"/>
      <c r="Z256" s="3200"/>
      <c r="AA256" s="3200"/>
      <c r="AB256" s="3200"/>
      <c r="AC256" s="3174">
        <f t="shared" si="152"/>
        <v>0</v>
      </c>
      <c r="AD256" s="3212"/>
      <c r="AE256" s="3212"/>
      <c r="AF256" s="3212"/>
      <c r="AG256" s="3212"/>
      <c r="AH256" s="3212"/>
      <c r="AI256" s="3212"/>
      <c r="AJ256" s="3212"/>
      <c r="AK256" s="3212"/>
      <c r="AL256" s="3212"/>
      <c r="AM256" s="3212"/>
      <c r="AN256" s="3212"/>
      <c r="AO256" s="3212"/>
      <c r="AP256" s="3212"/>
      <c r="AQ256" s="3212"/>
      <c r="AR256" s="3212"/>
      <c r="AS256" s="3212"/>
      <c r="AT256" s="3175"/>
      <c r="AU256" s="3232"/>
      <c r="AV256" s="466">
        <f t="shared" si="153"/>
        <v>0</v>
      </c>
      <c r="AW256" s="466">
        <f t="shared" si="154"/>
        <v>0</v>
      </c>
      <c r="AX256" s="466">
        <f t="shared" si="155"/>
        <v>0</v>
      </c>
      <c r="AY256" s="385">
        <f t="shared" si="156"/>
        <v>0</v>
      </c>
      <c r="AZ256" s="3174">
        <f t="shared" si="157"/>
        <v>0</v>
      </c>
      <c r="BA256" s="3174">
        <f t="shared" si="158"/>
        <v>0</v>
      </c>
      <c r="BB256" s="3174">
        <f t="shared" si="159"/>
        <v>0</v>
      </c>
      <c r="BC256" s="3174">
        <f t="shared" si="160"/>
        <v>0</v>
      </c>
      <c r="BD256" s="3174">
        <f t="shared" si="161"/>
        <v>0</v>
      </c>
      <c r="BE256" s="3174">
        <f t="shared" si="162"/>
        <v>0</v>
      </c>
      <c r="BF256" s="3174">
        <f t="shared" si="163"/>
        <v>0</v>
      </c>
      <c r="BG256" s="3174">
        <f t="shared" si="164"/>
        <v>0</v>
      </c>
      <c r="BH256" s="3174">
        <f t="shared" si="165"/>
        <v>0</v>
      </c>
      <c r="BI256" s="3174">
        <f t="shared" si="166"/>
        <v>0</v>
      </c>
      <c r="BJ256" s="3174">
        <f t="shared" si="167"/>
        <v>0</v>
      </c>
      <c r="BK256" s="3174">
        <f t="shared" si="168"/>
        <v>0</v>
      </c>
      <c r="BL256" s="3174">
        <f t="shared" si="169"/>
        <v>0</v>
      </c>
      <c r="BM256" s="3174">
        <f t="shared" si="170"/>
        <v>0</v>
      </c>
      <c r="BN256" s="3174">
        <f t="shared" si="171"/>
        <v>0</v>
      </c>
      <c r="BO256" s="3174">
        <f t="shared" si="172"/>
        <v>0</v>
      </c>
      <c r="BP256" s="3174">
        <f t="shared" si="173"/>
        <v>0</v>
      </c>
      <c r="BQ256" s="3174">
        <f t="shared" si="174"/>
        <v>0</v>
      </c>
      <c r="BR256" s="3174">
        <f t="shared" si="175"/>
        <v>0</v>
      </c>
      <c r="BS256" s="3174">
        <f t="shared" si="176"/>
        <v>0</v>
      </c>
      <c r="BT256" s="3249">
        <f t="shared" si="177"/>
        <v>0</v>
      </c>
    </row>
    <row r="257" spans="1:72">
      <c r="A257" s="489"/>
      <c r="B257" s="356"/>
      <c r="C257" s="356"/>
      <c r="D257" s="3182"/>
      <c r="E257" s="3174">
        <f t="shared" si="149"/>
        <v>0</v>
      </c>
      <c r="F257" s="3175"/>
      <c r="G257" s="3176">
        <f t="shared" si="150"/>
        <v>0</v>
      </c>
      <c r="H257" s="3177">
        <f t="shared" si="151"/>
        <v>0</v>
      </c>
      <c r="I257" s="3200"/>
      <c r="J257" s="3200"/>
      <c r="K257" s="3200"/>
      <c r="L257" s="3200"/>
      <c r="M257" s="3200"/>
      <c r="N257" s="3200"/>
      <c r="O257" s="3200"/>
      <c r="P257" s="3200"/>
      <c r="Q257" s="3200"/>
      <c r="R257" s="3200"/>
      <c r="S257" s="3200"/>
      <c r="T257" s="3200"/>
      <c r="U257" s="3200"/>
      <c r="V257" s="3200"/>
      <c r="W257" s="3200"/>
      <c r="X257" s="3200"/>
      <c r="Y257" s="3200"/>
      <c r="Z257" s="3200"/>
      <c r="AA257" s="3200"/>
      <c r="AB257" s="3200"/>
      <c r="AC257" s="3174">
        <f t="shared" si="152"/>
        <v>0</v>
      </c>
      <c r="AD257" s="3212"/>
      <c r="AE257" s="3212"/>
      <c r="AF257" s="3212"/>
      <c r="AG257" s="3212"/>
      <c r="AH257" s="3212"/>
      <c r="AI257" s="3212"/>
      <c r="AJ257" s="3212"/>
      <c r="AK257" s="3212"/>
      <c r="AL257" s="3212"/>
      <c r="AM257" s="3212"/>
      <c r="AN257" s="3212"/>
      <c r="AO257" s="3212"/>
      <c r="AP257" s="3212"/>
      <c r="AQ257" s="3212"/>
      <c r="AR257" s="3212"/>
      <c r="AS257" s="3212"/>
      <c r="AT257" s="3175"/>
      <c r="AU257" s="3232"/>
      <c r="AV257" s="466">
        <f t="shared" si="153"/>
        <v>0</v>
      </c>
      <c r="AW257" s="466">
        <f t="shared" si="154"/>
        <v>0</v>
      </c>
      <c r="AX257" s="466">
        <f t="shared" si="155"/>
        <v>0</v>
      </c>
      <c r="AY257" s="385">
        <f t="shared" si="156"/>
        <v>0</v>
      </c>
      <c r="AZ257" s="3174">
        <f t="shared" si="157"/>
        <v>0</v>
      </c>
      <c r="BA257" s="3174">
        <f t="shared" si="158"/>
        <v>0</v>
      </c>
      <c r="BB257" s="3174">
        <f t="shared" si="159"/>
        <v>0</v>
      </c>
      <c r="BC257" s="3174">
        <f t="shared" si="160"/>
        <v>0</v>
      </c>
      <c r="BD257" s="3174">
        <f t="shared" si="161"/>
        <v>0</v>
      </c>
      <c r="BE257" s="3174">
        <f t="shared" si="162"/>
        <v>0</v>
      </c>
      <c r="BF257" s="3174">
        <f t="shared" si="163"/>
        <v>0</v>
      </c>
      <c r="BG257" s="3174">
        <f t="shared" si="164"/>
        <v>0</v>
      </c>
      <c r="BH257" s="3174">
        <f t="shared" si="165"/>
        <v>0</v>
      </c>
      <c r="BI257" s="3174">
        <f t="shared" si="166"/>
        <v>0</v>
      </c>
      <c r="BJ257" s="3174">
        <f t="shared" si="167"/>
        <v>0</v>
      </c>
      <c r="BK257" s="3174">
        <f t="shared" si="168"/>
        <v>0</v>
      </c>
      <c r="BL257" s="3174">
        <f t="shared" si="169"/>
        <v>0</v>
      </c>
      <c r="BM257" s="3174">
        <f t="shared" si="170"/>
        <v>0</v>
      </c>
      <c r="BN257" s="3174">
        <f t="shared" si="171"/>
        <v>0</v>
      </c>
      <c r="BO257" s="3174">
        <f t="shared" si="172"/>
        <v>0</v>
      </c>
      <c r="BP257" s="3174">
        <f t="shared" si="173"/>
        <v>0</v>
      </c>
      <c r="BQ257" s="3174">
        <f t="shared" si="174"/>
        <v>0</v>
      </c>
      <c r="BR257" s="3174">
        <f t="shared" si="175"/>
        <v>0</v>
      </c>
      <c r="BS257" s="3174">
        <f t="shared" si="176"/>
        <v>0</v>
      </c>
      <c r="BT257" s="3249">
        <f t="shared" si="177"/>
        <v>0</v>
      </c>
    </row>
    <row r="258" spans="1:72">
      <c r="A258" s="489"/>
      <c r="B258" s="356"/>
      <c r="C258" s="356"/>
      <c r="D258" s="3182"/>
      <c r="E258" s="3174">
        <f t="shared" si="149"/>
        <v>0</v>
      </c>
      <c r="F258" s="3175"/>
      <c r="G258" s="3176">
        <f t="shared" si="150"/>
        <v>0</v>
      </c>
      <c r="H258" s="3177">
        <f t="shared" si="151"/>
        <v>0</v>
      </c>
      <c r="I258" s="3200"/>
      <c r="J258" s="3200"/>
      <c r="K258" s="3200"/>
      <c r="L258" s="3200"/>
      <c r="M258" s="3200"/>
      <c r="N258" s="3200"/>
      <c r="O258" s="3200"/>
      <c r="P258" s="3200"/>
      <c r="Q258" s="3200"/>
      <c r="R258" s="3200"/>
      <c r="S258" s="3200"/>
      <c r="T258" s="3200"/>
      <c r="U258" s="3200"/>
      <c r="V258" s="3200"/>
      <c r="W258" s="3200"/>
      <c r="X258" s="3200"/>
      <c r="Y258" s="3200"/>
      <c r="Z258" s="3200"/>
      <c r="AA258" s="3200"/>
      <c r="AB258" s="3200"/>
      <c r="AC258" s="3174">
        <f t="shared" si="152"/>
        <v>0</v>
      </c>
      <c r="AD258" s="3212"/>
      <c r="AE258" s="3212"/>
      <c r="AF258" s="3212"/>
      <c r="AG258" s="3212"/>
      <c r="AH258" s="3212"/>
      <c r="AI258" s="3212"/>
      <c r="AJ258" s="3212"/>
      <c r="AK258" s="3212"/>
      <c r="AL258" s="3212"/>
      <c r="AM258" s="3212"/>
      <c r="AN258" s="3212"/>
      <c r="AO258" s="3212"/>
      <c r="AP258" s="3212"/>
      <c r="AQ258" s="3212"/>
      <c r="AR258" s="3212"/>
      <c r="AS258" s="3212"/>
      <c r="AT258" s="3175"/>
      <c r="AU258" s="3232"/>
      <c r="AV258" s="466">
        <f t="shared" si="153"/>
        <v>0</v>
      </c>
      <c r="AW258" s="466">
        <f t="shared" si="154"/>
        <v>0</v>
      </c>
      <c r="AX258" s="466">
        <f t="shared" si="155"/>
        <v>0</v>
      </c>
      <c r="AY258" s="385">
        <f t="shared" si="156"/>
        <v>0</v>
      </c>
      <c r="AZ258" s="3174">
        <f t="shared" si="157"/>
        <v>0</v>
      </c>
      <c r="BA258" s="3174">
        <f t="shared" si="158"/>
        <v>0</v>
      </c>
      <c r="BB258" s="3174">
        <f t="shared" si="159"/>
        <v>0</v>
      </c>
      <c r="BC258" s="3174">
        <f t="shared" si="160"/>
        <v>0</v>
      </c>
      <c r="BD258" s="3174">
        <f t="shared" si="161"/>
        <v>0</v>
      </c>
      <c r="BE258" s="3174">
        <f t="shared" si="162"/>
        <v>0</v>
      </c>
      <c r="BF258" s="3174">
        <f t="shared" si="163"/>
        <v>0</v>
      </c>
      <c r="BG258" s="3174">
        <f t="shared" si="164"/>
        <v>0</v>
      </c>
      <c r="BH258" s="3174">
        <f t="shared" si="165"/>
        <v>0</v>
      </c>
      <c r="BI258" s="3174">
        <f t="shared" si="166"/>
        <v>0</v>
      </c>
      <c r="BJ258" s="3174">
        <f t="shared" si="167"/>
        <v>0</v>
      </c>
      <c r="BK258" s="3174">
        <f t="shared" si="168"/>
        <v>0</v>
      </c>
      <c r="BL258" s="3174">
        <f t="shared" si="169"/>
        <v>0</v>
      </c>
      <c r="BM258" s="3174">
        <f t="shared" si="170"/>
        <v>0</v>
      </c>
      <c r="BN258" s="3174">
        <f t="shared" si="171"/>
        <v>0</v>
      </c>
      <c r="BO258" s="3174">
        <f t="shared" si="172"/>
        <v>0</v>
      </c>
      <c r="BP258" s="3174">
        <f t="shared" si="173"/>
        <v>0</v>
      </c>
      <c r="BQ258" s="3174">
        <f t="shared" si="174"/>
        <v>0</v>
      </c>
      <c r="BR258" s="3174">
        <f t="shared" si="175"/>
        <v>0</v>
      </c>
      <c r="BS258" s="3174">
        <f t="shared" si="176"/>
        <v>0</v>
      </c>
      <c r="BT258" s="3249">
        <f t="shared" si="177"/>
        <v>0</v>
      </c>
    </row>
    <row r="259" spans="1:72">
      <c r="A259" s="489"/>
      <c r="B259" s="356"/>
      <c r="C259" s="356"/>
      <c r="D259" s="3182"/>
      <c r="E259" s="3174">
        <f t="shared" si="149"/>
        <v>0</v>
      </c>
      <c r="F259" s="3175"/>
      <c r="G259" s="3176">
        <f t="shared" si="150"/>
        <v>0</v>
      </c>
      <c r="H259" s="3177">
        <f t="shared" si="151"/>
        <v>0</v>
      </c>
      <c r="I259" s="3200"/>
      <c r="J259" s="3200"/>
      <c r="K259" s="3200"/>
      <c r="L259" s="3200"/>
      <c r="M259" s="3200"/>
      <c r="N259" s="3200"/>
      <c r="O259" s="3200"/>
      <c r="P259" s="3200"/>
      <c r="Q259" s="3200"/>
      <c r="R259" s="3200"/>
      <c r="S259" s="3200"/>
      <c r="T259" s="3200"/>
      <c r="U259" s="3200"/>
      <c r="V259" s="3200"/>
      <c r="W259" s="3200"/>
      <c r="X259" s="3200"/>
      <c r="Y259" s="3200"/>
      <c r="Z259" s="3200"/>
      <c r="AA259" s="3200"/>
      <c r="AB259" s="3200"/>
      <c r="AC259" s="3174">
        <f t="shared" si="152"/>
        <v>0</v>
      </c>
      <c r="AD259" s="3212"/>
      <c r="AE259" s="3212"/>
      <c r="AF259" s="3212"/>
      <c r="AG259" s="3212"/>
      <c r="AH259" s="3212"/>
      <c r="AI259" s="3212"/>
      <c r="AJ259" s="3212"/>
      <c r="AK259" s="3212"/>
      <c r="AL259" s="3212"/>
      <c r="AM259" s="3212"/>
      <c r="AN259" s="3212"/>
      <c r="AO259" s="3212"/>
      <c r="AP259" s="3212"/>
      <c r="AQ259" s="3212"/>
      <c r="AR259" s="3212"/>
      <c r="AS259" s="3212"/>
      <c r="AT259" s="3175"/>
      <c r="AU259" s="3232"/>
      <c r="AV259" s="466">
        <f t="shared" si="153"/>
        <v>0</v>
      </c>
      <c r="AW259" s="466">
        <f t="shared" si="154"/>
        <v>0</v>
      </c>
      <c r="AX259" s="466">
        <f t="shared" si="155"/>
        <v>0</v>
      </c>
      <c r="AY259" s="385">
        <f t="shared" si="156"/>
        <v>0</v>
      </c>
      <c r="AZ259" s="3174">
        <f t="shared" si="157"/>
        <v>0</v>
      </c>
      <c r="BA259" s="3174">
        <f t="shared" si="158"/>
        <v>0</v>
      </c>
      <c r="BB259" s="3174">
        <f t="shared" si="159"/>
        <v>0</v>
      </c>
      <c r="BC259" s="3174">
        <f t="shared" si="160"/>
        <v>0</v>
      </c>
      <c r="BD259" s="3174">
        <f t="shared" si="161"/>
        <v>0</v>
      </c>
      <c r="BE259" s="3174">
        <f t="shared" si="162"/>
        <v>0</v>
      </c>
      <c r="BF259" s="3174">
        <f t="shared" si="163"/>
        <v>0</v>
      </c>
      <c r="BG259" s="3174">
        <f t="shared" si="164"/>
        <v>0</v>
      </c>
      <c r="BH259" s="3174">
        <f t="shared" si="165"/>
        <v>0</v>
      </c>
      <c r="BI259" s="3174">
        <f t="shared" si="166"/>
        <v>0</v>
      </c>
      <c r="BJ259" s="3174">
        <f t="shared" si="167"/>
        <v>0</v>
      </c>
      <c r="BK259" s="3174">
        <f t="shared" si="168"/>
        <v>0</v>
      </c>
      <c r="BL259" s="3174">
        <f t="shared" si="169"/>
        <v>0</v>
      </c>
      <c r="BM259" s="3174">
        <f t="shared" si="170"/>
        <v>0</v>
      </c>
      <c r="BN259" s="3174">
        <f t="shared" si="171"/>
        <v>0</v>
      </c>
      <c r="BO259" s="3174">
        <f t="shared" si="172"/>
        <v>0</v>
      </c>
      <c r="BP259" s="3174">
        <f t="shared" si="173"/>
        <v>0</v>
      </c>
      <c r="BQ259" s="3174">
        <f t="shared" si="174"/>
        <v>0</v>
      </c>
      <c r="BR259" s="3174">
        <f t="shared" si="175"/>
        <v>0</v>
      </c>
      <c r="BS259" s="3174">
        <f t="shared" si="176"/>
        <v>0</v>
      </c>
      <c r="BT259" s="3249">
        <f t="shared" si="177"/>
        <v>0</v>
      </c>
    </row>
    <row r="260" spans="1:72">
      <c r="A260" s="489"/>
      <c r="B260" s="356"/>
      <c r="C260" s="356"/>
      <c r="D260" s="3182"/>
      <c r="E260" s="3174">
        <f t="shared" si="149"/>
        <v>0</v>
      </c>
      <c r="F260" s="3175"/>
      <c r="G260" s="3176">
        <f t="shared" si="150"/>
        <v>0</v>
      </c>
      <c r="H260" s="3177">
        <f t="shared" si="151"/>
        <v>0</v>
      </c>
      <c r="I260" s="3200"/>
      <c r="J260" s="3200"/>
      <c r="K260" s="3200"/>
      <c r="L260" s="3200"/>
      <c r="M260" s="3200"/>
      <c r="N260" s="3200"/>
      <c r="O260" s="3200"/>
      <c r="P260" s="3200"/>
      <c r="Q260" s="3200"/>
      <c r="R260" s="3200"/>
      <c r="S260" s="3200"/>
      <c r="T260" s="3200"/>
      <c r="U260" s="3200"/>
      <c r="V260" s="3200"/>
      <c r="W260" s="3200"/>
      <c r="X260" s="3200"/>
      <c r="Y260" s="3200"/>
      <c r="Z260" s="3200"/>
      <c r="AA260" s="3200"/>
      <c r="AB260" s="3200"/>
      <c r="AC260" s="3174">
        <f t="shared" si="152"/>
        <v>0</v>
      </c>
      <c r="AD260" s="3212"/>
      <c r="AE260" s="3212"/>
      <c r="AF260" s="3212"/>
      <c r="AG260" s="3212"/>
      <c r="AH260" s="3212"/>
      <c r="AI260" s="3212"/>
      <c r="AJ260" s="3212"/>
      <c r="AK260" s="3212"/>
      <c r="AL260" s="3212"/>
      <c r="AM260" s="3212"/>
      <c r="AN260" s="3212"/>
      <c r="AO260" s="3212"/>
      <c r="AP260" s="3212"/>
      <c r="AQ260" s="3212"/>
      <c r="AR260" s="3212"/>
      <c r="AS260" s="3212"/>
      <c r="AT260" s="3175"/>
      <c r="AU260" s="3232"/>
      <c r="AV260" s="466">
        <f t="shared" si="153"/>
        <v>0</v>
      </c>
      <c r="AW260" s="466">
        <f t="shared" si="154"/>
        <v>0</v>
      </c>
      <c r="AX260" s="466">
        <f t="shared" si="155"/>
        <v>0</v>
      </c>
      <c r="AY260" s="385">
        <f t="shared" si="156"/>
        <v>0</v>
      </c>
      <c r="AZ260" s="3174">
        <f t="shared" si="157"/>
        <v>0</v>
      </c>
      <c r="BA260" s="3174">
        <f t="shared" si="158"/>
        <v>0</v>
      </c>
      <c r="BB260" s="3174">
        <f t="shared" si="159"/>
        <v>0</v>
      </c>
      <c r="BC260" s="3174">
        <f t="shared" si="160"/>
        <v>0</v>
      </c>
      <c r="BD260" s="3174">
        <f t="shared" si="161"/>
        <v>0</v>
      </c>
      <c r="BE260" s="3174">
        <f t="shared" si="162"/>
        <v>0</v>
      </c>
      <c r="BF260" s="3174">
        <f t="shared" si="163"/>
        <v>0</v>
      </c>
      <c r="BG260" s="3174">
        <f t="shared" si="164"/>
        <v>0</v>
      </c>
      <c r="BH260" s="3174">
        <f t="shared" si="165"/>
        <v>0</v>
      </c>
      <c r="BI260" s="3174">
        <f t="shared" si="166"/>
        <v>0</v>
      </c>
      <c r="BJ260" s="3174">
        <f t="shared" si="167"/>
        <v>0</v>
      </c>
      <c r="BK260" s="3174">
        <f t="shared" si="168"/>
        <v>0</v>
      </c>
      <c r="BL260" s="3174">
        <f t="shared" si="169"/>
        <v>0</v>
      </c>
      <c r="BM260" s="3174">
        <f t="shared" si="170"/>
        <v>0</v>
      </c>
      <c r="BN260" s="3174">
        <f t="shared" si="171"/>
        <v>0</v>
      </c>
      <c r="BO260" s="3174">
        <f t="shared" si="172"/>
        <v>0</v>
      </c>
      <c r="BP260" s="3174">
        <f t="shared" si="173"/>
        <v>0</v>
      </c>
      <c r="BQ260" s="3174">
        <f t="shared" si="174"/>
        <v>0</v>
      </c>
      <c r="BR260" s="3174">
        <f t="shared" si="175"/>
        <v>0</v>
      </c>
      <c r="BS260" s="3174">
        <f t="shared" si="176"/>
        <v>0</v>
      </c>
      <c r="BT260" s="3249">
        <f t="shared" si="177"/>
        <v>0</v>
      </c>
    </row>
    <row r="261" spans="1:72">
      <c r="A261" s="489"/>
      <c r="B261" s="356"/>
      <c r="C261" s="356"/>
      <c r="D261" s="3182"/>
      <c r="E261" s="3174">
        <f t="shared" si="149"/>
        <v>0</v>
      </c>
      <c r="F261" s="3175"/>
      <c r="G261" s="3176">
        <f t="shared" si="150"/>
        <v>0</v>
      </c>
      <c r="H261" s="3177">
        <f t="shared" si="151"/>
        <v>0</v>
      </c>
      <c r="I261" s="3200"/>
      <c r="J261" s="3200"/>
      <c r="K261" s="3200"/>
      <c r="L261" s="3200"/>
      <c r="M261" s="3200"/>
      <c r="N261" s="3200"/>
      <c r="O261" s="3200"/>
      <c r="P261" s="3200"/>
      <c r="Q261" s="3200"/>
      <c r="R261" s="3200"/>
      <c r="S261" s="3200"/>
      <c r="T261" s="3200"/>
      <c r="U261" s="3200"/>
      <c r="V261" s="3200"/>
      <c r="W261" s="3200"/>
      <c r="X261" s="3200"/>
      <c r="Y261" s="3200"/>
      <c r="Z261" s="3200"/>
      <c r="AA261" s="3200"/>
      <c r="AB261" s="3200"/>
      <c r="AC261" s="3174">
        <f t="shared" si="152"/>
        <v>0</v>
      </c>
      <c r="AD261" s="3212"/>
      <c r="AE261" s="3212"/>
      <c r="AF261" s="3212"/>
      <c r="AG261" s="3212"/>
      <c r="AH261" s="3212"/>
      <c r="AI261" s="3212"/>
      <c r="AJ261" s="3212"/>
      <c r="AK261" s="3212"/>
      <c r="AL261" s="3212"/>
      <c r="AM261" s="3212"/>
      <c r="AN261" s="3212"/>
      <c r="AO261" s="3212"/>
      <c r="AP261" s="3212"/>
      <c r="AQ261" s="3212"/>
      <c r="AR261" s="3212"/>
      <c r="AS261" s="3212"/>
      <c r="AT261" s="3175"/>
      <c r="AU261" s="3232"/>
      <c r="AV261" s="466">
        <f t="shared" si="153"/>
        <v>0</v>
      </c>
      <c r="AW261" s="466">
        <f t="shared" si="154"/>
        <v>0</v>
      </c>
      <c r="AX261" s="466">
        <f t="shared" si="155"/>
        <v>0</v>
      </c>
      <c r="AY261" s="385">
        <f t="shared" si="156"/>
        <v>0</v>
      </c>
      <c r="AZ261" s="3174">
        <f t="shared" si="157"/>
        <v>0</v>
      </c>
      <c r="BA261" s="3174">
        <f t="shared" si="158"/>
        <v>0</v>
      </c>
      <c r="BB261" s="3174">
        <f t="shared" si="159"/>
        <v>0</v>
      </c>
      <c r="BC261" s="3174">
        <f t="shared" si="160"/>
        <v>0</v>
      </c>
      <c r="BD261" s="3174">
        <f t="shared" si="161"/>
        <v>0</v>
      </c>
      <c r="BE261" s="3174">
        <f t="shared" si="162"/>
        <v>0</v>
      </c>
      <c r="BF261" s="3174">
        <f t="shared" si="163"/>
        <v>0</v>
      </c>
      <c r="BG261" s="3174">
        <f t="shared" si="164"/>
        <v>0</v>
      </c>
      <c r="BH261" s="3174">
        <f t="shared" si="165"/>
        <v>0</v>
      </c>
      <c r="BI261" s="3174">
        <f t="shared" si="166"/>
        <v>0</v>
      </c>
      <c r="BJ261" s="3174">
        <f t="shared" si="167"/>
        <v>0</v>
      </c>
      <c r="BK261" s="3174">
        <f t="shared" si="168"/>
        <v>0</v>
      </c>
      <c r="BL261" s="3174">
        <f t="shared" si="169"/>
        <v>0</v>
      </c>
      <c r="BM261" s="3174">
        <f t="shared" si="170"/>
        <v>0</v>
      </c>
      <c r="BN261" s="3174">
        <f t="shared" si="171"/>
        <v>0</v>
      </c>
      <c r="BO261" s="3174">
        <f t="shared" si="172"/>
        <v>0</v>
      </c>
      <c r="BP261" s="3174">
        <f t="shared" si="173"/>
        <v>0</v>
      </c>
      <c r="BQ261" s="3174">
        <f t="shared" si="174"/>
        <v>0</v>
      </c>
      <c r="BR261" s="3174">
        <f t="shared" si="175"/>
        <v>0</v>
      </c>
      <c r="BS261" s="3174">
        <f t="shared" si="176"/>
        <v>0</v>
      </c>
      <c r="BT261" s="3249">
        <f t="shared" si="177"/>
        <v>0</v>
      </c>
    </row>
    <row r="262" spans="1:72">
      <c r="A262" s="489"/>
      <c r="B262" s="356"/>
      <c r="C262" s="356"/>
      <c r="D262" s="3182"/>
      <c r="E262" s="3174">
        <f t="shared" si="149"/>
        <v>0</v>
      </c>
      <c r="F262" s="3175"/>
      <c r="G262" s="3176">
        <f t="shared" si="150"/>
        <v>0</v>
      </c>
      <c r="H262" s="3177">
        <f t="shared" si="151"/>
        <v>0</v>
      </c>
      <c r="I262" s="3200"/>
      <c r="J262" s="3200"/>
      <c r="K262" s="3200"/>
      <c r="L262" s="3200"/>
      <c r="M262" s="3200"/>
      <c r="N262" s="3200"/>
      <c r="O262" s="3200"/>
      <c r="P262" s="3200"/>
      <c r="Q262" s="3200"/>
      <c r="R262" s="3200"/>
      <c r="S262" s="3200"/>
      <c r="T262" s="3200"/>
      <c r="U262" s="3200"/>
      <c r="V262" s="3200"/>
      <c r="W262" s="3200"/>
      <c r="X262" s="3200"/>
      <c r="Y262" s="3200"/>
      <c r="Z262" s="3200"/>
      <c r="AA262" s="3200"/>
      <c r="AB262" s="3200"/>
      <c r="AC262" s="3174">
        <f t="shared" si="152"/>
        <v>0</v>
      </c>
      <c r="AD262" s="3212"/>
      <c r="AE262" s="3212"/>
      <c r="AF262" s="3212"/>
      <c r="AG262" s="3212"/>
      <c r="AH262" s="3212"/>
      <c r="AI262" s="3212"/>
      <c r="AJ262" s="3212"/>
      <c r="AK262" s="3212"/>
      <c r="AL262" s="3212"/>
      <c r="AM262" s="3212"/>
      <c r="AN262" s="3212"/>
      <c r="AO262" s="3212"/>
      <c r="AP262" s="3212"/>
      <c r="AQ262" s="3212"/>
      <c r="AR262" s="3212"/>
      <c r="AS262" s="3212"/>
      <c r="AT262" s="3175"/>
      <c r="AU262" s="3232"/>
      <c r="AV262" s="466">
        <f t="shared" si="153"/>
        <v>0</v>
      </c>
      <c r="AW262" s="466">
        <f t="shared" si="154"/>
        <v>0</v>
      </c>
      <c r="AX262" s="466">
        <f t="shared" si="155"/>
        <v>0</v>
      </c>
      <c r="AY262" s="385">
        <f t="shared" si="156"/>
        <v>0</v>
      </c>
      <c r="AZ262" s="3174">
        <f t="shared" si="157"/>
        <v>0</v>
      </c>
      <c r="BA262" s="3174">
        <f t="shared" si="158"/>
        <v>0</v>
      </c>
      <c r="BB262" s="3174">
        <f t="shared" si="159"/>
        <v>0</v>
      </c>
      <c r="BC262" s="3174">
        <f t="shared" si="160"/>
        <v>0</v>
      </c>
      <c r="BD262" s="3174">
        <f t="shared" si="161"/>
        <v>0</v>
      </c>
      <c r="BE262" s="3174">
        <f t="shared" si="162"/>
        <v>0</v>
      </c>
      <c r="BF262" s="3174">
        <f t="shared" si="163"/>
        <v>0</v>
      </c>
      <c r="BG262" s="3174">
        <f t="shared" si="164"/>
        <v>0</v>
      </c>
      <c r="BH262" s="3174">
        <f t="shared" si="165"/>
        <v>0</v>
      </c>
      <c r="BI262" s="3174">
        <f t="shared" si="166"/>
        <v>0</v>
      </c>
      <c r="BJ262" s="3174">
        <f t="shared" si="167"/>
        <v>0</v>
      </c>
      <c r="BK262" s="3174">
        <f t="shared" si="168"/>
        <v>0</v>
      </c>
      <c r="BL262" s="3174">
        <f t="shared" si="169"/>
        <v>0</v>
      </c>
      <c r="BM262" s="3174">
        <f t="shared" si="170"/>
        <v>0</v>
      </c>
      <c r="BN262" s="3174">
        <f t="shared" si="171"/>
        <v>0</v>
      </c>
      <c r="BO262" s="3174">
        <f t="shared" si="172"/>
        <v>0</v>
      </c>
      <c r="BP262" s="3174">
        <f t="shared" si="173"/>
        <v>0</v>
      </c>
      <c r="BQ262" s="3174">
        <f t="shared" si="174"/>
        <v>0</v>
      </c>
      <c r="BR262" s="3174">
        <f t="shared" si="175"/>
        <v>0</v>
      </c>
      <c r="BS262" s="3174">
        <f t="shared" si="176"/>
        <v>0</v>
      </c>
      <c r="BT262" s="3249">
        <f t="shared" si="177"/>
        <v>0</v>
      </c>
    </row>
    <row r="263" spans="1:72">
      <c r="A263" s="489"/>
      <c r="B263" s="356"/>
      <c r="C263" s="356"/>
      <c r="D263" s="3182"/>
      <c r="E263" s="3174">
        <f t="shared" si="149"/>
        <v>0</v>
      </c>
      <c r="F263" s="3175"/>
      <c r="G263" s="3176">
        <f t="shared" si="150"/>
        <v>0</v>
      </c>
      <c r="H263" s="3177">
        <f t="shared" si="151"/>
        <v>0</v>
      </c>
      <c r="I263" s="3200"/>
      <c r="J263" s="3200"/>
      <c r="K263" s="3200"/>
      <c r="L263" s="3200"/>
      <c r="M263" s="3200"/>
      <c r="N263" s="3200"/>
      <c r="O263" s="3200"/>
      <c r="P263" s="3200"/>
      <c r="Q263" s="3200"/>
      <c r="R263" s="3200"/>
      <c r="S263" s="3200"/>
      <c r="T263" s="3200"/>
      <c r="U263" s="3200"/>
      <c r="V263" s="3200"/>
      <c r="W263" s="3200"/>
      <c r="X263" s="3200"/>
      <c r="Y263" s="3200"/>
      <c r="Z263" s="3200"/>
      <c r="AA263" s="3200"/>
      <c r="AB263" s="3200"/>
      <c r="AC263" s="3174">
        <f t="shared" si="152"/>
        <v>0</v>
      </c>
      <c r="AD263" s="3212"/>
      <c r="AE263" s="3212"/>
      <c r="AF263" s="3212"/>
      <c r="AG263" s="3212"/>
      <c r="AH263" s="3212"/>
      <c r="AI263" s="3212"/>
      <c r="AJ263" s="3212"/>
      <c r="AK263" s="3212"/>
      <c r="AL263" s="3212"/>
      <c r="AM263" s="3212"/>
      <c r="AN263" s="3212"/>
      <c r="AO263" s="3212"/>
      <c r="AP263" s="3212"/>
      <c r="AQ263" s="3212"/>
      <c r="AR263" s="3212"/>
      <c r="AS263" s="3212"/>
      <c r="AT263" s="3175"/>
      <c r="AU263" s="3232"/>
      <c r="AV263" s="466">
        <f t="shared" si="153"/>
        <v>0</v>
      </c>
      <c r="AW263" s="466">
        <f t="shared" si="154"/>
        <v>0</v>
      </c>
      <c r="AX263" s="466">
        <f t="shared" si="155"/>
        <v>0</v>
      </c>
      <c r="AY263" s="385">
        <f t="shared" si="156"/>
        <v>0</v>
      </c>
      <c r="AZ263" s="3174">
        <f t="shared" si="157"/>
        <v>0</v>
      </c>
      <c r="BA263" s="3174">
        <f t="shared" si="158"/>
        <v>0</v>
      </c>
      <c r="BB263" s="3174">
        <f t="shared" si="159"/>
        <v>0</v>
      </c>
      <c r="BC263" s="3174">
        <f t="shared" si="160"/>
        <v>0</v>
      </c>
      <c r="BD263" s="3174">
        <f t="shared" si="161"/>
        <v>0</v>
      </c>
      <c r="BE263" s="3174">
        <f t="shared" si="162"/>
        <v>0</v>
      </c>
      <c r="BF263" s="3174">
        <f t="shared" si="163"/>
        <v>0</v>
      </c>
      <c r="BG263" s="3174">
        <f t="shared" si="164"/>
        <v>0</v>
      </c>
      <c r="BH263" s="3174">
        <f t="shared" si="165"/>
        <v>0</v>
      </c>
      <c r="BI263" s="3174">
        <f t="shared" si="166"/>
        <v>0</v>
      </c>
      <c r="BJ263" s="3174">
        <f t="shared" si="167"/>
        <v>0</v>
      </c>
      <c r="BK263" s="3174">
        <f t="shared" si="168"/>
        <v>0</v>
      </c>
      <c r="BL263" s="3174">
        <f t="shared" si="169"/>
        <v>0</v>
      </c>
      <c r="BM263" s="3174">
        <f t="shared" si="170"/>
        <v>0</v>
      </c>
      <c r="BN263" s="3174">
        <f t="shared" si="171"/>
        <v>0</v>
      </c>
      <c r="BO263" s="3174">
        <f t="shared" si="172"/>
        <v>0</v>
      </c>
      <c r="BP263" s="3174">
        <f t="shared" si="173"/>
        <v>0</v>
      </c>
      <c r="BQ263" s="3174">
        <f t="shared" si="174"/>
        <v>0</v>
      </c>
      <c r="BR263" s="3174">
        <f t="shared" si="175"/>
        <v>0</v>
      </c>
      <c r="BS263" s="3174">
        <f t="shared" si="176"/>
        <v>0</v>
      </c>
      <c r="BT263" s="3249">
        <f t="shared" si="177"/>
        <v>0</v>
      </c>
    </row>
    <row r="264" spans="1:72">
      <c r="A264" s="489"/>
      <c r="B264" s="356"/>
      <c r="C264" s="356"/>
      <c r="D264" s="3182"/>
      <c r="E264" s="3174">
        <f t="shared" si="149"/>
        <v>0</v>
      </c>
      <c r="F264" s="3175"/>
      <c r="G264" s="3176">
        <f t="shared" si="150"/>
        <v>0</v>
      </c>
      <c r="H264" s="3177">
        <f t="shared" si="151"/>
        <v>0</v>
      </c>
      <c r="I264" s="3200"/>
      <c r="J264" s="3200"/>
      <c r="K264" s="3200"/>
      <c r="L264" s="3200"/>
      <c r="M264" s="3200"/>
      <c r="N264" s="3200"/>
      <c r="O264" s="3200"/>
      <c r="P264" s="3200"/>
      <c r="Q264" s="3200"/>
      <c r="R264" s="3200"/>
      <c r="S264" s="3200"/>
      <c r="T264" s="3200"/>
      <c r="U264" s="3200"/>
      <c r="V264" s="3200"/>
      <c r="W264" s="3200"/>
      <c r="X264" s="3200"/>
      <c r="Y264" s="3200"/>
      <c r="Z264" s="3200"/>
      <c r="AA264" s="3200"/>
      <c r="AB264" s="3200"/>
      <c r="AC264" s="3174">
        <f t="shared" si="152"/>
        <v>0</v>
      </c>
      <c r="AD264" s="3212"/>
      <c r="AE264" s="3212"/>
      <c r="AF264" s="3212"/>
      <c r="AG264" s="3212"/>
      <c r="AH264" s="3212"/>
      <c r="AI264" s="3212"/>
      <c r="AJ264" s="3212"/>
      <c r="AK264" s="3212"/>
      <c r="AL264" s="3212"/>
      <c r="AM264" s="3212"/>
      <c r="AN264" s="3212"/>
      <c r="AO264" s="3212"/>
      <c r="AP264" s="3212"/>
      <c r="AQ264" s="3212"/>
      <c r="AR264" s="3212"/>
      <c r="AS264" s="3212"/>
      <c r="AT264" s="3175"/>
      <c r="AU264" s="3232"/>
      <c r="AV264" s="466">
        <f t="shared" si="153"/>
        <v>0</v>
      </c>
      <c r="AW264" s="466">
        <f t="shared" si="154"/>
        <v>0</v>
      </c>
      <c r="AX264" s="466">
        <f t="shared" si="155"/>
        <v>0</v>
      </c>
      <c r="AY264" s="385">
        <f t="shared" si="156"/>
        <v>0</v>
      </c>
      <c r="AZ264" s="3174">
        <f t="shared" si="157"/>
        <v>0</v>
      </c>
      <c r="BA264" s="3174">
        <f t="shared" si="158"/>
        <v>0</v>
      </c>
      <c r="BB264" s="3174">
        <f t="shared" si="159"/>
        <v>0</v>
      </c>
      <c r="BC264" s="3174">
        <f t="shared" si="160"/>
        <v>0</v>
      </c>
      <c r="BD264" s="3174">
        <f t="shared" si="161"/>
        <v>0</v>
      </c>
      <c r="BE264" s="3174">
        <f t="shared" si="162"/>
        <v>0</v>
      </c>
      <c r="BF264" s="3174">
        <f t="shared" si="163"/>
        <v>0</v>
      </c>
      <c r="BG264" s="3174">
        <f t="shared" si="164"/>
        <v>0</v>
      </c>
      <c r="BH264" s="3174">
        <f t="shared" si="165"/>
        <v>0</v>
      </c>
      <c r="BI264" s="3174">
        <f t="shared" si="166"/>
        <v>0</v>
      </c>
      <c r="BJ264" s="3174">
        <f t="shared" si="167"/>
        <v>0</v>
      </c>
      <c r="BK264" s="3174">
        <f t="shared" si="168"/>
        <v>0</v>
      </c>
      <c r="BL264" s="3174">
        <f t="shared" si="169"/>
        <v>0</v>
      </c>
      <c r="BM264" s="3174">
        <f t="shared" si="170"/>
        <v>0</v>
      </c>
      <c r="BN264" s="3174">
        <f t="shared" si="171"/>
        <v>0</v>
      </c>
      <c r="BO264" s="3174">
        <f t="shared" si="172"/>
        <v>0</v>
      </c>
      <c r="BP264" s="3174">
        <f t="shared" si="173"/>
        <v>0</v>
      </c>
      <c r="BQ264" s="3174">
        <f t="shared" si="174"/>
        <v>0</v>
      </c>
      <c r="BR264" s="3174">
        <f t="shared" si="175"/>
        <v>0</v>
      </c>
      <c r="BS264" s="3174">
        <f t="shared" si="176"/>
        <v>0</v>
      </c>
      <c r="BT264" s="3249">
        <f t="shared" si="177"/>
        <v>0</v>
      </c>
    </row>
    <row r="265" spans="1:72">
      <c r="A265" s="489"/>
      <c r="B265" s="356"/>
      <c r="C265" s="356"/>
      <c r="D265" s="3182"/>
      <c r="E265" s="3174">
        <f t="shared" si="149"/>
        <v>0</v>
      </c>
      <c r="F265" s="3175"/>
      <c r="G265" s="3176">
        <f t="shared" si="150"/>
        <v>0</v>
      </c>
      <c r="H265" s="3177">
        <f t="shared" si="151"/>
        <v>0</v>
      </c>
      <c r="I265" s="3200"/>
      <c r="J265" s="3200"/>
      <c r="K265" s="3200"/>
      <c r="L265" s="3200"/>
      <c r="M265" s="3200"/>
      <c r="N265" s="3200"/>
      <c r="O265" s="3200"/>
      <c r="P265" s="3200"/>
      <c r="Q265" s="3200"/>
      <c r="R265" s="3200"/>
      <c r="S265" s="3200"/>
      <c r="T265" s="3200"/>
      <c r="U265" s="3200"/>
      <c r="V265" s="3200"/>
      <c r="W265" s="3200"/>
      <c r="X265" s="3200"/>
      <c r="Y265" s="3200"/>
      <c r="Z265" s="3200"/>
      <c r="AA265" s="3200"/>
      <c r="AB265" s="3200"/>
      <c r="AC265" s="3174">
        <f t="shared" si="152"/>
        <v>0</v>
      </c>
      <c r="AD265" s="3212"/>
      <c r="AE265" s="3212"/>
      <c r="AF265" s="3212"/>
      <c r="AG265" s="3212"/>
      <c r="AH265" s="3212"/>
      <c r="AI265" s="3212"/>
      <c r="AJ265" s="3212"/>
      <c r="AK265" s="3212"/>
      <c r="AL265" s="3212"/>
      <c r="AM265" s="3212"/>
      <c r="AN265" s="3212"/>
      <c r="AO265" s="3212"/>
      <c r="AP265" s="3212"/>
      <c r="AQ265" s="3212"/>
      <c r="AR265" s="3212"/>
      <c r="AS265" s="3212"/>
      <c r="AT265" s="3175"/>
      <c r="AU265" s="3232"/>
      <c r="AV265" s="466">
        <f t="shared" si="153"/>
        <v>0</v>
      </c>
      <c r="AW265" s="466">
        <f t="shared" si="154"/>
        <v>0</v>
      </c>
      <c r="AX265" s="466">
        <f t="shared" si="155"/>
        <v>0</v>
      </c>
      <c r="AY265" s="385">
        <f t="shared" si="156"/>
        <v>0</v>
      </c>
      <c r="AZ265" s="3174">
        <f t="shared" si="157"/>
        <v>0</v>
      </c>
      <c r="BA265" s="3174">
        <f t="shared" si="158"/>
        <v>0</v>
      </c>
      <c r="BB265" s="3174">
        <f t="shared" si="159"/>
        <v>0</v>
      </c>
      <c r="BC265" s="3174">
        <f t="shared" si="160"/>
        <v>0</v>
      </c>
      <c r="BD265" s="3174">
        <f t="shared" si="161"/>
        <v>0</v>
      </c>
      <c r="BE265" s="3174">
        <f t="shared" si="162"/>
        <v>0</v>
      </c>
      <c r="BF265" s="3174">
        <f t="shared" si="163"/>
        <v>0</v>
      </c>
      <c r="BG265" s="3174">
        <f t="shared" si="164"/>
        <v>0</v>
      </c>
      <c r="BH265" s="3174">
        <f t="shared" si="165"/>
        <v>0</v>
      </c>
      <c r="BI265" s="3174">
        <f t="shared" si="166"/>
        <v>0</v>
      </c>
      <c r="BJ265" s="3174">
        <f t="shared" si="167"/>
        <v>0</v>
      </c>
      <c r="BK265" s="3174">
        <f t="shared" si="168"/>
        <v>0</v>
      </c>
      <c r="BL265" s="3174">
        <f t="shared" si="169"/>
        <v>0</v>
      </c>
      <c r="BM265" s="3174">
        <f t="shared" si="170"/>
        <v>0</v>
      </c>
      <c r="BN265" s="3174">
        <f t="shared" si="171"/>
        <v>0</v>
      </c>
      <c r="BO265" s="3174">
        <f t="shared" si="172"/>
        <v>0</v>
      </c>
      <c r="BP265" s="3174">
        <f t="shared" si="173"/>
        <v>0</v>
      </c>
      <c r="BQ265" s="3174">
        <f t="shared" si="174"/>
        <v>0</v>
      </c>
      <c r="BR265" s="3174">
        <f t="shared" si="175"/>
        <v>0</v>
      </c>
      <c r="BS265" s="3174">
        <f t="shared" si="176"/>
        <v>0</v>
      </c>
      <c r="BT265" s="3249">
        <f t="shared" si="177"/>
        <v>0</v>
      </c>
    </row>
    <row r="266" spans="1:72">
      <c r="A266" s="489"/>
      <c r="B266" s="356"/>
      <c r="C266" s="356"/>
      <c r="D266" s="3182"/>
      <c r="E266" s="3174">
        <f t="shared" si="149"/>
        <v>0</v>
      </c>
      <c r="F266" s="3175"/>
      <c r="G266" s="3176">
        <f t="shared" si="150"/>
        <v>0</v>
      </c>
      <c r="H266" s="3177">
        <f t="shared" si="151"/>
        <v>0</v>
      </c>
      <c r="I266" s="3200"/>
      <c r="J266" s="3200"/>
      <c r="K266" s="3200"/>
      <c r="L266" s="3200"/>
      <c r="M266" s="3200"/>
      <c r="N266" s="3200"/>
      <c r="O266" s="3200"/>
      <c r="P266" s="3200"/>
      <c r="Q266" s="3200"/>
      <c r="R266" s="3200"/>
      <c r="S266" s="3200"/>
      <c r="T266" s="3200"/>
      <c r="U266" s="3200"/>
      <c r="V266" s="3200"/>
      <c r="W266" s="3200"/>
      <c r="X266" s="3200"/>
      <c r="Y266" s="3200"/>
      <c r="Z266" s="3200"/>
      <c r="AA266" s="3200"/>
      <c r="AB266" s="3200"/>
      <c r="AC266" s="3174">
        <f t="shared" si="152"/>
        <v>0</v>
      </c>
      <c r="AD266" s="3212"/>
      <c r="AE266" s="3212"/>
      <c r="AF266" s="3212"/>
      <c r="AG266" s="3212"/>
      <c r="AH266" s="3212"/>
      <c r="AI266" s="3212"/>
      <c r="AJ266" s="3212"/>
      <c r="AK266" s="3212"/>
      <c r="AL266" s="3212"/>
      <c r="AM266" s="3212"/>
      <c r="AN266" s="3212"/>
      <c r="AO266" s="3212"/>
      <c r="AP266" s="3212"/>
      <c r="AQ266" s="3212"/>
      <c r="AR266" s="3212"/>
      <c r="AS266" s="3212"/>
      <c r="AT266" s="3175"/>
      <c r="AU266" s="3232"/>
      <c r="AV266" s="466">
        <f t="shared" si="153"/>
        <v>0</v>
      </c>
      <c r="AW266" s="466">
        <f t="shared" si="154"/>
        <v>0</v>
      </c>
      <c r="AX266" s="466">
        <f t="shared" si="155"/>
        <v>0</v>
      </c>
      <c r="AY266" s="385">
        <f t="shared" si="156"/>
        <v>0</v>
      </c>
      <c r="AZ266" s="3174">
        <f t="shared" si="157"/>
        <v>0</v>
      </c>
      <c r="BA266" s="3174">
        <f t="shared" si="158"/>
        <v>0</v>
      </c>
      <c r="BB266" s="3174">
        <f t="shared" si="159"/>
        <v>0</v>
      </c>
      <c r="BC266" s="3174">
        <f t="shared" si="160"/>
        <v>0</v>
      </c>
      <c r="BD266" s="3174">
        <f t="shared" si="161"/>
        <v>0</v>
      </c>
      <c r="BE266" s="3174">
        <f t="shared" si="162"/>
        <v>0</v>
      </c>
      <c r="BF266" s="3174">
        <f t="shared" si="163"/>
        <v>0</v>
      </c>
      <c r="BG266" s="3174">
        <f t="shared" si="164"/>
        <v>0</v>
      </c>
      <c r="BH266" s="3174">
        <f t="shared" si="165"/>
        <v>0</v>
      </c>
      <c r="BI266" s="3174">
        <f t="shared" si="166"/>
        <v>0</v>
      </c>
      <c r="BJ266" s="3174">
        <f t="shared" si="167"/>
        <v>0</v>
      </c>
      <c r="BK266" s="3174">
        <f t="shared" si="168"/>
        <v>0</v>
      </c>
      <c r="BL266" s="3174">
        <f t="shared" si="169"/>
        <v>0</v>
      </c>
      <c r="BM266" s="3174">
        <f t="shared" si="170"/>
        <v>0</v>
      </c>
      <c r="BN266" s="3174">
        <f t="shared" si="171"/>
        <v>0</v>
      </c>
      <c r="BO266" s="3174">
        <f t="shared" si="172"/>
        <v>0</v>
      </c>
      <c r="BP266" s="3174">
        <f t="shared" si="173"/>
        <v>0</v>
      </c>
      <c r="BQ266" s="3174">
        <f t="shared" si="174"/>
        <v>0</v>
      </c>
      <c r="BR266" s="3174">
        <f t="shared" si="175"/>
        <v>0</v>
      </c>
      <c r="BS266" s="3174">
        <f t="shared" si="176"/>
        <v>0</v>
      </c>
      <c r="BT266" s="3249">
        <f t="shared" si="177"/>
        <v>0</v>
      </c>
    </row>
    <row r="267" spans="1:72">
      <c r="A267" s="489"/>
      <c r="B267" s="356"/>
      <c r="C267" s="356"/>
      <c r="D267" s="3182"/>
      <c r="E267" s="3174">
        <f t="shared" si="149"/>
        <v>0</v>
      </c>
      <c r="F267" s="3175"/>
      <c r="G267" s="3176">
        <f t="shared" si="150"/>
        <v>0</v>
      </c>
      <c r="H267" s="3177">
        <f t="shared" si="151"/>
        <v>0</v>
      </c>
      <c r="I267" s="3200"/>
      <c r="J267" s="3200"/>
      <c r="K267" s="3200"/>
      <c r="L267" s="3200"/>
      <c r="M267" s="3200"/>
      <c r="N267" s="3200"/>
      <c r="O267" s="3200"/>
      <c r="P267" s="3200"/>
      <c r="Q267" s="3200"/>
      <c r="R267" s="3200"/>
      <c r="S267" s="3200"/>
      <c r="T267" s="3200"/>
      <c r="U267" s="3200"/>
      <c r="V267" s="3200"/>
      <c r="W267" s="3200"/>
      <c r="X267" s="3200"/>
      <c r="Y267" s="3200"/>
      <c r="Z267" s="3200"/>
      <c r="AA267" s="3200"/>
      <c r="AB267" s="3200"/>
      <c r="AC267" s="3174">
        <f t="shared" si="152"/>
        <v>0</v>
      </c>
      <c r="AD267" s="3212"/>
      <c r="AE267" s="3212"/>
      <c r="AF267" s="3212"/>
      <c r="AG267" s="3212"/>
      <c r="AH267" s="3212"/>
      <c r="AI267" s="3212"/>
      <c r="AJ267" s="3212"/>
      <c r="AK267" s="3212"/>
      <c r="AL267" s="3212"/>
      <c r="AM267" s="3212"/>
      <c r="AN267" s="3212"/>
      <c r="AO267" s="3212"/>
      <c r="AP267" s="3212"/>
      <c r="AQ267" s="3212"/>
      <c r="AR267" s="3212"/>
      <c r="AS267" s="3212"/>
      <c r="AT267" s="3175"/>
      <c r="AU267" s="3232"/>
      <c r="AV267" s="466">
        <f t="shared" si="153"/>
        <v>0</v>
      </c>
      <c r="AW267" s="466">
        <f t="shared" si="154"/>
        <v>0</v>
      </c>
      <c r="AX267" s="466">
        <f t="shared" si="155"/>
        <v>0</v>
      </c>
      <c r="AY267" s="385">
        <f t="shared" si="156"/>
        <v>0</v>
      </c>
      <c r="AZ267" s="3174">
        <f t="shared" si="157"/>
        <v>0</v>
      </c>
      <c r="BA267" s="3174">
        <f t="shared" si="158"/>
        <v>0</v>
      </c>
      <c r="BB267" s="3174">
        <f t="shared" si="159"/>
        <v>0</v>
      </c>
      <c r="BC267" s="3174">
        <f t="shared" si="160"/>
        <v>0</v>
      </c>
      <c r="BD267" s="3174">
        <f t="shared" si="161"/>
        <v>0</v>
      </c>
      <c r="BE267" s="3174">
        <f t="shared" si="162"/>
        <v>0</v>
      </c>
      <c r="BF267" s="3174">
        <f t="shared" si="163"/>
        <v>0</v>
      </c>
      <c r="BG267" s="3174">
        <f t="shared" si="164"/>
        <v>0</v>
      </c>
      <c r="BH267" s="3174">
        <f t="shared" si="165"/>
        <v>0</v>
      </c>
      <c r="BI267" s="3174">
        <f t="shared" si="166"/>
        <v>0</v>
      </c>
      <c r="BJ267" s="3174">
        <f t="shared" si="167"/>
        <v>0</v>
      </c>
      <c r="BK267" s="3174">
        <f t="shared" si="168"/>
        <v>0</v>
      </c>
      <c r="BL267" s="3174">
        <f t="shared" si="169"/>
        <v>0</v>
      </c>
      <c r="BM267" s="3174">
        <f t="shared" si="170"/>
        <v>0</v>
      </c>
      <c r="BN267" s="3174">
        <f t="shared" si="171"/>
        <v>0</v>
      </c>
      <c r="BO267" s="3174">
        <f t="shared" si="172"/>
        <v>0</v>
      </c>
      <c r="BP267" s="3174">
        <f t="shared" si="173"/>
        <v>0</v>
      </c>
      <c r="BQ267" s="3174">
        <f t="shared" si="174"/>
        <v>0</v>
      </c>
      <c r="BR267" s="3174">
        <f t="shared" si="175"/>
        <v>0</v>
      </c>
      <c r="BS267" s="3174">
        <f t="shared" si="176"/>
        <v>0</v>
      </c>
      <c r="BT267" s="3249">
        <f t="shared" si="177"/>
        <v>0</v>
      </c>
    </row>
    <row r="268" spans="1:72">
      <c r="A268" s="489"/>
      <c r="B268" s="356"/>
      <c r="C268" s="356"/>
      <c r="D268" s="3182"/>
      <c r="E268" s="3174">
        <f t="shared" si="149"/>
        <v>0</v>
      </c>
      <c r="F268" s="3175"/>
      <c r="G268" s="3176">
        <f t="shared" si="150"/>
        <v>0</v>
      </c>
      <c r="H268" s="3177">
        <f t="shared" si="151"/>
        <v>0</v>
      </c>
      <c r="I268" s="3200"/>
      <c r="J268" s="3200"/>
      <c r="K268" s="3200"/>
      <c r="L268" s="3200"/>
      <c r="M268" s="3200"/>
      <c r="N268" s="3200"/>
      <c r="O268" s="3200"/>
      <c r="P268" s="3200"/>
      <c r="Q268" s="3200"/>
      <c r="R268" s="3200"/>
      <c r="S268" s="3200"/>
      <c r="T268" s="3200"/>
      <c r="U268" s="3200"/>
      <c r="V268" s="3200"/>
      <c r="W268" s="3200"/>
      <c r="X268" s="3200"/>
      <c r="Y268" s="3200"/>
      <c r="Z268" s="3200"/>
      <c r="AA268" s="3200"/>
      <c r="AB268" s="3200"/>
      <c r="AC268" s="3174">
        <f t="shared" si="152"/>
        <v>0</v>
      </c>
      <c r="AD268" s="3212"/>
      <c r="AE268" s="3212"/>
      <c r="AF268" s="3212"/>
      <c r="AG268" s="3212"/>
      <c r="AH268" s="3212"/>
      <c r="AI268" s="3212"/>
      <c r="AJ268" s="3212"/>
      <c r="AK268" s="3212"/>
      <c r="AL268" s="3212"/>
      <c r="AM268" s="3212"/>
      <c r="AN268" s="3212"/>
      <c r="AO268" s="3212"/>
      <c r="AP268" s="3212"/>
      <c r="AQ268" s="3212"/>
      <c r="AR268" s="3212"/>
      <c r="AS268" s="3212"/>
      <c r="AT268" s="3175"/>
      <c r="AU268" s="3232"/>
      <c r="AV268" s="466">
        <f t="shared" si="153"/>
        <v>0</v>
      </c>
      <c r="AW268" s="466">
        <f t="shared" si="154"/>
        <v>0</v>
      </c>
      <c r="AX268" s="466">
        <f t="shared" si="155"/>
        <v>0</v>
      </c>
      <c r="AY268" s="385">
        <f t="shared" si="156"/>
        <v>0</v>
      </c>
      <c r="AZ268" s="3174">
        <f t="shared" si="157"/>
        <v>0</v>
      </c>
      <c r="BA268" s="3174">
        <f t="shared" si="158"/>
        <v>0</v>
      </c>
      <c r="BB268" s="3174">
        <f t="shared" si="159"/>
        <v>0</v>
      </c>
      <c r="BC268" s="3174">
        <f t="shared" si="160"/>
        <v>0</v>
      </c>
      <c r="BD268" s="3174">
        <f t="shared" si="161"/>
        <v>0</v>
      </c>
      <c r="BE268" s="3174">
        <f t="shared" si="162"/>
        <v>0</v>
      </c>
      <c r="BF268" s="3174">
        <f t="shared" si="163"/>
        <v>0</v>
      </c>
      <c r="BG268" s="3174">
        <f t="shared" si="164"/>
        <v>0</v>
      </c>
      <c r="BH268" s="3174">
        <f t="shared" si="165"/>
        <v>0</v>
      </c>
      <c r="BI268" s="3174">
        <f t="shared" si="166"/>
        <v>0</v>
      </c>
      <c r="BJ268" s="3174">
        <f t="shared" si="167"/>
        <v>0</v>
      </c>
      <c r="BK268" s="3174">
        <f t="shared" si="168"/>
        <v>0</v>
      </c>
      <c r="BL268" s="3174">
        <f t="shared" si="169"/>
        <v>0</v>
      </c>
      <c r="BM268" s="3174">
        <f t="shared" si="170"/>
        <v>0</v>
      </c>
      <c r="BN268" s="3174">
        <f t="shared" si="171"/>
        <v>0</v>
      </c>
      <c r="BO268" s="3174">
        <f t="shared" si="172"/>
        <v>0</v>
      </c>
      <c r="BP268" s="3174">
        <f t="shared" si="173"/>
        <v>0</v>
      </c>
      <c r="BQ268" s="3174">
        <f t="shared" si="174"/>
        <v>0</v>
      </c>
      <c r="BR268" s="3174">
        <f t="shared" si="175"/>
        <v>0</v>
      </c>
      <c r="BS268" s="3174">
        <f t="shared" si="176"/>
        <v>0</v>
      </c>
      <c r="BT268" s="3249">
        <f t="shared" si="177"/>
        <v>0</v>
      </c>
    </row>
    <row r="269" spans="1:72">
      <c r="A269" s="489"/>
      <c r="B269" s="356"/>
      <c r="C269" s="356"/>
      <c r="D269" s="3182"/>
      <c r="E269" s="3174">
        <f t="shared" si="149"/>
        <v>0</v>
      </c>
      <c r="F269" s="3175"/>
      <c r="G269" s="3176">
        <f t="shared" si="150"/>
        <v>0</v>
      </c>
      <c r="H269" s="3177">
        <f t="shared" si="151"/>
        <v>0</v>
      </c>
      <c r="I269" s="3200"/>
      <c r="J269" s="3200"/>
      <c r="K269" s="3200"/>
      <c r="L269" s="3200"/>
      <c r="M269" s="3200"/>
      <c r="N269" s="3200"/>
      <c r="O269" s="3200"/>
      <c r="P269" s="3200"/>
      <c r="Q269" s="3200"/>
      <c r="R269" s="3200"/>
      <c r="S269" s="3200"/>
      <c r="T269" s="3200"/>
      <c r="U269" s="3200"/>
      <c r="V269" s="3200"/>
      <c r="W269" s="3200"/>
      <c r="X269" s="3200"/>
      <c r="Y269" s="3200"/>
      <c r="Z269" s="3200"/>
      <c r="AA269" s="3200"/>
      <c r="AB269" s="3200"/>
      <c r="AC269" s="3174">
        <f t="shared" si="152"/>
        <v>0</v>
      </c>
      <c r="AD269" s="3212"/>
      <c r="AE269" s="3212"/>
      <c r="AF269" s="3212"/>
      <c r="AG269" s="3212"/>
      <c r="AH269" s="3212"/>
      <c r="AI269" s="3212"/>
      <c r="AJ269" s="3212"/>
      <c r="AK269" s="3212"/>
      <c r="AL269" s="3212"/>
      <c r="AM269" s="3212"/>
      <c r="AN269" s="3212"/>
      <c r="AO269" s="3212"/>
      <c r="AP269" s="3212"/>
      <c r="AQ269" s="3212"/>
      <c r="AR269" s="3212"/>
      <c r="AS269" s="3212"/>
      <c r="AT269" s="3175"/>
      <c r="AU269" s="3232"/>
      <c r="AV269" s="466">
        <f t="shared" si="153"/>
        <v>0</v>
      </c>
      <c r="AW269" s="466">
        <f t="shared" si="154"/>
        <v>0</v>
      </c>
      <c r="AX269" s="466">
        <f t="shared" si="155"/>
        <v>0</v>
      </c>
      <c r="AY269" s="385">
        <f t="shared" si="156"/>
        <v>0</v>
      </c>
      <c r="AZ269" s="3174">
        <f t="shared" si="157"/>
        <v>0</v>
      </c>
      <c r="BA269" s="3174">
        <f t="shared" si="158"/>
        <v>0</v>
      </c>
      <c r="BB269" s="3174">
        <f t="shared" si="159"/>
        <v>0</v>
      </c>
      <c r="BC269" s="3174">
        <f t="shared" si="160"/>
        <v>0</v>
      </c>
      <c r="BD269" s="3174">
        <f t="shared" si="161"/>
        <v>0</v>
      </c>
      <c r="BE269" s="3174">
        <f t="shared" si="162"/>
        <v>0</v>
      </c>
      <c r="BF269" s="3174">
        <f t="shared" si="163"/>
        <v>0</v>
      </c>
      <c r="BG269" s="3174">
        <f t="shared" si="164"/>
        <v>0</v>
      </c>
      <c r="BH269" s="3174">
        <f t="shared" si="165"/>
        <v>0</v>
      </c>
      <c r="BI269" s="3174">
        <f t="shared" si="166"/>
        <v>0</v>
      </c>
      <c r="BJ269" s="3174">
        <f t="shared" si="167"/>
        <v>0</v>
      </c>
      <c r="BK269" s="3174">
        <f t="shared" si="168"/>
        <v>0</v>
      </c>
      <c r="BL269" s="3174">
        <f t="shared" si="169"/>
        <v>0</v>
      </c>
      <c r="BM269" s="3174">
        <f t="shared" si="170"/>
        <v>0</v>
      </c>
      <c r="BN269" s="3174">
        <f t="shared" si="171"/>
        <v>0</v>
      </c>
      <c r="BO269" s="3174">
        <f t="shared" si="172"/>
        <v>0</v>
      </c>
      <c r="BP269" s="3174">
        <f t="shared" si="173"/>
        <v>0</v>
      </c>
      <c r="BQ269" s="3174">
        <f t="shared" si="174"/>
        <v>0</v>
      </c>
      <c r="BR269" s="3174">
        <f t="shared" si="175"/>
        <v>0</v>
      </c>
      <c r="BS269" s="3174">
        <f t="shared" si="176"/>
        <v>0</v>
      </c>
      <c r="BT269" s="3249">
        <f t="shared" si="177"/>
        <v>0</v>
      </c>
    </row>
    <row r="270" spans="1:72">
      <c r="A270" s="489"/>
      <c r="B270" s="356"/>
      <c r="C270" s="356"/>
      <c r="D270" s="3182"/>
      <c r="E270" s="3174">
        <f t="shared" si="149"/>
        <v>0</v>
      </c>
      <c r="F270" s="3175"/>
      <c r="G270" s="3176">
        <f t="shared" si="150"/>
        <v>0</v>
      </c>
      <c r="H270" s="3177">
        <f t="shared" si="151"/>
        <v>0</v>
      </c>
      <c r="I270" s="3200"/>
      <c r="J270" s="3200"/>
      <c r="K270" s="3200"/>
      <c r="L270" s="3200"/>
      <c r="M270" s="3200"/>
      <c r="N270" s="3200"/>
      <c r="O270" s="3200"/>
      <c r="P270" s="3200"/>
      <c r="Q270" s="3200"/>
      <c r="R270" s="3200"/>
      <c r="S270" s="3200"/>
      <c r="T270" s="3200"/>
      <c r="U270" s="3200"/>
      <c r="V270" s="3200"/>
      <c r="W270" s="3200"/>
      <c r="X270" s="3200"/>
      <c r="Y270" s="3200"/>
      <c r="Z270" s="3200"/>
      <c r="AA270" s="3200"/>
      <c r="AB270" s="3200"/>
      <c r="AC270" s="3174">
        <f t="shared" si="152"/>
        <v>0</v>
      </c>
      <c r="AD270" s="3212"/>
      <c r="AE270" s="3212"/>
      <c r="AF270" s="3212"/>
      <c r="AG270" s="3212"/>
      <c r="AH270" s="3212"/>
      <c r="AI270" s="3212"/>
      <c r="AJ270" s="3212"/>
      <c r="AK270" s="3212"/>
      <c r="AL270" s="3212"/>
      <c r="AM270" s="3212"/>
      <c r="AN270" s="3212"/>
      <c r="AO270" s="3212"/>
      <c r="AP270" s="3212"/>
      <c r="AQ270" s="3212"/>
      <c r="AR270" s="3212"/>
      <c r="AS270" s="3212"/>
      <c r="AT270" s="3175"/>
      <c r="AU270" s="3232"/>
      <c r="AV270" s="466">
        <f t="shared" si="153"/>
        <v>0</v>
      </c>
      <c r="AW270" s="466">
        <f t="shared" si="154"/>
        <v>0</v>
      </c>
      <c r="AX270" s="466">
        <f t="shared" si="155"/>
        <v>0</v>
      </c>
      <c r="AY270" s="385">
        <f t="shared" si="156"/>
        <v>0</v>
      </c>
      <c r="AZ270" s="3174">
        <f t="shared" si="157"/>
        <v>0</v>
      </c>
      <c r="BA270" s="3174">
        <f t="shared" si="158"/>
        <v>0</v>
      </c>
      <c r="BB270" s="3174">
        <f t="shared" si="159"/>
        <v>0</v>
      </c>
      <c r="BC270" s="3174">
        <f t="shared" si="160"/>
        <v>0</v>
      </c>
      <c r="BD270" s="3174">
        <f t="shared" si="161"/>
        <v>0</v>
      </c>
      <c r="BE270" s="3174">
        <f t="shared" si="162"/>
        <v>0</v>
      </c>
      <c r="BF270" s="3174">
        <f t="shared" si="163"/>
        <v>0</v>
      </c>
      <c r="BG270" s="3174">
        <f t="shared" si="164"/>
        <v>0</v>
      </c>
      <c r="BH270" s="3174">
        <f t="shared" si="165"/>
        <v>0</v>
      </c>
      <c r="BI270" s="3174">
        <f t="shared" si="166"/>
        <v>0</v>
      </c>
      <c r="BJ270" s="3174">
        <f t="shared" si="167"/>
        <v>0</v>
      </c>
      <c r="BK270" s="3174">
        <f t="shared" si="168"/>
        <v>0</v>
      </c>
      <c r="BL270" s="3174">
        <f t="shared" si="169"/>
        <v>0</v>
      </c>
      <c r="BM270" s="3174">
        <f t="shared" si="170"/>
        <v>0</v>
      </c>
      <c r="BN270" s="3174">
        <f t="shared" si="171"/>
        <v>0</v>
      </c>
      <c r="BO270" s="3174">
        <f t="shared" si="172"/>
        <v>0</v>
      </c>
      <c r="BP270" s="3174">
        <f t="shared" si="173"/>
        <v>0</v>
      </c>
      <c r="BQ270" s="3174">
        <f t="shared" si="174"/>
        <v>0</v>
      </c>
      <c r="BR270" s="3174">
        <f t="shared" si="175"/>
        <v>0</v>
      </c>
      <c r="BS270" s="3174">
        <f t="shared" si="176"/>
        <v>0</v>
      </c>
      <c r="BT270" s="3249">
        <f t="shared" si="177"/>
        <v>0</v>
      </c>
    </row>
    <row r="271" spans="1:72">
      <c r="A271" s="489"/>
      <c r="B271" s="356"/>
      <c r="C271" s="356"/>
      <c r="D271" s="3182"/>
      <c r="E271" s="3174">
        <f t="shared" si="149"/>
        <v>0</v>
      </c>
      <c r="F271" s="3175"/>
      <c r="G271" s="3176">
        <f t="shared" si="150"/>
        <v>0</v>
      </c>
      <c r="H271" s="3177">
        <f t="shared" si="151"/>
        <v>0</v>
      </c>
      <c r="I271" s="3200"/>
      <c r="J271" s="3200"/>
      <c r="K271" s="3200"/>
      <c r="L271" s="3200"/>
      <c r="M271" s="3200"/>
      <c r="N271" s="3200"/>
      <c r="O271" s="3200"/>
      <c r="P271" s="3200"/>
      <c r="Q271" s="3200"/>
      <c r="R271" s="3200"/>
      <c r="S271" s="3200"/>
      <c r="T271" s="3200"/>
      <c r="U271" s="3200"/>
      <c r="V271" s="3200"/>
      <c r="W271" s="3200"/>
      <c r="X271" s="3200"/>
      <c r="Y271" s="3200"/>
      <c r="Z271" s="3200"/>
      <c r="AA271" s="3200"/>
      <c r="AB271" s="3200"/>
      <c r="AC271" s="3174">
        <f t="shared" si="152"/>
        <v>0</v>
      </c>
      <c r="AD271" s="3212"/>
      <c r="AE271" s="3212"/>
      <c r="AF271" s="3212"/>
      <c r="AG271" s="3212"/>
      <c r="AH271" s="3212"/>
      <c r="AI271" s="3212"/>
      <c r="AJ271" s="3212"/>
      <c r="AK271" s="3212"/>
      <c r="AL271" s="3212"/>
      <c r="AM271" s="3212"/>
      <c r="AN271" s="3212"/>
      <c r="AO271" s="3212"/>
      <c r="AP271" s="3212"/>
      <c r="AQ271" s="3212"/>
      <c r="AR271" s="3212"/>
      <c r="AS271" s="3212"/>
      <c r="AT271" s="3175"/>
      <c r="AU271" s="3232"/>
      <c r="AV271" s="466">
        <f t="shared" si="153"/>
        <v>0</v>
      </c>
      <c r="AW271" s="466">
        <f t="shared" si="154"/>
        <v>0</v>
      </c>
      <c r="AX271" s="466">
        <f t="shared" si="155"/>
        <v>0</v>
      </c>
      <c r="AY271" s="385">
        <f t="shared" si="156"/>
        <v>0</v>
      </c>
      <c r="AZ271" s="3174">
        <f t="shared" si="157"/>
        <v>0</v>
      </c>
      <c r="BA271" s="3174">
        <f t="shared" si="158"/>
        <v>0</v>
      </c>
      <c r="BB271" s="3174">
        <f t="shared" si="159"/>
        <v>0</v>
      </c>
      <c r="BC271" s="3174">
        <f t="shared" si="160"/>
        <v>0</v>
      </c>
      <c r="BD271" s="3174">
        <f t="shared" si="161"/>
        <v>0</v>
      </c>
      <c r="BE271" s="3174">
        <f t="shared" si="162"/>
        <v>0</v>
      </c>
      <c r="BF271" s="3174">
        <f t="shared" si="163"/>
        <v>0</v>
      </c>
      <c r="BG271" s="3174">
        <f t="shared" si="164"/>
        <v>0</v>
      </c>
      <c r="BH271" s="3174">
        <f t="shared" si="165"/>
        <v>0</v>
      </c>
      <c r="BI271" s="3174">
        <f t="shared" si="166"/>
        <v>0</v>
      </c>
      <c r="BJ271" s="3174">
        <f t="shared" si="167"/>
        <v>0</v>
      </c>
      <c r="BK271" s="3174">
        <f t="shared" si="168"/>
        <v>0</v>
      </c>
      <c r="BL271" s="3174">
        <f t="shared" si="169"/>
        <v>0</v>
      </c>
      <c r="BM271" s="3174">
        <f t="shared" si="170"/>
        <v>0</v>
      </c>
      <c r="BN271" s="3174">
        <f t="shared" si="171"/>
        <v>0</v>
      </c>
      <c r="BO271" s="3174">
        <f t="shared" si="172"/>
        <v>0</v>
      </c>
      <c r="BP271" s="3174">
        <f t="shared" si="173"/>
        <v>0</v>
      </c>
      <c r="BQ271" s="3174">
        <f t="shared" si="174"/>
        <v>0</v>
      </c>
      <c r="BR271" s="3174">
        <f t="shared" si="175"/>
        <v>0</v>
      </c>
      <c r="BS271" s="3174">
        <f t="shared" si="176"/>
        <v>0</v>
      </c>
      <c r="BT271" s="3249">
        <f t="shared" si="177"/>
        <v>0</v>
      </c>
    </row>
    <row r="272" spans="1:72">
      <c r="A272" s="489"/>
      <c r="B272" s="356"/>
      <c r="C272" s="356"/>
      <c r="D272" s="3182"/>
      <c r="E272" s="3174">
        <f t="shared" si="149"/>
        <v>0</v>
      </c>
      <c r="F272" s="3175"/>
      <c r="G272" s="3176">
        <f t="shared" si="150"/>
        <v>0</v>
      </c>
      <c r="H272" s="3177">
        <f t="shared" si="151"/>
        <v>0</v>
      </c>
      <c r="I272" s="3200"/>
      <c r="J272" s="3200"/>
      <c r="K272" s="3200"/>
      <c r="L272" s="3200"/>
      <c r="M272" s="3200"/>
      <c r="N272" s="3200"/>
      <c r="O272" s="3200"/>
      <c r="P272" s="3200"/>
      <c r="Q272" s="3200"/>
      <c r="R272" s="3200"/>
      <c r="S272" s="3200"/>
      <c r="T272" s="3200"/>
      <c r="U272" s="3200"/>
      <c r="V272" s="3200"/>
      <c r="W272" s="3200"/>
      <c r="X272" s="3200"/>
      <c r="Y272" s="3200"/>
      <c r="Z272" s="3200"/>
      <c r="AA272" s="3200"/>
      <c r="AB272" s="3200"/>
      <c r="AC272" s="3174">
        <f t="shared" si="152"/>
        <v>0</v>
      </c>
      <c r="AD272" s="3212"/>
      <c r="AE272" s="3212"/>
      <c r="AF272" s="3212"/>
      <c r="AG272" s="3212"/>
      <c r="AH272" s="3212"/>
      <c r="AI272" s="3212"/>
      <c r="AJ272" s="3212"/>
      <c r="AK272" s="3212"/>
      <c r="AL272" s="3212"/>
      <c r="AM272" s="3212"/>
      <c r="AN272" s="3212"/>
      <c r="AO272" s="3212"/>
      <c r="AP272" s="3212"/>
      <c r="AQ272" s="3212"/>
      <c r="AR272" s="3212"/>
      <c r="AS272" s="3212"/>
      <c r="AT272" s="3175"/>
      <c r="AU272" s="3232"/>
      <c r="AV272" s="466">
        <f t="shared" si="153"/>
        <v>0</v>
      </c>
      <c r="AW272" s="466">
        <f t="shared" si="154"/>
        <v>0</v>
      </c>
      <c r="AX272" s="466">
        <f t="shared" si="155"/>
        <v>0</v>
      </c>
      <c r="AY272" s="385">
        <f t="shared" si="156"/>
        <v>0</v>
      </c>
      <c r="AZ272" s="3174">
        <f t="shared" si="157"/>
        <v>0</v>
      </c>
      <c r="BA272" s="3174">
        <f t="shared" si="158"/>
        <v>0</v>
      </c>
      <c r="BB272" s="3174">
        <f t="shared" si="159"/>
        <v>0</v>
      </c>
      <c r="BC272" s="3174">
        <f t="shared" si="160"/>
        <v>0</v>
      </c>
      <c r="BD272" s="3174">
        <f t="shared" si="161"/>
        <v>0</v>
      </c>
      <c r="BE272" s="3174">
        <f t="shared" si="162"/>
        <v>0</v>
      </c>
      <c r="BF272" s="3174">
        <f t="shared" si="163"/>
        <v>0</v>
      </c>
      <c r="BG272" s="3174">
        <f t="shared" si="164"/>
        <v>0</v>
      </c>
      <c r="BH272" s="3174">
        <f t="shared" si="165"/>
        <v>0</v>
      </c>
      <c r="BI272" s="3174">
        <f t="shared" si="166"/>
        <v>0</v>
      </c>
      <c r="BJ272" s="3174">
        <f t="shared" si="167"/>
        <v>0</v>
      </c>
      <c r="BK272" s="3174">
        <f t="shared" si="168"/>
        <v>0</v>
      </c>
      <c r="BL272" s="3174">
        <f t="shared" si="169"/>
        <v>0</v>
      </c>
      <c r="BM272" s="3174">
        <f t="shared" si="170"/>
        <v>0</v>
      </c>
      <c r="BN272" s="3174">
        <f t="shared" si="171"/>
        <v>0</v>
      </c>
      <c r="BO272" s="3174">
        <f t="shared" si="172"/>
        <v>0</v>
      </c>
      <c r="BP272" s="3174">
        <f t="shared" si="173"/>
        <v>0</v>
      </c>
      <c r="BQ272" s="3174">
        <f t="shared" si="174"/>
        <v>0</v>
      </c>
      <c r="BR272" s="3174">
        <f t="shared" si="175"/>
        <v>0</v>
      </c>
      <c r="BS272" s="3174">
        <f t="shared" si="176"/>
        <v>0</v>
      </c>
      <c r="BT272" s="3249">
        <f t="shared" si="177"/>
        <v>0</v>
      </c>
    </row>
    <row r="273" spans="1:72">
      <c r="A273" s="489"/>
      <c r="B273" s="356"/>
      <c r="C273" s="356"/>
      <c r="D273" s="3182"/>
      <c r="E273" s="3174">
        <f t="shared" si="149"/>
        <v>0</v>
      </c>
      <c r="F273" s="3175"/>
      <c r="G273" s="3176">
        <f t="shared" si="150"/>
        <v>0</v>
      </c>
      <c r="H273" s="3177">
        <f t="shared" si="151"/>
        <v>0</v>
      </c>
      <c r="I273" s="3200"/>
      <c r="J273" s="3200"/>
      <c r="K273" s="3200"/>
      <c r="L273" s="3200"/>
      <c r="M273" s="3200"/>
      <c r="N273" s="3200"/>
      <c r="O273" s="3200"/>
      <c r="P273" s="3200"/>
      <c r="Q273" s="3200"/>
      <c r="R273" s="3200"/>
      <c r="S273" s="3200"/>
      <c r="T273" s="3200"/>
      <c r="U273" s="3200"/>
      <c r="V273" s="3200"/>
      <c r="W273" s="3200"/>
      <c r="X273" s="3200"/>
      <c r="Y273" s="3200"/>
      <c r="Z273" s="3200"/>
      <c r="AA273" s="3200"/>
      <c r="AB273" s="3200"/>
      <c r="AC273" s="3174">
        <f t="shared" si="152"/>
        <v>0</v>
      </c>
      <c r="AD273" s="3212"/>
      <c r="AE273" s="3212"/>
      <c r="AF273" s="3212"/>
      <c r="AG273" s="3212"/>
      <c r="AH273" s="3212"/>
      <c r="AI273" s="3212"/>
      <c r="AJ273" s="3212"/>
      <c r="AK273" s="3212"/>
      <c r="AL273" s="3212"/>
      <c r="AM273" s="3212"/>
      <c r="AN273" s="3212"/>
      <c r="AO273" s="3212"/>
      <c r="AP273" s="3212"/>
      <c r="AQ273" s="3212"/>
      <c r="AR273" s="3212"/>
      <c r="AS273" s="3212"/>
      <c r="AT273" s="3175"/>
      <c r="AU273" s="3232"/>
      <c r="AV273" s="466">
        <f t="shared" si="153"/>
        <v>0</v>
      </c>
      <c r="AW273" s="466">
        <f t="shared" si="154"/>
        <v>0</v>
      </c>
      <c r="AX273" s="466">
        <f t="shared" si="155"/>
        <v>0</v>
      </c>
      <c r="AY273" s="385">
        <f t="shared" si="156"/>
        <v>0</v>
      </c>
      <c r="AZ273" s="3174">
        <f t="shared" si="157"/>
        <v>0</v>
      </c>
      <c r="BA273" s="3174">
        <f t="shared" si="158"/>
        <v>0</v>
      </c>
      <c r="BB273" s="3174">
        <f t="shared" si="159"/>
        <v>0</v>
      </c>
      <c r="BC273" s="3174">
        <f t="shared" si="160"/>
        <v>0</v>
      </c>
      <c r="BD273" s="3174">
        <f t="shared" si="161"/>
        <v>0</v>
      </c>
      <c r="BE273" s="3174">
        <f t="shared" si="162"/>
        <v>0</v>
      </c>
      <c r="BF273" s="3174">
        <f t="shared" si="163"/>
        <v>0</v>
      </c>
      <c r="BG273" s="3174">
        <f t="shared" si="164"/>
        <v>0</v>
      </c>
      <c r="BH273" s="3174">
        <f t="shared" si="165"/>
        <v>0</v>
      </c>
      <c r="BI273" s="3174">
        <f t="shared" si="166"/>
        <v>0</v>
      </c>
      <c r="BJ273" s="3174">
        <f t="shared" si="167"/>
        <v>0</v>
      </c>
      <c r="BK273" s="3174">
        <f t="shared" si="168"/>
        <v>0</v>
      </c>
      <c r="BL273" s="3174">
        <f t="shared" si="169"/>
        <v>0</v>
      </c>
      <c r="BM273" s="3174">
        <f t="shared" si="170"/>
        <v>0</v>
      </c>
      <c r="BN273" s="3174">
        <f t="shared" si="171"/>
        <v>0</v>
      </c>
      <c r="BO273" s="3174">
        <f t="shared" si="172"/>
        <v>0</v>
      </c>
      <c r="BP273" s="3174">
        <f t="shared" si="173"/>
        <v>0</v>
      </c>
      <c r="BQ273" s="3174">
        <f t="shared" si="174"/>
        <v>0</v>
      </c>
      <c r="BR273" s="3174">
        <f t="shared" si="175"/>
        <v>0</v>
      </c>
      <c r="BS273" s="3174">
        <f t="shared" si="176"/>
        <v>0</v>
      </c>
      <c r="BT273" s="3249">
        <f t="shared" si="177"/>
        <v>0</v>
      </c>
    </row>
    <row r="274" spans="1:72">
      <c r="A274" s="489"/>
      <c r="B274" s="356"/>
      <c r="C274" s="356"/>
      <c r="D274" s="3182"/>
      <c r="E274" s="3174">
        <f t="shared" si="149"/>
        <v>0</v>
      </c>
      <c r="F274" s="3175"/>
      <c r="G274" s="3176">
        <f t="shared" si="150"/>
        <v>0</v>
      </c>
      <c r="H274" s="3177">
        <f t="shared" si="151"/>
        <v>0</v>
      </c>
      <c r="I274" s="3200"/>
      <c r="J274" s="3200"/>
      <c r="K274" s="3200"/>
      <c r="L274" s="3200"/>
      <c r="M274" s="3200"/>
      <c r="N274" s="3200"/>
      <c r="O274" s="3200"/>
      <c r="P274" s="3200"/>
      <c r="Q274" s="3200"/>
      <c r="R274" s="3200"/>
      <c r="S274" s="3200"/>
      <c r="T274" s="3200"/>
      <c r="U274" s="3200"/>
      <c r="V274" s="3200"/>
      <c r="W274" s="3200"/>
      <c r="X274" s="3200"/>
      <c r="Y274" s="3200"/>
      <c r="Z274" s="3200"/>
      <c r="AA274" s="3200"/>
      <c r="AB274" s="3200"/>
      <c r="AC274" s="3174">
        <f t="shared" si="152"/>
        <v>0</v>
      </c>
      <c r="AD274" s="3212"/>
      <c r="AE274" s="3212"/>
      <c r="AF274" s="3212"/>
      <c r="AG274" s="3212"/>
      <c r="AH274" s="3212"/>
      <c r="AI274" s="3212"/>
      <c r="AJ274" s="3212"/>
      <c r="AK274" s="3212"/>
      <c r="AL274" s="3212"/>
      <c r="AM274" s="3212"/>
      <c r="AN274" s="3212"/>
      <c r="AO274" s="3212"/>
      <c r="AP274" s="3212"/>
      <c r="AQ274" s="3212"/>
      <c r="AR274" s="3212"/>
      <c r="AS274" s="3212"/>
      <c r="AT274" s="3175"/>
      <c r="AU274" s="3232"/>
      <c r="AV274" s="466">
        <f t="shared" si="153"/>
        <v>0</v>
      </c>
      <c r="AW274" s="466">
        <f t="shared" si="154"/>
        <v>0</v>
      </c>
      <c r="AX274" s="466">
        <f t="shared" si="155"/>
        <v>0</v>
      </c>
      <c r="AY274" s="385">
        <f t="shared" si="156"/>
        <v>0</v>
      </c>
      <c r="AZ274" s="3174">
        <f t="shared" si="157"/>
        <v>0</v>
      </c>
      <c r="BA274" s="3174">
        <f t="shared" si="158"/>
        <v>0</v>
      </c>
      <c r="BB274" s="3174">
        <f t="shared" si="159"/>
        <v>0</v>
      </c>
      <c r="BC274" s="3174">
        <f t="shared" si="160"/>
        <v>0</v>
      </c>
      <c r="BD274" s="3174">
        <f t="shared" si="161"/>
        <v>0</v>
      </c>
      <c r="BE274" s="3174">
        <f t="shared" si="162"/>
        <v>0</v>
      </c>
      <c r="BF274" s="3174">
        <f t="shared" si="163"/>
        <v>0</v>
      </c>
      <c r="BG274" s="3174">
        <f t="shared" si="164"/>
        <v>0</v>
      </c>
      <c r="BH274" s="3174">
        <f t="shared" si="165"/>
        <v>0</v>
      </c>
      <c r="BI274" s="3174">
        <f t="shared" si="166"/>
        <v>0</v>
      </c>
      <c r="BJ274" s="3174">
        <f t="shared" si="167"/>
        <v>0</v>
      </c>
      <c r="BK274" s="3174">
        <f t="shared" si="168"/>
        <v>0</v>
      </c>
      <c r="BL274" s="3174">
        <f t="shared" si="169"/>
        <v>0</v>
      </c>
      <c r="BM274" s="3174">
        <f t="shared" si="170"/>
        <v>0</v>
      </c>
      <c r="BN274" s="3174">
        <f t="shared" si="171"/>
        <v>0</v>
      </c>
      <c r="BO274" s="3174">
        <f t="shared" si="172"/>
        <v>0</v>
      </c>
      <c r="BP274" s="3174">
        <f t="shared" si="173"/>
        <v>0</v>
      </c>
      <c r="BQ274" s="3174">
        <f t="shared" si="174"/>
        <v>0</v>
      </c>
      <c r="BR274" s="3174">
        <f t="shared" si="175"/>
        <v>0</v>
      </c>
      <c r="BS274" s="3174">
        <f t="shared" si="176"/>
        <v>0</v>
      </c>
      <c r="BT274" s="3249">
        <f t="shared" si="177"/>
        <v>0</v>
      </c>
    </row>
    <row r="275" spans="1:72">
      <c r="A275" s="489"/>
      <c r="B275" s="356"/>
      <c r="C275" s="356"/>
      <c r="D275" s="3182"/>
      <c r="E275" s="3174">
        <f t="shared" si="149"/>
        <v>0</v>
      </c>
      <c r="F275" s="3175"/>
      <c r="G275" s="3176">
        <f t="shared" si="150"/>
        <v>0</v>
      </c>
      <c r="H275" s="3177">
        <f t="shared" si="151"/>
        <v>0</v>
      </c>
      <c r="I275" s="3200"/>
      <c r="J275" s="3200"/>
      <c r="K275" s="3200"/>
      <c r="L275" s="3200"/>
      <c r="M275" s="3200"/>
      <c r="N275" s="3200"/>
      <c r="O275" s="3200"/>
      <c r="P275" s="3200"/>
      <c r="Q275" s="3200"/>
      <c r="R275" s="3200"/>
      <c r="S275" s="3200"/>
      <c r="T275" s="3200"/>
      <c r="U275" s="3200"/>
      <c r="V275" s="3200"/>
      <c r="W275" s="3200"/>
      <c r="X275" s="3200"/>
      <c r="Y275" s="3200"/>
      <c r="Z275" s="3200"/>
      <c r="AA275" s="3200"/>
      <c r="AB275" s="3200"/>
      <c r="AC275" s="3174">
        <f t="shared" si="152"/>
        <v>0</v>
      </c>
      <c r="AD275" s="3212"/>
      <c r="AE275" s="3212"/>
      <c r="AF275" s="3212"/>
      <c r="AG275" s="3212"/>
      <c r="AH275" s="3212"/>
      <c r="AI275" s="3212"/>
      <c r="AJ275" s="3212"/>
      <c r="AK275" s="3212"/>
      <c r="AL275" s="3212"/>
      <c r="AM275" s="3212"/>
      <c r="AN275" s="3212"/>
      <c r="AO275" s="3212"/>
      <c r="AP275" s="3212"/>
      <c r="AQ275" s="3212"/>
      <c r="AR275" s="3212"/>
      <c r="AS275" s="3212"/>
      <c r="AT275" s="3175"/>
      <c r="AU275" s="3232"/>
      <c r="AV275" s="466">
        <f t="shared" si="153"/>
        <v>0</v>
      </c>
      <c r="AW275" s="466">
        <f t="shared" si="154"/>
        <v>0</v>
      </c>
      <c r="AX275" s="466">
        <f t="shared" si="155"/>
        <v>0</v>
      </c>
      <c r="AY275" s="385">
        <f t="shared" si="156"/>
        <v>0</v>
      </c>
      <c r="AZ275" s="3174">
        <f t="shared" si="157"/>
        <v>0</v>
      </c>
      <c r="BA275" s="3174">
        <f t="shared" si="158"/>
        <v>0</v>
      </c>
      <c r="BB275" s="3174">
        <f t="shared" si="159"/>
        <v>0</v>
      </c>
      <c r="BC275" s="3174">
        <f t="shared" si="160"/>
        <v>0</v>
      </c>
      <c r="BD275" s="3174">
        <f t="shared" si="161"/>
        <v>0</v>
      </c>
      <c r="BE275" s="3174">
        <f t="shared" si="162"/>
        <v>0</v>
      </c>
      <c r="BF275" s="3174">
        <f t="shared" si="163"/>
        <v>0</v>
      </c>
      <c r="BG275" s="3174">
        <f t="shared" si="164"/>
        <v>0</v>
      </c>
      <c r="BH275" s="3174">
        <f t="shared" si="165"/>
        <v>0</v>
      </c>
      <c r="BI275" s="3174">
        <f t="shared" si="166"/>
        <v>0</v>
      </c>
      <c r="BJ275" s="3174">
        <f t="shared" si="167"/>
        <v>0</v>
      </c>
      <c r="BK275" s="3174">
        <f t="shared" si="168"/>
        <v>0</v>
      </c>
      <c r="BL275" s="3174">
        <f t="shared" si="169"/>
        <v>0</v>
      </c>
      <c r="BM275" s="3174">
        <f t="shared" si="170"/>
        <v>0</v>
      </c>
      <c r="BN275" s="3174">
        <f t="shared" si="171"/>
        <v>0</v>
      </c>
      <c r="BO275" s="3174">
        <f t="shared" si="172"/>
        <v>0</v>
      </c>
      <c r="BP275" s="3174">
        <f t="shared" si="173"/>
        <v>0</v>
      </c>
      <c r="BQ275" s="3174">
        <f t="shared" si="174"/>
        <v>0</v>
      </c>
      <c r="BR275" s="3174">
        <f t="shared" si="175"/>
        <v>0</v>
      </c>
      <c r="BS275" s="3174">
        <f t="shared" si="176"/>
        <v>0</v>
      </c>
      <c r="BT275" s="3249">
        <f t="shared" si="177"/>
        <v>0</v>
      </c>
    </row>
    <row r="276" spans="1:72">
      <c r="A276" s="489"/>
      <c r="B276" s="356"/>
      <c r="C276" s="356"/>
      <c r="D276" s="3182"/>
      <c r="E276" s="3174">
        <f t="shared" si="149"/>
        <v>0</v>
      </c>
      <c r="F276" s="3175"/>
      <c r="G276" s="3176">
        <f t="shared" si="150"/>
        <v>0</v>
      </c>
      <c r="H276" s="3177">
        <f t="shared" si="151"/>
        <v>0</v>
      </c>
      <c r="I276" s="3200"/>
      <c r="J276" s="3200"/>
      <c r="K276" s="3200"/>
      <c r="L276" s="3200"/>
      <c r="M276" s="3200"/>
      <c r="N276" s="3200"/>
      <c r="O276" s="3200"/>
      <c r="P276" s="3200"/>
      <c r="Q276" s="3200"/>
      <c r="R276" s="3200"/>
      <c r="S276" s="3200"/>
      <c r="T276" s="3200"/>
      <c r="U276" s="3200"/>
      <c r="V276" s="3200"/>
      <c r="W276" s="3200"/>
      <c r="X276" s="3200"/>
      <c r="Y276" s="3200"/>
      <c r="Z276" s="3200"/>
      <c r="AA276" s="3200"/>
      <c r="AB276" s="3200"/>
      <c r="AC276" s="3174">
        <f t="shared" si="152"/>
        <v>0</v>
      </c>
      <c r="AD276" s="3212"/>
      <c r="AE276" s="3212"/>
      <c r="AF276" s="3212"/>
      <c r="AG276" s="3212"/>
      <c r="AH276" s="3212"/>
      <c r="AI276" s="3212"/>
      <c r="AJ276" s="3212"/>
      <c r="AK276" s="3212"/>
      <c r="AL276" s="3212"/>
      <c r="AM276" s="3212"/>
      <c r="AN276" s="3212"/>
      <c r="AO276" s="3212"/>
      <c r="AP276" s="3212"/>
      <c r="AQ276" s="3212"/>
      <c r="AR276" s="3212"/>
      <c r="AS276" s="3212"/>
      <c r="AT276" s="3175"/>
      <c r="AU276" s="3232"/>
      <c r="AV276" s="466">
        <f t="shared" si="153"/>
        <v>0</v>
      </c>
      <c r="AW276" s="466">
        <f t="shared" si="154"/>
        <v>0</v>
      </c>
      <c r="AX276" s="466">
        <f t="shared" si="155"/>
        <v>0</v>
      </c>
      <c r="AY276" s="385">
        <f t="shared" si="156"/>
        <v>0</v>
      </c>
      <c r="AZ276" s="3174">
        <f t="shared" si="157"/>
        <v>0</v>
      </c>
      <c r="BA276" s="3174">
        <f t="shared" si="158"/>
        <v>0</v>
      </c>
      <c r="BB276" s="3174">
        <f t="shared" si="159"/>
        <v>0</v>
      </c>
      <c r="BC276" s="3174">
        <f t="shared" si="160"/>
        <v>0</v>
      </c>
      <c r="BD276" s="3174">
        <f t="shared" si="161"/>
        <v>0</v>
      </c>
      <c r="BE276" s="3174">
        <f t="shared" si="162"/>
        <v>0</v>
      </c>
      <c r="BF276" s="3174">
        <f t="shared" si="163"/>
        <v>0</v>
      </c>
      <c r="BG276" s="3174">
        <f t="shared" si="164"/>
        <v>0</v>
      </c>
      <c r="BH276" s="3174">
        <f t="shared" si="165"/>
        <v>0</v>
      </c>
      <c r="BI276" s="3174">
        <f t="shared" si="166"/>
        <v>0</v>
      </c>
      <c r="BJ276" s="3174">
        <f t="shared" si="167"/>
        <v>0</v>
      </c>
      <c r="BK276" s="3174">
        <f t="shared" si="168"/>
        <v>0</v>
      </c>
      <c r="BL276" s="3174">
        <f t="shared" si="169"/>
        <v>0</v>
      </c>
      <c r="BM276" s="3174">
        <f t="shared" si="170"/>
        <v>0</v>
      </c>
      <c r="BN276" s="3174">
        <f t="shared" si="171"/>
        <v>0</v>
      </c>
      <c r="BO276" s="3174">
        <f t="shared" si="172"/>
        <v>0</v>
      </c>
      <c r="BP276" s="3174">
        <f t="shared" si="173"/>
        <v>0</v>
      </c>
      <c r="BQ276" s="3174">
        <f t="shared" si="174"/>
        <v>0</v>
      </c>
      <c r="BR276" s="3174">
        <f t="shared" si="175"/>
        <v>0</v>
      </c>
      <c r="BS276" s="3174">
        <f t="shared" si="176"/>
        <v>0</v>
      </c>
      <c r="BT276" s="3249">
        <f t="shared" si="177"/>
        <v>0</v>
      </c>
    </row>
    <row r="277" spans="1:72">
      <c r="A277" s="489"/>
      <c r="B277" s="356"/>
      <c r="C277" s="356"/>
      <c r="D277" s="3182"/>
      <c r="E277" s="3174">
        <f t="shared" si="149"/>
        <v>0</v>
      </c>
      <c r="F277" s="3175"/>
      <c r="G277" s="3176">
        <f t="shared" si="150"/>
        <v>0</v>
      </c>
      <c r="H277" s="3177">
        <f t="shared" si="151"/>
        <v>0</v>
      </c>
      <c r="I277" s="3200"/>
      <c r="J277" s="3200"/>
      <c r="K277" s="3200"/>
      <c r="L277" s="3200"/>
      <c r="M277" s="3200"/>
      <c r="N277" s="3200"/>
      <c r="O277" s="3200"/>
      <c r="P277" s="3200"/>
      <c r="Q277" s="3200"/>
      <c r="R277" s="3200"/>
      <c r="S277" s="3200"/>
      <c r="T277" s="3200"/>
      <c r="U277" s="3200"/>
      <c r="V277" s="3200"/>
      <c r="W277" s="3200"/>
      <c r="X277" s="3200"/>
      <c r="Y277" s="3200"/>
      <c r="Z277" s="3200"/>
      <c r="AA277" s="3200"/>
      <c r="AB277" s="3200"/>
      <c r="AC277" s="3174">
        <f t="shared" si="152"/>
        <v>0</v>
      </c>
      <c r="AD277" s="3212"/>
      <c r="AE277" s="3212"/>
      <c r="AF277" s="3212"/>
      <c r="AG277" s="3212"/>
      <c r="AH277" s="3212"/>
      <c r="AI277" s="3212"/>
      <c r="AJ277" s="3212"/>
      <c r="AK277" s="3212"/>
      <c r="AL277" s="3212"/>
      <c r="AM277" s="3212"/>
      <c r="AN277" s="3212"/>
      <c r="AO277" s="3212"/>
      <c r="AP277" s="3212"/>
      <c r="AQ277" s="3212"/>
      <c r="AR277" s="3212"/>
      <c r="AS277" s="3212"/>
      <c r="AT277" s="3175"/>
      <c r="AU277" s="3232"/>
      <c r="AV277" s="466">
        <f t="shared" si="153"/>
        <v>0</v>
      </c>
      <c r="AW277" s="466">
        <f t="shared" si="154"/>
        <v>0</v>
      </c>
      <c r="AX277" s="466">
        <f t="shared" si="155"/>
        <v>0</v>
      </c>
      <c r="AY277" s="385">
        <f t="shared" si="156"/>
        <v>0</v>
      </c>
      <c r="AZ277" s="3174">
        <f t="shared" si="157"/>
        <v>0</v>
      </c>
      <c r="BA277" s="3174">
        <f t="shared" si="158"/>
        <v>0</v>
      </c>
      <c r="BB277" s="3174">
        <f t="shared" si="159"/>
        <v>0</v>
      </c>
      <c r="BC277" s="3174">
        <f t="shared" si="160"/>
        <v>0</v>
      </c>
      <c r="BD277" s="3174">
        <f t="shared" si="161"/>
        <v>0</v>
      </c>
      <c r="BE277" s="3174">
        <f t="shared" si="162"/>
        <v>0</v>
      </c>
      <c r="BF277" s="3174">
        <f t="shared" si="163"/>
        <v>0</v>
      </c>
      <c r="BG277" s="3174">
        <f t="shared" si="164"/>
        <v>0</v>
      </c>
      <c r="BH277" s="3174">
        <f t="shared" si="165"/>
        <v>0</v>
      </c>
      <c r="BI277" s="3174">
        <f t="shared" si="166"/>
        <v>0</v>
      </c>
      <c r="BJ277" s="3174">
        <f t="shared" si="167"/>
        <v>0</v>
      </c>
      <c r="BK277" s="3174">
        <f t="shared" si="168"/>
        <v>0</v>
      </c>
      <c r="BL277" s="3174">
        <f t="shared" si="169"/>
        <v>0</v>
      </c>
      <c r="BM277" s="3174">
        <f t="shared" si="170"/>
        <v>0</v>
      </c>
      <c r="BN277" s="3174">
        <f t="shared" si="171"/>
        <v>0</v>
      </c>
      <c r="BO277" s="3174">
        <f t="shared" si="172"/>
        <v>0</v>
      </c>
      <c r="BP277" s="3174">
        <f t="shared" si="173"/>
        <v>0</v>
      </c>
      <c r="BQ277" s="3174">
        <f t="shared" si="174"/>
        <v>0</v>
      </c>
      <c r="BR277" s="3174">
        <f t="shared" si="175"/>
        <v>0</v>
      </c>
      <c r="BS277" s="3174">
        <f t="shared" si="176"/>
        <v>0</v>
      </c>
      <c r="BT277" s="3249">
        <f t="shared" si="177"/>
        <v>0</v>
      </c>
    </row>
    <row r="278" spans="1:72">
      <c r="A278" s="489"/>
      <c r="B278" s="356"/>
      <c r="C278" s="356"/>
      <c r="D278" s="3182"/>
      <c r="E278" s="3174">
        <f t="shared" si="149"/>
        <v>0</v>
      </c>
      <c r="F278" s="3175"/>
      <c r="G278" s="3176">
        <f t="shared" si="150"/>
        <v>0</v>
      </c>
      <c r="H278" s="3177">
        <f t="shared" si="151"/>
        <v>0</v>
      </c>
      <c r="I278" s="3200"/>
      <c r="J278" s="3200"/>
      <c r="K278" s="3200"/>
      <c r="L278" s="3200"/>
      <c r="M278" s="3200"/>
      <c r="N278" s="3200"/>
      <c r="O278" s="3200"/>
      <c r="P278" s="3200"/>
      <c r="Q278" s="3200"/>
      <c r="R278" s="3200"/>
      <c r="S278" s="3200"/>
      <c r="T278" s="3200"/>
      <c r="U278" s="3200"/>
      <c r="V278" s="3200"/>
      <c r="W278" s="3200"/>
      <c r="X278" s="3200"/>
      <c r="Y278" s="3200"/>
      <c r="Z278" s="3200"/>
      <c r="AA278" s="3200"/>
      <c r="AB278" s="3200"/>
      <c r="AC278" s="3174">
        <f t="shared" si="152"/>
        <v>0</v>
      </c>
      <c r="AD278" s="3212"/>
      <c r="AE278" s="3212"/>
      <c r="AF278" s="3212"/>
      <c r="AG278" s="3212"/>
      <c r="AH278" s="3212"/>
      <c r="AI278" s="3212"/>
      <c r="AJ278" s="3212"/>
      <c r="AK278" s="3212"/>
      <c r="AL278" s="3212"/>
      <c r="AM278" s="3212"/>
      <c r="AN278" s="3212"/>
      <c r="AO278" s="3212"/>
      <c r="AP278" s="3212"/>
      <c r="AQ278" s="3212"/>
      <c r="AR278" s="3212"/>
      <c r="AS278" s="3212"/>
      <c r="AT278" s="3175"/>
      <c r="AU278" s="3232"/>
      <c r="AV278" s="466">
        <f t="shared" si="153"/>
        <v>0</v>
      </c>
      <c r="AW278" s="466">
        <f t="shared" si="154"/>
        <v>0</v>
      </c>
      <c r="AX278" s="466">
        <f t="shared" si="155"/>
        <v>0</v>
      </c>
      <c r="AY278" s="385">
        <f t="shared" si="156"/>
        <v>0</v>
      </c>
      <c r="AZ278" s="3174">
        <f t="shared" si="157"/>
        <v>0</v>
      </c>
      <c r="BA278" s="3174">
        <f t="shared" si="158"/>
        <v>0</v>
      </c>
      <c r="BB278" s="3174">
        <f t="shared" si="159"/>
        <v>0</v>
      </c>
      <c r="BC278" s="3174">
        <f t="shared" si="160"/>
        <v>0</v>
      </c>
      <c r="BD278" s="3174">
        <f t="shared" si="161"/>
        <v>0</v>
      </c>
      <c r="BE278" s="3174">
        <f t="shared" si="162"/>
        <v>0</v>
      </c>
      <c r="BF278" s="3174">
        <f t="shared" si="163"/>
        <v>0</v>
      </c>
      <c r="BG278" s="3174">
        <f t="shared" si="164"/>
        <v>0</v>
      </c>
      <c r="BH278" s="3174">
        <f t="shared" si="165"/>
        <v>0</v>
      </c>
      <c r="BI278" s="3174">
        <f t="shared" si="166"/>
        <v>0</v>
      </c>
      <c r="BJ278" s="3174">
        <f t="shared" si="167"/>
        <v>0</v>
      </c>
      <c r="BK278" s="3174">
        <f t="shared" si="168"/>
        <v>0</v>
      </c>
      <c r="BL278" s="3174">
        <f t="shared" si="169"/>
        <v>0</v>
      </c>
      <c r="BM278" s="3174">
        <f t="shared" si="170"/>
        <v>0</v>
      </c>
      <c r="BN278" s="3174">
        <f t="shared" si="171"/>
        <v>0</v>
      </c>
      <c r="BO278" s="3174">
        <f t="shared" si="172"/>
        <v>0</v>
      </c>
      <c r="BP278" s="3174">
        <f t="shared" si="173"/>
        <v>0</v>
      </c>
      <c r="BQ278" s="3174">
        <f t="shared" si="174"/>
        <v>0</v>
      </c>
      <c r="BR278" s="3174">
        <f t="shared" si="175"/>
        <v>0</v>
      </c>
      <c r="BS278" s="3174">
        <f t="shared" si="176"/>
        <v>0</v>
      </c>
      <c r="BT278" s="3249">
        <f t="shared" si="177"/>
        <v>0</v>
      </c>
    </row>
    <row r="279" spans="1:72">
      <c r="A279" s="489"/>
      <c r="B279" s="356"/>
      <c r="C279" s="356"/>
      <c r="D279" s="3182"/>
      <c r="E279" s="3174">
        <f t="shared" si="149"/>
        <v>0</v>
      </c>
      <c r="F279" s="3175"/>
      <c r="G279" s="3176">
        <f t="shared" si="150"/>
        <v>0</v>
      </c>
      <c r="H279" s="3177">
        <f t="shared" si="151"/>
        <v>0</v>
      </c>
      <c r="I279" s="3200"/>
      <c r="J279" s="3200"/>
      <c r="K279" s="3200"/>
      <c r="L279" s="3200"/>
      <c r="M279" s="3200"/>
      <c r="N279" s="3200"/>
      <c r="O279" s="3200"/>
      <c r="P279" s="3200"/>
      <c r="Q279" s="3200"/>
      <c r="R279" s="3200"/>
      <c r="S279" s="3200"/>
      <c r="T279" s="3200"/>
      <c r="U279" s="3200"/>
      <c r="V279" s="3200"/>
      <c r="W279" s="3200"/>
      <c r="X279" s="3200"/>
      <c r="Y279" s="3200"/>
      <c r="Z279" s="3200"/>
      <c r="AA279" s="3200"/>
      <c r="AB279" s="3200"/>
      <c r="AC279" s="3174">
        <f t="shared" si="152"/>
        <v>0</v>
      </c>
      <c r="AD279" s="3212"/>
      <c r="AE279" s="3212"/>
      <c r="AF279" s="3212"/>
      <c r="AG279" s="3212"/>
      <c r="AH279" s="3212"/>
      <c r="AI279" s="3212"/>
      <c r="AJ279" s="3212"/>
      <c r="AK279" s="3212"/>
      <c r="AL279" s="3212"/>
      <c r="AM279" s="3212"/>
      <c r="AN279" s="3212"/>
      <c r="AO279" s="3212"/>
      <c r="AP279" s="3212"/>
      <c r="AQ279" s="3212"/>
      <c r="AR279" s="3212"/>
      <c r="AS279" s="3212"/>
      <c r="AT279" s="3175"/>
      <c r="AU279" s="3232"/>
      <c r="AV279" s="466">
        <f t="shared" si="153"/>
        <v>0</v>
      </c>
      <c r="AW279" s="466">
        <f t="shared" si="154"/>
        <v>0</v>
      </c>
      <c r="AX279" s="466">
        <f t="shared" si="155"/>
        <v>0</v>
      </c>
      <c r="AY279" s="385">
        <f t="shared" si="156"/>
        <v>0</v>
      </c>
      <c r="AZ279" s="3174">
        <f t="shared" si="157"/>
        <v>0</v>
      </c>
      <c r="BA279" s="3174">
        <f t="shared" si="158"/>
        <v>0</v>
      </c>
      <c r="BB279" s="3174">
        <f t="shared" si="159"/>
        <v>0</v>
      </c>
      <c r="BC279" s="3174">
        <f t="shared" si="160"/>
        <v>0</v>
      </c>
      <c r="BD279" s="3174">
        <f t="shared" si="161"/>
        <v>0</v>
      </c>
      <c r="BE279" s="3174">
        <f t="shared" si="162"/>
        <v>0</v>
      </c>
      <c r="BF279" s="3174">
        <f t="shared" si="163"/>
        <v>0</v>
      </c>
      <c r="BG279" s="3174">
        <f t="shared" si="164"/>
        <v>0</v>
      </c>
      <c r="BH279" s="3174">
        <f t="shared" si="165"/>
        <v>0</v>
      </c>
      <c r="BI279" s="3174">
        <f t="shared" si="166"/>
        <v>0</v>
      </c>
      <c r="BJ279" s="3174">
        <f t="shared" si="167"/>
        <v>0</v>
      </c>
      <c r="BK279" s="3174">
        <f t="shared" si="168"/>
        <v>0</v>
      </c>
      <c r="BL279" s="3174">
        <f t="shared" si="169"/>
        <v>0</v>
      </c>
      <c r="BM279" s="3174">
        <f t="shared" si="170"/>
        <v>0</v>
      </c>
      <c r="BN279" s="3174">
        <f t="shared" si="171"/>
        <v>0</v>
      </c>
      <c r="BO279" s="3174">
        <f t="shared" si="172"/>
        <v>0</v>
      </c>
      <c r="BP279" s="3174">
        <f t="shared" si="173"/>
        <v>0</v>
      </c>
      <c r="BQ279" s="3174">
        <f t="shared" si="174"/>
        <v>0</v>
      </c>
      <c r="BR279" s="3174">
        <f t="shared" si="175"/>
        <v>0</v>
      </c>
      <c r="BS279" s="3174">
        <f t="shared" si="176"/>
        <v>0</v>
      </c>
      <c r="BT279" s="3249">
        <f t="shared" si="177"/>
        <v>0</v>
      </c>
    </row>
    <row r="280" spans="1:72">
      <c r="A280" s="489"/>
      <c r="B280" s="356"/>
      <c r="C280" s="356"/>
      <c r="D280" s="3182"/>
      <c r="E280" s="3174">
        <f t="shared" si="149"/>
        <v>0</v>
      </c>
      <c r="F280" s="3175"/>
      <c r="G280" s="3176">
        <f t="shared" si="150"/>
        <v>0</v>
      </c>
      <c r="H280" s="3177">
        <f t="shared" si="151"/>
        <v>0</v>
      </c>
      <c r="I280" s="3200"/>
      <c r="J280" s="3200"/>
      <c r="K280" s="3200"/>
      <c r="L280" s="3200"/>
      <c r="M280" s="3200"/>
      <c r="N280" s="3200"/>
      <c r="O280" s="3200"/>
      <c r="P280" s="3200"/>
      <c r="Q280" s="3200"/>
      <c r="R280" s="3200"/>
      <c r="S280" s="3200"/>
      <c r="T280" s="3200"/>
      <c r="U280" s="3200"/>
      <c r="V280" s="3200"/>
      <c r="W280" s="3200"/>
      <c r="X280" s="3200"/>
      <c r="Y280" s="3200"/>
      <c r="Z280" s="3200"/>
      <c r="AA280" s="3200"/>
      <c r="AB280" s="3200"/>
      <c r="AC280" s="3174">
        <f t="shared" si="152"/>
        <v>0</v>
      </c>
      <c r="AD280" s="3212"/>
      <c r="AE280" s="3212"/>
      <c r="AF280" s="3212"/>
      <c r="AG280" s="3212"/>
      <c r="AH280" s="3212"/>
      <c r="AI280" s="3212"/>
      <c r="AJ280" s="3212"/>
      <c r="AK280" s="3212"/>
      <c r="AL280" s="3212"/>
      <c r="AM280" s="3212"/>
      <c r="AN280" s="3212"/>
      <c r="AO280" s="3212"/>
      <c r="AP280" s="3212"/>
      <c r="AQ280" s="3212"/>
      <c r="AR280" s="3212"/>
      <c r="AS280" s="3212"/>
      <c r="AT280" s="3175"/>
      <c r="AU280" s="3232"/>
      <c r="AV280" s="466">
        <f t="shared" si="153"/>
        <v>0</v>
      </c>
      <c r="AW280" s="466">
        <f t="shared" si="154"/>
        <v>0</v>
      </c>
      <c r="AX280" s="466">
        <f t="shared" si="155"/>
        <v>0</v>
      </c>
      <c r="AY280" s="385">
        <f t="shared" si="156"/>
        <v>0</v>
      </c>
      <c r="AZ280" s="3174">
        <f t="shared" si="157"/>
        <v>0</v>
      </c>
      <c r="BA280" s="3174">
        <f t="shared" si="158"/>
        <v>0</v>
      </c>
      <c r="BB280" s="3174">
        <f t="shared" si="159"/>
        <v>0</v>
      </c>
      <c r="BC280" s="3174">
        <f t="shared" si="160"/>
        <v>0</v>
      </c>
      <c r="BD280" s="3174">
        <f t="shared" si="161"/>
        <v>0</v>
      </c>
      <c r="BE280" s="3174">
        <f t="shared" si="162"/>
        <v>0</v>
      </c>
      <c r="BF280" s="3174">
        <f t="shared" si="163"/>
        <v>0</v>
      </c>
      <c r="BG280" s="3174">
        <f t="shared" si="164"/>
        <v>0</v>
      </c>
      <c r="BH280" s="3174">
        <f t="shared" si="165"/>
        <v>0</v>
      </c>
      <c r="BI280" s="3174">
        <f t="shared" si="166"/>
        <v>0</v>
      </c>
      <c r="BJ280" s="3174">
        <f t="shared" si="167"/>
        <v>0</v>
      </c>
      <c r="BK280" s="3174">
        <f t="shared" si="168"/>
        <v>0</v>
      </c>
      <c r="BL280" s="3174">
        <f t="shared" si="169"/>
        <v>0</v>
      </c>
      <c r="BM280" s="3174">
        <f t="shared" si="170"/>
        <v>0</v>
      </c>
      <c r="BN280" s="3174">
        <f t="shared" si="171"/>
        <v>0</v>
      </c>
      <c r="BO280" s="3174">
        <f t="shared" si="172"/>
        <v>0</v>
      </c>
      <c r="BP280" s="3174">
        <f t="shared" si="173"/>
        <v>0</v>
      </c>
      <c r="BQ280" s="3174">
        <f t="shared" si="174"/>
        <v>0</v>
      </c>
      <c r="BR280" s="3174">
        <f t="shared" si="175"/>
        <v>0</v>
      </c>
      <c r="BS280" s="3174">
        <f t="shared" si="176"/>
        <v>0</v>
      </c>
      <c r="BT280" s="3249">
        <f t="shared" si="177"/>
        <v>0</v>
      </c>
    </row>
    <row r="281" spans="1:72">
      <c r="A281" s="489"/>
      <c r="B281" s="356"/>
      <c r="C281" s="356"/>
      <c r="D281" s="3182"/>
      <c r="E281" s="3174">
        <f t="shared" si="149"/>
        <v>0</v>
      </c>
      <c r="F281" s="3175"/>
      <c r="G281" s="3176">
        <f t="shared" si="150"/>
        <v>0</v>
      </c>
      <c r="H281" s="3177">
        <f t="shared" si="151"/>
        <v>0</v>
      </c>
      <c r="I281" s="3200"/>
      <c r="J281" s="3200"/>
      <c r="K281" s="3200"/>
      <c r="L281" s="3200"/>
      <c r="M281" s="3200"/>
      <c r="N281" s="3200"/>
      <c r="O281" s="3200"/>
      <c r="P281" s="3200"/>
      <c r="Q281" s="3200"/>
      <c r="R281" s="3200"/>
      <c r="S281" s="3200"/>
      <c r="T281" s="3200"/>
      <c r="U281" s="3200"/>
      <c r="V281" s="3200"/>
      <c r="W281" s="3200"/>
      <c r="X281" s="3200"/>
      <c r="Y281" s="3200"/>
      <c r="Z281" s="3200"/>
      <c r="AA281" s="3200"/>
      <c r="AB281" s="3200"/>
      <c r="AC281" s="3174">
        <f t="shared" si="152"/>
        <v>0</v>
      </c>
      <c r="AD281" s="3212"/>
      <c r="AE281" s="3212"/>
      <c r="AF281" s="3212"/>
      <c r="AG281" s="3212"/>
      <c r="AH281" s="3212"/>
      <c r="AI281" s="3212"/>
      <c r="AJ281" s="3212"/>
      <c r="AK281" s="3212"/>
      <c r="AL281" s="3212"/>
      <c r="AM281" s="3212"/>
      <c r="AN281" s="3212"/>
      <c r="AO281" s="3212"/>
      <c r="AP281" s="3212"/>
      <c r="AQ281" s="3212"/>
      <c r="AR281" s="3212"/>
      <c r="AS281" s="3212"/>
      <c r="AT281" s="3175"/>
      <c r="AU281" s="3232"/>
      <c r="AV281" s="466">
        <f t="shared" si="153"/>
        <v>0</v>
      </c>
      <c r="AW281" s="466">
        <f t="shared" si="154"/>
        <v>0</v>
      </c>
      <c r="AX281" s="466">
        <f t="shared" si="155"/>
        <v>0</v>
      </c>
      <c r="AY281" s="385">
        <f t="shared" si="156"/>
        <v>0</v>
      </c>
      <c r="AZ281" s="3174">
        <f t="shared" si="157"/>
        <v>0</v>
      </c>
      <c r="BA281" s="3174">
        <f t="shared" si="158"/>
        <v>0</v>
      </c>
      <c r="BB281" s="3174">
        <f t="shared" si="159"/>
        <v>0</v>
      </c>
      <c r="BC281" s="3174">
        <f t="shared" si="160"/>
        <v>0</v>
      </c>
      <c r="BD281" s="3174">
        <f t="shared" si="161"/>
        <v>0</v>
      </c>
      <c r="BE281" s="3174">
        <f t="shared" si="162"/>
        <v>0</v>
      </c>
      <c r="BF281" s="3174">
        <f t="shared" si="163"/>
        <v>0</v>
      </c>
      <c r="BG281" s="3174">
        <f t="shared" si="164"/>
        <v>0</v>
      </c>
      <c r="BH281" s="3174">
        <f t="shared" si="165"/>
        <v>0</v>
      </c>
      <c r="BI281" s="3174">
        <f t="shared" si="166"/>
        <v>0</v>
      </c>
      <c r="BJ281" s="3174">
        <f t="shared" si="167"/>
        <v>0</v>
      </c>
      <c r="BK281" s="3174">
        <f t="shared" si="168"/>
        <v>0</v>
      </c>
      <c r="BL281" s="3174">
        <f t="shared" si="169"/>
        <v>0</v>
      </c>
      <c r="BM281" s="3174">
        <f t="shared" si="170"/>
        <v>0</v>
      </c>
      <c r="BN281" s="3174">
        <f t="shared" si="171"/>
        <v>0</v>
      </c>
      <c r="BO281" s="3174">
        <f t="shared" si="172"/>
        <v>0</v>
      </c>
      <c r="BP281" s="3174">
        <f t="shared" si="173"/>
        <v>0</v>
      </c>
      <c r="BQ281" s="3174">
        <f t="shared" si="174"/>
        <v>0</v>
      </c>
      <c r="BR281" s="3174">
        <f t="shared" si="175"/>
        <v>0</v>
      </c>
      <c r="BS281" s="3174">
        <f t="shared" si="176"/>
        <v>0</v>
      </c>
      <c r="BT281" s="3249">
        <f t="shared" si="177"/>
        <v>0</v>
      </c>
    </row>
    <row r="282" spans="1:72">
      <c r="A282" s="489"/>
      <c r="B282" s="356"/>
      <c r="C282" s="356"/>
      <c r="D282" s="3182"/>
      <c r="E282" s="3174">
        <f t="shared" si="149"/>
        <v>0</v>
      </c>
      <c r="F282" s="3175"/>
      <c r="G282" s="3176">
        <f t="shared" si="150"/>
        <v>0</v>
      </c>
      <c r="H282" s="3177">
        <f t="shared" si="151"/>
        <v>0</v>
      </c>
      <c r="I282" s="3200"/>
      <c r="J282" s="3200"/>
      <c r="K282" s="3200"/>
      <c r="L282" s="3200"/>
      <c r="M282" s="3200"/>
      <c r="N282" s="3200"/>
      <c r="O282" s="3200"/>
      <c r="P282" s="3200"/>
      <c r="Q282" s="3200"/>
      <c r="R282" s="3200"/>
      <c r="S282" s="3200"/>
      <c r="T282" s="3200"/>
      <c r="U282" s="3200"/>
      <c r="V282" s="3200"/>
      <c r="W282" s="3200"/>
      <c r="X282" s="3200"/>
      <c r="Y282" s="3200"/>
      <c r="Z282" s="3200"/>
      <c r="AA282" s="3200"/>
      <c r="AB282" s="3200"/>
      <c r="AC282" s="3174">
        <f t="shared" si="152"/>
        <v>0</v>
      </c>
      <c r="AD282" s="3212"/>
      <c r="AE282" s="3212"/>
      <c r="AF282" s="3212"/>
      <c r="AG282" s="3212"/>
      <c r="AH282" s="3212"/>
      <c r="AI282" s="3212"/>
      <c r="AJ282" s="3212"/>
      <c r="AK282" s="3212"/>
      <c r="AL282" s="3212"/>
      <c r="AM282" s="3212"/>
      <c r="AN282" s="3212"/>
      <c r="AO282" s="3212"/>
      <c r="AP282" s="3212"/>
      <c r="AQ282" s="3212"/>
      <c r="AR282" s="3212"/>
      <c r="AS282" s="3212"/>
      <c r="AT282" s="3175"/>
      <c r="AU282" s="3232"/>
      <c r="AV282" s="466">
        <f t="shared" si="153"/>
        <v>0</v>
      </c>
      <c r="AW282" s="466">
        <f t="shared" si="154"/>
        <v>0</v>
      </c>
      <c r="AX282" s="466">
        <f t="shared" si="155"/>
        <v>0</v>
      </c>
      <c r="AY282" s="385">
        <f t="shared" si="156"/>
        <v>0</v>
      </c>
      <c r="AZ282" s="3174">
        <f t="shared" si="157"/>
        <v>0</v>
      </c>
      <c r="BA282" s="3174">
        <f t="shared" si="158"/>
        <v>0</v>
      </c>
      <c r="BB282" s="3174">
        <f t="shared" si="159"/>
        <v>0</v>
      </c>
      <c r="BC282" s="3174">
        <f t="shared" si="160"/>
        <v>0</v>
      </c>
      <c r="BD282" s="3174">
        <f t="shared" si="161"/>
        <v>0</v>
      </c>
      <c r="BE282" s="3174">
        <f t="shared" si="162"/>
        <v>0</v>
      </c>
      <c r="BF282" s="3174">
        <f t="shared" si="163"/>
        <v>0</v>
      </c>
      <c r="BG282" s="3174">
        <f t="shared" si="164"/>
        <v>0</v>
      </c>
      <c r="BH282" s="3174">
        <f t="shared" si="165"/>
        <v>0</v>
      </c>
      <c r="BI282" s="3174">
        <f t="shared" si="166"/>
        <v>0</v>
      </c>
      <c r="BJ282" s="3174">
        <f t="shared" si="167"/>
        <v>0</v>
      </c>
      <c r="BK282" s="3174">
        <f t="shared" si="168"/>
        <v>0</v>
      </c>
      <c r="BL282" s="3174">
        <f t="shared" si="169"/>
        <v>0</v>
      </c>
      <c r="BM282" s="3174">
        <f t="shared" si="170"/>
        <v>0</v>
      </c>
      <c r="BN282" s="3174">
        <f t="shared" si="171"/>
        <v>0</v>
      </c>
      <c r="BO282" s="3174">
        <f t="shared" si="172"/>
        <v>0</v>
      </c>
      <c r="BP282" s="3174">
        <f t="shared" si="173"/>
        <v>0</v>
      </c>
      <c r="BQ282" s="3174">
        <f t="shared" si="174"/>
        <v>0</v>
      </c>
      <c r="BR282" s="3174">
        <f t="shared" si="175"/>
        <v>0</v>
      </c>
      <c r="BS282" s="3174">
        <f t="shared" si="176"/>
        <v>0</v>
      </c>
      <c r="BT282" s="3249">
        <f t="shared" si="177"/>
        <v>0</v>
      </c>
    </row>
    <row r="283" spans="1:72">
      <c r="A283" s="489"/>
      <c r="B283" s="356"/>
      <c r="C283" s="356"/>
      <c r="D283" s="3182"/>
      <c r="E283" s="3174">
        <f t="shared" si="149"/>
        <v>0</v>
      </c>
      <c r="F283" s="3175"/>
      <c r="G283" s="3176">
        <f t="shared" si="150"/>
        <v>0</v>
      </c>
      <c r="H283" s="3177">
        <f t="shared" si="151"/>
        <v>0</v>
      </c>
      <c r="I283" s="3200"/>
      <c r="J283" s="3200"/>
      <c r="K283" s="3200"/>
      <c r="L283" s="3200"/>
      <c r="M283" s="3200"/>
      <c r="N283" s="3200"/>
      <c r="O283" s="3200"/>
      <c r="P283" s="3200"/>
      <c r="Q283" s="3200"/>
      <c r="R283" s="3200"/>
      <c r="S283" s="3200"/>
      <c r="T283" s="3200"/>
      <c r="U283" s="3200"/>
      <c r="V283" s="3200"/>
      <c r="W283" s="3200"/>
      <c r="X283" s="3200"/>
      <c r="Y283" s="3200"/>
      <c r="Z283" s="3200"/>
      <c r="AA283" s="3200"/>
      <c r="AB283" s="3200"/>
      <c r="AC283" s="3174">
        <f t="shared" si="152"/>
        <v>0</v>
      </c>
      <c r="AD283" s="3212"/>
      <c r="AE283" s="3212"/>
      <c r="AF283" s="3212"/>
      <c r="AG283" s="3212"/>
      <c r="AH283" s="3212"/>
      <c r="AI283" s="3212"/>
      <c r="AJ283" s="3212"/>
      <c r="AK283" s="3212"/>
      <c r="AL283" s="3212"/>
      <c r="AM283" s="3212"/>
      <c r="AN283" s="3212"/>
      <c r="AO283" s="3212"/>
      <c r="AP283" s="3212"/>
      <c r="AQ283" s="3212"/>
      <c r="AR283" s="3212"/>
      <c r="AS283" s="3212"/>
      <c r="AT283" s="3175"/>
      <c r="AU283" s="3232"/>
      <c r="AV283" s="466">
        <f t="shared" si="153"/>
        <v>0</v>
      </c>
      <c r="AW283" s="466">
        <f t="shared" si="154"/>
        <v>0</v>
      </c>
      <c r="AX283" s="466">
        <f t="shared" si="155"/>
        <v>0</v>
      </c>
      <c r="AY283" s="385">
        <f t="shared" si="156"/>
        <v>0</v>
      </c>
      <c r="AZ283" s="3174">
        <f t="shared" si="157"/>
        <v>0</v>
      </c>
      <c r="BA283" s="3174">
        <f t="shared" si="158"/>
        <v>0</v>
      </c>
      <c r="BB283" s="3174">
        <f t="shared" si="159"/>
        <v>0</v>
      </c>
      <c r="BC283" s="3174">
        <f t="shared" si="160"/>
        <v>0</v>
      </c>
      <c r="BD283" s="3174">
        <f t="shared" si="161"/>
        <v>0</v>
      </c>
      <c r="BE283" s="3174">
        <f t="shared" si="162"/>
        <v>0</v>
      </c>
      <c r="BF283" s="3174">
        <f t="shared" si="163"/>
        <v>0</v>
      </c>
      <c r="BG283" s="3174">
        <f t="shared" si="164"/>
        <v>0</v>
      </c>
      <c r="BH283" s="3174">
        <f t="shared" si="165"/>
        <v>0</v>
      </c>
      <c r="BI283" s="3174">
        <f t="shared" si="166"/>
        <v>0</v>
      </c>
      <c r="BJ283" s="3174">
        <f t="shared" si="167"/>
        <v>0</v>
      </c>
      <c r="BK283" s="3174">
        <f t="shared" si="168"/>
        <v>0</v>
      </c>
      <c r="BL283" s="3174">
        <f t="shared" si="169"/>
        <v>0</v>
      </c>
      <c r="BM283" s="3174">
        <f t="shared" si="170"/>
        <v>0</v>
      </c>
      <c r="BN283" s="3174">
        <f t="shared" si="171"/>
        <v>0</v>
      </c>
      <c r="BO283" s="3174">
        <f t="shared" si="172"/>
        <v>0</v>
      </c>
      <c r="BP283" s="3174">
        <f t="shared" si="173"/>
        <v>0</v>
      </c>
      <c r="BQ283" s="3174">
        <f t="shared" si="174"/>
        <v>0</v>
      </c>
      <c r="BR283" s="3174">
        <f t="shared" si="175"/>
        <v>0</v>
      </c>
      <c r="BS283" s="3174">
        <f t="shared" si="176"/>
        <v>0</v>
      </c>
      <c r="BT283" s="3249">
        <f t="shared" si="177"/>
        <v>0</v>
      </c>
    </row>
    <row r="284" spans="1:72">
      <c r="A284" s="489"/>
      <c r="B284" s="356"/>
      <c r="C284" s="356"/>
      <c r="D284" s="3182"/>
      <c r="E284" s="3174">
        <f t="shared" si="149"/>
        <v>0</v>
      </c>
      <c r="F284" s="3175"/>
      <c r="G284" s="3176">
        <f t="shared" si="150"/>
        <v>0</v>
      </c>
      <c r="H284" s="3177">
        <f t="shared" si="151"/>
        <v>0</v>
      </c>
      <c r="I284" s="3200"/>
      <c r="J284" s="3200"/>
      <c r="K284" s="3200"/>
      <c r="L284" s="3200"/>
      <c r="M284" s="3200"/>
      <c r="N284" s="3200"/>
      <c r="O284" s="3200"/>
      <c r="P284" s="3200"/>
      <c r="Q284" s="3200"/>
      <c r="R284" s="3200"/>
      <c r="S284" s="3200"/>
      <c r="T284" s="3200"/>
      <c r="U284" s="3200"/>
      <c r="V284" s="3200"/>
      <c r="W284" s="3200"/>
      <c r="X284" s="3200"/>
      <c r="Y284" s="3200"/>
      <c r="Z284" s="3200"/>
      <c r="AA284" s="3200"/>
      <c r="AB284" s="3200"/>
      <c r="AC284" s="3174">
        <f t="shared" si="152"/>
        <v>0</v>
      </c>
      <c r="AD284" s="3212"/>
      <c r="AE284" s="3212"/>
      <c r="AF284" s="3212"/>
      <c r="AG284" s="3212"/>
      <c r="AH284" s="3212"/>
      <c r="AI284" s="3212"/>
      <c r="AJ284" s="3212"/>
      <c r="AK284" s="3212"/>
      <c r="AL284" s="3212"/>
      <c r="AM284" s="3212"/>
      <c r="AN284" s="3212"/>
      <c r="AO284" s="3212"/>
      <c r="AP284" s="3212"/>
      <c r="AQ284" s="3212"/>
      <c r="AR284" s="3212"/>
      <c r="AS284" s="3212"/>
      <c r="AT284" s="3175"/>
      <c r="AU284" s="3232"/>
      <c r="AV284" s="466">
        <f t="shared" si="153"/>
        <v>0</v>
      </c>
      <c r="AW284" s="466">
        <f t="shared" si="154"/>
        <v>0</v>
      </c>
      <c r="AX284" s="466">
        <f t="shared" si="155"/>
        <v>0</v>
      </c>
      <c r="AY284" s="385">
        <f t="shared" si="156"/>
        <v>0</v>
      </c>
      <c r="AZ284" s="3174">
        <f t="shared" si="157"/>
        <v>0</v>
      </c>
      <c r="BA284" s="3174">
        <f t="shared" si="158"/>
        <v>0</v>
      </c>
      <c r="BB284" s="3174">
        <f t="shared" si="159"/>
        <v>0</v>
      </c>
      <c r="BC284" s="3174">
        <f t="shared" si="160"/>
        <v>0</v>
      </c>
      <c r="BD284" s="3174">
        <f t="shared" si="161"/>
        <v>0</v>
      </c>
      <c r="BE284" s="3174">
        <f t="shared" si="162"/>
        <v>0</v>
      </c>
      <c r="BF284" s="3174">
        <f t="shared" si="163"/>
        <v>0</v>
      </c>
      <c r="BG284" s="3174">
        <f t="shared" si="164"/>
        <v>0</v>
      </c>
      <c r="BH284" s="3174">
        <f t="shared" si="165"/>
        <v>0</v>
      </c>
      <c r="BI284" s="3174">
        <f t="shared" si="166"/>
        <v>0</v>
      </c>
      <c r="BJ284" s="3174">
        <f t="shared" si="167"/>
        <v>0</v>
      </c>
      <c r="BK284" s="3174">
        <f t="shared" si="168"/>
        <v>0</v>
      </c>
      <c r="BL284" s="3174">
        <f t="shared" si="169"/>
        <v>0</v>
      </c>
      <c r="BM284" s="3174">
        <f t="shared" si="170"/>
        <v>0</v>
      </c>
      <c r="BN284" s="3174">
        <f t="shared" si="171"/>
        <v>0</v>
      </c>
      <c r="BO284" s="3174">
        <f t="shared" si="172"/>
        <v>0</v>
      </c>
      <c r="BP284" s="3174">
        <f t="shared" si="173"/>
        <v>0</v>
      </c>
      <c r="BQ284" s="3174">
        <f t="shared" si="174"/>
        <v>0</v>
      </c>
      <c r="BR284" s="3174">
        <f t="shared" si="175"/>
        <v>0</v>
      </c>
      <c r="BS284" s="3174">
        <f t="shared" si="176"/>
        <v>0</v>
      </c>
      <c r="BT284" s="3249">
        <f t="shared" si="177"/>
        <v>0</v>
      </c>
    </row>
    <row r="285" spans="1:72">
      <c r="A285" s="489"/>
      <c r="B285" s="356"/>
      <c r="C285" s="356"/>
      <c r="D285" s="3182"/>
      <c r="E285" s="3174">
        <f t="shared" si="149"/>
        <v>0</v>
      </c>
      <c r="F285" s="3175"/>
      <c r="G285" s="3176">
        <f t="shared" si="150"/>
        <v>0</v>
      </c>
      <c r="H285" s="3177">
        <f t="shared" si="151"/>
        <v>0</v>
      </c>
      <c r="I285" s="3200"/>
      <c r="J285" s="3200"/>
      <c r="K285" s="3200"/>
      <c r="L285" s="3200"/>
      <c r="M285" s="3200"/>
      <c r="N285" s="3200"/>
      <c r="O285" s="3200"/>
      <c r="P285" s="3200"/>
      <c r="Q285" s="3200"/>
      <c r="R285" s="3200"/>
      <c r="S285" s="3200"/>
      <c r="T285" s="3200"/>
      <c r="U285" s="3200"/>
      <c r="V285" s="3200"/>
      <c r="W285" s="3200"/>
      <c r="X285" s="3200"/>
      <c r="Y285" s="3200"/>
      <c r="Z285" s="3200"/>
      <c r="AA285" s="3200"/>
      <c r="AB285" s="3200"/>
      <c r="AC285" s="3174">
        <f t="shared" si="152"/>
        <v>0</v>
      </c>
      <c r="AD285" s="3212"/>
      <c r="AE285" s="3212"/>
      <c r="AF285" s="3212"/>
      <c r="AG285" s="3212"/>
      <c r="AH285" s="3212"/>
      <c r="AI285" s="3212"/>
      <c r="AJ285" s="3212"/>
      <c r="AK285" s="3212"/>
      <c r="AL285" s="3212"/>
      <c r="AM285" s="3212"/>
      <c r="AN285" s="3212"/>
      <c r="AO285" s="3212"/>
      <c r="AP285" s="3212"/>
      <c r="AQ285" s="3212"/>
      <c r="AR285" s="3212"/>
      <c r="AS285" s="3212"/>
      <c r="AT285" s="3175"/>
      <c r="AU285" s="3232"/>
      <c r="AV285" s="466">
        <f t="shared" si="153"/>
        <v>0</v>
      </c>
      <c r="AW285" s="466">
        <f t="shared" si="154"/>
        <v>0</v>
      </c>
      <c r="AX285" s="466">
        <f t="shared" si="155"/>
        <v>0</v>
      </c>
      <c r="AY285" s="385">
        <f t="shared" si="156"/>
        <v>0</v>
      </c>
      <c r="AZ285" s="3174">
        <f t="shared" si="157"/>
        <v>0</v>
      </c>
      <c r="BA285" s="3174">
        <f t="shared" si="158"/>
        <v>0</v>
      </c>
      <c r="BB285" s="3174">
        <f t="shared" si="159"/>
        <v>0</v>
      </c>
      <c r="BC285" s="3174">
        <f t="shared" si="160"/>
        <v>0</v>
      </c>
      <c r="BD285" s="3174">
        <f t="shared" si="161"/>
        <v>0</v>
      </c>
      <c r="BE285" s="3174">
        <f t="shared" si="162"/>
        <v>0</v>
      </c>
      <c r="BF285" s="3174">
        <f t="shared" si="163"/>
        <v>0</v>
      </c>
      <c r="BG285" s="3174">
        <f t="shared" si="164"/>
        <v>0</v>
      </c>
      <c r="BH285" s="3174">
        <f t="shared" si="165"/>
        <v>0</v>
      </c>
      <c r="BI285" s="3174">
        <f t="shared" si="166"/>
        <v>0</v>
      </c>
      <c r="BJ285" s="3174">
        <f t="shared" si="167"/>
        <v>0</v>
      </c>
      <c r="BK285" s="3174">
        <f t="shared" si="168"/>
        <v>0</v>
      </c>
      <c r="BL285" s="3174">
        <f t="shared" si="169"/>
        <v>0</v>
      </c>
      <c r="BM285" s="3174">
        <f t="shared" si="170"/>
        <v>0</v>
      </c>
      <c r="BN285" s="3174">
        <f t="shared" si="171"/>
        <v>0</v>
      </c>
      <c r="BO285" s="3174">
        <f t="shared" si="172"/>
        <v>0</v>
      </c>
      <c r="BP285" s="3174">
        <f t="shared" si="173"/>
        <v>0</v>
      </c>
      <c r="BQ285" s="3174">
        <f t="shared" si="174"/>
        <v>0</v>
      </c>
      <c r="BR285" s="3174">
        <f t="shared" si="175"/>
        <v>0</v>
      </c>
      <c r="BS285" s="3174">
        <f t="shared" si="176"/>
        <v>0</v>
      </c>
      <c r="BT285" s="3249">
        <f t="shared" si="177"/>
        <v>0</v>
      </c>
    </row>
    <row r="286" spans="1:72">
      <c r="A286" s="489"/>
      <c r="B286" s="356"/>
      <c r="C286" s="356"/>
      <c r="D286" s="3182"/>
      <c r="E286" s="3174">
        <f t="shared" si="149"/>
        <v>0</v>
      </c>
      <c r="F286" s="3175"/>
      <c r="G286" s="3176">
        <f t="shared" si="150"/>
        <v>0</v>
      </c>
      <c r="H286" s="3177">
        <f t="shared" si="151"/>
        <v>0</v>
      </c>
      <c r="I286" s="3200"/>
      <c r="J286" s="3200"/>
      <c r="K286" s="3200"/>
      <c r="L286" s="3200"/>
      <c r="M286" s="3200"/>
      <c r="N286" s="3200"/>
      <c r="O286" s="3200"/>
      <c r="P286" s="3200"/>
      <c r="Q286" s="3200"/>
      <c r="R286" s="3200"/>
      <c r="S286" s="3200"/>
      <c r="T286" s="3200"/>
      <c r="U286" s="3200"/>
      <c r="V286" s="3200"/>
      <c r="W286" s="3200"/>
      <c r="X286" s="3200"/>
      <c r="Y286" s="3200"/>
      <c r="Z286" s="3200"/>
      <c r="AA286" s="3200"/>
      <c r="AB286" s="3200"/>
      <c r="AC286" s="3174">
        <f t="shared" si="152"/>
        <v>0</v>
      </c>
      <c r="AD286" s="3212"/>
      <c r="AE286" s="3212"/>
      <c r="AF286" s="3212"/>
      <c r="AG286" s="3212"/>
      <c r="AH286" s="3212"/>
      <c r="AI286" s="3212"/>
      <c r="AJ286" s="3212"/>
      <c r="AK286" s="3212"/>
      <c r="AL286" s="3212"/>
      <c r="AM286" s="3212"/>
      <c r="AN286" s="3212"/>
      <c r="AO286" s="3212"/>
      <c r="AP286" s="3212"/>
      <c r="AQ286" s="3212"/>
      <c r="AR286" s="3212"/>
      <c r="AS286" s="3212"/>
      <c r="AT286" s="3175"/>
      <c r="AU286" s="3232"/>
      <c r="AV286" s="466">
        <f t="shared" si="153"/>
        <v>0</v>
      </c>
      <c r="AW286" s="466">
        <f t="shared" si="154"/>
        <v>0</v>
      </c>
      <c r="AX286" s="466">
        <f t="shared" si="155"/>
        <v>0</v>
      </c>
      <c r="AY286" s="385">
        <f t="shared" si="156"/>
        <v>0</v>
      </c>
      <c r="AZ286" s="3174">
        <f t="shared" si="157"/>
        <v>0</v>
      </c>
      <c r="BA286" s="3174">
        <f t="shared" si="158"/>
        <v>0</v>
      </c>
      <c r="BB286" s="3174">
        <f t="shared" si="159"/>
        <v>0</v>
      </c>
      <c r="BC286" s="3174">
        <f t="shared" si="160"/>
        <v>0</v>
      </c>
      <c r="BD286" s="3174">
        <f t="shared" si="161"/>
        <v>0</v>
      </c>
      <c r="BE286" s="3174">
        <f t="shared" si="162"/>
        <v>0</v>
      </c>
      <c r="BF286" s="3174">
        <f t="shared" si="163"/>
        <v>0</v>
      </c>
      <c r="BG286" s="3174">
        <f t="shared" si="164"/>
        <v>0</v>
      </c>
      <c r="BH286" s="3174">
        <f t="shared" si="165"/>
        <v>0</v>
      </c>
      <c r="BI286" s="3174">
        <f t="shared" si="166"/>
        <v>0</v>
      </c>
      <c r="BJ286" s="3174">
        <f t="shared" si="167"/>
        <v>0</v>
      </c>
      <c r="BK286" s="3174">
        <f t="shared" si="168"/>
        <v>0</v>
      </c>
      <c r="BL286" s="3174">
        <f t="shared" si="169"/>
        <v>0</v>
      </c>
      <c r="BM286" s="3174">
        <f t="shared" si="170"/>
        <v>0</v>
      </c>
      <c r="BN286" s="3174">
        <f t="shared" si="171"/>
        <v>0</v>
      </c>
      <c r="BO286" s="3174">
        <f t="shared" si="172"/>
        <v>0</v>
      </c>
      <c r="BP286" s="3174">
        <f t="shared" si="173"/>
        <v>0</v>
      </c>
      <c r="BQ286" s="3174">
        <f t="shared" si="174"/>
        <v>0</v>
      </c>
      <c r="BR286" s="3174">
        <f t="shared" si="175"/>
        <v>0</v>
      </c>
      <c r="BS286" s="3174">
        <f t="shared" si="176"/>
        <v>0</v>
      </c>
      <c r="BT286" s="3249">
        <f t="shared" si="177"/>
        <v>0</v>
      </c>
    </row>
    <row r="287" spans="1:72">
      <c r="A287" s="489"/>
      <c r="B287" s="356"/>
      <c r="C287" s="356"/>
      <c r="D287" s="3182"/>
      <c r="E287" s="3174">
        <f t="shared" si="149"/>
        <v>0</v>
      </c>
      <c r="F287" s="3175"/>
      <c r="G287" s="3176">
        <f t="shared" si="150"/>
        <v>0</v>
      </c>
      <c r="H287" s="3177">
        <f t="shared" si="151"/>
        <v>0</v>
      </c>
      <c r="I287" s="3200"/>
      <c r="J287" s="3200"/>
      <c r="K287" s="3200"/>
      <c r="L287" s="3200"/>
      <c r="M287" s="3200"/>
      <c r="N287" s="3200"/>
      <c r="O287" s="3200"/>
      <c r="P287" s="3200"/>
      <c r="Q287" s="3200"/>
      <c r="R287" s="3200"/>
      <c r="S287" s="3200"/>
      <c r="T287" s="3200"/>
      <c r="U287" s="3200"/>
      <c r="V287" s="3200"/>
      <c r="W287" s="3200"/>
      <c r="X287" s="3200"/>
      <c r="Y287" s="3200"/>
      <c r="Z287" s="3200"/>
      <c r="AA287" s="3200"/>
      <c r="AB287" s="3200"/>
      <c r="AC287" s="3174">
        <f t="shared" si="152"/>
        <v>0</v>
      </c>
      <c r="AD287" s="3212"/>
      <c r="AE287" s="3212"/>
      <c r="AF287" s="3212"/>
      <c r="AG287" s="3212"/>
      <c r="AH287" s="3212"/>
      <c r="AI287" s="3212"/>
      <c r="AJ287" s="3212"/>
      <c r="AK287" s="3212"/>
      <c r="AL287" s="3212"/>
      <c r="AM287" s="3212"/>
      <c r="AN287" s="3212"/>
      <c r="AO287" s="3212"/>
      <c r="AP287" s="3212"/>
      <c r="AQ287" s="3212"/>
      <c r="AR287" s="3212"/>
      <c r="AS287" s="3212"/>
      <c r="AT287" s="3175"/>
      <c r="AU287" s="3232"/>
      <c r="AV287" s="466">
        <f t="shared" si="153"/>
        <v>0</v>
      </c>
      <c r="AW287" s="466">
        <f t="shared" si="154"/>
        <v>0</v>
      </c>
      <c r="AX287" s="466">
        <f t="shared" si="155"/>
        <v>0</v>
      </c>
      <c r="AY287" s="385">
        <f t="shared" si="156"/>
        <v>0</v>
      </c>
      <c r="AZ287" s="3174">
        <f t="shared" si="157"/>
        <v>0</v>
      </c>
      <c r="BA287" s="3174">
        <f t="shared" si="158"/>
        <v>0</v>
      </c>
      <c r="BB287" s="3174">
        <f t="shared" si="159"/>
        <v>0</v>
      </c>
      <c r="BC287" s="3174">
        <f t="shared" si="160"/>
        <v>0</v>
      </c>
      <c r="BD287" s="3174">
        <f t="shared" si="161"/>
        <v>0</v>
      </c>
      <c r="BE287" s="3174">
        <f t="shared" si="162"/>
        <v>0</v>
      </c>
      <c r="BF287" s="3174">
        <f t="shared" si="163"/>
        <v>0</v>
      </c>
      <c r="BG287" s="3174">
        <f t="shared" si="164"/>
        <v>0</v>
      </c>
      <c r="BH287" s="3174">
        <f t="shared" si="165"/>
        <v>0</v>
      </c>
      <c r="BI287" s="3174">
        <f t="shared" si="166"/>
        <v>0</v>
      </c>
      <c r="BJ287" s="3174">
        <f t="shared" si="167"/>
        <v>0</v>
      </c>
      <c r="BK287" s="3174">
        <f t="shared" si="168"/>
        <v>0</v>
      </c>
      <c r="BL287" s="3174">
        <f t="shared" si="169"/>
        <v>0</v>
      </c>
      <c r="BM287" s="3174">
        <f t="shared" si="170"/>
        <v>0</v>
      </c>
      <c r="BN287" s="3174">
        <f t="shared" si="171"/>
        <v>0</v>
      </c>
      <c r="BO287" s="3174">
        <f t="shared" si="172"/>
        <v>0</v>
      </c>
      <c r="BP287" s="3174">
        <f t="shared" si="173"/>
        <v>0</v>
      </c>
      <c r="BQ287" s="3174">
        <f t="shared" si="174"/>
        <v>0</v>
      </c>
      <c r="BR287" s="3174">
        <f t="shared" si="175"/>
        <v>0</v>
      </c>
      <c r="BS287" s="3174">
        <f t="shared" si="176"/>
        <v>0</v>
      </c>
      <c r="BT287" s="3249">
        <f t="shared" si="177"/>
        <v>0</v>
      </c>
    </row>
    <row r="288" spans="1:72">
      <c r="A288" s="489"/>
      <c r="B288" s="356"/>
      <c r="C288" s="356"/>
      <c r="D288" s="3182"/>
      <c r="E288" s="3174">
        <f t="shared" si="149"/>
        <v>0</v>
      </c>
      <c r="F288" s="3175"/>
      <c r="G288" s="3176">
        <f t="shared" si="150"/>
        <v>0</v>
      </c>
      <c r="H288" s="3177">
        <f t="shared" si="151"/>
        <v>0</v>
      </c>
      <c r="I288" s="3200"/>
      <c r="J288" s="3200"/>
      <c r="K288" s="3200"/>
      <c r="L288" s="3200"/>
      <c r="M288" s="3200"/>
      <c r="N288" s="3200"/>
      <c r="O288" s="3200"/>
      <c r="P288" s="3200"/>
      <c r="Q288" s="3200"/>
      <c r="R288" s="3200"/>
      <c r="S288" s="3200"/>
      <c r="T288" s="3200"/>
      <c r="U288" s="3200"/>
      <c r="V288" s="3200"/>
      <c r="W288" s="3200"/>
      <c r="X288" s="3200"/>
      <c r="Y288" s="3200"/>
      <c r="Z288" s="3200"/>
      <c r="AA288" s="3200"/>
      <c r="AB288" s="3200"/>
      <c r="AC288" s="3174">
        <f t="shared" si="152"/>
        <v>0</v>
      </c>
      <c r="AD288" s="3212"/>
      <c r="AE288" s="3212"/>
      <c r="AF288" s="3212"/>
      <c r="AG288" s="3212"/>
      <c r="AH288" s="3212"/>
      <c r="AI288" s="3212"/>
      <c r="AJ288" s="3212"/>
      <c r="AK288" s="3212"/>
      <c r="AL288" s="3212"/>
      <c r="AM288" s="3212"/>
      <c r="AN288" s="3212"/>
      <c r="AO288" s="3212"/>
      <c r="AP288" s="3212"/>
      <c r="AQ288" s="3212"/>
      <c r="AR288" s="3212"/>
      <c r="AS288" s="3212"/>
      <c r="AT288" s="3175"/>
      <c r="AU288" s="3232"/>
      <c r="AV288" s="466">
        <f t="shared" si="153"/>
        <v>0</v>
      </c>
      <c r="AW288" s="466">
        <f t="shared" si="154"/>
        <v>0</v>
      </c>
      <c r="AX288" s="466">
        <f t="shared" si="155"/>
        <v>0</v>
      </c>
      <c r="AY288" s="385">
        <f t="shared" si="156"/>
        <v>0</v>
      </c>
      <c r="AZ288" s="3174">
        <f t="shared" si="157"/>
        <v>0</v>
      </c>
      <c r="BA288" s="3174">
        <f t="shared" si="158"/>
        <v>0</v>
      </c>
      <c r="BB288" s="3174">
        <f t="shared" si="159"/>
        <v>0</v>
      </c>
      <c r="BC288" s="3174">
        <f t="shared" si="160"/>
        <v>0</v>
      </c>
      <c r="BD288" s="3174">
        <f t="shared" si="161"/>
        <v>0</v>
      </c>
      <c r="BE288" s="3174">
        <f t="shared" si="162"/>
        <v>0</v>
      </c>
      <c r="BF288" s="3174">
        <f t="shared" si="163"/>
        <v>0</v>
      </c>
      <c r="BG288" s="3174">
        <f t="shared" si="164"/>
        <v>0</v>
      </c>
      <c r="BH288" s="3174">
        <f t="shared" si="165"/>
        <v>0</v>
      </c>
      <c r="BI288" s="3174">
        <f t="shared" si="166"/>
        <v>0</v>
      </c>
      <c r="BJ288" s="3174">
        <f t="shared" si="167"/>
        <v>0</v>
      </c>
      <c r="BK288" s="3174">
        <f t="shared" si="168"/>
        <v>0</v>
      </c>
      <c r="BL288" s="3174">
        <f t="shared" si="169"/>
        <v>0</v>
      </c>
      <c r="BM288" s="3174">
        <f t="shared" si="170"/>
        <v>0</v>
      </c>
      <c r="BN288" s="3174">
        <f t="shared" si="171"/>
        <v>0</v>
      </c>
      <c r="BO288" s="3174">
        <f t="shared" si="172"/>
        <v>0</v>
      </c>
      <c r="BP288" s="3174">
        <f t="shared" si="173"/>
        <v>0</v>
      </c>
      <c r="BQ288" s="3174">
        <f t="shared" si="174"/>
        <v>0</v>
      </c>
      <c r="BR288" s="3174">
        <f t="shared" si="175"/>
        <v>0</v>
      </c>
      <c r="BS288" s="3174">
        <f t="shared" si="176"/>
        <v>0</v>
      </c>
      <c r="BT288" s="3249">
        <f t="shared" si="177"/>
        <v>0</v>
      </c>
    </row>
    <row r="289" spans="1:72">
      <c r="A289" s="489"/>
      <c r="B289" s="356"/>
      <c r="C289" s="356"/>
      <c r="D289" s="3182"/>
      <c r="E289" s="3174">
        <f t="shared" si="149"/>
        <v>0</v>
      </c>
      <c r="F289" s="3175"/>
      <c r="G289" s="3176">
        <f t="shared" si="150"/>
        <v>0</v>
      </c>
      <c r="H289" s="3177">
        <f t="shared" si="151"/>
        <v>0</v>
      </c>
      <c r="I289" s="3200"/>
      <c r="J289" s="3200"/>
      <c r="K289" s="3200"/>
      <c r="L289" s="3200"/>
      <c r="M289" s="3200"/>
      <c r="N289" s="3200"/>
      <c r="O289" s="3200"/>
      <c r="P289" s="3200"/>
      <c r="Q289" s="3200"/>
      <c r="R289" s="3200"/>
      <c r="S289" s="3200"/>
      <c r="T289" s="3200"/>
      <c r="U289" s="3200"/>
      <c r="V289" s="3200"/>
      <c r="W289" s="3200"/>
      <c r="X289" s="3200"/>
      <c r="Y289" s="3200"/>
      <c r="Z289" s="3200"/>
      <c r="AA289" s="3200"/>
      <c r="AB289" s="3200"/>
      <c r="AC289" s="3174">
        <f t="shared" si="152"/>
        <v>0</v>
      </c>
      <c r="AD289" s="3212"/>
      <c r="AE289" s="3212"/>
      <c r="AF289" s="3212"/>
      <c r="AG289" s="3212"/>
      <c r="AH289" s="3212"/>
      <c r="AI289" s="3212"/>
      <c r="AJ289" s="3212"/>
      <c r="AK289" s="3212"/>
      <c r="AL289" s="3212"/>
      <c r="AM289" s="3212"/>
      <c r="AN289" s="3212"/>
      <c r="AO289" s="3212"/>
      <c r="AP289" s="3212"/>
      <c r="AQ289" s="3212"/>
      <c r="AR289" s="3212"/>
      <c r="AS289" s="3212"/>
      <c r="AT289" s="3175"/>
      <c r="AU289" s="3232"/>
      <c r="AV289" s="466">
        <f t="shared" si="153"/>
        <v>0</v>
      </c>
      <c r="AW289" s="466">
        <f t="shared" si="154"/>
        <v>0</v>
      </c>
      <c r="AX289" s="466">
        <f t="shared" si="155"/>
        <v>0</v>
      </c>
      <c r="AY289" s="385">
        <f t="shared" si="156"/>
        <v>0</v>
      </c>
      <c r="AZ289" s="3174">
        <f t="shared" si="157"/>
        <v>0</v>
      </c>
      <c r="BA289" s="3174">
        <f t="shared" si="158"/>
        <v>0</v>
      </c>
      <c r="BB289" s="3174">
        <f t="shared" si="159"/>
        <v>0</v>
      </c>
      <c r="BC289" s="3174">
        <f t="shared" si="160"/>
        <v>0</v>
      </c>
      <c r="BD289" s="3174">
        <f t="shared" si="161"/>
        <v>0</v>
      </c>
      <c r="BE289" s="3174">
        <f t="shared" si="162"/>
        <v>0</v>
      </c>
      <c r="BF289" s="3174">
        <f t="shared" si="163"/>
        <v>0</v>
      </c>
      <c r="BG289" s="3174">
        <f t="shared" si="164"/>
        <v>0</v>
      </c>
      <c r="BH289" s="3174">
        <f t="shared" si="165"/>
        <v>0</v>
      </c>
      <c r="BI289" s="3174">
        <f t="shared" si="166"/>
        <v>0</v>
      </c>
      <c r="BJ289" s="3174">
        <f t="shared" si="167"/>
        <v>0</v>
      </c>
      <c r="BK289" s="3174">
        <f t="shared" si="168"/>
        <v>0</v>
      </c>
      <c r="BL289" s="3174">
        <f t="shared" si="169"/>
        <v>0</v>
      </c>
      <c r="BM289" s="3174">
        <f t="shared" si="170"/>
        <v>0</v>
      </c>
      <c r="BN289" s="3174">
        <f t="shared" si="171"/>
        <v>0</v>
      </c>
      <c r="BO289" s="3174">
        <f t="shared" si="172"/>
        <v>0</v>
      </c>
      <c r="BP289" s="3174">
        <f t="shared" si="173"/>
        <v>0</v>
      </c>
      <c r="BQ289" s="3174">
        <f t="shared" si="174"/>
        <v>0</v>
      </c>
      <c r="BR289" s="3174">
        <f t="shared" si="175"/>
        <v>0</v>
      </c>
      <c r="BS289" s="3174">
        <f t="shared" si="176"/>
        <v>0</v>
      </c>
      <c r="BT289" s="3249">
        <f t="shared" si="177"/>
        <v>0</v>
      </c>
    </row>
    <row r="290" spans="1:72">
      <c r="A290" s="489"/>
      <c r="B290" s="356"/>
      <c r="C290" s="356"/>
      <c r="D290" s="3182"/>
      <c r="E290" s="3174">
        <f t="shared" si="149"/>
        <v>0</v>
      </c>
      <c r="F290" s="3175"/>
      <c r="G290" s="3176">
        <f t="shared" si="150"/>
        <v>0</v>
      </c>
      <c r="H290" s="3177">
        <f t="shared" si="151"/>
        <v>0</v>
      </c>
      <c r="I290" s="3200"/>
      <c r="J290" s="3200"/>
      <c r="K290" s="3200"/>
      <c r="L290" s="3200"/>
      <c r="M290" s="3200"/>
      <c r="N290" s="3200"/>
      <c r="O290" s="3200"/>
      <c r="P290" s="3200"/>
      <c r="Q290" s="3200"/>
      <c r="R290" s="3200"/>
      <c r="S290" s="3200"/>
      <c r="T290" s="3200"/>
      <c r="U290" s="3200"/>
      <c r="V290" s="3200"/>
      <c r="W290" s="3200"/>
      <c r="X290" s="3200"/>
      <c r="Y290" s="3200"/>
      <c r="Z290" s="3200"/>
      <c r="AA290" s="3200"/>
      <c r="AB290" s="3200"/>
      <c r="AC290" s="3174">
        <f t="shared" si="152"/>
        <v>0</v>
      </c>
      <c r="AD290" s="3212"/>
      <c r="AE290" s="3212"/>
      <c r="AF290" s="3212"/>
      <c r="AG290" s="3212"/>
      <c r="AH290" s="3212"/>
      <c r="AI290" s="3212"/>
      <c r="AJ290" s="3212"/>
      <c r="AK290" s="3212"/>
      <c r="AL290" s="3212"/>
      <c r="AM290" s="3212"/>
      <c r="AN290" s="3212"/>
      <c r="AO290" s="3212"/>
      <c r="AP290" s="3212"/>
      <c r="AQ290" s="3212"/>
      <c r="AR290" s="3212"/>
      <c r="AS290" s="3212"/>
      <c r="AT290" s="3175"/>
      <c r="AU290" s="3232"/>
      <c r="AV290" s="466">
        <f t="shared" si="153"/>
        <v>0</v>
      </c>
      <c r="AW290" s="466">
        <f t="shared" si="154"/>
        <v>0</v>
      </c>
      <c r="AX290" s="466">
        <f t="shared" si="155"/>
        <v>0</v>
      </c>
      <c r="AY290" s="385">
        <f t="shared" si="156"/>
        <v>0</v>
      </c>
      <c r="AZ290" s="3174">
        <f t="shared" si="157"/>
        <v>0</v>
      </c>
      <c r="BA290" s="3174">
        <f t="shared" si="158"/>
        <v>0</v>
      </c>
      <c r="BB290" s="3174">
        <f t="shared" si="159"/>
        <v>0</v>
      </c>
      <c r="BC290" s="3174">
        <f t="shared" si="160"/>
        <v>0</v>
      </c>
      <c r="BD290" s="3174">
        <f t="shared" si="161"/>
        <v>0</v>
      </c>
      <c r="BE290" s="3174">
        <f t="shared" si="162"/>
        <v>0</v>
      </c>
      <c r="BF290" s="3174">
        <f t="shared" si="163"/>
        <v>0</v>
      </c>
      <c r="BG290" s="3174">
        <f t="shared" si="164"/>
        <v>0</v>
      </c>
      <c r="BH290" s="3174">
        <f t="shared" si="165"/>
        <v>0</v>
      </c>
      <c r="BI290" s="3174">
        <f t="shared" si="166"/>
        <v>0</v>
      </c>
      <c r="BJ290" s="3174">
        <f t="shared" si="167"/>
        <v>0</v>
      </c>
      <c r="BK290" s="3174">
        <f t="shared" si="168"/>
        <v>0</v>
      </c>
      <c r="BL290" s="3174">
        <f t="shared" si="169"/>
        <v>0</v>
      </c>
      <c r="BM290" s="3174">
        <f t="shared" si="170"/>
        <v>0</v>
      </c>
      <c r="BN290" s="3174">
        <f t="shared" si="171"/>
        <v>0</v>
      </c>
      <c r="BO290" s="3174">
        <f t="shared" si="172"/>
        <v>0</v>
      </c>
      <c r="BP290" s="3174">
        <f t="shared" si="173"/>
        <v>0</v>
      </c>
      <c r="BQ290" s="3174">
        <f t="shared" si="174"/>
        <v>0</v>
      </c>
      <c r="BR290" s="3174">
        <f t="shared" si="175"/>
        <v>0</v>
      </c>
      <c r="BS290" s="3174">
        <f t="shared" si="176"/>
        <v>0</v>
      </c>
      <c r="BT290" s="3249">
        <f t="shared" si="177"/>
        <v>0</v>
      </c>
    </row>
    <row r="291" spans="1:72">
      <c r="A291" s="489"/>
      <c r="B291" s="356"/>
      <c r="C291" s="356"/>
      <c r="D291" s="3182"/>
      <c r="E291" s="3174">
        <f t="shared" si="149"/>
        <v>0</v>
      </c>
      <c r="F291" s="3175"/>
      <c r="G291" s="3176">
        <f t="shared" si="150"/>
        <v>0</v>
      </c>
      <c r="H291" s="3177">
        <f t="shared" si="151"/>
        <v>0</v>
      </c>
      <c r="I291" s="3200"/>
      <c r="J291" s="3200"/>
      <c r="K291" s="3200"/>
      <c r="L291" s="3200"/>
      <c r="M291" s="3200"/>
      <c r="N291" s="3200"/>
      <c r="O291" s="3200"/>
      <c r="P291" s="3200"/>
      <c r="Q291" s="3200"/>
      <c r="R291" s="3200"/>
      <c r="S291" s="3200"/>
      <c r="T291" s="3200"/>
      <c r="U291" s="3200"/>
      <c r="V291" s="3200"/>
      <c r="W291" s="3200"/>
      <c r="X291" s="3200"/>
      <c r="Y291" s="3200"/>
      <c r="Z291" s="3200"/>
      <c r="AA291" s="3200"/>
      <c r="AB291" s="3200"/>
      <c r="AC291" s="3174">
        <f t="shared" si="152"/>
        <v>0</v>
      </c>
      <c r="AD291" s="3212"/>
      <c r="AE291" s="3212"/>
      <c r="AF291" s="3212"/>
      <c r="AG291" s="3212"/>
      <c r="AH291" s="3212"/>
      <c r="AI291" s="3212"/>
      <c r="AJ291" s="3212"/>
      <c r="AK291" s="3212"/>
      <c r="AL291" s="3212"/>
      <c r="AM291" s="3212"/>
      <c r="AN291" s="3212"/>
      <c r="AO291" s="3212"/>
      <c r="AP291" s="3212"/>
      <c r="AQ291" s="3212"/>
      <c r="AR291" s="3212"/>
      <c r="AS291" s="3212"/>
      <c r="AT291" s="3175"/>
      <c r="AU291" s="3232"/>
      <c r="AV291" s="466">
        <f t="shared" si="153"/>
        <v>0</v>
      </c>
      <c r="AW291" s="466">
        <f t="shared" si="154"/>
        <v>0</v>
      </c>
      <c r="AX291" s="466">
        <f t="shared" si="155"/>
        <v>0</v>
      </c>
      <c r="AY291" s="385">
        <f t="shared" si="156"/>
        <v>0</v>
      </c>
      <c r="AZ291" s="3174">
        <f t="shared" si="157"/>
        <v>0</v>
      </c>
      <c r="BA291" s="3174">
        <f t="shared" si="158"/>
        <v>0</v>
      </c>
      <c r="BB291" s="3174">
        <f t="shared" si="159"/>
        <v>0</v>
      </c>
      <c r="BC291" s="3174">
        <f t="shared" si="160"/>
        <v>0</v>
      </c>
      <c r="BD291" s="3174">
        <f t="shared" si="161"/>
        <v>0</v>
      </c>
      <c r="BE291" s="3174">
        <f t="shared" si="162"/>
        <v>0</v>
      </c>
      <c r="BF291" s="3174">
        <f t="shared" si="163"/>
        <v>0</v>
      </c>
      <c r="BG291" s="3174">
        <f t="shared" si="164"/>
        <v>0</v>
      </c>
      <c r="BH291" s="3174">
        <f t="shared" si="165"/>
        <v>0</v>
      </c>
      <c r="BI291" s="3174">
        <f t="shared" si="166"/>
        <v>0</v>
      </c>
      <c r="BJ291" s="3174">
        <f t="shared" si="167"/>
        <v>0</v>
      </c>
      <c r="BK291" s="3174">
        <f t="shared" si="168"/>
        <v>0</v>
      </c>
      <c r="BL291" s="3174">
        <f t="shared" si="169"/>
        <v>0</v>
      </c>
      <c r="BM291" s="3174">
        <f t="shared" si="170"/>
        <v>0</v>
      </c>
      <c r="BN291" s="3174">
        <f t="shared" si="171"/>
        <v>0</v>
      </c>
      <c r="BO291" s="3174">
        <f t="shared" si="172"/>
        <v>0</v>
      </c>
      <c r="BP291" s="3174">
        <f t="shared" si="173"/>
        <v>0</v>
      </c>
      <c r="BQ291" s="3174">
        <f t="shared" si="174"/>
        <v>0</v>
      </c>
      <c r="BR291" s="3174">
        <f t="shared" si="175"/>
        <v>0</v>
      </c>
      <c r="BS291" s="3174">
        <f t="shared" si="176"/>
        <v>0</v>
      </c>
      <c r="BT291" s="3249">
        <f t="shared" si="177"/>
        <v>0</v>
      </c>
    </row>
    <row r="292" spans="1:72">
      <c r="A292" s="489"/>
      <c r="B292" s="356"/>
      <c r="C292" s="356"/>
      <c r="D292" s="3182"/>
      <c r="E292" s="3174">
        <f t="shared" si="149"/>
        <v>0</v>
      </c>
      <c r="F292" s="3175"/>
      <c r="G292" s="3176">
        <f t="shared" si="150"/>
        <v>0</v>
      </c>
      <c r="H292" s="3177">
        <f t="shared" si="151"/>
        <v>0</v>
      </c>
      <c r="I292" s="3200"/>
      <c r="J292" s="3200"/>
      <c r="K292" s="3200"/>
      <c r="L292" s="3200"/>
      <c r="M292" s="3200"/>
      <c r="N292" s="3200"/>
      <c r="O292" s="3200"/>
      <c r="P292" s="3200"/>
      <c r="Q292" s="3200"/>
      <c r="R292" s="3200"/>
      <c r="S292" s="3200"/>
      <c r="T292" s="3200"/>
      <c r="U292" s="3200"/>
      <c r="V292" s="3200"/>
      <c r="W292" s="3200"/>
      <c r="X292" s="3200"/>
      <c r="Y292" s="3200"/>
      <c r="Z292" s="3200"/>
      <c r="AA292" s="3200"/>
      <c r="AB292" s="3200"/>
      <c r="AC292" s="3174">
        <f t="shared" si="152"/>
        <v>0</v>
      </c>
      <c r="AD292" s="3212"/>
      <c r="AE292" s="3212"/>
      <c r="AF292" s="3212"/>
      <c r="AG292" s="3212"/>
      <c r="AH292" s="3212"/>
      <c r="AI292" s="3212"/>
      <c r="AJ292" s="3212"/>
      <c r="AK292" s="3212"/>
      <c r="AL292" s="3212"/>
      <c r="AM292" s="3212"/>
      <c r="AN292" s="3212"/>
      <c r="AO292" s="3212"/>
      <c r="AP292" s="3212"/>
      <c r="AQ292" s="3212"/>
      <c r="AR292" s="3212"/>
      <c r="AS292" s="3212"/>
      <c r="AT292" s="3175"/>
      <c r="AU292" s="3232"/>
      <c r="AV292" s="466">
        <f t="shared" si="153"/>
        <v>0</v>
      </c>
      <c r="AW292" s="466">
        <f t="shared" si="154"/>
        <v>0</v>
      </c>
      <c r="AX292" s="466">
        <f t="shared" si="155"/>
        <v>0</v>
      </c>
      <c r="AY292" s="385">
        <f t="shared" si="156"/>
        <v>0</v>
      </c>
      <c r="AZ292" s="3174">
        <f t="shared" si="157"/>
        <v>0</v>
      </c>
      <c r="BA292" s="3174">
        <f t="shared" si="158"/>
        <v>0</v>
      </c>
      <c r="BB292" s="3174">
        <f t="shared" si="159"/>
        <v>0</v>
      </c>
      <c r="BC292" s="3174">
        <f t="shared" si="160"/>
        <v>0</v>
      </c>
      <c r="BD292" s="3174">
        <f t="shared" si="161"/>
        <v>0</v>
      </c>
      <c r="BE292" s="3174">
        <f t="shared" si="162"/>
        <v>0</v>
      </c>
      <c r="BF292" s="3174">
        <f t="shared" si="163"/>
        <v>0</v>
      </c>
      <c r="BG292" s="3174">
        <f t="shared" si="164"/>
        <v>0</v>
      </c>
      <c r="BH292" s="3174">
        <f t="shared" si="165"/>
        <v>0</v>
      </c>
      <c r="BI292" s="3174">
        <f t="shared" si="166"/>
        <v>0</v>
      </c>
      <c r="BJ292" s="3174">
        <f t="shared" si="167"/>
        <v>0</v>
      </c>
      <c r="BK292" s="3174">
        <f t="shared" si="168"/>
        <v>0</v>
      </c>
      <c r="BL292" s="3174">
        <f t="shared" si="169"/>
        <v>0</v>
      </c>
      <c r="BM292" s="3174">
        <f t="shared" si="170"/>
        <v>0</v>
      </c>
      <c r="BN292" s="3174">
        <f t="shared" si="171"/>
        <v>0</v>
      </c>
      <c r="BO292" s="3174">
        <f t="shared" si="172"/>
        <v>0</v>
      </c>
      <c r="BP292" s="3174">
        <f t="shared" si="173"/>
        <v>0</v>
      </c>
      <c r="BQ292" s="3174">
        <f t="shared" si="174"/>
        <v>0</v>
      </c>
      <c r="BR292" s="3174">
        <f t="shared" si="175"/>
        <v>0</v>
      </c>
      <c r="BS292" s="3174">
        <f t="shared" si="176"/>
        <v>0</v>
      </c>
      <c r="BT292" s="3249">
        <f t="shared" si="177"/>
        <v>0</v>
      </c>
    </row>
    <row r="293" spans="1:72">
      <c r="A293" s="489"/>
      <c r="B293" s="356"/>
      <c r="C293" s="356"/>
      <c r="D293" s="3182"/>
      <c r="E293" s="3174">
        <f t="shared" si="149"/>
        <v>0</v>
      </c>
      <c r="F293" s="3175"/>
      <c r="G293" s="3176">
        <f t="shared" si="150"/>
        <v>0</v>
      </c>
      <c r="H293" s="3177">
        <f t="shared" si="151"/>
        <v>0</v>
      </c>
      <c r="I293" s="3200"/>
      <c r="J293" s="3200"/>
      <c r="K293" s="3200"/>
      <c r="L293" s="3200"/>
      <c r="M293" s="3200"/>
      <c r="N293" s="3200"/>
      <c r="O293" s="3200"/>
      <c r="P293" s="3200"/>
      <c r="Q293" s="3200"/>
      <c r="R293" s="3200"/>
      <c r="S293" s="3200"/>
      <c r="T293" s="3200"/>
      <c r="U293" s="3200"/>
      <c r="V293" s="3200"/>
      <c r="W293" s="3200"/>
      <c r="X293" s="3200"/>
      <c r="Y293" s="3200"/>
      <c r="Z293" s="3200"/>
      <c r="AA293" s="3200"/>
      <c r="AB293" s="3200"/>
      <c r="AC293" s="3174">
        <f t="shared" si="152"/>
        <v>0</v>
      </c>
      <c r="AD293" s="3212"/>
      <c r="AE293" s="3212"/>
      <c r="AF293" s="3212"/>
      <c r="AG293" s="3212"/>
      <c r="AH293" s="3212"/>
      <c r="AI293" s="3212"/>
      <c r="AJ293" s="3212"/>
      <c r="AK293" s="3212"/>
      <c r="AL293" s="3212"/>
      <c r="AM293" s="3212"/>
      <c r="AN293" s="3212"/>
      <c r="AO293" s="3212"/>
      <c r="AP293" s="3212"/>
      <c r="AQ293" s="3212"/>
      <c r="AR293" s="3212"/>
      <c r="AS293" s="3212"/>
      <c r="AT293" s="3175"/>
      <c r="AU293" s="3232"/>
      <c r="AV293" s="466">
        <f t="shared" si="153"/>
        <v>0</v>
      </c>
      <c r="AW293" s="466">
        <f t="shared" si="154"/>
        <v>0</v>
      </c>
      <c r="AX293" s="466">
        <f t="shared" si="155"/>
        <v>0</v>
      </c>
      <c r="AY293" s="385">
        <f t="shared" si="156"/>
        <v>0</v>
      </c>
      <c r="AZ293" s="3174">
        <f t="shared" si="157"/>
        <v>0</v>
      </c>
      <c r="BA293" s="3174">
        <f t="shared" si="158"/>
        <v>0</v>
      </c>
      <c r="BB293" s="3174">
        <f t="shared" si="159"/>
        <v>0</v>
      </c>
      <c r="BC293" s="3174">
        <f t="shared" si="160"/>
        <v>0</v>
      </c>
      <c r="BD293" s="3174">
        <f t="shared" si="161"/>
        <v>0</v>
      </c>
      <c r="BE293" s="3174">
        <f t="shared" si="162"/>
        <v>0</v>
      </c>
      <c r="BF293" s="3174">
        <f t="shared" si="163"/>
        <v>0</v>
      </c>
      <c r="BG293" s="3174">
        <f t="shared" si="164"/>
        <v>0</v>
      </c>
      <c r="BH293" s="3174">
        <f t="shared" si="165"/>
        <v>0</v>
      </c>
      <c r="BI293" s="3174">
        <f t="shared" si="166"/>
        <v>0</v>
      </c>
      <c r="BJ293" s="3174">
        <f t="shared" si="167"/>
        <v>0</v>
      </c>
      <c r="BK293" s="3174">
        <f t="shared" si="168"/>
        <v>0</v>
      </c>
      <c r="BL293" s="3174">
        <f t="shared" si="169"/>
        <v>0</v>
      </c>
      <c r="BM293" s="3174">
        <f t="shared" si="170"/>
        <v>0</v>
      </c>
      <c r="BN293" s="3174">
        <f t="shared" si="171"/>
        <v>0</v>
      </c>
      <c r="BO293" s="3174">
        <f t="shared" si="172"/>
        <v>0</v>
      </c>
      <c r="BP293" s="3174">
        <f t="shared" si="173"/>
        <v>0</v>
      </c>
      <c r="BQ293" s="3174">
        <f t="shared" si="174"/>
        <v>0</v>
      </c>
      <c r="BR293" s="3174">
        <f t="shared" si="175"/>
        <v>0</v>
      </c>
      <c r="BS293" s="3174">
        <f t="shared" si="176"/>
        <v>0</v>
      </c>
      <c r="BT293" s="3249">
        <f t="shared" si="177"/>
        <v>0</v>
      </c>
    </row>
    <row r="294" spans="1:72">
      <c r="A294" s="489"/>
      <c r="B294" s="489"/>
      <c r="C294" s="489"/>
      <c r="D294" s="3182"/>
      <c r="E294" s="3174">
        <f t="shared" si="149"/>
        <v>0</v>
      </c>
      <c r="F294" s="3212"/>
      <c r="G294" s="3176">
        <f t="shared" ref="G294:G325" si="178">H294+AC294+AT294</f>
        <v>0</v>
      </c>
      <c r="H294" s="3177">
        <f t="shared" ref="H294:H325" si="179">SUMIF(I$12:AB$12,"总值",I294:AB294)</f>
        <v>0</v>
      </c>
      <c r="I294" s="3250"/>
      <c r="J294" s="3250"/>
      <c r="K294" s="3200"/>
      <c r="L294" s="3200"/>
      <c r="M294" s="3200"/>
      <c r="N294" s="3200"/>
      <c r="O294" s="3200"/>
      <c r="P294" s="3200"/>
      <c r="Q294" s="3200"/>
      <c r="R294" s="3200"/>
      <c r="S294" s="3200"/>
      <c r="T294" s="3200"/>
      <c r="U294" s="3200"/>
      <c r="V294" s="3200"/>
      <c r="W294" s="3200"/>
      <c r="X294" s="3200"/>
      <c r="Y294" s="3200"/>
      <c r="Z294" s="3200"/>
      <c r="AA294" s="3200"/>
      <c r="AB294" s="3200"/>
      <c r="AC294" s="3174">
        <f t="shared" ref="AC294:AC325" si="180">SUMIF(AD$12:AS$12,"总值",AD294:AS294)</f>
        <v>0</v>
      </c>
      <c r="AD294" s="3212"/>
      <c r="AE294" s="3212"/>
      <c r="AF294" s="3212"/>
      <c r="AG294" s="3212"/>
      <c r="AH294" s="3212"/>
      <c r="AI294" s="3212"/>
      <c r="AJ294" s="3212"/>
      <c r="AK294" s="3212"/>
      <c r="AL294" s="3212"/>
      <c r="AM294" s="3212"/>
      <c r="AN294" s="3212"/>
      <c r="AO294" s="3212"/>
      <c r="AP294" s="3212"/>
      <c r="AQ294" s="3212"/>
      <c r="AR294" s="3212"/>
      <c r="AS294" s="3212"/>
      <c r="AT294" s="3212"/>
      <c r="AU294" s="548"/>
      <c r="AV294" s="466">
        <f t="shared" si="153"/>
        <v>0</v>
      </c>
      <c r="AW294" s="466">
        <f t="shared" si="154"/>
        <v>0</v>
      </c>
      <c r="AX294" s="466">
        <f t="shared" si="155"/>
        <v>0</v>
      </c>
      <c r="AY294" s="385">
        <f t="shared" ref="AY294:AY325" si="181">ROUND($AY$6*AZ294/$AZ$5,2)</f>
        <v>0</v>
      </c>
      <c r="AZ294" s="3174">
        <f t="shared" ref="AZ294:AZ325" si="182">BA294+BL294</f>
        <v>0</v>
      </c>
      <c r="BA294" s="3174">
        <f t="shared" ref="BA294:BA325" si="183">SUM(BB294:BK294)</f>
        <v>0</v>
      </c>
      <c r="BB294" s="3174">
        <f t="shared" ref="BB294:BB325" si="184">IF($D294="是",I294-J294,0)</f>
        <v>0</v>
      </c>
      <c r="BC294" s="3174">
        <f t="shared" ref="BC294:BC325" si="185">IF($D294="是",K294-L294,0)</f>
        <v>0</v>
      </c>
      <c r="BD294" s="3174">
        <f t="shared" ref="BD294:BD325" si="186">IF($D294="是",M294-N294,0)</f>
        <v>0</v>
      </c>
      <c r="BE294" s="3174">
        <f t="shared" ref="BE294:BE325" si="187">IF($D294="是",O294-P294,0)</f>
        <v>0</v>
      </c>
      <c r="BF294" s="3174">
        <f t="shared" ref="BF294:BF325" si="188">IF($D294="是",Q294-R294,0)</f>
        <v>0</v>
      </c>
      <c r="BG294" s="3174">
        <f t="shared" ref="BG294:BG325" si="189">IF($D294="是",S294-T294,0)</f>
        <v>0</v>
      </c>
      <c r="BH294" s="3174">
        <f t="shared" ref="BH294:BH325" si="190">IF($D294="是",U294-V294,0)</f>
        <v>0</v>
      </c>
      <c r="BI294" s="3174">
        <f t="shared" ref="BI294:BI325" si="191">IF($D294="是",W294-X294,0)</f>
        <v>0</v>
      </c>
      <c r="BJ294" s="3174">
        <f t="shared" ref="BJ294:BJ325" si="192">IF($D294="是",Y294-Z294,0)</f>
        <v>0</v>
      </c>
      <c r="BK294" s="3174">
        <f t="shared" ref="BK294:BK325" si="193">IF($D294="是",AA294-AB294,0)</f>
        <v>0</v>
      </c>
      <c r="BL294" s="3174">
        <f t="shared" ref="BL294:BL325" si="194">SUM(BM294:BT294)</f>
        <v>0</v>
      </c>
      <c r="BM294" s="3174">
        <f t="shared" ref="BM294:BM325" si="195">IF($D294="是",AD294-AE294,0)</f>
        <v>0</v>
      </c>
      <c r="BN294" s="3174">
        <f t="shared" ref="BN294:BN325" si="196">IF($D294="是",AF294-AG294,0)</f>
        <v>0</v>
      </c>
      <c r="BO294" s="3174">
        <f t="shared" ref="BO294:BO325" si="197">IF($D294="是",AH294-AI294,0)</f>
        <v>0</v>
      </c>
      <c r="BP294" s="3174">
        <f t="shared" ref="BP294:BP325" si="198">IF($D294="是",AJ294-AK294,0)</f>
        <v>0</v>
      </c>
      <c r="BQ294" s="3174">
        <f t="shared" ref="BQ294:BQ325" si="199">IF($D294="是",AL294-AM294,0)</f>
        <v>0</v>
      </c>
      <c r="BR294" s="3174">
        <f t="shared" ref="BR294:BR325" si="200">IF($D294="是",AN294-AO294,0)</f>
        <v>0</v>
      </c>
      <c r="BS294" s="3174">
        <f t="shared" ref="BS294:BS325" si="201">IF($D294="是",AP294-AQ294,0)</f>
        <v>0</v>
      </c>
      <c r="BT294" s="3249">
        <f t="shared" ref="BT294:BT325" si="202">IF($D294="是",AR294-AS294,0)</f>
        <v>0</v>
      </c>
    </row>
    <row r="295" spans="1:72">
      <c r="A295" s="489"/>
      <c r="B295" s="489"/>
      <c r="C295" s="489"/>
      <c r="D295" s="3182"/>
      <c r="E295" s="3174">
        <f t="shared" si="149"/>
        <v>0</v>
      </c>
      <c r="F295" s="3212"/>
      <c r="G295" s="3176">
        <f t="shared" si="178"/>
        <v>0</v>
      </c>
      <c r="H295" s="3177">
        <f t="shared" si="179"/>
        <v>0</v>
      </c>
      <c r="I295" s="3200"/>
      <c r="J295" s="3200"/>
      <c r="K295" s="3200"/>
      <c r="L295" s="3200"/>
      <c r="M295" s="3200"/>
      <c r="N295" s="3200"/>
      <c r="O295" s="3200"/>
      <c r="P295" s="3200"/>
      <c r="Q295" s="3200"/>
      <c r="R295" s="3200"/>
      <c r="S295" s="3200"/>
      <c r="T295" s="3200"/>
      <c r="U295" s="3200"/>
      <c r="V295" s="3200"/>
      <c r="W295" s="3200"/>
      <c r="X295" s="3200"/>
      <c r="Y295" s="3200"/>
      <c r="Z295" s="3200"/>
      <c r="AA295" s="3200"/>
      <c r="AB295" s="3200"/>
      <c r="AC295" s="3174">
        <f t="shared" si="180"/>
        <v>0</v>
      </c>
      <c r="AD295" s="3212"/>
      <c r="AE295" s="3212"/>
      <c r="AF295" s="3212"/>
      <c r="AG295" s="3212"/>
      <c r="AH295" s="3212"/>
      <c r="AI295" s="3212"/>
      <c r="AJ295" s="3212"/>
      <c r="AK295" s="3212"/>
      <c r="AL295" s="3212"/>
      <c r="AM295" s="3212"/>
      <c r="AN295" s="3212"/>
      <c r="AO295" s="3212"/>
      <c r="AP295" s="3212"/>
      <c r="AQ295" s="3212"/>
      <c r="AR295" s="3212"/>
      <c r="AS295" s="3212"/>
      <c r="AT295" s="3212"/>
      <c r="AU295" s="548"/>
      <c r="AV295" s="466">
        <f t="shared" si="153"/>
        <v>0</v>
      </c>
      <c r="AW295" s="466">
        <f t="shared" si="154"/>
        <v>0</v>
      </c>
      <c r="AX295" s="466">
        <f t="shared" si="155"/>
        <v>0</v>
      </c>
      <c r="AY295" s="385">
        <f t="shared" si="181"/>
        <v>0</v>
      </c>
      <c r="AZ295" s="3174">
        <f t="shared" si="182"/>
        <v>0</v>
      </c>
      <c r="BA295" s="3174">
        <f t="shared" si="183"/>
        <v>0</v>
      </c>
      <c r="BB295" s="3174">
        <f t="shared" si="184"/>
        <v>0</v>
      </c>
      <c r="BC295" s="3174">
        <f t="shared" si="185"/>
        <v>0</v>
      </c>
      <c r="BD295" s="3174">
        <f t="shared" si="186"/>
        <v>0</v>
      </c>
      <c r="BE295" s="3174">
        <f t="shared" si="187"/>
        <v>0</v>
      </c>
      <c r="BF295" s="3174">
        <f t="shared" si="188"/>
        <v>0</v>
      </c>
      <c r="BG295" s="3174">
        <f t="shared" si="189"/>
        <v>0</v>
      </c>
      <c r="BH295" s="3174">
        <f t="shared" si="190"/>
        <v>0</v>
      </c>
      <c r="BI295" s="3174">
        <f t="shared" si="191"/>
        <v>0</v>
      </c>
      <c r="BJ295" s="3174">
        <f t="shared" si="192"/>
        <v>0</v>
      </c>
      <c r="BK295" s="3174">
        <f t="shared" si="193"/>
        <v>0</v>
      </c>
      <c r="BL295" s="3174">
        <f t="shared" si="194"/>
        <v>0</v>
      </c>
      <c r="BM295" s="3174">
        <f t="shared" si="195"/>
        <v>0</v>
      </c>
      <c r="BN295" s="3174">
        <f t="shared" si="196"/>
        <v>0</v>
      </c>
      <c r="BO295" s="3174">
        <f t="shared" si="197"/>
        <v>0</v>
      </c>
      <c r="BP295" s="3174">
        <f t="shared" si="198"/>
        <v>0</v>
      </c>
      <c r="BQ295" s="3174">
        <f t="shared" si="199"/>
        <v>0</v>
      </c>
      <c r="BR295" s="3174">
        <f t="shared" si="200"/>
        <v>0</v>
      </c>
      <c r="BS295" s="3174">
        <f t="shared" si="201"/>
        <v>0</v>
      </c>
      <c r="BT295" s="3249">
        <f t="shared" si="202"/>
        <v>0</v>
      </c>
    </row>
    <row r="296" spans="1:72">
      <c r="A296" s="489"/>
      <c r="B296" s="489"/>
      <c r="C296" s="489"/>
      <c r="D296" s="3182"/>
      <c r="E296" s="3174">
        <f t="shared" si="149"/>
        <v>0</v>
      </c>
      <c r="F296" s="3212"/>
      <c r="G296" s="3176">
        <f t="shared" si="178"/>
        <v>0</v>
      </c>
      <c r="H296" s="3177">
        <f t="shared" si="179"/>
        <v>0</v>
      </c>
      <c r="I296" s="3200"/>
      <c r="J296" s="3200"/>
      <c r="K296" s="3200"/>
      <c r="L296" s="3200"/>
      <c r="M296" s="3200"/>
      <c r="N296" s="3200"/>
      <c r="O296" s="3200"/>
      <c r="P296" s="3200"/>
      <c r="Q296" s="3200"/>
      <c r="R296" s="3200"/>
      <c r="S296" s="3200"/>
      <c r="T296" s="3200"/>
      <c r="U296" s="3200"/>
      <c r="V296" s="3200"/>
      <c r="W296" s="3200"/>
      <c r="X296" s="3200"/>
      <c r="Y296" s="3200"/>
      <c r="Z296" s="3200"/>
      <c r="AA296" s="3200"/>
      <c r="AB296" s="3200"/>
      <c r="AC296" s="3174">
        <f t="shared" si="180"/>
        <v>0</v>
      </c>
      <c r="AD296" s="3212"/>
      <c r="AE296" s="3212"/>
      <c r="AF296" s="3212"/>
      <c r="AG296" s="3212"/>
      <c r="AH296" s="3212"/>
      <c r="AI296" s="3212"/>
      <c r="AJ296" s="3212"/>
      <c r="AK296" s="3212"/>
      <c r="AL296" s="3212"/>
      <c r="AM296" s="3212"/>
      <c r="AN296" s="3212"/>
      <c r="AO296" s="3212"/>
      <c r="AP296" s="3212"/>
      <c r="AQ296" s="3212"/>
      <c r="AR296" s="3212"/>
      <c r="AS296" s="3212"/>
      <c r="AT296" s="3212"/>
      <c r="AU296" s="548"/>
      <c r="AV296" s="466">
        <f t="shared" si="153"/>
        <v>0</v>
      </c>
      <c r="AW296" s="466">
        <f t="shared" si="154"/>
        <v>0</v>
      </c>
      <c r="AX296" s="466">
        <f t="shared" si="155"/>
        <v>0</v>
      </c>
      <c r="AY296" s="385">
        <f t="shared" si="181"/>
        <v>0</v>
      </c>
      <c r="AZ296" s="3174">
        <f t="shared" si="182"/>
        <v>0</v>
      </c>
      <c r="BA296" s="3174">
        <f t="shared" si="183"/>
        <v>0</v>
      </c>
      <c r="BB296" s="3174">
        <f t="shared" si="184"/>
        <v>0</v>
      </c>
      <c r="BC296" s="3174">
        <f t="shared" si="185"/>
        <v>0</v>
      </c>
      <c r="BD296" s="3174">
        <f t="shared" si="186"/>
        <v>0</v>
      </c>
      <c r="BE296" s="3174">
        <f t="shared" si="187"/>
        <v>0</v>
      </c>
      <c r="BF296" s="3174">
        <f t="shared" si="188"/>
        <v>0</v>
      </c>
      <c r="BG296" s="3174">
        <f t="shared" si="189"/>
        <v>0</v>
      </c>
      <c r="BH296" s="3174">
        <f t="shared" si="190"/>
        <v>0</v>
      </c>
      <c r="BI296" s="3174">
        <f t="shared" si="191"/>
        <v>0</v>
      </c>
      <c r="BJ296" s="3174">
        <f t="shared" si="192"/>
        <v>0</v>
      </c>
      <c r="BK296" s="3174">
        <f t="shared" si="193"/>
        <v>0</v>
      </c>
      <c r="BL296" s="3174">
        <f t="shared" si="194"/>
        <v>0</v>
      </c>
      <c r="BM296" s="3174">
        <f t="shared" si="195"/>
        <v>0</v>
      </c>
      <c r="BN296" s="3174">
        <f t="shared" si="196"/>
        <v>0</v>
      </c>
      <c r="BO296" s="3174">
        <f t="shared" si="197"/>
        <v>0</v>
      </c>
      <c r="BP296" s="3174">
        <f t="shared" si="198"/>
        <v>0</v>
      </c>
      <c r="BQ296" s="3174">
        <f t="shared" si="199"/>
        <v>0</v>
      </c>
      <c r="BR296" s="3174">
        <f t="shared" si="200"/>
        <v>0</v>
      </c>
      <c r="BS296" s="3174">
        <f t="shared" si="201"/>
        <v>0</v>
      </c>
      <c r="BT296" s="3249">
        <f t="shared" si="202"/>
        <v>0</v>
      </c>
    </row>
    <row r="297" spans="1:72">
      <c r="A297" s="489"/>
      <c r="B297" s="3179"/>
      <c r="C297" s="3180"/>
      <c r="D297" s="3181"/>
      <c r="E297" s="3174">
        <f t="shared" ref="E297:E328" si="203">IF($C$3="是",ROUND($A$3*G297/$B$3,2),ROUND($A$3*(G297-AT297)/$B$3,2))</f>
        <v>0</v>
      </c>
      <c r="F297" s="3175"/>
      <c r="G297" s="3176">
        <f t="shared" si="178"/>
        <v>0</v>
      </c>
      <c r="H297" s="3177">
        <f t="shared" si="179"/>
        <v>0</v>
      </c>
      <c r="I297" s="3180"/>
      <c r="J297" s="3200"/>
      <c r="K297" s="3180"/>
      <c r="L297" s="3200"/>
      <c r="M297" s="3200"/>
      <c r="N297" s="3200"/>
      <c r="O297" s="3200"/>
      <c r="P297" s="3200"/>
      <c r="Q297" s="3200"/>
      <c r="R297" s="3200"/>
      <c r="S297" s="3200"/>
      <c r="T297" s="3200"/>
      <c r="U297" s="3200"/>
      <c r="V297" s="3200"/>
      <c r="W297" s="3200"/>
      <c r="X297" s="3200"/>
      <c r="Y297" s="3200"/>
      <c r="Z297" s="3200"/>
      <c r="AA297" s="3200"/>
      <c r="AB297" s="3200"/>
      <c r="AC297" s="3174">
        <f t="shared" si="180"/>
        <v>0</v>
      </c>
      <c r="AD297" s="3212"/>
      <c r="AE297" s="3212"/>
      <c r="AF297" s="3213"/>
      <c r="AG297" s="3212"/>
      <c r="AH297" s="3212"/>
      <c r="AI297" s="3212"/>
      <c r="AJ297" s="3212"/>
      <c r="AK297" s="3212"/>
      <c r="AL297" s="3212"/>
      <c r="AM297" s="3212"/>
      <c r="AN297" s="3202"/>
      <c r="AO297" s="3212"/>
      <c r="AP297" s="3212"/>
      <c r="AQ297" s="3212"/>
      <c r="AR297" s="3212"/>
      <c r="AS297" s="3212"/>
      <c r="AT297" s="3175"/>
      <c r="AU297" s="3232"/>
      <c r="AV297" s="466">
        <f t="shared" ref="AV297:AV328" si="204">A297</f>
        <v>0</v>
      </c>
      <c r="AW297" s="466">
        <f t="shared" ref="AW297:AW328" si="205">B297</f>
        <v>0</v>
      </c>
      <c r="AX297" s="466">
        <f t="shared" ref="AX297:AX328" si="206">C297</f>
        <v>0</v>
      </c>
      <c r="AY297" s="385">
        <f t="shared" si="181"/>
        <v>0</v>
      </c>
      <c r="AZ297" s="3174">
        <f t="shared" si="182"/>
        <v>0</v>
      </c>
      <c r="BA297" s="3174">
        <f t="shared" si="183"/>
        <v>0</v>
      </c>
      <c r="BB297" s="3174">
        <f t="shared" si="184"/>
        <v>0</v>
      </c>
      <c r="BC297" s="3174">
        <f t="shared" si="185"/>
        <v>0</v>
      </c>
      <c r="BD297" s="3174">
        <f t="shared" si="186"/>
        <v>0</v>
      </c>
      <c r="BE297" s="3174">
        <f t="shared" si="187"/>
        <v>0</v>
      </c>
      <c r="BF297" s="3174">
        <f t="shared" si="188"/>
        <v>0</v>
      </c>
      <c r="BG297" s="3174">
        <f t="shared" si="189"/>
        <v>0</v>
      </c>
      <c r="BH297" s="3174">
        <f t="shared" si="190"/>
        <v>0</v>
      </c>
      <c r="BI297" s="3174">
        <f t="shared" si="191"/>
        <v>0</v>
      </c>
      <c r="BJ297" s="3174">
        <f t="shared" si="192"/>
        <v>0</v>
      </c>
      <c r="BK297" s="3174">
        <f t="shared" si="193"/>
        <v>0</v>
      </c>
      <c r="BL297" s="3174">
        <f t="shared" si="194"/>
        <v>0</v>
      </c>
      <c r="BM297" s="3174">
        <f t="shared" si="195"/>
        <v>0</v>
      </c>
      <c r="BN297" s="3174">
        <f t="shared" si="196"/>
        <v>0</v>
      </c>
      <c r="BO297" s="3174">
        <f t="shared" si="197"/>
        <v>0</v>
      </c>
      <c r="BP297" s="3174">
        <f t="shared" si="198"/>
        <v>0</v>
      </c>
      <c r="BQ297" s="3174">
        <f t="shared" si="199"/>
        <v>0</v>
      </c>
      <c r="BR297" s="3174">
        <f t="shared" si="200"/>
        <v>0</v>
      </c>
      <c r="BS297" s="3174">
        <f t="shared" si="201"/>
        <v>0</v>
      </c>
      <c r="BT297" s="3249">
        <f t="shared" si="202"/>
        <v>0</v>
      </c>
    </row>
    <row r="298" spans="1:72">
      <c r="A298" s="489"/>
      <c r="B298" s="3179"/>
      <c r="C298" s="3180"/>
      <c r="D298" s="3181"/>
      <c r="E298" s="3174">
        <f t="shared" si="203"/>
        <v>0</v>
      </c>
      <c r="F298" s="3175"/>
      <c r="G298" s="3176">
        <f t="shared" si="178"/>
        <v>0</v>
      </c>
      <c r="H298" s="3177">
        <f t="shared" si="179"/>
        <v>0</v>
      </c>
      <c r="I298" s="3180"/>
      <c r="J298" s="3200"/>
      <c r="K298" s="3180"/>
      <c r="L298" s="3200"/>
      <c r="M298" s="3202"/>
      <c r="N298" s="3200"/>
      <c r="O298" s="3200"/>
      <c r="P298" s="3200"/>
      <c r="Q298" s="3200"/>
      <c r="R298" s="3200"/>
      <c r="S298" s="3200"/>
      <c r="T298" s="3200"/>
      <c r="U298" s="3200"/>
      <c r="V298" s="3200"/>
      <c r="W298" s="3200"/>
      <c r="X298" s="3200"/>
      <c r="Y298" s="3200"/>
      <c r="Z298" s="3200"/>
      <c r="AA298" s="3200"/>
      <c r="AB298" s="3200"/>
      <c r="AC298" s="3174">
        <f t="shared" si="180"/>
        <v>0</v>
      </c>
      <c r="AD298" s="3202"/>
      <c r="AE298" s="3212"/>
      <c r="AF298" s="3213"/>
      <c r="AG298" s="3212"/>
      <c r="AH298" s="3212"/>
      <c r="AI298" s="3212"/>
      <c r="AJ298" s="3212"/>
      <c r="AK298" s="3212"/>
      <c r="AL298" s="3202"/>
      <c r="AM298" s="3212"/>
      <c r="AN298" s="3202"/>
      <c r="AO298" s="3212"/>
      <c r="AP298" s="3212"/>
      <c r="AQ298" s="3212"/>
      <c r="AR298" s="3212"/>
      <c r="AS298" s="3212"/>
      <c r="AT298" s="3175"/>
      <c r="AU298" s="3232"/>
      <c r="AV298" s="466">
        <f t="shared" si="204"/>
        <v>0</v>
      </c>
      <c r="AW298" s="466">
        <f t="shared" si="205"/>
        <v>0</v>
      </c>
      <c r="AX298" s="466">
        <f t="shared" si="206"/>
        <v>0</v>
      </c>
      <c r="AY298" s="385">
        <f t="shared" si="181"/>
        <v>0</v>
      </c>
      <c r="AZ298" s="3174">
        <f t="shared" si="182"/>
        <v>0</v>
      </c>
      <c r="BA298" s="3174">
        <f t="shared" si="183"/>
        <v>0</v>
      </c>
      <c r="BB298" s="3174">
        <f t="shared" si="184"/>
        <v>0</v>
      </c>
      <c r="BC298" s="3174">
        <f t="shared" si="185"/>
        <v>0</v>
      </c>
      <c r="BD298" s="3174">
        <f t="shared" si="186"/>
        <v>0</v>
      </c>
      <c r="BE298" s="3174">
        <f t="shared" si="187"/>
        <v>0</v>
      </c>
      <c r="BF298" s="3174">
        <f t="shared" si="188"/>
        <v>0</v>
      </c>
      <c r="BG298" s="3174">
        <f t="shared" si="189"/>
        <v>0</v>
      </c>
      <c r="BH298" s="3174">
        <f t="shared" si="190"/>
        <v>0</v>
      </c>
      <c r="BI298" s="3174">
        <f t="shared" si="191"/>
        <v>0</v>
      </c>
      <c r="BJ298" s="3174">
        <f t="shared" si="192"/>
        <v>0</v>
      </c>
      <c r="BK298" s="3174">
        <f t="shared" si="193"/>
        <v>0</v>
      </c>
      <c r="BL298" s="3174">
        <f t="shared" si="194"/>
        <v>0</v>
      </c>
      <c r="BM298" s="3174">
        <f t="shared" si="195"/>
        <v>0</v>
      </c>
      <c r="BN298" s="3174">
        <f t="shared" si="196"/>
        <v>0</v>
      </c>
      <c r="BO298" s="3174">
        <f t="shared" si="197"/>
        <v>0</v>
      </c>
      <c r="BP298" s="3174">
        <f t="shared" si="198"/>
        <v>0</v>
      </c>
      <c r="BQ298" s="3174">
        <f t="shared" si="199"/>
        <v>0</v>
      </c>
      <c r="BR298" s="3174">
        <f t="shared" si="200"/>
        <v>0</v>
      </c>
      <c r="BS298" s="3174">
        <f t="shared" si="201"/>
        <v>0</v>
      </c>
      <c r="BT298" s="3249">
        <f t="shared" si="202"/>
        <v>0</v>
      </c>
    </row>
    <row r="299" spans="1:72">
      <c r="A299" s="489"/>
      <c r="B299" s="3179"/>
      <c r="C299" s="3180"/>
      <c r="D299" s="3181"/>
      <c r="E299" s="3174">
        <f t="shared" si="203"/>
        <v>0</v>
      </c>
      <c r="F299" s="3175"/>
      <c r="G299" s="3176">
        <f t="shared" si="178"/>
        <v>0</v>
      </c>
      <c r="H299" s="3177">
        <f t="shared" si="179"/>
        <v>0</v>
      </c>
      <c r="I299" s="3180"/>
      <c r="J299" s="3200"/>
      <c r="K299" s="3180"/>
      <c r="L299" s="3200"/>
      <c r="M299" s="3202"/>
      <c r="N299" s="3200"/>
      <c r="O299" s="3200"/>
      <c r="P299" s="3200"/>
      <c r="Q299" s="3200"/>
      <c r="R299" s="3200"/>
      <c r="S299" s="3200"/>
      <c r="T299" s="3200"/>
      <c r="U299" s="3200"/>
      <c r="V299" s="3200"/>
      <c r="W299" s="3200"/>
      <c r="X299" s="3200"/>
      <c r="Y299" s="3200"/>
      <c r="Z299" s="3200"/>
      <c r="AA299" s="3200"/>
      <c r="AB299" s="3200"/>
      <c r="AC299" s="3174">
        <f t="shared" si="180"/>
        <v>0</v>
      </c>
      <c r="AD299" s="3212"/>
      <c r="AE299" s="3212"/>
      <c r="AF299" s="3213"/>
      <c r="AG299" s="3212"/>
      <c r="AH299" s="3212"/>
      <c r="AI299" s="3212"/>
      <c r="AJ299" s="3212"/>
      <c r="AK299" s="3212"/>
      <c r="AL299" s="3202"/>
      <c r="AM299" s="3212"/>
      <c r="AN299" s="3202"/>
      <c r="AO299" s="3212"/>
      <c r="AP299" s="3212"/>
      <c r="AQ299" s="3212"/>
      <c r="AR299" s="3212"/>
      <c r="AS299" s="3212"/>
      <c r="AT299" s="3175"/>
      <c r="AU299" s="3232"/>
      <c r="AV299" s="466">
        <f t="shared" si="204"/>
        <v>0</v>
      </c>
      <c r="AW299" s="466">
        <f t="shared" si="205"/>
        <v>0</v>
      </c>
      <c r="AX299" s="466">
        <f t="shared" si="206"/>
        <v>0</v>
      </c>
      <c r="AY299" s="385">
        <f t="shared" si="181"/>
        <v>0</v>
      </c>
      <c r="AZ299" s="3174">
        <f t="shared" si="182"/>
        <v>0</v>
      </c>
      <c r="BA299" s="3174">
        <f t="shared" si="183"/>
        <v>0</v>
      </c>
      <c r="BB299" s="3174">
        <f t="shared" si="184"/>
        <v>0</v>
      </c>
      <c r="BC299" s="3174">
        <f t="shared" si="185"/>
        <v>0</v>
      </c>
      <c r="BD299" s="3174">
        <f t="shared" si="186"/>
        <v>0</v>
      </c>
      <c r="BE299" s="3174">
        <f t="shared" si="187"/>
        <v>0</v>
      </c>
      <c r="BF299" s="3174">
        <f t="shared" si="188"/>
        <v>0</v>
      </c>
      <c r="BG299" s="3174">
        <f t="shared" si="189"/>
        <v>0</v>
      </c>
      <c r="BH299" s="3174">
        <f t="shared" si="190"/>
        <v>0</v>
      </c>
      <c r="BI299" s="3174">
        <f t="shared" si="191"/>
        <v>0</v>
      </c>
      <c r="BJ299" s="3174">
        <f t="shared" si="192"/>
        <v>0</v>
      </c>
      <c r="BK299" s="3174">
        <f t="shared" si="193"/>
        <v>0</v>
      </c>
      <c r="BL299" s="3174">
        <f t="shared" si="194"/>
        <v>0</v>
      </c>
      <c r="BM299" s="3174">
        <f t="shared" si="195"/>
        <v>0</v>
      </c>
      <c r="BN299" s="3174">
        <f t="shared" si="196"/>
        <v>0</v>
      </c>
      <c r="BO299" s="3174">
        <f t="shared" si="197"/>
        <v>0</v>
      </c>
      <c r="BP299" s="3174">
        <f t="shared" si="198"/>
        <v>0</v>
      </c>
      <c r="BQ299" s="3174">
        <f t="shared" si="199"/>
        <v>0</v>
      </c>
      <c r="BR299" s="3174">
        <f t="shared" si="200"/>
        <v>0</v>
      </c>
      <c r="BS299" s="3174">
        <f t="shared" si="201"/>
        <v>0</v>
      </c>
      <c r="BT299" s="3249">
        <f t="shared" si="202"/>
        <v>0</v>
      </c>
    </row>
    <row r="300" spans="1:72">
      <c r="A300" s="489"/>
      <c r="B300" s="3179"/>
      <c r="C300" s="3180"/>
      <c r="D300" s="3181"/>
      <c r="E300" s="3174">
        <f t="shared" si="203"/>
        <v>0</v>
      </c>
      <c r="F300" s="3175"/>
      <c r="G300" s="3176">
        <f t="shared" si="178"/>
        <v>0</v>
      </c>
      <c r="H300" s="3177">
        <f t="shared" si="179"/>
        <v>0</v>
      </c>
      <c r="I300" s="3180"/>
      <c r="J300" s="3200"/>
      <c r="K300" s="3180"/>
      <c r="L300" s="3200"/>
      <c r="M300" s="3200"/>
      <c r="N300" s="3200"/>
      <c r="O300" s="3202"/>
      <c r="P300" s="3200"/>
      <c r="Q300" s="3200"/>
      <c r="R300" s="3200"/>
      <c r="S300" s="3200"/>
      <c r="T300" s="3200"/>
      <c r="U300" s="3200"/>
      <c r="V300" s="3200"/>
      <c r="W300" s="3200"/>
      <c r="X300" s="3200"/>
      <c r="Y300" s="3200"/>
      <c r="Z300" s="3200"/>
      <c r="AA300" s="3200"/>
      <c r="AB300" s="3200"/>
      <c r="AC300" s="3174">
        <f t="shared" si="180"/>
        <v>0</v>
      </c>
      <c r="AD300" s="3212"/>
      <c r="AE300" s="3212"/>
      <c r="AF300" s="3213"/>
      <c r="AG300" s="3212"/>
      <c r="AH300" s="3212"/>
      <c r="AI300" s="3212"/>
      <c r="AJ300" s="3212"/>
      <c r="AK300" s="3212"/>
      <c r="AL300" s="3212"/>
      <c r="AM300" s="3212"/>
      <c r="AN300" s="3202"/>
      <c r="AO300" s="3212"/>
      <c r="AP300" s="3212"/>
      <c r="AQ300" s="3212"/>
      <c r="AR300" s="3212"/>
      <c r="AS300" s="3212"/>
      <c r="AT300" s="3175"/>
      <c r="AU300" s="3232"/>
      <c r="AV300" s="466">
        <f t="shared" si="204"/>
        <v>0</v>
      </c>
      <c r="AW300" s="466">
        <f t="shared" si="205"/>
        <v>0</v>
      </c>
      <c r="AX300" s="466">
        <f t="shared" si="206"/>
        <v>0</v>
      </c>
      <c r="AY300" s="385">
        <f t="shared" si="181"/>
        <v>0</v>
      </c>
      <c r="AZ300" s="3174">
        <f t="shared" si="182"/>
        <v>0</v>
      </c>
      <c r="BA300" s="3174">
        <f t="shared" si="183"/>
        <v>0</v>
      </c>
      <c r="BB300" s="3174">
        <f t="shared" si="184"/>
        <v>0</v>
      </c>
      <c r="BC300" s="3174">
        <f t="shared" si="185"/>
        <v>0</v>
      </c>
      <c r="BD300" s="3174">
        <f t="shared" si="186"/>
        <v>0</v>
      </c>
      <c r="BE300" s="3174">
        <f t="shared" si="187"/>
        <v>0</v>
      </c>
      <c r="BF300" s="3174">
        <f t="shared" si="188"/>
        <v>0</v>
      </c>
      <c r="BG300" s="3174">
        <f t="shared" si="189"/>
        <v>0</v>
      </c>
      <c r="BH300" s="3174">
        <f t="shared" si="190"/>
        <v>0</v>
      </c>
      <c r="BI300" s="3174">
        <f t="shared" si="191"/>
        <v>0</v>
      </c>
      <c r="BJ300" s="3174">
        <f t="shared" si="192"/>
        <v>0</v>
      </c>
      <c r="BK300" s="3174">
        <f t="shared" si="193"/>
        <v>0</v>
      </c>
      <c r="BL300" s="3174">
        <f t="shared" si="194"/>
        <v>0</v>
      </c>
      <c r="BM300" s="3174">
        <f t="shared" si="195"/>
        <v>0</v>
      </c>
      <c r="BN300" s="3174">
        <f t="shared" si="196"/>
        <v>0</v>
      </c>
      <c r="BO300" s="3174">
        <f t="shared" si="197"/>
        <v>0</v>
      </c>
      <c r="BP300" s="3174">
        <f t="shared" si="198"/>
        <v>0</v>
      </c>
      <c r="BQ300" s="3174">
        <f t="shared" si="199"/>
        <v>0</v>
      </c>
      <c r="BR300" s="3174">
        <f t="shared" si="200"/>
        <v>0</v>
      </c>
      <c r="BS300" s="3174">
        <f t="shared" si="201"/>
        <v>0</v>
      </c>
      <c r="BT300" s="3249">
        <f t="shared" si="202"/>
        <v>0</v>
      </c>
    </row>
    <row r="301" spans="1:72">
      <c r="A301" s="489"/>
      <c r="B301" s="3179"/>
      <c r="C301" s="3180"/>
      <c r="D301" s="3181"/>
      <c r="E301" s="3174">
        <f t="shared" si="203"/>
        <v>0</v>
      </c>
      <c r="F301" s="3175"/>
      <c r="G301" s="3176">
        <f t="shared" si="178"/>
        <v>0</v>
      </c>
      <c r="H301" s="3177">
        <f t="shared" si="179"/>
        <v>0</v>
      </c>
      <c r="I301" s="3180"/>
      <c r="J301" s="3200"/>
      <c r="K301" s="3180"/>
      <c r="L301" s="3200"/>
      <c r="M301" s="3200"/>
      <c r="N301" s="3200"/>
      <c r="O301" s="3200"/>
      <c r="P301" s="3200"/>
      <c r="Q301" s="3200"/>
      <c r="R301" s="3200"/>
      <c r="S301" s="3200"/>
      <c r="T301" s="3200"/>
      <c r="U301" s="3200"/>
      <c r="V301" s="3200"/>
      <c r="W301" s="3200"/>
      <c r="X301" s="3200"/>
      <c r="Y301" s="3200"/>
      <c r="Z301" s="3200"/>
      <c r="AA301" s="3200"/>
      <c r="AB301" s="3200"/>
      <c r="AC301" s="3174">
        <f t="shared" si="180"/>
        <v>0</v>
      </c>
      <c r="AD301" s="3212"/>
      <c r="AE301" s="3212"/>
      <c r="AF301" s="3213"/>
      <c r="AG301" s="3212"/>
      <c r="AH301" s="3212"/>
      <c r="AI301" s="3212"/>
      <c r="AJ301" s="3212"/>
      <c r="AK301" s="3212"/>
      <c r="AL301" s="3212"/>
      <c r="AM301" s="3212"/>
      <c r="AN301" s="3212"/>
      <c r="AO301" s="3212"/>
      <c r="AP301" s="3212"/>
      <c r="AQ301" s="3212"/>
      <c r="AR301" s="3212"/>
      <c r="AS301" s="3212"/>
      <c r="AT301" s="3175"/>
      <c r="AU301" s="3232"/>
      <c r="AV301" s="466">
        <f t="shared" si="204"/>
        <v>0</v>
      </c>
      <c r="AW301" s="466">
        <f t="shared" si="205"/>
        <v>0</v>
      </c>
      <c r="AX301" s="466">
        <f t="shared" si="206"/>
        <v>0</v>
      </c>
      <c r="AY301" s="385">
        <f t="shared" si="181"/>
        <v>0</v>
      </c>
      <c r="AZ301" s="3174">
        <f t="shared" si="182"/>
        <v>0</v>
      </c>
      <c r="BA301" s="3174">
        <f t="shared" si="183"/>
        <v>0</v>
      </c>
      <c r="BB301" s="3174">
        <f t="shared" si="184"/>
        <v>0</v>
      </c>
      <c r="BC301" s="3174">
        <f t="shared" si="185"/>
        <v>0</v>
      </c>
      <c r="BD301" s="3174">
        <f t="shared" si="186"/>
        <v>0</v>
      </c>
      <c r="BE301" s="3174">
        <f t="shared" si="187"/>
        <v>0</v>
      </c>
      <c r="BF301" s="3174">
        <f t="shared" si="188"/>
        <v>0</v>
      </c>
      <c r="BG301" s="3174">
        <f t="shared" si="189"/>
        <v>0</v>
      </c>
      <c r="BH301" s="3174">
        <f t="shared" si="190"/>
        <v>0</v>
      </c>
      <c r="BI301" s="3174">
        <f t="shared" si="191"/>
        <v>0</v>
      </c>
      <c r="BJ301" s="3174">
        <f t="shared" si="192"/>
        <v>0</v>
      </c>
      <c r="BK301" s="3174">
        <f t="shared" si="193"/>
        <v>0</v>
      </c>
      <c r="BL301" s="3174">
        <f t="shared" si="194"/>
        <v>0</v>
      </c>
      <c r="BM301" s="3174">
        <f t="shared" si="195"/>
        <v>0</v>
      </c>
      <c r="BN301" s="3174">
        <f t="shared" si="196"/>
        <v>0</v>
      </c>
      <c r="BO301" s="3174">
        <f t="shared" si="197"/>
        <v>0</v>
      </c>
      <c r="BP301" s="3174">
        <f t="shared" si="198"/>
        <v>0</v>
      </c>
      <c r="BQ301" s="3174">
        <f t="shared" si="199"/>
        <v>0</v>
      </c>
      <c r="BR301" s="3174">
        <f t="shared" si="200"/>
        <v>0</v>
      </c>
      <c r="BS301" s="3174">
        <f t="shared" si="201"/>
        <v>0</v>
      </c>
      <c r="BT301" s="3249">
        <f t="shared" si="202"/>
        <v>0</v>
      </c>
    </row>
    <row r="302" spans="1:72">
      <c r="A302" s="489"/>
      <c r="B302" s="3179"/>
      <c r="C302" s="3180"/>
      <c r="D302" s="3181"/>
      <c r="E302" s="3174">
        <f t="shared" si="203"/>
        <v>0</v>
      </c>
      <c r="F302" s="3175"/>
      <c r="G302" s="3176">
        <f t="shared" si="178"/>
        <v>0</v>
      </c>
      <c r="H302" s="3177">
        <f t="shared" si="179"/>
        <v>0</v>
      </c>
      <c r="I302" s="3180"/>
      <c r="J302" s="3200"/>
      <c r="K302" s="3180"/>
      <c r="L302" s="3200"/>
      <c r="M302" s="3200"/>
      <c r="N302" s="3200"/>
      <c r="O302" s="3200"/>
      <c r="P302" s="3200"/>
      <c r="Q302" s="3200"/>
      <c r="R302" s="3200"/>
      <c r="S302" s="3200"/>
      <c r="T302" s="3200"/>
      <c r="U302" s="3200"/>
      <c r="V302" s="3200"/>
      <c r="W302" s="3200"/>
      <c r="X302" s="3200"/>
      <c r="Y302" s="3200"/>
      <c r="Z302" s="3200"/>
      <c r="AA302" s="3200"/>
      <c r="AB302" s="3200"/>
      <c r="AC302" s="3174">
        <f t="shared" si="180"/>
        <v>0</v>
      </c>
      <c r="AD302" s="3212"/>
      <c r="AE302" s="3212"/>
      <c r="AF302" s="3213"/>
      <c r="AG302" s="3212"/>
      <c r="AH302" s="3212"/>
      <c r="AI302" s="3212"/>
      <c r="AJ302" s="3212"/>
      <c r="AK302" s="3212"/>
      <c r="AL302" s="3212"/>
      <c r="AM302" s="3212"/>
      <c r="AN302" s="3212"/>
      <c r="AO302" s="3212"/>
      <c r="AP302" s="3212"/>
      <c r="AQ302" s="3212"/>
      <c r="AR302" s="3212"/>
      <c r="AS302" s="3212"/>
      <c r="AT302" s="3175"/>
      <c r="AU302" s="3232"/>
      <c r="AV302" s="466">
        <f t="shared" si="204"/>
        <v>0</v>
      </c>
      <c r="AW302" s="466">
        <f t="shared" si="205"/>
        <v>0</v>
      </c>
      <c r="AX302" s="466">
        <f t="shared" si="206"/>
        <v>0</v>
      </c>
      <c r="AY302" s="385">
        <f t="shared" si="181"/>
        <v>0</v>
      </c>
      <c r="AZ302" s="3174">
        <f t="shared" si="182"/>
        <v>0</v>
      </c>
      <c r="BA302" s="3174">
        <f t="shared" si="183"/>
        <v>0</v>
      </c>
      <c r="BB302" s="3174">
        <f t="shared" si="184"/>
        <v>0</v>
      </c>
      <c r="BC302" s="3174">
        <f t="shared" si="185"/>
        <v>0</v>
      </c>
      <c r="BD302" s="3174">
        <f t="shared" si="186"/>
        <v>0</v>
      </c>
      <c r="BE302" s="3174">
        <f t="shared" si="187"/>
        <v>0</v>
      </c>
      <c r="BF302" s="3174">
        <f t="shared" si="188"/>
        <v>0</v>
      </c>
      <c r="BG302" s="3174">
        <f t="shared" si="189"/>
        <v>0</v>
      </c>
      <c r="BH302" s="3174">
        <f t="shared" si="190"/>
        <v>0</v>
      </c>
      <c r="BI302" s="3174">
        <f t="shared" si="191"/>
        <v>0</v>
      </c>
      <c r="BJ302" s="3174">
        <f t="shared" si="192"/>
        <v>0</v>
      </c>
      <c r="BK302" s="3174">
        <f t="shared" si="193"/>
        <v>0</v>
      </c>
      <c r="BL302" s="3174">
        <f t="shared" si="194"/>
        <v>0</v>
      </c>
      <c r="BM302" s="3174">
        <f t="shared" si="195"/>
        <v>0</v>
      </c>
      <c r="BN302" s="3174">
        <f t="shared" si="196"/>
        <v>0</v>
      </c>
      <c r="BO302" s="3174">
        <f t="shared" si="197"/>
        <v>0</v>
      </c>
      <c r="BP302" s="3174">
        <f t="shared" si="198"/>
        <v>0</v>
      </c>
      <c r="BQ302" s="3174">
        <f t="shared" si="199"/>
        <v>0</v>
      </c>
      <c r="BR302" s="3174">
        <f t="shared" si="200"/>
        <v>0</v>
      </c>
      <c r="BS302" s="3174">
        <f t="shared" si="201"/>
        <v>0</v>
      </c>
      <c r="BT302" s="3249">
        <f t="shared" si="202"/>
        <v>0</v>
      </c>
    </row>
    <row r="303" spans="1:72">
      <c r="A303" s="489"/>
      <c r="B303" s="3179"/>
      <c r="C303" s="3180"/>
      <c r="D303" s="3181"/>
      <c r="E303" s="3174">
        <f t="shared" si="203"/>
        <v>0</v>
      </c>
      <c r="F303" s="3175"/>
      <c r="G303" s="3176">
        <f t="shared" si="178"/>
        <v>0</v>
      </c>
      <c r="H303" s="3177">
        <f t="shared" si="179"/>
        <v>0</v>
      </c>
      <c r="I303" s="3180"/>
      <c r="J303" s="3200"/>
      <c r="K303" s="3180"/>
      <c r="L303" s="3200"/>
      <c r="M303" s="3200"/>
      <c r="N303" s="3200"/>
      <c r="O303" s="3200"/>
      <c r="P303" s="3200"/>
      <c r="Q303" s="3200"/>
      <c r="R303" s="3200"/>
      <c r="S303" s="3200"/>
      <c r="T303" s="3200"/>
      <c r="U303" s="3200"/>
      <c r="V303" s="3200"/>
      <c r="W303" s="3200"/>
      <c r="X303" s="3200"/>
      <c r="Y303" s="3200"/>
      <c r="Z303" s="3200"/>
      <c r="AA303" s="3200"/>
      <c r="AB303" s="3200"/>
      <c r="AC303" s="3174">
        <f t="shared" si="180"/>
        <v>0</v>
      </c>
      <c r="AD303" s="3212"/>
      <c r="AE303" s="3212"/>
      <c r="AF303" s="3213"/>
      <c r="AG303" s="3212"/>
      <c r="AH303" s="3212"/>
      <c r="AI303" s="3212"/>
      <c r="AJ303" s="3212"/>
      <c r="AK303" s="3212"/>
      <c r="AL303" s="3212"/>
      <c r="AM303" s="3212"/>
      <c r="AN303" s="3212"/>
      <c r="AO303" s="3212"/>
      <c r="AP303" s="3212"/>
      <c r="AQ303" s="3212"/>
      <c r="AR303" s="3212"/>
      <c r="AS303" s="3212"/>
      <c r="AT303" s="3175"/>
      <c r="AU303" s="3232"/>
      <c r="AV303" s="466">
        <f t="shared" si="204"/>
        <v>0</v>
      </c>
      <c r="AW303" s="466">
        <f t="shared" si="205"/>
        <v>0</v>
      </c>
      <c r="AX303" s="466">
        <f t="shared" si="206"/>
        <v>0</v>
      </c>
      <c r="AY303" s="385">
        <f t="shared" si="181"/>
        <v>0</v>
      </c>
      <c r="AZ303" s="3174">
        <f t="shared" si="182"/>
        <v>0</v>
      </c>
      <c r="BA303" s="3174">
        <f t="shared" si="183"/>
        <v>0</v>
      </c>
      <c r="BB303" s="3174">
        <f t="shared" si="184"/>
        <v>0</v>
      </c>
      <c r="BC303" s="3174">
        <f t="shared" si="185"/>
        <v>0</v>
      </c>
      <c r="BD303" s="3174">
        <f t="shared" si="186"/>
        <v>0</v>
      </c>
      <c r="BE303" s="3174">
        <f t="shared" si="187"/>
        <v>0</v>
      </c>
      <c r="BF303" s="3174">
        <f t="shared" si="188"/>
        <v>0</v>
      </c>
      <c r="BG303" s="3174">
        <f t="shared" si="189"/>
        <v>0</v>
      </c>
      <c r="BH303" s="3174">
        <f t="shared" si="190"/>
        <v>0</v>
      </c>
      <c r="BI303" s="3174">
        <f t="shared" si="191"/>
        <v>0</v>
      </c>
      <c r="BJ303" s="3174">
        <f t="shared" si="192"/>
        <v>0</v>
      </c>
      <c r="BK303" s="3174">
        <f t="shared" si="193"/>
        <v>0</v>
      </c>
      <c r="BL303" s="3174">
        <f t="shared" si="194"/>
        <v>0</v>
      </c>
      <c r="BM303" s="3174">
        <f t="shared" si="195"/>
        <v>0</v>
      </c>
      <c r="BN303" s="3174">
        <f t="shared" si="196"/>
        <v>0</v>
      </c>
      <c r="BO303" s="3174">
        <f t="shared" si="197"/>
        <v>0</v>
      </c>
      <c r="BP303" s="3174">
        <f t="shared" si="198"/>
        <v>0</v>
      </c>
      <c r="BQ303" s="3174">
        <f t="shared" si="199"/>
        <v>0</v>
      </c>
      <c r="BR303" s="3174">
        <f t="shared" si="200"/>
        <v>0</v>
      </c>
      <c r="BS303" s="3174">
        <f t="shared" si="201"/>
        <v>0</v>
      </c>
      <c r="BT303" s="3249">
        <f t="shared" si="202"/>
        <v>0</v>
      </c>
    </row>
    <row r="304" spans="1:72">
      <c r="A304" s="489"/>
      <c r="B304" s="3179"/>
      <c r="C304" s="3180"/>
      <c r="D304" s="3181"/>
      <c r="E304" s="3174">
        <f t="shared" si="203"/>
        <v>0</v>
      </c>
      <c r="F304" s="3175"/>
      <c r="G304" s="3176">
        <f t="shared" si="178"/>
        <v>0</v>
      </c>
      <c r="H304" s="3177">
        <f t="shared" si="179"/>
        <v>0</v>
      </c>
      <c r="I304" s="3180"/>
      <c r="J304" s="3200"/>
      <c r="K304" s="3180"/>
      <c r="L304" s="3200"/>
      <c r="M304" s="3200"/>
      <c r="N304" s="3200"/>
      <c r="O304" s="3200"/>
      <c r="P304" s="3200"/>
      <c r="Q304" s="3200"/>
      <c r="R304" s="3200"/>
      <c r="S304" s="3200"/>
      <c r="T304" s="3200"/>
      <c r="U304" s="3200"/>
      <c r="V304" s="3200"/>
      <c r="W304" s="3200"/>
      <c r="X304" s="3200"/>
      <c r="Y304" s="3200"/>
      <c r="Z304" s="3200"/>
      <c r="AA304" s="3200"/>
      <c r="AB304" s="3200"/>
      <c r="AC304" s="3174">
        <f t="shared" si="180"/>
        <v>0</v>
      </c>
      <c r="AD304" s="3212"/>
      <c r="AE304" s="3212"/>
      <c r="AF304" s="3180"/>
      <c r="AG304" s="3212"/>
      <c r="AH304" s="3212"/>
      <c r="AI304" s="3212"/>
      <c r="AJ304" s="3212"/>
      <c r="AK304" s="3212"/>
      <c r="AL304" s="3212"/>
      <c r="AM304" s="3212"/>
      <c r="AN304" s="3212"/>
      <c r="AO304" s="3212"/>
      <c r="AP304" s="3212"/>
      <c r="AQ304" s="3212"/>
      <c r="AR304" s="3212"/>
      <c r="AS304" s="3212"/>
      <c r="AT304" s="3175"/>
      <c r="AU304" s="3232"/>
      <c r="AV304" s="466">
        <f t="shared" si="204"/>
        <v>0</v>
      </c>
      <c r="AW304" s="466">
        <f t="shared" si="205"/>
        <v>0</v>
      </c>
      <c r="AX304" s="466">
        <f t="shared" si="206"/>
        <v>0</v>
      </c>
      <c r="AY304" s="385">
        <f t="shared" si="181"/>
        <v>0</v>
      </c>
      <c r="AZ304" s="3174">
        <f t="shared" si="182"/>
        <v>0</v>
      </c>
      <c r="BA304" s="3174">
        <f t="shared" si="183"/>
        <v>0</v>
      </c>
      <c r="BB304" s="3174">
        <f t="shared" si="184"/>
        <v>0</v>
      </c>
      <c r="BC304" s="3174">
        <f t="shared" si="185"/>
        <v>0</v>
      </c>
      <c r="BD304" s="3174">
        <f t="shared" si="186"/>
        <v>0</v>
      </c>
      <c r="BE304" s="3174">
        <f t="shared" si="187"/>
        <v>0</v>
      </c>
      <c r="BF304" s="3174">
        <f t="shared" si="188"/>
        <v>0</v>
      </c>
      <c r="BG304" s="3174">
        <f t="shared" si="189"/>
        <v>0</v>
      </c>
      <c r="BH304" s="3174">
        <f t="shared" si="190"/>
        <v>0</v>
      </c>
      <c r="BI304" s="3174">
        <f t="shared" si="191"/>
        <v>0</v>
      </c>
      <c r="BJ304" s="3174">
        <f t="shared" si="192"/>
        <v>0</v>
      </c>
      <c r="BK304" s="3174">
        <f t="shared" si="193"/>
        <v>0</v>
      </c>
      <c r="BL304" s="3174">
        <f t="shared" si="194"/>
        <v>0</v>
      </c>
      <c r="BM304" s="3174">
        <f t="shared" si="195"/>
        <v>0</v>
      </c>
      <c r="BN304" s="3174">
        <f t="shared" si="196"/>
        <v>0</v>
      </c>
      <c r="BO304" s="3174">
        <f t="shared" si="197"/>
        <v>0</v>
      </c>
      <c r="BP304" s="3174">
        <f t="shared" si="198"/>
        <v>0</v>
      </c>
      <c r="BQ304" s="3174">
        <f t="shared" si="199"/>
        <v>0</v>
      </c>
      <c r="BR304" s="3174">
        <f t="shared" si="200"/>
        <v>0</v>
      </c>
      <c r="BS304" s="3174">
        <f t="shared" si="201"/>
        <v>0</v>
      </c>
      <c r="BT304" s="3249">
        <f t="shared" si="202"/>
        <v>0</v>
      </c>
    </row>
    <row r="305" spans="1:72">
      <c r="A305" s="489"/>
      <c r="B305" s="3179"/>
      <c r="C305" s="3180"/>
      <c r="D305" s="3181"/>
      <c r="E305" s="3174">
        <f t="shared" si="203"/>
        <v>0</v>
      </c>
      <c r="F305" s="3175"/>
      <c r="G305" s="3176">
        <f t="shared" si="178"/>
        <v>0</v>
      </c>
      <c r="H305" s="3177">
        <f t="shared" si="179"/>
        <v>0</v>
      </c>
      <c r="I305" s="3180"/>
      <c r="J305" s="3200"/>
      <c r="K305" s="3180"/>
      <c r="L305" s="3200"/>
      <c r="M305" s="3200"/>
      <c r="N305" s="3200"/>
      <c r="O305" s="3200"/>
      <c r="P305" s="3200"/>
      <c r="Q305" s="3200"/>
      <c r="R305" s="3200"/>
      <c r="S305" s="3200"/>
      <c r="T305" s="3200"/>
      <c r="U305" s="3200"/>
      <c r="V305" s="3200"/>
      <c r="W305" s="3200"/>
      <c r="X305" s="3200"/>
      <c r="Y305" s="3200"/>
      <c r="Z305" s="3200"/>
      <c r="AA305" s="3200"/>
      <c r="AB305" s="3200"/>
      <c r="AC305" s="3174">
        <f t="shared" si="180"/>
        <v>0</v>
      </c>
      <c r="AD305" s="3212"/>
      <c r="AE305" s="3212"/>
      <c r="AF305" s="3180"/>
      <c r="AG305" s="3212"/>
      <c r="AH305" s="3212"/>
      <c r="AI305" s="3212"/>
      <c r="AJ305" s="3212"/>
      <c r="AK305" s="3212"/>
      <c r="AL305" s="3212"/>
      <c r="AM305" s="3212"/>
      <c r="AN305" s="3212"/>
      <c r="AO305" s="3212"/>
      <c r="AP305" s="3212"/>
      <c r="AQ305" s="3212"/>
      <c r="AR305" s="3212"/>
      <c r="AS305" s="3212"/>
      <c r="AT305" s="3175"/>
      <c r="AU305" s="3232"/>
      <c r="AV305" s="466">
        <f t="shared" si="204"/>
        <v>0</v>
      </c>
      <c r="AW305" s="466">
        <f t="shared" si="205"/>
        <v>0</v>
      </c>
      <c r="AX305" s="466">
        <f t="shared" si="206"/>
        <v>0</v>
      </c>
      <c r="AY305" s="385">
        <f t="shared" si="181"/>
        <v>0</v>
      </c>
      <c r="AZ305" s="3174">
        <f t="shared" si="182"/>
        <v>0</v>
      </c>
      <c r="BA305" s="3174">
        <f t="shared" si="183"/>
        <v>0</v>
      </c>
      <c r="BB305" s="3174">
        <f t="shared" si="184"/>
        <v>0</v>
      </c>
      <c r="BC305" s="3174">
        <f t="shared" si="185"/>
        <v>0</v>
      </c>
      <c r="BD305" s="3174">
        <f t="shared" si="186"/>
        <v>0</v>
      </c>
      <c r="BE305" s="3174">
        <f t="shared" si="187"/>
        <v>0</v>
      </c>
      <c r="BF305" s="3174">
        <f t="shared" si="188"/>
        <v>0</v>
      </c>
      <c r="BG305" s="3174">
        <f t="shared" si="189"/>
        <v>0</v>
      </c>
      <c r="BH305" s="3174">
        <f t="shared" si="190"/>
        <v>0</v>
      </c>
      <c r="BI305" s="3174">
        <f t="shared" si="191"/>
        <v>0</v>
      </c>
      <c r="BJ305" s="3174">
        <f t="shared" si="192"/>
        <v>0</v>
      </c>
      <c r="BK305" s="3174">
        <f t="shared" si="193"/>
        <v>0</v>
      </c>
      <c r="BL305" s="3174">
        <f t="shared" si="194"/>
        <v>0</v>
      </c>
      <c r="BM305" s="3174">
        <f t="shared" si="195"/>
        <v>0</v>
      </c>
      <c r="BN305" s="3174">
        <f t="shared" si="196"/>
        <v>0</v>
      </c>
      <c r="BO305" s="3174">
        <f t="shared" si="197"/>
        <v>0</v>
      </c>
      <c r="BP305" s="3174">
        <f t="shared" si="198"/>
        <v>0</v>
      </c>
      <c r="BQ305" s="3174">
        <f t="shared" si="199"/>
        <v>0</v>
      </c>
      <c r="BR305" s="3174">
        <f t="shared" si="200"/>
        <v>0</v>
      </c>
      <c r="BS305" s="3174">
        <f t="shared" si="201"/>
        <v>0</v>
      </c>
      <c r="BT305" s="3249">
        <f t="shared" si="202"/>
        <v>0</v>
      </c>
    </row>
    <row r="306" spans="1:72">
      <c r="A306" s="489"/>
      <c r="B306" s="3179"/>
      <c r="C306" s="3180"/>
      <c r="D306" s="3181"/>
      <c r="E306" s="3174">
        <f t="shared" si="203"/>
        <v>0</v>
      </c>
      <c r="F306" s="3175"/>
      <c r="G306" s="3176">
        <f t="shared" si="178"/>
        <v>0</v>
      </c>
      <c r="H306" s="3177">
        <f t="shared" si="179"/>
        <v>0</v>
      </c>
      <c r="I306" s="3180"/>
      <c r="J306" s="3200"/>
      <c r="K306" s="3180"/>
      <c r="L306" s="3200"/>
      <c r="M306" s="3200"/>
      <c r="N306" s="3200"/>
      <c r="O306" s="3200"/>
      <c r="P306" s="3200"/>
      <c r="Q306" s="3200"/>
      <c r="R306" s="3200"/>
      <c r="S306" s="3200"/>
      <c r="T306" s="3200"/>
      <c r="U306" s="3200"/>
      <c r="V306" s="3200"/>
      <c r="W306" s="3200"/>
      <c r="X306" s="3200"/>
      <c r="Y306" s="3200"/>
      <c r="Z306" s="3200"/>
      <c r="AA306" s="3200"/>
      <c r="AB306" s="3200"/>
      <c r="AC306" s="3174">
        <f t="shared" si="180"/>
        <v>0</v>
      </c>
      <c r="AD306" s="3212"/>
      <c r="AE306" s="3212"/>
      <c r="AF306" s="3180"/>
      <c r="AG306" s="3212"/>
      <c r="AH306" s="3212"/>
      <c r="AI306" s="3212"/>
      <c r="AJ306" s="3212"/>
      <c r="AK306" s="3212"/>
      <c r="AL306" s="3212"/>
      <c r="AM306" s="3212"/>
      <c r="AN306" s="3212"/>
      <c r="AO306" s="3212"/>
      <c r="AP306" s="3212"/>
      <c r="AQ306" s="3212"/>
      <c r="AR306" s="3212"/>
      <c r="AS306" s="3212"/>
      <c r="AT306" s="3175"/>
      <c r="AU306" s="3232"/>
      <c r="AV306" s="466">
        <f t="shared" si="204"/>
        <v>0</v>
      </c>
      <c r="AW306" s="466">
        <f t="shared" si="205"/>
        <v>0</v>
      </c>
      <c r="AX306" s="466">
        <f t="shared" si="206"/>
        <v>0</v>
      </c>
      <c r="AY306" s="385">
        <f t="shared" si="181"/>
        <v>0</v>
      </c>
      <c r="AZ306" s="3174">
        <f t="shared" si="182"/>
        <v>0</v>
      </c>
      <c r="BA306" s="3174">
        <f t="shared" si="183"/>
        <v>0</v>
      </c>
      <c r="BB306" s="3174">
        <f t="shared" si="184"/>
        <v>0</v>
      </c>
      <c r="BC306" s="3174">
        <f t="shared" si="185"/>
        <v>0</v>
      </c>
      <c r="BD306" s="3174">
        <f t="shared" si="186"/>
        <v>0</v>
      </c>
      <c r="BE306" s="3174">
        <f t="shared" si="187"/>
        <v>0</v>
      </c>
      <c r="BF306" s="3174">
        <f t="shared" si="188"/>
        <v>0</v>
      </c>
      <c r="BG306" s="3174">
        <f t="shared" si="189"/>
        <v>0</v>
      </c>
      <c r="BH306" s="3174">
        <f t="shared" si="190"/>
        <v>0</v>
      </c>
      <c r="BI306" s="3174">
        <f t="shared" si="191"/>
        <v>0</v>
      </c>
      <c r="BJ306" s="3174">
        <f t="shared" si="192"/>
        <v>0</v>
      </c>
      <c r="BK306" s="3174">
        <f t="shared" si="193"/>
        <v>0</v>
      </c>
      <c r="BL306" s="3174">
        <f t="shared" si="194"/>
        <v>0</v>
      </c>
      <c r="BM306" s="3174">
        <f t="shared" si="195"/>
        <v>0</v>
      </c>
      <c r="BN306" s="3174">
        <f t="shared" si="196"/>
        <v>0</v>
      </c>
      <c r="BO306" s="3174">
        <f t="shared" si="197"/>
        <v>0</v>
      </c>
      <c r="BP306" s="3174">
        <f t="shared" si="198"/>
        <v>0</v>
      </c>
      <c r="BQ306" s="3174">
        <f t="shared" si="199"/>
        <v>0</v>
      </c>
      <c r="BR306" s="3174">
        <f t="shared" si="200"/>
        <v>0</v>
      </c>
      <c r="BS306" s="3174">
        <f t="shared" si="201"/>
        <v>0</v>
      </c>
      <c r="BT306" s="3249">
        <f t="shared" si="202"/>
        <v>0</v>
      </c>
    </row>
    <row r="307" spans="1:72">
      <c r="A307" s="489"/>
      <c r="B307" s="3179"/>
      <c r="C307" s="3180"/>
      <c r="D307" s="3181"/>
      <c r="E307" s="3174">
        <f t="shared" si="203"/>
        <v>0</v>
      </c>
      <c r="F307" s="3175"/>
      <c r="G307" s="3176">
        <f t="shared" si="178"/>
        <v>0</v>
      </c>
      <c r="H307" s="3177">
        <f t="shared" si="179"/>
        <v>0</v>
      </c>
      <c r="I307" s="3180"/>
      <c r="J307" s="3200"/>
      <c r="K307" s="3180"/>
      <c r="L307" s="3200"/>
      <c r="M307" s="3200"/>
      <c r="N307" s="3200"/>
      <c r="O307" s="3200"/>
      <c r="P307" s="3200"/>
      <c r="Q307" s="3200"/>
      <c r="R307" s="3200"/>
      <c r="S307" s="3200"/>
      <c r="T307" s="3200"/>
      <c r="U307" s="3200"/>
      <c r="V307" s="3200"/>
      <c r="W307" s="3200"/>
      <c r="X307" s="3200"/>
      <c r="Y307" s="3200"/>
      <c r="Z307" s="3200"/>
      <c r="AA307" s="3200"/>
      <c r="AB307" s="3200"/>
      <c r="AC307" s="3174">
        <f t="shared" si="180"/>
        <v>0</v>
      </c>
      <c r="AD307" s="3212"/>
      <c r="AE307" s="3212"/>
      <c r="AF307" s="3180"/>
      <c r="AG307" s="3212"/>
      <c r="AH307" s="3212"/>
      <c r="AI307" s="3212"/>
      <c r="AJ307" s="3212"/>
      <c r="AK307" s="3212"/>
      <c r="AL307" s="3212"/>
      <c r="AM307" s="3212"/>
      <c r="AN307" s="3212"/>
      <c r="AO307" s="3212"/>
      <c r="AP307" s="3212"/>
      <c r="AQ307" s="3212"/>
      <c r="AR307" s="3212"/>
      <c r="AS307" s="3212"/>
      <c r="AT307" s="3175"/>
      <c r="AU307" s="3232"/>
      <c r="AV307" s="466">
        <f t="shared" si="204"/>
        <v>0</v>
      </c>
      <c r="AW307" s="466">
        <f t="shared" si="205"/>
        <v>0</v>
      </c>
      <c r="AX307" s="466">
        <f t="shared" si="206"/>
        <v>0</v>
      </c>
      <c r="AY307" s="385">
        <f t="shared" si="181"/>
        <v>0</v>
      </c>
      <c r="AZ307" s="3174">
        <f t="shared" si="182"/>
        <v>0</v>
      </c>
      <c r="BA307" s="3174">
        <f t="shared" si="183"/>
        <v>0</v>
      </c>
      <c r="BB307" s="3174">
        <f t="shared" si="184"/>
        <v>0</v>
      </c>
      <c r="BC307" s="3174">
        <f t="shared" si="185"/>
        <v>0</v>
      </c>
      <c r="BD307" s="3174">
        <f t="shared" si="186"/>
        <v>0</v>
      </c>
      <c r="BE307" s="3174">
        <f t="shared" si="187"/>
        <v>0</v>
      </c>
      <c r="BF307" s="3174">
        <f t="shared" si="188"/>
        <v>0</v>
      </c>
      <c r="BG307" s="3174">
        <f t="shared" si="189"/>
        <v>0</v>
      </c>
      <c r="BH307" s="3174">
        <f t="shared" si="190"/>
        <v>0</v>
      </c>
      <c r="BI307" s="3174">
        <f t="shared" si="191"/>
        <v>0</v>
      </c>
      <c r="BJ307" s="3174">
        <f t="shared" si="192"/>
        <v>0</v>
      </c>
      <c r="BK307" s="3174">
        <f t="shared" si="193"/>
        <v>0</v>
      </c>
      <c r="BL307" s="3174">
        <f t="shared" si="194"/>
        <v>0</v>
      </c>
      <c r="BM307" s="3174">
        <f t="shared" si="195"/>
        <v>0</v>
      </c>
      <c r="BN307" s="3174">
        <f t="shared" si="196"/>
        <v>0</v>
      </c>
      <c r="BO307" s="3174">
        <f t="shared" si="197"/>
        <v>0</v>
      </c>
      <c r="BP307" s="3174">
        <f t="shared" si="198"/>
        <v>0</v>
      </c>
      <c r="BQ307" s="3174">
        <f t="shared" si="199"/>
        <v>0</v>
      </c>
      <c r="BR307" s="3174">
        <f t="shared" si="200"/>
        <v>0</v>
      </c>
      <c r="BS307" s="3174">
        <f t="shared" si="201"/>
        <v>0</v>
      </c>
      <c r="BT307" s="3249">
        <f t="shared" si="202"/>
        <v>0</v>
      </c>
    </row>
    <row r="308" spans="1:72">
      <c r="A308" s="489"/>
      <c r="B308" s="3179"/>
      <c r="C308" s="3180"/>
      <c r="D308" s="3181"/>
      <c r="E308" s="3174">
        <f t="shared" si="203"/>
        <v>0</v>
      </c>
      <c r="F308" s="3175"/>
      <c r="G308" s="3176">
        <f t="shared" si="178"/>
        <v>0</v>
      </c>
      <c r="H308" s="3177">
        <f t="shared" si="179"/>
        <v>0</v>
      </c>
      <c r="I308" s="3180"/>
      <c r="J308" s="3200"/>
      <c r="K308" s="3180"/>
      <c r="L308" s="3200"/>
      <c r="M308" s="3200"/>
      <c r="N308" s="3200"/>
      <c r="O308" s="3200"/>
      <c r="P308" s="3200"/>
      <c r="Q308" s="3200"/>
      <c r="R308" s="3200"/>
      <c r="S308" s="3200"/>
      <c r="T308" s="3200"/>
      <c r="U308" s="3200"/>
      <c r="V308" s="3200"/>
      <c r="W308" s="3200"/>
      <c r="X308" s="3200"/>
      <c r="Y308" s="3200"/>
      <c r="Z308" s="3200"/>
      <c r="AA308" s="3200"/>
      <c r="AB308" s="3200"/>
      <c r="AC308" s="3174">
        <f t="shared" si="180"/>
        <v>0</v>
      </c>
      <c r="AD308" s="3212"/>
      <c r="AE308" s="3212"/>
      <c r="AF308" s="3180"/>
      <c r="AG308" s="3212"/>
      <c r="AH308" s="3212"/>
      <c r="AI308" s="3212"/>
      <c r="AJ308" s="3212"/>
      <c r="AK308" s="3212"/>
      <c r="AL308" s="3212"/>
      <c r="AM308" s="3212"/>
      <c r="AN308" s="3212"/>
      <c r="AO308" s="3212"/>
      <c r="AP308" s="3212"/>
      <c r="AQ308" s="3212"/>
      <c r="AR308" s="3212"/>
      <c r="AS308" s="3212"/>
      <c r="AT308" s="3175"/>
      <c r="AU308" s="3232"/>
      <c r="AV308" s="466">
        <f t="shared" si="204"/>
        <v>0</v>
      </c>
      <c r="AW308" s="466">
        <f t="shared" si="205"/>
        <v>0</v>
      </c>
      <c r="AX308" s="466">
        <f t="shared" si="206"/>
        <v>0</v>
      </c>
      <c r="AY308" s="385">
        <f t="shared" si="181"/>
        <v>0</v>
      </c>
      <c r="AZ308" s="3174">
        <f t="shared" si="182"/>
        <v>0</v>
      </c>
      <c r="BA308" s="3174">
        <f t="shared" si="183"/>
        <v>0</v>
      </c>
      <c r="BB308" s="3174">
        <f t="shared" si="184"/>
        <v>0</v>
      </c>
      <c r="BC308" s="3174">
        <f t="shared" si="185"/>
        <v>0</v>
      </c>
      <c r="BD308" s="3174">
        <f t="shared" si="186"/>
        <v>0</v>
      </c>
      <c r="BE308" s="3174">
        <f t="shared" si="187"/>
        <v>0</v>
      </c>
      <c r="BF308" s="3174">
        <f t="shared" si="188"/>
        <v>0</v>
      </c>
      <c r="BG308" s="3174">
        <f t="shared" si="189"/>
        <v>0</v>
      </c>
      <c r="BH308" s="3174">
        <f t="shared" si="190"/>
        <v>0</v>
      </c>
      <c r="BI308" s="3174">
        <f t="shared" si="191"/>
        <v>0</v>
      </c>
      <c r="BJ308" s="3174">
        <f t="shared" si="192"/>
        <v>0</v>
      </c>
      <c r="BK308" s="3174">
        <f t="shared" si="193"/>
        <v>0</v>
      </c>
      <c r="BL308" s="3174">
        <f t="shared" si="194"/>
        <v>0</v>
      </c>
      <c r="BM308" s="3174">
        <f t="shared" si="195"/>
        <v>0</v>
      </c>
      <c r="BN308" s="3174">
        <f t="shared" si="196"/>
        <v>0</v>
      </c>
      <c r="BO308" s="3174">
        <f t="shared" si="197"/>
        <v>0</v>
      </c>
      <c r="BP308" s="3174">
        <f t="shared" si="198"/>
        <v>0</v>
      </c>
      <c r="BQ308" s="3174">
        <f t="shared" si="199"/>
        <v>0</v>
      </c>
      <c r="BR308" s="3174">
        <f t="shared" si="200"/>
        <v>0</v>
      </c>
      <c r="BS308" s="3174">
        <f t="shared" si="201"/>
        <v>0</v>
      </c>
      <c r="BT308" s="3249">
        <f t="shared" si="202"/>
        <v>0</v>
      </c>
    </row>
    <row r="309" spans="1:72">
      <c r="A309" s="489"/>
      <c r="B309" s="3179"/>
      <c r="C309" s="3180"/>
      <c r="D309" s="3181"/>
      <c r="E309" s="3174">
        <f t="shared" si="203"/>
        <v>0</v>
      </c>
      <c r="F309" s="3175"/>
      <c r="G309" s="3176">
        <f t="shared" si="178"/>
        <v>0</v>
      </c>
      <c r="H309" s="3177">
        <f t="shared" si="179"/>
        <v>0</v>
      </c>
      <c r="I309" s="3180"/>
      <c r="J309" s="3200"/>
      <c r="K309" s="3180"/>
      <c r="L309" s="3200"/>
      <c r="M309" s="3200"/>
      <c r="N309" s="3200"/>
      <c r="O309" s="3200"/>
      <c r="P309" s="3200"/>
      <c r="Q309" s="3200"/>
      <c r="R309" s="3200"/>
      <c r="S309" s="3200"/>
      <c r="T309" s="3200"/>
      <c r="U309" s="3200"/>
      <c r="V309" s="3200"/>
      <c r="W309" s="3200"/>
      <c r="X309" s="3200"/>
      <c r="Y309" s="3200"/>
      <c r="Z309" s="3200"/>
      <c r="AA309" s="3200"/>
      <c r="AB309" s="3200"/>
      <c r="AC309" s="3174">
        <f t="shared" si="180"/>
        <v>0</v>
      </c>
      <c r="AD309" s="3212"/>
      <c r="AE309" s="3212"/>
      <c r="AF309" s="3180"/>
      <c r="AG309" s="3212"/>
      <c r="AH309" s="3212"/>
      <c r="AI309" s="3212"/>
      <c r="AJ309" s="3212"/>
      <c r="AK309" s="3212"/>
      <c r="AL309" s="3212"/>
      <c r="AM309" s="3212"/>
      <c r="AN309" s="3212"/>
      <c r="AO309" s="3212"/>
      <c r="AP309" s="3212"/>
      <c r="AQ309" s="3212"/>
      <c r="AR309" s="3212"/>
      <c r="AS309" s="3212"/>
      <c r="AT309" s="3175"/>
      <c r="AU309" s="3232"/>
      <c r="AV309" s="466">
        <f t="shared" si="204"/>
        <v>0</v>
      </c>
      <c r="AW309" s="466">
        <f t="shared" si="205"/>
        <v>0</v>
      </c>
      <c r="AX309" s="466">
        <f t="shared" si="206"/>
        <v>0</v>
      </c>
      <c r="AY309" s="385">
        <f t="shared" si="181"/>
        <v>0</v>
      </c>
      <c r="AZ309" s="3174">
        <f t="shared" si="182"/>
        <v>0</v>
      </c>
      <c r="BA309" s="3174">
        <f t="shared" si="183"/>
        <v>0</v>
      </c>
      <c r="BB309" s="3174">
        <f t="shared" si="184"/>
        <v>0</v>
      </c>
      <c r="BC309" s="3174">
        <f t="shared" si="185"/>
        <v>0</v>
      </c>
      <c r="BD309" s="3174">
        <f t="shared" si="186"/>
        <v>0</v>
      </c>
      <c r="BE309" s="3174">
        <f t="shared" si="187"/>
        <v>0</v>
      </c>
      <c r="BF309" s="3174">
        <f t="shared" si="188"/>
        <v>0</v>
      </c>
      <c r="BG309" s="3174">
        <f t="shared" si="189"/>
        <v>0</v>
      </c>
      <c r="BH309" s="3174">
        <f t="shared" si="190"/>
        <v>0</v>
      </c>
      <c r="BI309" s="3174">
        <f t="shared" si="191"/>
        <v>0</v>
      </c>
      <c r="BJ309" s="3174">
        <f t="shared" si="192"/>
        <v>0</v>
      </c>
      <c r="BK309" s="3174">
        <f t="shared" si="193"/>
        <v>0</v>
      </c>
      <c r="BL309" s="3174">
        <f t="shared" si="194"/>
        <v>0</v>
      </c>
      <c r="BM309" s="3174">
        <f t="shared" si="195"/>
        <v>0</v>
      </c>
      <c r="BN309" s="3174">
        <f t="shared" si="196"/>
        <v>0</v>
      </c>
      <c r="BO309" s="3174">
        <f t="shared" si="197"/>
        <v>0</v>
      </c>
      <c r="BP309" s="3174">
        <f t="shared" si="198"/>
        <v>0</v>
      </c>
      <c r="BQ309" s="3174">
        <f t="shared" si="199"/>
        <v>0</v>
      </c>
      <c r="BR309" s="3174">
        <f t="shared" si="200"/>
        <v>0</v>
      </c>
      <c r="BS309" s="3174">
        <f t="shared" si="201"/>
        <v>0</v>
      </c>
      <c r="BT309" s="3249">
        <f t="shared" si="202"/>
        <v>0</v>
      </c>
    </row>
    <row r="310" spans="1:72">
      <c r="A310" s="489"/>
      <c r="B310" s="3179"/>
      <c r="C310" s="3180"/>
      <c r="D310" s="3181"/>
      <c r="E310" s="3174">
        <f t="shared" si="203"/>
        <v>0</v>
      </c>
      <c r="F310" s="3175"/>
      <c r="G310" s="3176">
        <f t="shared" si="178"/>
        <v>0</v>
      </c>
      <c r="H310" s="3177">
        <f t="shared" si="179"/>
        <v>0</v>
      </c>
      <c r="I310" s="3180"/>
      <c r="J310" s="3200"/>
      <c r="K310" s="3180"/>
      <c r="L310" s="3200"/>
      <c r="M310" s="3200"/>
      <c r="N310" s="3200"/>
      <c r="O310" s="3200"/>
      <c r="P310" s="3200"/>
      <c r="Q310" s="3200"/>
      <c r="R310" s="3200"/>
      <c r="S310" s="3200"/>
      <c r="T310" s="3200"/>
      <c r="U310" s="3200"/>
      <c r="V310" s="3200"/>
      <c r="W310" s="3200"/>
      <c r="X310" s="3200"/>
      <c r="Y310" s="3200"/>
      <c r="Z310" s="3200"/>
      <c r="AA310" s="3200"/>
      <c r="AB310" s="3200"/>
      <c r="AC310" s="3174">
        <f t="shared" si="180"/>
        <v>0</v>
      </c>
      <c r="AD310" s="3212"/>
      <c r="AE310" s="3212"/>
      <c r="AF310" s="3180"/>
      <c r="AG310" s="3212"/>
      <c r="AH310" s="3212"/>
      <c r="AI310" s="3212"/>
      <c r="AJ310" s="3212"/>
      <c r="AK310" s="3212"/>
      <c r="AL310" s="3212"/>
      <c r="AM310" s="3212"/>
      <c r="AN310" s="3212"/>
      <c r="AO310" s="3212"/>
      <c r="AP310" s="3212"/>
      <c r="AQ310" s="3212"/>
      <c r="AR310" s="3212"/>
      <c r="AS310" s="3212"/>
      <c r="AT310" s="3175"/>
      <c r="AU310" s="3232"/>
      <c r="AV310" s="466">
        <f t="shared" si="204"/>
        <v>0</v>
      </c>
      <c r="AW310" s="466">
        <f t="shared" si="205"/>
        <v>0</v>
      </c>
      <c r="AX310" s="466">
        <f t="shared" si="206"/>
        <v>0</v>
      </c>
      <c r="AY310" s="385">
        <f t="shared" si="181"/>
        <v>0</v>
      </c>
      <c r="AZ310" s="3174">
        <f t="shared" si="182"/>
        <v>0</v>
      </c>
      <c r="BA310" s="3174">
        <f t="shared" si="183"/>
        <v>0</v>
      </c>
      <c r="BB310" s="3174">
        <f t="shared" si="184"/>
        <v>0</v>
      </c>
      <c r="BC310" s="3174">
        <f t="shared" si="185"/>
        <v>0</v>
      </c>
      <c r="BD310" s="3174">
        <f t="shared" si="186"/>
        <v>0</v>
      </c>
      <c r="BE310" s="3174">
        <f t="shared" si="187"/>
        <v>0</v>
      </c>
      <c r="BF310" s="3174">
        <f t="shared" si="188"/>
        <v>0</v>
      </c>
      <c r="BG310" s="3174">
        <f t="shared" si="189"/>
        <v>0</v>
      </c>
      <c r="BH310" s="3174">
        <f t="shared" si="190"/>
        <v>0</v>
      </c>
      <c r="BI310" s="3174">
        <f t="shared" si="191"/>
        <v>0</v>
      </c>
      <c r="BJ310" s="3174">
        <f t="shared" si="192"/>
        <v>0</v>
      </c>
      <c r="BK310" s="3174">
        <f t="shared" si="193"/>
        <v>0</v>
      </c>
      <c r="BL310" s="3174">
        <f t="shared" si="194"/>
        <v>0</v>
      </c>
      <c r="BM310" s="3174">
        <f t="shared" si="195"/>
        <v>0</v>
      </c>
      <c r="BN310" s="3174">
        <f t="shared" si="196"/>
        <v>0</v>
      </c>
      <c r="BO310" s="3174">
        <f t="shared" si="197"/>
        <v>0</v>
      </c>
      <c r="BP310" s="3174">
        <f t="shared" si="198"/>
        <v>0</v>
      </c>
      <c r="BQ310" s="3174">
        <f t="shared" si="199"/>
        <v>0</v>
      </c>
      <c r="BR310" s="3174">
        <f t="shared" si="200"/>
        <v>0</v>
      </c>
      <c r="BS310" s="3174">
        <f t="shared" si="201"/>
        <v>0</v>
      </c>
      <c r="BT310" s="3249">
        <f t="shared" si="202"/>
        <v>0</v>
      </c>
    </row>
    <row r="311" spans="1:72">
      <c r="A311" s="489"/>
      <c r="B311" s="3179"/>
      <c r="C311" s="3180"/>
      <c r="D311" s="3181"/>
      <c r="E311" s="3174">
        <f t="shared" si="203"/>
        <v>0</v>
      </c>
      <c r="F311" s="3175"/>
      <c r="G311" s="3176">
        <f t="shared" si="178"/>
        <v>0</v>
      </c>
      <c r="H311" s="3177">
        <f t="shared" si="179"/>
        <v>0</v>
      </c>
      <c r="I311" s="3180"/>
      <c r="J311" s="3200"/>
      <c r="K311" s="3180"/>
      <c r="L311" s="3200"/>
      <c r="M311" s="3200"/>
      <c r="N311" s="3200"/>
      <c r="O311" s="3200"/>
      <c r="P311" s="3200"/>
      <c r="Q311" s="3200"/>
      <c r="R311" s="3200"/>
      <c r="S311" s="3200"/>
      <c r="T311" s="3200"/>
      <c r="U311" s="3200"/>
      <c r="V311" s="3200"/>
      <c r="W311" s="3200"/>
      <c r="X311" s="3200"/>
      <c r="Y311" s="3200"/>
      <c r="Z311" s="3200"/>
      <c r="AA311" s="3200"/>
      <c r="AB311" s="3200"/>
      <c r="AC311" s="3174">
        <f t="shared" si="180"/>
        <v>0</v>
      </c>
      <c r="AD311" s="3212"/>
      <c r="AE311" s="3212"/>
      <c r="AF311" s="3180"/>
      <c r="AG311" s="3212"/>
      <c r="AH311" s="3212"/>
      <c r="AI311" s="3212"/>
      <c r="AJ311" s="3212"/>
      <c r="AK311" s="3212"/>
      <c r="AL311" s="3212"/>
      <c r="AM311" s="3212"/>
      <c r="AN311" s="3212"/>
      <c r="AO311" s="3212"/>
      <c r="AP311" s="3212"/>
      <c r="AQ311" s="3212"/>
      <c r="AR311" s="3212"/>
      <c r="AS311" s="3212"/>
      <c r="AT311" s="3175"/>
      <c r="AU311" s="3232"/>
      <c r="AV311" s="466">
        <f t="shared" si="204"/>
        <v>0</v>
      </c>
      <c r="AW311" s="466">
        <f t="shared" si="205"/>
        <v>0</v>
      </c>
      <c r="AX311" s="466">
        <f t="shared" si="206"/>
        <v>0</v>
      </c>
      <c r="AY311" s="385">
        <f t="shared" si="181"/>
        <v>0</v>
      </c>
      <c r="AZ311" s="3174">
        <f t="shared" si="182"/>
        <v>0</v>
      </c>
      <c r="BA311" s="3174">
        <f t="shared" si="183"/>
        <v>0</v>
      </c>
      <c r="BB311" s="3174">
        <f t="shared" si="184"/>
        <v>0</v>
      </c>
      <c r="BC311" s="3174">
        <f t="shared" si="185"/>
        <v>0</v>
      </c>
      <c r="BD311" s="3174">
        <f t="shared" si="186"/>
        <v>0</v>
      </c>
      <c r="BE311" s="3174">
        <f t="shared" si="187"/>
        <v>0</v>
      </c>
      <c r="BF311" s="3174">
        <f t="shared" si="188"/>
        <v>0</v>
      </c>
      <c r="BG311" s="3174">
        <f t="shared" si="189"/>
        <v>0</v>
      </c>
      <c r="BH311" s="3174">
        <f t="shared" si="190"/>
        <v>0</v>
      </c>
      <c r="BI311" s="3174">
        <f t="shared" si="191"/>
        <v>0</v>
      </c>
      <c r="BJ311" s="3174">
        <f t="shared" si="192"/>
        <v>0</v>
      </c>
      <c r="BK311" s="3174">
        <f t="shared" si="193"/>
        <v>0</v>
      </c>
      <c r="BL311" s="3174">
        <f t="shared" si="194"/>
        <v>0</v>
      </c>
      <c r="BM311" s="3174">
        <f t="shared" si="195"/>
        <v>0</v>
      </c>
      <c r="BN311" s="3174">
        <f t="shared" si="196"/>
        <v>0</v>
      </c>
      <c r="BO311" s="3174">
        <f t="shared" si="197"/>
        <v>0</v>
      </c>
      <c r="BP311" s="3174">
        <f t="shared" si="198"/>
        <v>0</v>
      </c>
      <c r="BQ311" s="3174">
        <f t="shared" si="199"/>
        <v>0</v>
      </c>
      <c r="BR311" s="3174">
        <f t="shared" si="200"/>
        <v>0</v>
      </c>
      <c r="BS311" s="3174">
        <f t="shared" si="201"/>
        <v>0</v>
      </c>
      <c r="BT311" s="3249">
        <f t="shared" si="202"/>
        <v>0</v>
      </c>
    </row>
    <row r="312" spans="1:72">
      <c r="A312" s="489"/>
      <c r="B312" s="3179"/>
      <c r="C312" s="3180"/>
      <c r="D312" s="3181"/>
      <c r="E312" s="3174">
        <f t="shared" si="203"/>
        <v>0</v>
      </c>
      <c r="F312" s="3175"/>
      <c r="G312" s="3176">
        <f t="shared" si="178"/>
        <v>0</v>
      </c>
      <c r="H312" s="3177">
        <f t="shared" si="179"/>
        <v>0</v>
      </c>
      <c r="I312" s="3180"/>
      <c r="J312" s="3200"/>
      <c r="K312" s="3180"/>
      <c r="L312" s="3200"/>
      <c r="M312" s="3200"/>
      <c r="N312" s="3200"/>
      <c r="O312" s="3200"/>
      <c r="P312" s="3200"/>
      <c r="Q312" s="3200"/>
      <c r="R312" s="3200"/>
      <c r="S312" s="3200"/>
      <c r="T312" s="3200"/>
      <c r="U312" s="3200"/>
      <c r="V312" s="3200"/>
      <c r="W312" s="3200"/>
      <c r="X312" s="3200"/>
      <c r="Y312" s="3200"/>
      <c r="Z312" s="3200"/>
      <c r="AA312" s="3200"/>
      <c r="AB312" s="3200"/>
      <c r="AC312" s="3174">
        <f t="shared" si="180"/>
        <v>0</v>
      </c>
      <c r="AD312" s="3212"/>
      <c r="AE312" s="3212"/>
      <c r="AF312" s="3180"/>
      <c r="AG312" s="3212"/>
      <c r="AH312" s="3212"/>
      <c r="AI312" s="3212"/>
      <c r="AJ312" s="3212"/>
      <c r="AK312" s="3212"/>
      <c r="AL312" s="3212"/>
      <c r="AM312" s="3212"/>
      <c r="AN312" s="3212"/>
      <c r="AO312" s="3212"/>
      <c r="AP312" s="3212"/>
      <c r="AQ312" s="3212"/>
      <c r="AR312" s="3212"/>
      <c r="AS312" s="3212"/>
      <c r="AT312" s="3175"/>
      <c r="AU312" s="3232"/>
      <c r="AV312" s="466">
        <f t="shared" si="204"/>
        <v>0</v>
      </c>
      <c r="AW312" s="466">
        <f t="shared" si="205"/>
        <v>0</v>
      </c>
      <c r="AX312" s="466">
        <f t="shared" si="206"/>
        <v>0</v>
      </c>
      <c r="AY312" s="385">
        <f t="shared" si="181"/>
        <v>0</v>
      </c>
      <c r="AZ312" s="3174">
        <f t="shared" si="182"/>
        <v>0</v>
      </c>
      <c r="BA312" s="3174">
        <f t="shared" si="183"/>
        <v>0</v>
      </c>
      <c r="BB312" s="3174">
        <f t="shared" si="184"/>
        <v>0</v>
      </c>
      <c r="BC312" s="3174">
        <f t="shared" si="185"/>
        <v>0</v>
      </c>
      <c r="BD312" s="3174">
        <f t="shared" si="186"/>
        <v>0</v>
      </c>
      <c r="BE312" s="3174">
        <f t="shared" si="187"/>
        <v>0</v>
      </c>
      <c r="BF312" s="3174">
        <f t="shared" si="188"/>
        <v>0</v>
      </c>
      <c r="BG312" s="3174">
        <f t="shared" si="189"/>
        <v>0</v>
      </c>
      <c r="BH312" s="3174">
        <f t="shared" si="190"/>
        <v>0</v>
      </c>
      <c r="BI312" s="3174">
        <f t="shared" si="191"/>
        <v>0</v>
      </c>
      <c r="BJ312" s="3174">
        <f t="shared" si="192"/>
        <v>0</v>
      </c>
      <c r="BK312" s="3174">
        <f t="shared" si="193"/>
        <v>0</v>
      </c>
      <c r="BL312" s="3174">
        <f t="shared" si="194"/>
        <v>0</v>
      </c>
      <c r="BM312" s="3174">
        <f t="shared" si="195"/>
        <v>0</v>
      </c>
      <c r="BN312" s="3174">
        <f t="shared" si="196"/>
        <v>0</v>
      </c>
      <c r="BO312" s="3174">
        <f t="shared" si="197"/>
        <v>0</v>
      </c>
      <c r="BP312" s="3174">
        <f t="shared" si="198"/>
        <v>0</v>
      </c>
      <c r="BQ312" s="3174">
        <f t="shared" si="199"/>
        <v>0</v>
      </c>
      <c r="BR312" s="3174">
        <f t="shared" si="200"/>
        <v>0</v>
      </c>
      <c r="BS312" s="3174">
        <f t="shared" si="201"/>
        <v>0</v>
      </c>
      <c r="BT312" s="3249">
        <f t="shared" si="202"/>
        <v>0</v>
      </c>
    </row>
    <row r="313" spans="1:72">
      <c r="A313" s="489"/>
      <c r="B313" s="3179"/>
      <c r="C313" s="3180"/>
      <c r="D313" s="3181"/>
      <c r="E313" s="3174">
        <f t="shared" si="203"/>
        <v>0</v>
      </c>
      <c r="F313" s="3175"/>
      <c r="G313" s="3176">
        <f t="shared" si="178"/>
        <v>0</v>
      </c>
      <c r="H313" s="3177">
        <f t="shared" si="179"/>
        <v>0</v>
      </c>
      <c r="I313" s="3180"/>
      <c r="J313" s="3200"/>
      <c r="K313" s="3180"/>
      <c r="L313" s="3200"/>
      <c r="M313" s="3200"/>
      <c r="N313" s="3200"/>
      <c r="O313" s="3200"/>
      <c r="P313" s="3200"/>
      <c r="Q313" s="3200"/>
      <c r="R313" s="3200"/>
      <c r="S313" s="3200"/>
      <c r="T313" s="3200"/>
      <c r="U313" s="3200"/>
      <c r="V313" s="3200"/>
      <c r="W313" s="3200"/>
      <c r="X313" s="3200"/>
      <c r="Y313" s="3200"/>
      <c r="Z313" s="3200"/>
      <c r="AA313" s="3200"/>
      <c r="AB313" s="3200"/>
      <c r="AC313" s="3174">
        <f t="shared" si="180"/>
        <v>0</v>
      </c>
      <c r="AD313" s="3212"/>
      <c r="AE313" s="3212"/>
      <c r="AF313" s="3180"/>
      <c r="AG313" s="3212"/>
      <c r="AH313" s="3212"/>
      <c r="AI313" s="3212"/>
      <c r="AJ313" s="3212"/>
      <c r="AK313" s="3212"/>
      <c r="AL313" s="3212"/>
      <c r="AM313" s="3212"/>
      <c r="AN313" s="3212"/>
      <c r="AO313" s="3212"/>
      <c r="AP313" s="3212"/>
      <c r="AQ313" s="3212"/>
      <c r="AR313" s="3212"/>
      <c r="AS313" s="3212"/>
      <c r="AT313" s="3175"/>
      <c r="AU313" s="3232"/>
      <c r="AV313" s="466">
        <f t="shared" si="204"/>
        <v>0</v>
      </c>
      <c r="AW313" s="466">
        <f t="shared" si="205"/>
        <v>0</v>
      </c>
      <c r="AX313" s="466">
        <f t="shared" si="206"/>
        <v>0</v>
      </c>
      <c r="AY313" s="385">
        <f t="shared" si="181"/>
        <v>0</v>
      </c>
      <c r="AZ313" s="3174">
        <f t="shared" si="182"/>
        <v>0</v>
      </c>
      <c r="BA313" s="3174">
        <f t="shared" si="183"/>
        <v>0</v>
      </c>
      <c r="BB313" s="3174">
        <f t="shared" si="184"/>
        <v>0</v>
      </c>
      <c r="BC313" s="3174">
        <f t="shared" si="185"/>
        <v>0</v>
      </c>
      <c r="BD313" s="3174">
        <f t="shared" si="186"/>
        <v>0</v>
      </c>
      <c r="BE313" s="3174">
        <f t="shared" si="187"/>
        <v>0</v>
      </c>
      <c r="BF313" s="3174">
        <f t="shared" si="188"/>
        <v>0</v>
      </c>
      <c r="BG313" s="3174">
        <f t="shared" si="189"/>
        <v>0</v>
      </c>
      <c r="BH313" s="3174">
        <f t="shared" si="190"/>
        <v>0</v>
      </c>
      <c r="BI313" s="3174">
        <f t="shared" si="191"/>
        <v>0</v>
      </c>
      <c r="BJ313" s="3174">
        <f t="shared" si="192"/>
        <v>0</v>
      </c>
      <c r="BK313" s="3174">
        <f t="shared" si="193"/>
        <v>0</v>
      </c>
      <c r="BL313" s="3174">
        <f t="shared" si="194"/>
        <v>0</v>
      </c>
      <c r="BM313" s="3174">
        <f t="shared" si="195"/>
        <v>0</v>
      </c>
      <c r="BN313" s="3174">
        <f t="shared" si="196"/>
        <v>0</v>
      </c>
      <c r="BO313" s="3174">
        <f t="shared" si="197"/>
        <v>0</v>
      </c>
      <c r="BP313" s="3174">
        <f t="shared" si="198"/>
        <v>0</v>
      </c>
      <c r="BQ313" s="3174">
        <f t="shared" si="199"/>
        <v>0</v>
      </c>
      <c r="BR313" s="3174">
        <f t="shared" si="200"/>
        <v>0</v>
      </c>
      <c r="BS313" s="3174">
        <f t="shared" si="201"/>
        <v>0</v>
      </c>
      <c r="BT313" s="3249">
        <f t="shared" si="202"/>
        <v>0</v>
      </c>
    </row>
    <row r="314" spans="1:72">
      <c r="A314" s="489"/>
      <c r="B314" s="3179"/>
      <c r="C314" s="3180"/>
      <c r="D314" s="3181"/>
      <c r="E314" s="3174">
        <f t="shared" si="203"/>
        <v>0</v>
      </c>
      <c r="F314" s="3175"/>
      <c r="G314" s="3176">
        <f t="shared" si="178"/>
        <v>0</v>
      </c>
      <c r="H314" s="3177">
        <f t="shared" si="179"/>
        <v>0</v>
      </c>
      <c r="I314" s="3180"/>
      <c r="J314" s="3200"/>
      <c r="K314" s="3180"/>
      <c r="L314" s="3200"/>
      <c r="M314" s="3200"/>
      <c r="N314" s="3200"/>
      <c r="O314" s="3200"/>
      <c r="P314" s="3200"/>
      <c r="Q314" s="3200"/>
      <c r="R314" s="3200"/>
      <c r="S314" s="3200"/>
      <c r="T314" s="3200"/>
      <c r="U314" s="3200"/>
      <c r="V314" s="3200"/>
      <c r="W314" s="3200"/>
      <c r="X314" s="3200"/>
      <c r="Y314" s="3200"/>
      <c r="Z314" s="3200"/>
      <c r="AA314" s="3200"/>
      <c r="AB314" s="3200"/>
      <c r="AC314" s="3174">
        <f t="shared" si="180"/>
        <v>0</v>
      </c>
      <c r="AD314" s="3212"/>
      <c r="AE314" s="3212"/>
      <c r="AF314" s="3180"/>
      <c r="AG314" s="3212"/>
      <c r="AH314" s="3212"/>
      <c r="AI314" s="3212"/>
      <c r="AJ314" s="3212"/>
      <c r="AK314" s="3212"/>
      <c r="AL314" s="3212"/>
      <c r="AM314" s="3212"/>
      <c r="AN314" s="3212"/>
      <c r="AO314" s="3212"/>
      <c r="AP314" s="3212"/>
      <c r="AQ314" s="3212"/>
      <c r="AR314" s="3212"/>
      <c r="AS314" s="3212"/>
      <c r="AT314" s="3175"/>
      <c r="AU314" s="3232"/>
      <c r="AV314" s="466">
        <f t="shared" si="204"/>
        <v>0</v>
      </c>
      <c r="AW314" s="466">
        <f t="shared" si="205"/>
        <v>0</v>
      </c>
      <c r="AX314" s="466">
        <f t="shared" si="206"/>
        <v>0</v>
      </c>
      <c r="AY314" s="385">
        <f t="shared" si="181"/>
        <v>0</v>
      </c>
      <c r="AZ314" s="3174">
        <f t="shared" si="182"/>
        <v>0</v>
      </c>
      <c r="BA314" s="3174">
        <f t="shared" si="183"/>
        <v>0</v>
      </c>
      <c r="BB314" s="3174">
        <f t="shared" si="184"/>
        <v>0</v>
      </c>
      <c r="BC314" s="3174">
        <f t="shared" si="185"/>
        <v>0</v>
      </c>
      <c r="BD314" s="3174">
        <f t="shared" si="186"/>
        <v>0</v>
      </c>
      <c r="BE314" s="3174">
        <f t="shared" si="187"/>
        <v>0</v>
      </c>
      <c r="BF314" s="3174">
        <f t="shared" si="188"/>
        <v>0</v>
      </c>
      <c r="BG314" s="3174">
        <f t="shared" si="189"/>
        <v>0</v>
      </c>
      <c r="BH314" s="3174">
        <f t="shared" si="190"/>
        <v>0</v>
      </c>
      <c r="BI314" s="3174">
        <f t="shared" si="191"/>
        <v>0</v>
      </c>
      <c r="BJ314" s="3174">
        <f t="shared" si="192"/>
        <v>0</v>
      </c>
      <c r="BK314" s="3174">
        <f t="shared" si="193"/>
        <v>0</v>
      </c>
      <c r="BL314" s="3174">
        <f t="shared" si="194"/>
        <v>0</v>
      </c>
      <c r="BM314" s="3174">
        <f t="shared" si="195"/>
        <v>0</v>
      </c>
      <c r="BN314" s="3174">
        <f t="shared" si="196"/>
        <v>0</v>
      </c>
      <c r="BO314" s="3174">
        <f t="shared" si="197"/>
        <v>0</v>
      </c>
      <c r="BP314" s="3174">
        <f t="shared" si="198"/>
        <v>0</v>
      </c>
      <c r="BQ314" s="3174">
        <f t="shared" si="199"/>
        <v>0</v>
      </c>
      <c r="BR314" s="3174">
        <f t="shared" si="200"/>
        <v>0</v>
      </c>
      <c r="BS314" s="3174">
        <f t="shared" si="201"/>
        <v>0</v>
      </c>
      <c r="BT314" s="3249">
        <f t="shared" si="202"/>
        <v>0</v>
      </c>
    </row>
    <row r="315" spans="1:72">
      <c r="A315" s="489"/>
      <c r="B315" s="3179"/>
      <c r="C315" s="3180"/>
      <c r="D315" s="3181"/>
      <c r="E315" s="3174">
        <f t="shared" si="203"/>
        <v>0</v>
      </c>
      <c r="F315" s="3175"/>
      <c r="G315" s="3176">
        <f t="shared" si="178"/>
        <v>0</v>
      </c>
      <c r="H315" s="3177">
        <f t="shared" si="179"/>
        <v>0</v>
      </c>
      <c r="I315" s="3180"/>
      <c r="J315" s="3200"/>
      <c r="K315" s="3180"/>
      <c r="L315" s="3200"/>
      <c r="M315" s="3200"/>
      <c r="N315" s="3200"/>
      <c r="O315" s="3200"/>
      <c r="P315" s="3200"/>
      <c r="Q315" s="3200"/>
      <c r="R315" s="3200"/>
      <c r="S315" s="3200"/>
      <c r="T315" s="3200"/>
      <c r="U315" s="3200"/>
      <c r="V315" s="3200"/>
      <c r="W315" s="3200"/>
      <c r="X315" s="3200"/>
      <c r="Y315" s="3200"/>
      <c r="Z315" s="3200"/>
      <c r="AA315" s="3200"/>
      <c r="AB315" s="3200"/>
      <c r="AC315" s="3174">
        <f t="shared" si="180"/>
        <v>0</v>
      </c>
      <c r="AD315" s="3212"/>
      <c r="AE315" s="3212"/>
      <c r="AF315" s="3180"/>
      <c r="AG315" s="3212"/>
      <c r="AH315" s="3212"/>
      <c r="AI315" s="3212"/>
      <c r="AJ315" s="3212"/>
      <c r="AK315" s="3212"/>
      <c r="AL315" s="3212"/>
      <c r="AM315" s="3212"/>
      <c r="AN315" s="3212"/>
      <c r="AO315" s="3212"/>
      <c r="AP315" s="3212"/>
      <c r="AQ315" s="3212"/>
      <c r="AR315" s="3212"/>
      <c r="AS315" s="3212"/>
      <c r="AT315" s="3175"/>
      <c r="AU315" s="3232"/>
      <c r="AV315" s="466">
        <f t="shared" si="204"/>
        <v>0</v>
      </c>
      <c r="AW315" s="466">
        <f t="shared" si="205"/>
        <v>0</v>
      </c>
      <c r="AX315" s="466">
        <f t="shared" si="206"/>
        <v>0</v>
      </c>
      <c r="AY315" s="385">
        <f t="shared" si="181"/>
        <v>0</v>
      </c>
      <c r="AZ315" s="3174">
        <f t="shared" si="182"/>
        <v>0</v>
      </c>
      <c r="BA315" s="3174">
        <f t="shared" si="183"/>
        <v>0</v>
      </c>
      <c r="BB315" s="3174">
        <f t="shared" si="184"/>
        <v>0</v>
      </c>
      <c r="BC315" s="3174">
        <f t="shared" si="185"/>
        <v>0</v>
      </c>
      <c r="BD315" s="3174">
        <f t="shared" si="186"/>
        <v>0</v>
      </c>
      <c r="BE315" s="3174">
        <f t="shared" si="187"/>
        <v>0</v>
      </c>
      <c r="BF315" s="3174">
        <f t="shared" si="188"/>
        <v>0</v>
      </c>
      <c r="BG315" s="3174">
        <f t="shared" si="189"/>
        <v>0</v>
      </c>
      <c r="BH315" s="3174">
        <f t="shared" si="190"/>
        <v>0</v>
      </c>
      <c r="BI315" s="3174">
        <f t="shared" si="191"/>
        <v>0</v>
      </c>
      <c r="BJ315" s="3174">
        <f t="shared" si="192"/>
        <v>0</v>
      </c>
      <c r="BK315" s="3174">
        <f t="shared" si="193"/>
        <v>0</v>
      </c>
      <c r="BL315" s="3174">
        <f t="shared" si="194"/>
        <v>0</v>
      </c>
      <c r="BM315" s="3174">
        <f t="shared" si="195"/>
        <v>0</v>
      </c>
      <c r="BN315" s="3174">
        <f t="shared" si="196"/>
        <v>0</v>
      </c>
      <c r="BO315" s="3174">
        <f t="shared" si="197"/>
        <v>0</v>
      </c>
      <c r="BP315" s="3174">
        <f t="shared" si="198"/>
        <v>0</v>
      </c>
      <c r="BQ315" s="3174">
        <f t="shared" si="199"/>
        <v>0</v>
      </c>
      <c r="BR315" s="3174">
        <f t="shared" si="200"/>
        <v>0</v>
      </c>
      <c r="BS315" s="3174">
        <f t="shared" si="201"/>
        <v>0</v>
      </c>
      <c r="BT315" s="3249">
        <f t="shared" si="202"/>
        <v>0</v>
      </c>
    </row>
    <row r="316" spans="1:72">
      <c r="A316" s="489"/>
      <c r="B316" s="3179"/>
      <c r="C316" s="3180"/>
      <c r="D316" s="3181"/>
      <c r="E316" s="3174">
        <f t="shared" si="203"/>
        <v>0</v>
      </c>
      <c r="F316" s="3175"/>
      <c r="G316" s="3176">
        <f t="shared" si="178"/>
        <v>0</v>
      </c>
      <c r="H316" s="3177">
        <f t="shared" si="179"/>
        <v>0</v>
      </c>
      <c r="I316" s="3180"/>
      <c r="J316" s="3200"/>
      <c r="K316" s="3180"/>
      <c r="L316" s="3200"/>
      <c r="M316" s="3200"/>
      <c r="N316" s="3200"/>
      <c r="O316" s="3200"/>
      <c r="P316" s="3200"/>
      <c r="Q316" s="3200"/>
      <c r="R316" s="3200"/>
      <c r="S316" s="3200"/>
      <c r="T316" s="3200"/>
      <c r="U316" s="3200"/>
      <c r="V316" s="3200"/>
      <c r="W316" s="3200"/>
      <c r="X316" s="3200"/>
      <c r="Y316" s="3200"/>
      <c r="Z316" s="3200"/>
      <c r="AA316" s="3200"/>
      <c r="AB316" s="3200"/>
      <c r="AC316" s="3174">
        <f t="shared" si="180"/>
        <v>0</v>
      </c>
      <c r="AD316" s="3212"/>
      <c r="AE316" s="3212"/>
      <c r="AF316" s="3180"/>
      <c r="AG316" s="3212"/>
      <c r="AH316" s="3212"/>
      <c r="AI316" s="3212"/>
      <c r="AJ316" s="3212"/>
      <c r="AK316" s="3212"/>
      <c r="AL316" s="3212"/>
      <c r="AM316" s="3212"/>
      <c r="AN316" s="3212"/>
      <c r="AO316" s="3212"/>
      <c r="AP316" s="3212"/>
      <c r="AQ316" s="3212"/>
      <c r="AR316" s="3212"/>
      <c r="AS316" s="3212"/>
      <c r="AT316" s="3175"/>
      <c r="AU316" s="3232"/>
      <c r="AV316" s="466">
        <f t="shared" si="204"/>
        <v>0</v>
      </c>
      <c r="AW316" s="466">
        <f t="shared" si="205"/>
        <v>0</v>
      </c>
      <c r="AX316" s="466">
        <f t="shared" si="206"/>
        <v>0</v>
      </c>
      <c r="AY316" s="385">
        <f t="shared" si="181"/>
        <v>0</v>
      </c>
      <c r="AZ316" s="3174">
        <f t="shared" si="182"/>
        <v>0</v>
      </c>
      <c r="BA316" s="3174">
        <f t="shared" si="183"/>
        <v>0</v>
      </c>
      <c r="BB316" s="3174">
        <f t="shared" si="184"/>
        <v>0</v>
      </c>
      <c r="BC316" s="3174">
        <f t="shared" si="185"/>
        <v>0</v>
      </c>
      <c r="BD316" s="3174">
        <f t="shared" si="186"/>
        <v>0</v>
      </c>
      <c r="BE316" s="3174">
        <f t="shared" si="187"/>
        <v>0</v>
      </c>
      <c r="BF316" s="3174">
        <f t="shared" si="188"/>
        <v>0</v>
      </c>
      <c r="BG316" s="3174">
        <f t="shared" si="189"/>
        <v>0</v>
      </c>
      <c r="BH316" s="3174">
        <f t="shared" si="190"/>
        <v>0</v>
      </c>
      <c r="BI316" s="3174">
        <f t="shared" si="191"/>
        <v>0</v>
      </c>
      <c r="BJ316" s="3174">
        <f t="shared" si="192"/>
        <v>0</v>
      </c>
      <c r="BK316" s="3174">
        <f t="shared" si="193"/>
        <v>0</v>
      </c>
      <c r="BL316" s="3174">
        <f t="shared" si="194"/>
        <v>0</v>
      </c>
      <c r="BM316" s="3174">
        <f t="shared" si="195"/>
        <v>0</v>
      </c>
      <c r="BN316" s="3174">
        <f t="shared" si="196"/>
        <v>0</v>
      </c>
      <c r="BO316" s="3174">
        <f t="shared" si="197"/>
        <v>0</v>
      </c>
      <c r="BP316" s="3174">
        <f t="shared" si="198"/>
        <v>0</v>
      </c>
      <c r="BQ316" s="3174">
        <f t="shared" si="199"/>
        <v>0</v>
      </c>
      <c r="BR316" s="3174">
        <f t="shared" si="200"/>
        <v>0</v>
      </c>
      <c r="BS316" s="3174">
        <f t="shared" si="201"/>
        <v>0</v>
      </c>
      <c r="BT316" s="3249">
        <f t="shared" si="202"/>
        <v>0</v>
      </c>
    </row>
    <row r="317" spans="1:72">
      <c r="A317" s="489"/>
      <c r="B317" s="3179"/>
      <c r="C317" s="3180"/>
      <c r="D317" s="3181"/>
      <c r="E317" s="3174">
        <f t="shared" si="203"/>
        <v>0</v>
      </c>
      <c r="F317" s="3175"/>
      <c r="G317" s="3176">
        <f t="shared" si="178"/>
        <v>0</v>
      </c>
      <c r="H317" s="3177">
        <f t="shared" si="179"/>
        <v>0</v>
      </c>
      <c r="I317" s="3180"/>
      <c r="J317" s="3200"/>
      <c r="K317" s="3180"/>
      <c r="L317" s="3200"/>
      <c r="M317" s="3200"/>
      <c r="N317" s="3200"/>
      <c r="O317" s="3200"/>
      <c r="P317" s="3200"/>
      <c r="Q317" s="3200"/>
      <c r="R317" s="3200"/>
      <c r="S317" s="3200"/>
      <c r="T317" s="3200"/>
      <c r="U317" s="3200"/>
      <c r="V317" s="3200"/>
      <c r="W317" s="3200"/>
      <c r="X317" s="3200"/>
      <c r="Y317" s="3200"/>
      <c r="Z317" s="3200"/>
      <c r="AA317" s="3200"/>
      <c r="AB317" s="3200"/>
      <c r="AC317" s="3174">
        <f t="shared" si="180"/>
        <v>0</v>
      </c>
      <c r="AD317" s="3212"/>
      <c r="AE317" s="3212"/>
      <c r="AF317" s="3180"/>
      <c r="AG317" s="3212"/>
      <c r="AH317" s="3212"/>
      <c r="AI317" s="3212"/>
      <c r="AJ317" s="3212"/>
      <c r="AK317" s="3212"/>
      <c r="AL317" s="3212"/>
      <c r="AM317" s="3212"/>
      <c r="AN317" s="3212"/>
      <c r="AO317" s="3212"/>
      <c r="AP317" s="3212"/>
      <c r="AQ317" s="3212"/>
      <c r="AR317" s="3212"/>
      <c r="AS317" s="3212"/>
      <c r="AT317" s="3175"/>
      <c r="AU317" s="3232"/>
      <c r="AV317" s="466">
        <f t="shared" si="204"/>
        <v>0</v>
      </c>
      <c r="AW317" s="466">
        <f t="shared" si="205"/>
        <v>0</v>
      </c>
      <c r="AX317" s="466">
        <f t="shared" si="206"/>
        <v>0</v>
      </c>
      <c r="AY317" s="385">
        <f t="shared" si="181"/>
        <v>0</v>
      </c>
      <c r="AZ317" s="3174">
        <f t="shared" si="182"/>
        <v>0</v>
      </c>
      <c r="BA317" s="3174">
        <f t="shared" si="183"/>
        <v>0</v>
      </c>
      <c r="BB317" s="3174">
        <f t="shared" si="184"/>
        <v>0</v>
      </c>
      <c r="BC317" s="3174">
        <f t="shared" si="185"/>
        <v>0</v>
      </c>
      <c r="BD317" s="3174">
        <f t="shared" si="186"/>
        <v>0</v>
      </c>
      <c r="BE317" s="3174">
        <f t="shared" si="187"/>
        <v>0</v>
      </c>
      <c r="BF317" s="3174">
        <f t="shared" si="188"/>
        <v>0</v>
      </c>
      <c r="BG317" s="3174">
        <f t="shared" si="189"/>
        <v>0</v>
      </c>
      <c r="BH317" s="3174">
        <f t="shared" si="190"/>
        <v>0</v>
      </c>
      <c r="BI317" s="3174">
        <f t="shared" si="191"/>
        <v>0</v>
      </c>
      <c r="BJ317" s="3174">
        <f t="shared" si="192"/>
        <v>0</v>
      </c>
      <c r="BK317" s="3174">
        <f t="shared" si="193"/>
        <v>0</v>
      </c>
      <c r="BL317" s="3174">
        <f t="shared" si="194"/>
        <v>0</v>
      </c>
      <c r="BM317" s="3174">
        <f t="shared" si="195"/>
        <v>0</v>
      </c>
      <c r="BN317" s="3174">
        <f t="shared" si="196"/>
        <v>0</v>
      </c>
      <c r="BO317" s="3174">
        <f t="shared" si="197"/>
        <v>0</v>
      </c>
      <c r="BP317" s="3174">
        <f t="shared" si="198"/>
        <v>0</v>
      </c>
      <c r="BQ317" s="3174">
        <f t="shared" si="199"/>
        <v>0</v>
      </c>
      <c r="BR317" s="3174">
        <f t="shared" si="200"/>
        <v>0</v>
      </c>
      <c r="BS317" s="3174">
        <f t="shared" si="201"/>
        <v>0</v>
      </c>
      <c r="BT317" s="3249">
        <f t="shared" si="202"/>
        <v>0</v>
      </c>
    </row>
    <row r="318" spans="1:72">
      <c r="A318" s="489"/>
      <c r="B318" s="3179"/>
      <c r="C318" s="3180"/>
      <c r="D318" s="3181"/>
      <c r="E318" s="3174">
        <f t="shared" si="203"/>
        <v>0</v>
      </c>
      <c r="F318" s="3175"/>
      <c r="G318" s="3176">
        <f t="shared" si="178"/>
        <v>0</v>
      </c>
      <c r="H318" s="3177">
        <f t="shared" si="179"/>
        <v>0</v>
      </c>
      <c r="I318" s="3180"/>
      <c r="J318" s="3200"/>
      <c r="K318" s="3180"/>
      <c r="L318" s="3200"/>
      <c r="M318" s="3200"/>
      <c r="N318" s="3200"/>
      <c r="O318" s="3200"/>
      <c r="P318" s="3200"/>
      <c r="Q318" s="3200"/>
      <c r="R318" s="3200"/>
      <c r="S318" s="3200"/>
      <c r="T318" s="3200"/>
      <c r="U318" s="3200"/>
      <c r="V318" s="3200"/>
      <c r="W318" s="3200"/>
      <c r="X318" s="3200"/>
      <c r="Y318" s="3200"/>
      <c r="Z318" s="3200"/>
      <c r="AA318" s="3200"/>
      <c r="AB318" s="3200"/>
      <c r="AC318" s="3174">
        <f t="shared" si="180"/>
        <v>0</v>
      </c>
      <c r="AD318" s="3212"/>
      <c r="AE318" s="3212"/>
      <c r="AF318" s="3180"/>
      <c r="AG318" s="3212"/>
      <c r="AH318" s="3212"/>
      <c r="AI318" s="3212"/>
      <c r="AJ318" s="3212"/>
      <c r="AK318" s="3212"/>
      <c r="AL318" s="3212"/>
      <c r="AM318" s="3212"/>
      <c r="AN318" s="3212"/>
      <c r="AO318" s="3212"/>
      <c r="AP318" s="3212"/>
      <c r="AQ318" s="3212"/>
      <c r="AR318" s="3212"/>
      <c r="AS318" s="3212"/>
      <c r="AT318" s="3175"/>
      <c r="AU318" s="3232"/>
      <c r="AV318" s="466">
        <f t="shared" si="204"/>
        <v>0</v>
      </c>
      <c r="AW318" s="466">
        <f t="shared" si="205"/>
        <v>0</v>
      </c>
      <c r="AX318" s="466">
        <f t="shared" si="206"/>
        <v>0</v>
      </c>
      <c r="AY318" s="385">
        <f t="shared" si="181"/>
        <v>0</v>
      </c>
      <c r="AZ318" s="3174">
        <f t="shared" si="182"/>
        <v>0</v>
      </c>
      <c r="BA318" s="3174">
        <f t="shared" si="183"/>
        <v>0</v>
      </c>
      <c r="BB318" s="3174">
        <f t="shared" si="184"/>
        <v>0</v>
      </c>
      <c r="BC318" s="3174">
        <f t="shared" si="185"/>
        <v>0</v>
      </c>
      <c r="BD318" s="3174">
        <f t="shared" si="186"/>
        <v>0</v>
      </c>
      <c r="BE318" s="3174">
        <f t="shared" si="187"/>
        <v>0</v>
      </c>
      <c r="BF318" s="3174">
        <f t="shared" si="188"/>
        <v>0</v>
      </c>
      <c r="BG318" s="3174">
        <f t="shared" si="189"/>
        <v>0</v>
      </c>
      <c r="BH318" s="3174">
        <f t="shared" si="190"/>
        <v>0</v>
      </c>
      <c r="BI318" s="3174">
        <f t="shared" si="191"/>
        <v>0</v>
      </c>
      <c r="BJ318" s="3174">
        <f t="shared" si="192"/>
        <v>0</v>
      </c>
      <c r="BK318" s="3174">
        <f t="shared" si="193"/>
        <v>0</v>
      </c>
      <c r="BL318" s="3174">
        <f t="shared" si="194"/>
        <v>0</v>
      </c>
      <c r="BM318" s="3174">
        <f t="shared" si="195"/>
        <v>0</v>
      </c>
      <c r="BN318" s="3174">
        <f t="shared" si="196"/>
        <v>0</v>
      </c>
      <c r="BO318" s="3174">
        <f t="shared" si="197"/>
        <v>0</v>
      </c>
      <c r="BP318" s="3174">
        <f t="shared" si="198"/>
        <v>0</v>
      </c>
      <c r="BQ318" s="3174">
        <f t="shared" si="199"/>
        <v>0</v>
      </c>
      <c r="BR318" s="3174">
        <f t="shared" si="200"/>
        <v>0</v>
      </c>
      <c r="BS318" s="3174">
        <f t="shared" si="201"/>
        <v>0</v>
      </c>
      <c r="BT318" s="3249">
        <f t="shared" si="202"/>
        <v>0</v>
      </c>
    </row>
    <row r="319" spans="1:72">
      <c r="A319" s="489"/>
      <c r="B319" s="3179"/>
      <c r="C319" s="3180"/>
      <c r="D319" s="3181"/>
      <c r="E319" s="3174">
        <f t="shared" si="203"/>
        <v>0</v>
      </c>
      <c r="F319" s="3175"/>
      <c r="G319" s="3176">
        <f t="shared" si="178"/>
        <v>0</v>
      </c>
      <c r="H319" s="3177">
        <f t="shared" si="179"/>
        <v>0</v>
      </c>
      <c r="I319" s="3180"/>
      <c r="J319" s="3200"/>
      <c r="K319" s="3180"/>
      <c r="L319" s="3200"/>
      <c r="M319" s="3200"/>
      <c r="N319" s="3200"/>
      <c r="O319" s="3200"/>
      <c r="P319" s="3200"/>
      <c r="Q319" s="3200"/>
      <c r="R319" s="3200"/>
      <c r="S319" s="3200"/>
      <c r="T319" s="3200"/>
      <c r="U319" s="3200"/>
      <c r="V319" s="3200"/>
      <c r="W319" s="3200"/>
      <c r="X319" s="3200"/>
      <c r="Y319" s="3200"/>
      <c r="Z319" s="3200"/>
      <c r="AA319" s="3200"/>
      <c r="AB319" s="3200"/>
      <c r="AC319" s="3174">
        <f t="shared" si="180"/>
        <v>0</v>
      </c>
      <c r="AD319" s="3212"/>
      <c r="AE319" s="3212"/>
      <c r="AF319" s="3180"/>
      <c r="AG319" s="3212"/>
      <c r="AH319" s="3212"/>
      <c r="AI319" s="3212"/>
      <c r="AJ319" s="3212"/>
      <c r="AK319" s="3212"/>
      <c r="AL319" s="3212"/>
      <c r="AM319" s="3212"/>
      <c r="AN319" s="3212"/>
      <c r="AO319" s="3212"/>
      <c r="AP319" s="3212"/>
      <c r="AQ319" s="3212"/>
      <c r="AR319" s="3212"/>
      <c r="AS319" s="3212"/>
      <c r="AT319" s="3175"/>
      <c r="AU319" s="3232"/>
      <c r="AV319" s="466">
        <f t="shared" si="204"/>
        <v>0</v>
      </c>
      <c r="AW319" s="466">
        <f t="shared" si="205"/>
        <v>0</v>
      </c>
      <c r="AX319" s="466">
        <f t="shared" si="206"/>
        <v>0</v>
      </c>
      <c r="AY319" s="385">
        <f t="shared" si="181"/>
        <v>0</v>
      </c>
      <c r="AZ319" s="3174">
        <f t="shared" si="182"/>
        <v>0</v>
      </c>
      <c r="BA319" s="3174">
        <f t="shared" si="183"/>
        <v>0</v>
      </c>
      <c r="BB319" s="3174">
        <f t="shared" si="184"/>
        <v>0</v>
      </c>
      <c r="BC319" s="3174">
        <f t="shared" si="185"/>
        <v>0</v>
      </c>
      <c r="BD319" s="3174">
        <f t="shared" si="186"/>
        <v>0</v>
      </c>
      <c r="BE319" s="3174">
        <f t="shared" si="187"/>
        <v>0</v>
      </c>
      <c r="BF319" s="3174">
        <f t="shared" si="188"/>
        <v>0</v>
      </c>
      <c r="BG319" s="3174">
        <f t="shared" si="189"/>
        <v>0</v>
      </c>
      <c r="BH319" s="3174">
        <f t="shared" si="190"/>
        <v>0</v>
      </c>
      <c r="BI319" s="3174">
        <f t="shared" si="191"/>
        <v>0</v>
      </c>
      <c r="BJ319" s="3174">
        <f t="shared" si="192"/>
        <v>0</v>
      </c>
      <c r="BK319" s="3174">
        <f t="shared" si="193"/>
        <v>0</v>
      </c>
      <c r="BL319" s="3174">
        <f t="shared" si="194"/>
        <v>0</v>
      </c>
      <c r="BM319" s="3174">
        <f t="shared" si="195"/>
        <v>0</v>
      </c>
      <c r="BN319" s="3174">
        <f t="shared" si="196"/>
        <v>0</v>
      </c>
      <c r="BO319" s="3174">
        <f t="shared" si="197"/>
        <v>0</v>
      </c>
      <c r="BP319" s="3174">
        <f t="shared" si="198"/>
        <v>0</v>
      </c>
      <c r="BQ319" s="3174">
        <f t="shared" si="199"/>
        <v>0</v>
      </c>
      <c r="BR319" s="3174">
        <f t="shared" si="200"/>
        <v>0</v>
      </c>
      <c r="BS319" s="3174">
        <f t="shared" si="201"/>
        <v>0</v>
      </c>
      <c r="BT319" s="3249">
        <f t="shared" si="202"/>
        <v>0</v>
      </c>
    </row>
    <row r="320" spans="1:72">
      <c r="A320" s="489"/>
      <c r="B320" s="3179"/>
      <c r="C320" s="3180"/>
      <c r="D320" s="3181"/>
      <c r="E320" s="3174">
        <f t="shared" si="203"/>
        <v>0</v>
      </c>
      <c r="F320" s="3175"/>
      <c r="G320" s="3176">
        <f t="shared" si="178"/>
        <v>0</v>
      </c>
      <c r="H320" s="3177">
        <f t="shared" si="179"/>
        <v>0</v>
      </c>
      <c r="I320" s="3180"/>
      <c r="J320" s="3200"/>
      <c r="K320" s="3180"/>
      <c r="L320" s="3200"/>
      <c r="M320" s="3200"/>
      <c r="N320" s="3200"/>
      <c r="O320" s="3200"/>
      <c r="P320" s="3200"/>
      <c r="Q320" s="3200"/>
      <c r="R320" s="3200"/>
      <c r="S320" s="3200"/>
      <c r="T320" s="3200"/>
      <c r="U320" s="3200"/>
      <c r="V320" s="3200"/>
      <c r="W320" s="3200"/>
      <c r="X320" s="3200"/>
      <c r="Y320" s="3200"/>
      <c r="Z320" s="3200"/>
      <c r="AA320" s="3200"/>
      <c r="AB320" s="3200"/>
      <c r="AC320" s="3174">
        <f t="shared" si="180"/>
        <v>0</v>
      </c>
      <c r="AD320" s="3212"/>
      <c r="AE320" s="3212"/>
      <c r="AF320" s="3180"/>
      <c r="AG320" s="3212"/>
      <c r="AH320" s="3212"/>
      <c r="AI320" s="3212"/>
      <c r="AJ320" s="3212"/>
      <c r="AK320" s="3212"/>
      <c r="AL320" s="3212"/>
      <c r="AM320" s="3212"/>
      <c r="AN320" s="3212"/>
      <c r="AO320" s="3212"/>
      <c r="AP320" s="3212"/>
      <c r="AQ320" s="3212"/>
      <c r="AR320" s="3212"/>
      <c r="AS320" s="3212"/>
      <c r="AT320" s="3175"/>
      <c r="AU320" s="3232"/>
      <c r="AV320" s="466">
        <f t="shared" si="204"/>
        <v>0</v>
      </c>
      <c r="AW320" s="466">
        <f t="shared" si="205"/>
        <v>0</v>
      </c>
      <c r="AX320" s="466">
        <f t="shared" si="206"/>
        <v>0</v>
      </c>
      <c r="AY320" s="385">
        <f t="shared" si="181"/>
        <v>0</v>
      </c>
      <c r="AZ320" s="3174">
        <f t="shared" si="182"/>
        <v>0</v>
      </c>
      <c r="BA320" s="3174">
        <f t="shared" si="183"/>
        <v>0</v>
      </c>
      <c r="BB320" s="3174">
        <f t="shared" si="184"/>
        <v>0</v>
      </c>
      <c r="BC320" s="3174">
        <f t="shared" si="185"/>
        <v>0</v>
      </c>
      <c r="BD320" s="3174">
        <f t="shared" si="186"/>
        <v>0</v>
      </c>
      <c r="BE320" s="3174">
        <f t="shared" si="187"/>
        <v>0</v>
      </c>
      <c r="BF320" s="3174">
        <f t="shared" si="188"/>
        <v>0</v>
      </c>
      <c r="BG320" s="3174">
        <f t="shared" si="189"/>
        <v>0</v>
      </c>
      <c r="BH320" s="3174">
        <f t="shared" si="190"/>
        <v>0</v>
      </c>
      <c r="BI320" s="3174">
        <f t="shared" si="191"/>
        <v>0</v>
      </c>
      <c r="BJ320" s="3174">
        <f t="shared" si="192"/>
        <v>0</v>
      </c>
      <c r="BK320" s="3174">
        <f t="shared" si="193"/>
        <v>0</v>
      </c>
      <c r="BL320" s="3174">
        <f t="shared" si="194"/>
        <v>0</v>
      </c>
      <c r="BM320" s="3174">
        <f t="shared" si="195"/>
        <v>0</v>
      </c>
      <c r="BN320" s="3174">
        <f t="shared" si="196"/>
        <v>0</v>
      </c>
      <c r="BO320" s="3174">
        <f t="shared" si="197"/>
        <v>0</v>
      </c>
      <c r="BP320" s="3174">
        <f t="shared" si="198"/>
        <v>0</v>
      </c>
      <c r="BQ320" s="3174">
        <f t="shared" si="199"/>
        <v>0</v>
      </c>
      <c r="BR320" s="3174">
        <f t="shared" si="200"/>
        <v>0</v>
      </c>
      <c r="BS320" s="3174">
        <f t="shared" si="201"/>
        <v>0</v>
      </c>
      <c r="BT320" s="3249">
        <f t="shared" si="202"/>
        <v>0</v>
      </c>
    </row>
    <row r="321" spans="1:72">
      <c r="A321" s="489"/>
      <c r="B321" s="3179"/>
      <c r="C321" s="3180"/>
      <c r="D321" s="3181"/>
      <c r="E321" s="3174">
        <f t="shared" si="203"/>
        <v>0</v>
      </c>
      <c r="F321" s="3175"/>
      <c r="G321" s="3176">
        <f t="shared" si="178"/>
        <v>0</v>
      </c>
      <c r="H321" s="3177">
        <f t="shared" si="179"/>
        <v>0</v>
      </c>
      <c r="I321" s="3180"/>
      <c r="J321" s="3200"/>
      <c r="K321" s="3180"/>
      <c r="L321" s="3200"/>
      <c r="M321" s="3200"/>
      <c r="N321" s="3200"/>
      <c r="O321" s="3200"/>
      <c r="P321" s="3200"/>
      <c r="Q321" s="3200"/>
      <c r="R321" s="3200"/>
      <c r="S321" s="3200"/>
      <c r="T321" s="3200"/>
      <c r="U321" s="3200"/>
      <c r="V321" s="3200"/>
      <c r="W321" s="3200"/>
      <c r="X321" s="3200"/>
      <c r="Y321" s="3200"/>
      <c r="Z321" s="3200"/>
      <c r="AA321" s="3200"/>
      <c r="AB321" s="3200"/>
      <c r="AC321" s="3174">
        <f t="shared" si="180"/>
        <v>0</v>
      </c>
      <c r="AD321" s="3212"/>
      <c r="AE321" s="3212"/>
      <c r="AF321" s="3180"/>
      <c r="AG321" s="3212"/>
      <c r="AH321" s="3212"/>
      <c r="AI321" s="3212"/>
      <c r="AJ321" s="3212"/>
      <c r="AK321" s="3212"/>
      <c r="AL321" s="3212"/>
      <c r="AM321" s="3212"/>
      <c r="AN321" s="3212"/>
      <c r="AO321" s="3212"/>
      <c r="AP321" s="3212"/>
      <c r="AQ321" s="3212"/>
      <c r="AR321" s="3212"/>
      <c r="AS321" s="3212"/>
      <c r="AT321" s="3175"/>
      <c r="AU321" s="3232"/>
      <c r="AV321" s="466">
        <f t="shared" si="204"/>
        <v>0</v>
      </c>
      <c r="AW321" s="466">
        <f t="shared" si="205"/>
        <v>0</v>
      </c>
      <c r="AX321" s="466">
        <f t="shared" si="206"/>
        <v>0</v>
      </c>
      <c r="AY321" s="385">
        <f t="shared" si="181"/>
        <v>0</v>
      </c>
      <c r="AZ321" s="3174">
        <f t="shared" si="182"/>
        <v>0</v>
      </c>
      <c r="BA321" s="3174">
        <f t="shared" si="183"/>
        <v>0</v>
      </c>
      <c r="BB321" s="3174">
        <f t="shared" si="184"/>
        <v>0</v>
      </c>
      <c r="BC321" s="3174">
        <f t="shared" si="185"/>
        <v>0</v>
      </c>
      <c r="BD321" s="3174">
        <f t="shared" si="186"/>
        <v>0</v>
      </c>
      <c r="BE321" s="3174">
        <f t="shared" si="187"/>
        <v>0</v>
      </c>
      <c r="BF321" s="3174">
        <f t="shared" si="188"/>
        <v>0</v>
      </c>
      <c r="BG321" s="3174">
        <f t="shared" si="189"/>
        <v>0</v>
      </c>
      <c r="BH321" s="3174">
        <f t="shared" si="190"/>
        <v>0</v>
      </c>
      <c r="BI321" s="3174">
        <f t="shared" si="191"/>
        <v>0</v>
      </c>
      <c r="BJ321" s="3174">
        <f t="shared" si="192"/>
        <v>0</v>
      </c>
      <c r="BK321" s="3174">
        <f t="shared" si="193"/>
        <v>0</v>
      </c>
      <c r="BL321" s="3174">
        <f t="shared" si="194"/>
        <v>0</v>
      </c>
      <c r="BM321" s="3174">
        <f t="shared" si="195"/>
        <v>0</v>
      </c>
      <c r="BN321" s="3174">
        <f t="shared" si="196"/>
        <v>0</v>
      </c>
      <c r="BO321" s="3174">
        <f t="shared" si="197"/>
        <v>0</v>
      </c>
      <c r="BP321" s="3174">
        <f t="shared" si="198"/>
        <v>0</v>
      </c>
      <c r="BQ321" s="3174">
        <f t="shared" si="199"/>
        <v>0</v>
      </c>
      <c r="BR321" s="3174">
        <f t="shared" si="200"/>
        <v>0</v>
      </c>
      <c r="BS321" s="3174">
        <f t="shared" si="201"/>
        <v>0</v>
      </c>
      <c r="BT321" s="3249">
        <f t="shared" si="202"/>
        <v>0</v>
      </c>
    </row>
    <row r="322" spans="1:72">
      <c r="A322" s="489"/>
      <c r="B322" s="3179"/>
      <c r="C322" s="3180"/>
      <c r="D322" s="3181"/>
      <c r="E322" s="3174">
        <f t="shared" si="203"/>
        <v>0</v>
      </c>
      <c r="F322" s="3175"/>
      <c r="G322" s="3176">
        <f t="shared" si="178"/>
        <v>0</v>
      </c>
      <c r="H322" s="3177">
        <f t="shared" si="179"/>
        <v>0</v>
      </c>
      <c r="I322" s="3180"/>
      <c r="J322" s="3200"/>
      <c r="K322" s="3180"/>
      <c r="L322" s="3200"/>
      <c r="M322" s="3200"/>
      <c r="N322" s="3200"/>
      <c r="O322" s="3200"/>
      <c r="P322" s="3200"/>
      <c r="Q322" s="3200"/>
      <c r="R322" s="3200"/>
      <c r="S322" s="3200"/>
      <c r="T322" s="3200"/>
      <c r="U322" s="3200"/>
      <c r="V322" s="3200"/>
      <c r="W322" s="3200"/>
      <c r="X322" s="3200"/>
      <c r="Y322" s="3200"/>
      <c r="Z322" s="3200"/>
      <c r="AA322" s="3200"/>
      <c r="AB322" s="3200"/>
      <c r="AC322" s="3174">
        <f t="shared" si="180"/>
        <v>0</v>
      </c>
      <c r="AD322" s="3212"/>
      <c r="AE322" s="3212"/>
      <c r="AF322" s="3180"/>
      <c r="AG322" s="3212"/>
      <c r="AH322" s="3212"/>
      <c r="AI322" s="3212"/>
      <c r="AJ322" s="3212"/>
      <c r="AK322" s="3212"/>
      <c r="AL322" s="3212"/>
      <c r="AM322" s="3212"/>
      <c r="AN322" s="3212"/>
      <c r="AO322" s="3212"/>
      <c r="AP322" s="3212"/>
      <c r="AQ322" s="3212"/>
      <c r="AR322" s="3212"/>
      <c r="AS322" s="3212"/>
      <c r="AT322" s="3175"/>
      <c r="AU322" s="3232"/>
      <c r="AV322" s="466">
        <f t="shared" si="204"/>
        <v>0</v>
      </c>
      <c r="AW322" s="466">
        <f t="shared" si="205"/>
        <v>0</v>
      </c>
      <c r="AX322" s="466">
        <f t="shared" si="206"/>
        <v>0</v>
      </c>
      <c r="AY322" s="385">
        <f t="shared" si="181"/>
        <v>0</v>
      </c>
      <c r="AZ322" s="3174">
        <f t="shared" si="182"/>
        <v>0</v>
      </c>
      <c r="BA322" s="3174">
        <f t="shared" si="183"/>
        <v>0</v>
      </c>
      <c r="BB322" s="3174">
        <f t="shared" si="184"/>
        <v>0</v>
      </c>
      <c r="BC322" s="3174">
        <f t="shared" si="185"/>
        <v>0</v>
      </c>
      <c r="BD322" s="3174">
        <f t="shared" si="186"/>
        <v>0</v>
      </c>
      <c r="BE322" s="3174">
        <f t="shared" si="187"/>
        <v>0</v>
      </c>
      <c r="BF322" s="3174">
        <f t="shared" si="188"/>
        <v>0</v>
      </c>
      <c r="BG322" s="3174">
        <f t="shared" si="189"/>
        <v>0</v>
      </c>
      <c r="BH322" s="3174">
        <f t="shared" si="190"/>
        <v>0</v>
      </c>
      <c r="BI322" s="3174">
        <f t="shared" si="191"/>
        <v>0</v>
      </c>
      <c r="BJ322" s="3174">
        <f t="shared" si="192"/>
        <v>0</v>
      </c>
      <c r="BK322" s="3174">
        <f t="shared" si="193"/>
        <v>0</v>
      </c>
      <c r="BL322" s="3174">
        <f t="shared" si="194"/>
        <v>0</v>
      </c>
      <c r="BM322" s="3174">
        <f t="shared" si="195"/>
        <v>0</v>
      </c>
      <c r="BN322" s="3174">
        <f t="shared" si="196"/>
        <v>0</v>
      </c>
      <c r="BO322" s="3174">
        <f t="shared" si="197"/>
        <v>0</v>
      </c>
      <c r="BP322" s="3174">
        <f t="shared" si="198"/>
        <v>0</v>
      </c>
      <c r="BQ322" s="3174">
        <f t="shared" si="199"/>
        <v>0</v>
      </c>
      <c r="BR322" s="3174">
        <f t="shared" si="200"/>
        <v>0</v>
      </c>
      <c r="BS322" s="3174">
        <f t="shared" si="201"/>
        <v>0</v>
      </c>
      <c r="BT322" s="3249">
        <f t="shared" si="202"/>
        <v>0</v>
      </c>
    </row>
    <row r="323" spans="1:72">
      <c r="A323" s="489"/>
      <c r="B323" s="3179"/>
      <c r="C323" s="3180"/>
      <c r="D323" s="3181"/>
      <c r="E323" s="3174">
        <f t="shared" si="203"/>
        <v>0</v>
      </c>
      <c r="F323" s="3175"/>
      <c r="G323" s="3176">
        <f t="shared" si="178"/>
        <v>0</v>
      </c>
      <c r="H323" s="3177">
        <f t="shared" si="179"/>
        <v>0</v>
      </c>
      <c r="I323" s="3180"/>
      <c r="J323" s="3200"/>
      <c r="K323" s="3180"/>
      <c r="L323" s="3200"/>
      <c r="M323" s="3200"/>
      <c r="N323" s="3200"/>
      <c r="O323" s="3200"/>
      <c r="P323" s="3200"/>
      <c r="Q323" s="3200"/>
      <c r="R323" s="3200"/>
      <c r="S323" s="3200"/>
      <c r="T323" s="3200"/>
      <c r="U323" s="3200"/>
      <c r="V323" s="3200"/>
      <c r="W323" s="3200"/>
      <c r="X323" s="3200"/>
      <c r="Y323" s="3200"/>
      <c r="Z323" s="3200"/>
      <c r="AA323" s="3200"/>
      <c r="AB323" s="3200"/>
      <c r="AC323" s="3174">
        <f t="shared" si="180"/>
        <v>0</v>
      </c>
      <c r="AD323" s="3212"/>
      <c r="AE323" s="3212"/>
      <c r="AF323" s="3180"/>
      <c r="AG323" s="3212"/>
      <c r="AH323" s="3212"/>
      <c r="AI323" s="3212"/>
      <c r="AJ323" s="3212"/>
      <c r="AK323" s="3212"/>
      <c r="AL323" s="3212"/>
      <c r="AM323" s="3212"/>
      <c r="AN323" s="3212"/>
      <c r="AO323" s="3212"/>
      <c r="AP323" s="3212"/>
      <c r="AQ323" s="3212"/>
      <c r="AR323" s="3212"/>
      <c r="AS323" s="3212"/>
      <c r="AT323" s="3175"/>
      <c r="AU323" s="3232"/>
      <c r="AV323" s="466">
        <f t="shared" si="204"/>
        <v>0</v>
      </c>
      <c r="AW323" s="466">
        <f t="shared" si="205"/>
        <v>0</v>
      </c>
      <c r="AX323" s="466">
        <f t="shared" si="206"/>
        <v>0</v>
      </c>
      <c r="AY323" s="385">
        <f t="shared" si="181"/>
        <v>0</v>
      </c>
      <c r="AZ323" s="3174">
        <f t="shared" si="182"/>
        <v>0</v>
      </c>
      <c r="BA323" s="3174">
        <f t="shared" si="183"/>
        <v>0</v>
      </c>
      <c r="BB323" s="3174">
        <f t="shared" si="184"/>
        <v>0</v>
      </c>
      <c r="BC323" s="3174">
        <f t="shared" si="185"/>
        <v>0</v>
      </c>
      <c r="BD323" s="3174">
        <f t="shared" si="186"/>
        <v>0</v>
      </c>
      <c r="BE323" s="3174">
        <f t="shared" si="187"/>
        <v>0</v>
      </c>
      <c r="BF323" s="3174">
        <f t="shared" si="188"/>
        <v>0</v>
      </c>
      <c r="BG323" s="3174">
        <f t="shared" si="189"/>
        <v>0</v>
      </c>
      <c r="BH323" s="3174">
        <f t="shared" si="190"/>
        <v>0</v>
      </c>
      <c r="BI323" s="3174">
        <f t="shared" si="191"/>
        <v>0</v>
      </c>
      <c r="BJ323" s="3174">
        <f t="shared" si="192"/>
        <v>0</v>
      </c>
      <c r="BK323" s="3174">
        <f t="shared" si="193"/>
        <v>0</v>
      </c>
      <c r="BL323" s="3174">
        <f t="shared" si="194"/>
        <v>0</v>
      </c>
      <c r="BM323" s="3174">
        <f t="shared" si="195"/>
        <v>0</v>
      </c>
      <c r="BN323" s="3174">
        <f t="shared" si="196"/>
        <v>0</v>
      </c>
      <c r="BO323" s="3174">
        <f t="shared" si="197"/>
        <v>0</v>
      </c>
      <c r="BP323" s="3174">
        <f t="shared" si="198"/>
        <v>0</v>
      </c>
      <c r="BQ323" s="3174">
        <f t="shared" si="199"/>
        <v>0</v>
      </c>
      <c r="BR323" s="3174">
        <f t="shared" si="200"/>
        <v>0</v>
      </c>
      <c r="BS323" s="3174">
        <f t="shared" si="201"/>
        <v>0</v>
      </c>
      <c r="BT323" s="3249">
        <f t="shared" si="202"/>
        <v>0</v>
      </c>
    </row>
    <row r="324" spans="1:72">
      <c r="A324" s="489"/>
      <c r="B324" s="3179"/>
      <c r="C324" s="3180"/>
      <c r="D324" s="3181"/>
      <c r="E324" s="3174">
        <f t="shared" si="203"/>
        <v>0</v>
      </c>
      <c r="F324" s="3175"/>
      <c r="G324" s="3176">
        <f t="shared" si="178"/>
        <v>0</v>
      </c>
      <c r="H324" s="3177">
        <f t="shared" si="179"/>
        <v>0</v>
      </c>
      <c r="I324" s="3180"/>
      <c r="J324" s="3200"/>
      <c r="K324" s="3180"/>
      <c r="L324" s="3200"/>
      <c r="M324" s="3200"/>
      <c r="N324" s="3200"/>
      <c r="O324" s="3200"/>
      <c r="P324" s="3200"/>
      <c r="Q324" s="3200"/>
      <c r="R324" s="3200"/>
      <c r="S324" s="3200"/>
      <c r="T324" s="3200"/>
      <c r="U324" s="3200"/>
      <c r="V324" s="3200"/>
      <c r="W324" s="3200"/>
      <c r="X324" s="3200"/>
      <c r="Y324" s="3200"/>
      <c r="Z324" s="3200"/>
      <c r="AA324" s="3200"/>
      <c r="AB324" s="3200"/>
      <c r="AC324" s="3174">
        <f t="shared" si="180"/>
        <v>0</v>
      </c>
      <c r="AD324" s="3212"/>
      <c r="AE324" s="3212"/>
      <c r="AF324" s="3180"/>
      <c r="AG324" s="3212"/>
      <c r="AH324" s="3212"/>
      <c r="AI324" s="3212"/>
      <c r="AJ324" s="3212"/>
      <c r="AK324" s="3212"/>
      <c r="AL324" s="3212"/>
      <c r="AM324" s="3212"/>
      <c r="AN324" s="3212"/>
      <c r="AO324" s="3212"/>
      <c r="AP324" s="3212"/>
      <c r="AQ324" s="3212"/>
      <c r="AR324" s="3212"/>
      <c r="AS324" s="3212"/>
      <c r="AT324" s="3175"/>
      <c r="AU324" s="3232"/>
      <c r="AV324" s="466">
        <f t="shared" si="204"/>
        <v>0</v>
      </c>
      <c r="AW324" s="466">
        <f t="shared" si="205"/>
        <v>0</v>
      </c>
      <c r="AX324" s="466">
        <f t="shared" si="206"/>
        <v>0</v>
      </c>
      <c r="AY324" s="385">
        <f t="shared" si="181"/>
        <v>0</v>
      </c>
      <c r="AZ324" s="3174">
        <f t="shared" si="182"/>
        <v>0</v>
      </c>
      <c r="BA324" s="3174">
        <f t="shared" si="183"/>
        <v>0</v>
      </c>
      <c r="BB324" s="3174">
        <f t="shared" si="184"/>
        <v>0</v>
      </c>
      <c r="BC324" s="3174">
        <f t="shared" si="185"/>
        <v>0</v>
      </c>
      <c r="BD324" s="3174">
        <f t="shared" si="186"/>
        <v>0</v>
      </c>
      <c r="BE324" s="3174">
        <f t="shared" si="187"/>
        <v>0</v>
      </c>
      <c r="BF324" s="3174">
        <f t="shared" si="188"/>
        <v>0</v>
      </c>
      <c r="BG324" s="3174">
        <f t="shared" si="189"/>
        <v>0</v>
      </c>
      <c r="BH324" s="3174">
        <f t="shared" si="190"/>
        <v>0</v>
      </c>
      <c r="BI324" s="3174">
        <f t="shared" si="191"/>
        <v>0</v>
      </c>
      <c r="BJ324" s="3174">
        <f t="shared" si="192"/>
        <v>0</v>
      </c>
      <c r="BK324" s="3174">
        <f t="shared" si="193"/>
        <v>0</v>
      </c>
      <c r="BL324" s="3174">
        <f t="shared" si="194"/>
        <v>0</v>
      </c>
      <c r="BM324" s="3174">
        <f t="shared" si="195"/>
        <v>0</v>
      </c>
      <c r="BN324" s="3174">
        <f t="shared" si="196"/>
        <v>0</v>
      </c>
      <c r="BO324" s="3174">
        <f t="shared" si="197"/>
        <v>0</v>
      </c>
      <c r="BP324" s="3174">
        <f t="shared" si="198"/>
        <v>0</v>
      </c>
      <c r="BQ324" s="3174">
        <f t="shared" si="199"/>
        <v>0</v>
      </c>
      <c r="BR324" s="3174">
        <f t="shared" si="200"/>
        <v>0</v>
      </c>
      <c r="BS324" s="3174">
        <f t="shared" si="201"/>
        <v>0</v>
      </c>
      <c r="BT324" s="3249">
        <f t="shared" si="202"/>
        <v>0</v>
      </c>
    </row>
    <row r="325" spans="1:72">
      <c r="A325" s="489"/>
      <c r="B325" s="3179"/>
      <c r="C325" s="3180"/>
      <c r="D325" s="3181"/>
      <c r="E325" s="3174">
        <f t="shared" si="203"/>
        <v>0</v>
      </c>
      <c r="F325" s="3175"/>
      <c r="G325" s="3176">
        <f t="shared" si="178"/>
        <v>0</v>
      </c>
      <c r="H325" s="3177">
        <f t="shared" si="179"/>
        <v>0</v>
      </c>
      <c r="I325" s="3180"/>
      <c r="J325" s="3200"/>
      <c r="K325" s="3180"/>
      <c r="L325" s="3200"/>
      <c r="M325" s="3200"/>
      <c r="N325" s="3200"/>
      <c r="O325" s="3200"/>
      <c r="P325" s="3200"/>
      <c r="Q325" s="3200"/>
      <c r="R325" s="3200"/>
      <c r="S325" s="3200"/>
      <c r="T325" s="3200"/>
      <c r="U325" s="3200"/>
      <c r="V325" s="3200"/>
      <c r="W325" s="3200"/>
      <c r="X325" s="3200"/>
      <c r="Y325" s="3200"/>
      <c r="Z325" s="3200"/>
      <c r="AA325" s="3200"/>
      <c r="AB325" s="3200"/>
      <c r="AC325" s="3174">
        <f t="shared" si="180"/>
        <v>0</v>
      </c>
      <c r="AD325" s="3212"/>
      <c r="AE325" s="3212"/>
      <c r="AF325" s="3180"/>
      <c r="AG325" s="3212"/>
      <c r="AH325" s="3212"/>
      <c r="AI325" s="3212"/>
      <c r="AJ325" s="3212"/>
      <c r="AK325" s="3212"/>
      <c r="AL325" s="3212"/>
      <c r="AM325" s="3212"/>
      <c r="AN325" s="3212"/>
      <c r="AO325" s="3212"/>
      <c r="AP325" s="3212"/>
      <c r="AQ325" s="3212"/>
      <c r="AR325" s="3212"/>
      <c r="AS325" s="3212"/>
      <c r="AT325" s="3175"/>
      <c r="AU325" s="3232"/>
      <c r="AV325" s="466">
        <f t="shared" si="204"/>
        <v>0</v>
      </c>
      <c r="AW325" s="466">
        <f t="shared" si="205"/>
        <v>0</v>
      </c>
      <c r="AX325" s="466">
        <f t="shared" si="206"/>
        <v>0</v>
      </c>
      <c r="AY325" s="385">
        <f t="shared" si="181"/>
        <v>0</v>
      </c>
      <c r="AZ325" s="3174">
        <f t="shared" si="182"/>
        <v>0</v>
      </c>
      <c r="BA325" s="3174">
        <f t="shared" si="183"/>
        <v>0</v>
      </c>
      <c r="BB325" s="3174">
        <f t="shared" si="184"/>
        <v>0</v>
      </c>
      <c r="BC325" s="3174">
        <f t="shared" si="185"/>
        <v>0</v>
      </c>
      <c r="BD325" s="3174">
        <f t="shared" si="186"/>
        <v>0</v>
      </c>
      <c r="BE325" s="3174">
        <f t="shared" si="187"/>
        <v>0</v>
      </c>
      <c r="BF325" s="3174">
        <f t="shared" si="188"/>
        <v>0</v>
      </c>
      <c r="BG325" s="3174">
        <f t="shared" si="189"/>
        <v>0</v>
      </c>
      <c r="BH325" s="3174">
        <f t="shared" si="190"/>
        <v>0</v>
      </c>
      <c r="BI325" s="3174">
        <f t="shared" si="191"/>
        <v>0</v>
      </c>
      <c r="BJ325" s="3174">
        <f t="shared" si="192"/>
        <v>0</v>
      </c>
      <c r="BK325" s="3174">
        <f t="shared" si="193"/>
        <v>0</v>
      </c>
      <c r="BL325" s="3174">
        <f t="shared" si="194"/>
        <v>0</v>
      </c>
      <c r="BM325" s="3174">
        <f t="shared" si="195"/>
        <v>0</v>
      </c>
      <c r="BN325" s="3174">
        <f t="shared" si="196"/>
        <v>0</v>
      </c>
      <c r="BO325" s="3174">
        <f t="shared" si="197"/>
        <v>0</v>
      </c>
      <c r="BP325" s="3174">
        <f t="shared" si="198"/>
        <v>0</v>
      </c>
      <c r="BQ325" s="3174">
        <f t="shared" si="199"/>
        <v>0</v>
      </c>
      <c r="BR325" s="3174">
        <f t="shared" si="200"/>
        <v>0</v>
      </c>
      <c r="BS325" s="3174">
        <f t="shared" si="201"/>
        <v>0</v>
      </c>
      <c r="BT325" s="3249">
        <f t="shared" si="202"/>
        <v>0</v>
      </c>
    </row>
    <row r="326" spans="1:72">
      <c r="A326" s="489"/>
      <c r="B326" s="3179"/>
      <c r="C326" s="3180"/>
      <c r="D326" s="3181"/>
      <c r="E326" s="3174">
        <f t="shared" si="203"/>
        <v>0</v>
      </c>
      <c r="F326" s="3175"/>
      <c r="G326" s="3176">
        <f t="shared" ref="G326:G357" si="207">H326+AC326+AT326</f>
        <v>0</v>
      </c>
      <c r="H326" s="3177">
        <f t="shared" ref="H326:H357" si="208">SUMIF(I$12:AB$12,"总值",I326:AB326)</f>
        <v>0</v>
      </c>
      <c r="I326" s="3180"/>
      <c r="J326" s="3200"/>
      <c r="K326" s="3180"/>
      <c r="L326" s="3200"/>
      <c r="M326" s="3200"/>
      <c r="N326" s="3200"/>
      <c r="O326" s="3200"/>
      <c r="P326" s="3200"/>
      <c r="Q326" s="3200"/>
      <c r="R326" s="3200"/>
      <c r="S326" s="3200"/>
      <c r="T326" s="3200"/>
      <c r="U326" s="3200"/>
      <c r="V326" s="3200"/>
      <c r="W326" s="3200"/>
      <c r="X326" s="3200"/>
      <c r="Y326" s="3200"/>
      <c r="Z326" s="3200"/>
      <c r="AA326" s="3200"/>
      <c r="AB326" s="3200"/>
      <c r="AC326" s="3174">
        <f t="shared" ref="AC326:AC357" si="209">SUMIF(AD$12:AS$12,"总值",AD326:AS326)</f>
        <v>0</v>
      </c>
      <c r="AD326" s="3212"/>
      <c r="AE326" s="3212"/>
      <c r="AF326" s="3180"/>
      <c r="AG326" s="3212"/>
      <c r="AH326" s="3212"/>
      <c r="AI326" s="3212"/>
      <c r="AJ326" s="3212"/>
      <c r="AK326" s="3212"/>
      <c r="AL326" s="3212"/>
      <c r="AM326" s="3212"/>
      <c r="AN326" s="3212"/>
      <c r="AO326" s="3212"/>
      <c r="AP326" s="3212"/>
      <c r="AQ326" s="3212"/>
      <c r="AR326" s="3212"/>
      <c r="AS326" s="3212"/>
      <c r="AT326" s="3175"/>
      <c r="AU326" s="3232"/>
      <c r="AV326" s="466">
        <f t="shared" si="204"/>
        <v>0</v>
      </c>
      <c r="AW326" s="466">
        <f t="shared" si="205"/>
        <v>0</v>
      </c>
      <c r="AX326" s="466">
        <f t="shared" si="206"/>
        <v>0</v>
      </c>
      <c r="AY326" s="385">
        <f t="shared" ref="AY326:AY357" si="210">ROUND($AY$6*AZ326/$AZ$5,2)</f>
        <v>0</v>
      </c>
      <c r="AZ326" s="3174">
        <f t="shared" ref="AZ326:AZ357" si="211">BA326+BL326</f>
        <v>0</v>
      </c>
      <c r="BA326" s="3174">
        <f t="shared" ref="BA326:BA357" si="212">SUM(BB326:BK326)</f>
        <v>0</v>
      </c>
      <c r="BB326" s="3174">
        <f t="shared" ref="BB326:BB357" si="213">IF($D326="是",I326-J326,0)</f>
        <v>0</v>
      </c>
      <c r="BC326" s="3174">
        <f t="shared" ref="BC326:BC357" si="214">IF($D326="是",K326-L326,0)</f>
        <v>0</v>
      </c>
      <c r="BD326" s="3174">
        <f t="shared" ref="BD326:BD357" si="215">IF($D326="是",M326-N326,0)</f>
        <v>0</v>
      </c>
      <c r="BE326" s="3174">
        <f t="shared" ref="BE326:BE357" si="216">IF($D326="是",O326-P326,0)</f>
        <v>0</v>
      </c>
      <c r="BF326" s="3174">
        <f t="shared" ref="BF326:BF357" si="217">IF($D326="是",Q326-R326,0)</f>
        <v>0</v>
      </c>
      <c r="BG326" s="3174">
        <f t="shared" ref="BG326:BG357" si="218">IF($D326="是",S326-T326,0)</f>
        <v>0</v>
      </c>
      <c r="BH326" s="3174">
        <f t="shared" ref="BH326:BH357" si="219">IF($D326="是",U326-V326,0)</f>
        <v>0</v>
      </c>
      <c r="BI326" s="3174">
        <f t="shared" ref="BI326:BI357" si="220">IF($D326="是",W326-X326,0)</f>
        <v>0</v>
      </c>
      <c r="BJ326" s="3174">
        <f t="shared" ref="BJ326:BJ357" si="221">IF($D326="是",Y326-Z326,0)</f>
        <v>0</v>
      </c>
      <c r="BK326" s="3174">
        <f t="shared" ref="BK326:BK357" si="222">IF($D326="是",AA326-AB326,0)</f>
        <v>0</v>
      </c>
      <c r="BL326" s="3174">
        <f t="shared" ref="BL326:BL357" si="223">SUM(BM326:BT326)</f>
        <v>0</v>
      </c>
      <c r="BM326" s="3174">
        <f t="shared" ref="BM326:BM357" si="224">IF($D326="是",AD326-AE326,0)</f>
        <v>0</v>
      </c>
      <c r="BN326" s="3174">
        <f t="shared" ref="BN326:BN357" si="225">IF($D326="是",AF326-AG326,0)</f>
        <v>0</v>
      </c>
      <c r="BO326" s="3174">
        <f t="shared" ref="BO326:BO357" si="226">IF($D326="是",AH326-AI326,0)</f>
        <v>0</v>
      </c>
      <c r="BP326" s="3174">
        <f t="shared" ref="BP326:BP357" si="227">IF($D326="是",AJ326-AK326,0)</f>
        <v>0</v>
      </c>
      <c r="BQ326" s="3174">
        <f t="shared" ref="BQ326:BQ357" si="228">IF($D326="是",AL326-AM326,0)</f>
        <v>0</v>
      </c>
      <c r="BR326" s="3174">
        <f t="shared" ref="BR326:BR357" si="229">IF($D326="是",AN326-AO326,0)</f>
        <v>0</v>
      </c>
      <c r="BS326" s="3174">
        <f t="shared" ref="BS326:BS357" si="230">IF($D326="是",AP326-AQ326,0)</f>
        <v>0</v>
      </c>
      <c r="BT326" s="3249">
        <f t="shared" ref="BT326:BT357" si="231">IF($D326="是",AR326-AS326,0)</f>
        <v>0</v>
      </c>
    </row>
    <row r="327" spans="1:72">
      <c r="A327" s="489"/>
      <c r="B327" s="3179"/>
      <c r="C327" s="3180"/>
      <c r="D327" s="3181"/>
      <c r="E327" s="3174">
        <f t="shared" si="203"/>
        <v>0</v>
      </c>
      <c r="F327" s="3175"/>
      <c r="G327" s="3176">
        <f t="shared" si="207"/>
        <v>0</v>
      </c>
      <c r="H327" s="3177">
        <f t="shared" si="208"/>
        <v>0</v>
      </c>
      <c r="I327" s="3180"/>
      <c r="J327" s="3200"/>
      <c r="K327" s="3180"/>
      <c r="L327" s="3200"/>
      <c r="M327" s="3200"/>
      <c r="N327" s="3200"/>
      <c r="O327" s="3200"/>
      <c r="P327" s="3200"/>
      <c r="Q327" s="3200"/>
      <c r="R327" s="3200"/>
      <c r="S327" s="3200"/>
      <c r="T327" s="3200"/>
      <c r="U327" s="3200"/>
      <c r="V327" s="3200"/>
      <c r="W327" s="3200"/>
      <c r="X327" s="3200"/>
      <c r="Y327" s="3200"/>
      <c r="Z327" s="3200"/>
      <c r="AA327" s="3200"/>
      <c r="AB327" s="3200"/>
      <c r="AC327" s="3174">
        <f t="shared" si="209"/>
        <v>0</v>
      </c>
      <c r="AD327" s="3212"/>
      <c r="AE327" s="3212"/>
      <c r="AF327" s="3180"/>
      <c r="AG327" s="3212"/>
      <c r="AH327" s="3212"/>
      <c r="AI327" s="3212"/>
      <c r="AJ327" s="3212"/>
      <c r="AK327" s="3212"/>
      <c r="AL327" s="3212"/>
      <c r="AM327" s="3212"/>
      <c r="AN327" s="3212"/>
      <c r="AO327" s="3212"/>
      <c r="AP327" s="3212"/>
      <c r="AQ327" s="3212"/>
      <c r="AR327" s="3212"/>
      <c r="AS327" s="3212"/>
      <c r="AT327" s="3175"/>
      <c r="AU327" s="3232"/>
      <c r="AV327" s="466">
        <f t="shared" si="204"/>
        <v>0</v>
      </c>
      <c r="AW327" s="466">
        <f t="shared" si="205"/>
        <v>0</v>
      </c>
      <c r="AX327" s="466">
        <f t="shared" si="206"/>
        <v>0</v>
      </c>
      <c r="AY327" s="385">
        <f t="shared" si="210"/>
        <v>0</v>
      </c>
      <c r="AZ327" s="3174">
        <f t="shared" si="211"/>
        <v>0</v>
      </c>
      <c r="BA327" s="3174">
        <f t="shared" si="212"/>
        <v>0</v>
      </c>
      <c r="BB327" s="3174">
        <f t="shared" si="213"/>
        <v>0</v>
      </c>
      <c r="BC327" s="3174">
        <f t="shared" si="214"/>
        <v>0</v>
      </c>
      <c r="BD327" s="3174">
        <f t="shared" si="215"/>
        <v>0</v>
      </c>
      <c r="BE327" s="3174">
        <f t="shared" si="216"/>
        <v>0</v>
      </c>
      <c r="BF327" s="3174">
        <f t="shared" si="217"/>
        <v>0</v>
      </c>
      <c r="BG327" s="3174">
        <f t="shared" si="218"/>
        <v>0</v>
      </c>
      <c r="BH327" s="3174">
        <f t="shared" si="219"/>
        <v>0</v>
      </c>
      <c r="BI327" s="3174">
        <f t="shared" si="220"/>
        <v>0</v>
      </c>
      <c r="BJ327" s="3174">
        <f t="shared" si="221"/>
        <v>0</v>
      </c>
      <c r="BK327" s="3174">
        <f t="shared" si="222"/>
        <v>0</v>
      </c>
      <c r="BL327" s="3174">
        <f t="shared" si="223"/>
        <v>0</v>
      </c>
      <c r="BM327" s="3174">
        <f t="shared" si="224"/>
        <v>0</v>
      </c>
      <c r="BN327" s="3174">
        <f t="shared" si="225"/>
        <v>0</v>
      </c>
      <c r="BO327" s="3174">
        <f t="shared" si="226"/>
        <v>0</v>
      </c>
      <c r="BP327" s="3174">
        <f t="shared" si="227"/>
        <v>0</v>
      </c>
      <c r="BQ327" s="3174">
        <f t="shared" si="228"/>
        <v>0</v>
      </c>
      <c r="BR327" s="3174">
        <f t="shared" si="229"/>
        <v>0</v>
      </c>
      <c r="BS327" s="3174">
        <f t="shared" si="230"/>
        <v>0</v>
      </c>
      <c r="BT327" s="3249">
        <f t="shared" si="231"/>
        <v>0</v>
      </c>
    </row>
    <row r="328" spans="1:72">
      <c r="A328" s="489"/>
      <c r="B328" s="3179"/>
      <c r="C328" s="3180"/>
      <c r="D328" s="3181"/>
      <c r="E328" s="3174">
        <f t="shared" si="203"/>
        <v>0</v>
      </c>
      <c r="F328" s="3175"/>
      <c r="G328" s="3176">
        <f t="shared" si="207"/>
        <v>0</v>
      </c>
      <c r="H328" s="3177">
        <f t="shared" si="208"/>
        <v>0</v>
      </c>
      <c r="I328" s="3180"/>
      <c r="J328" s="3200"/>
      <c r="K328" s="3180"/>
      <c r="L328" s="3200"/>
      <c r="M328" s="3200"/>
      <c r="N328" s="3200"/>
      <c r="O328" s="3200"/>
      <c r="P328" s="3200"/>
      <c r="Q328" s="3200"/>
      <c r="R328" s="3200"/>
      <c r="S328" s="3200"/>
      <c r="T328" s="3200"/>
      <c r="U328" s="3200"/>
      <c r="V328" s="3200"/>
      <c r="W328" s="3200"/>
      <c r="X328" s="3200"/>
      <c r="Y328" s="3200"/>
      <c r="Z328" s="3200"/>
      <c r="AA328" s="3200"/>
      <c r="AB328" s="3200"/>
      <c r="AC328" s="3174">
        <f t="shared" si="209"/>
        <v>0</v>
      </c>
      <c r="AD328" s="3212"/>
      <c r="AE328" s="3212"/>
      <c r="AF328" s="3180"/>
      <c r="AG328" s="3212"/>
      <c r="AH328" s="3212"/>
      <c r="AI328" s="3212"/>
      <c r="AJ328" s="3212"/>
      <c r="AK328" s="3212"/>
      <c r="AL328" s="3212"/>
      <c r="AM328" s="3212"/>
      <c r="AN328" s="3212"/>
      <c r="AO328" s="3212"/>
      <c r="AP328" s="3212"/>
      <c r="AQ328" s="3212"/>
      <c r="AR328" s="3212"/>
      <c r="AS328" s="3212"/>
      <c r="AT328" s="3175"/>
      <c r="AU328" s="3232"/>
      <c r="AV328" s="466">
        <f t="shared" si="204"/>
        <v>0</v>
      </c>
      <c r="AW328" s="466">
        <f t="shared" si="205"/>
        <v>0</v>
      </c>
      <c r="AX328" s="466">
        <f t="shared" si="206"/>
        <v>0</v>
      </c>
      <c r="AY328" s="385">
        <f t="shared" si="210"/>
        <v>0</v>
      </c>
      <c r="AZ328" s="3174">
        <f t="shared" si="211"/>
        <v>0</v>
      </c>
      <c r="BA328" s="3174">
        <f t="shared" si="212"/>
        <v>0</v>
      </c>
      <c r="BB328" s="3174">
        <f t="shared" si="213"/>
        <v>0</v>
      </c>
      <c r="BC328" s="3174">
        <f t="shared" si="214"/>
        <v>0</v>
      </c>
      <c r="BD328" s="3174">
        <f t="shared" si="215"/>
        <v>0</v>
      </c>
      <c r="BE328" s="3174">
        <f t="shared" si="216"/>
        <v>0</v>
      </c>
      <c r="BF328" s="3174">
        <f t="shared" si="217"/>
        <v>0</v>
      </c>
      <c r="BG328" s="3174">
        <f t="shared" si="218"/>
        <v>0</v>
      </c>
      <c r="BH328" s="3174">
        <f t="shared" si="219"/>
        <v>0</v>
      </c>
      <c r="BI328" s="3174">
        <f t="shared" si="220"/>
        <v>0</v>
      </c>
      <c r="BJ328" s="3174">
        <f t="shared" si="221"/>
        <v>0</v>
      </c>
      <c r="BK328" s="3174">
        <f t="shared" si="222"/>
        <v>0</v>
      </c>
      <c r="BL328" s="3174">
        <f t="shared" si="223"/>
        <v>0</v>
      </c>
      <c r="BM328" s="3174">
        <f t="shared" si="224"/>
        <v>0</v>
      </c>
      <c r="BN328" s="3174">
        <f t="shared" si="225"/>
        <v>0</v>
      </c>
      <c r="BO328" s="3174">
        <f t="shared" si="226"/>
        <v>0</v>
      </c>
      <c r="BP328" s="3174">
        <f t="shared" si="227"/>
        <v>0</v>
      </c>
      <c r="BQ328" s="3174">
        <f t="shared" si="228"/>
        <v>0</v>
      </c>
      <c r="BR328" s="3174">
        <f t="shared" si="229"/>
        <v>0</v>
      </c>
      <c r="BS328" s="3174">
        <f t="shared" si="230"/>
        <v>0</v>
      </c>
      <c r="BT328" s="3249">
        <f t="shared" si="231"/>
        <v>0</v>
      </c>
    </row>
    <row r="329" spans="1:72">
      <c r="A329" s="489"/>
      <c r="B329" s="3179"/>
      <c r="C329" s="3180"/>
      <c r="D329" s="3181"/>
      <c r="E329" s="3174">
        <f t="shared" ref="E329:E360" si="232">IF($C$3="是",ROUND($A$3*G329/$B$3,2),ROUND($A$3*(G329-AT329)/$B$3,2))</f>
        <v>0</v>
      </c>
      <c r="F329" s="3175"/>
      <c r="G329" s="3176">
        <f t="shared" si="207"/>
        <v>0</v>
      </c>
      <c r="H329" s="3177">
        <f t="shared" si="208"/>
        <v>0</v>
      </c>
      <c r="I329" s="3180"/>
      <c r="J329" s="3200"/>
      <c r="K329" s="3180"/>
      <c r="L329" s="3200"/>
      <c r="M329" s="3200"/>
      <c r="N329" s="3200"/>
      <c r="O329" s="3200"/>
      <c r="P329" s="3200"/>
      <c r="Q329" s="3200"/>
      <c r="R329" s="3200"/>
      <c r="S329" s="3200"/>
      <c r="T329" s="3200"/>
      <c r="U329" s="3200"/>
      <c r="V329" s="3200"/>
      <c r="W329" s="3200"/>
      <c r="X329" s="3200"/>
      <c r="Y329" s="3200"/>
      <c r="Z329" s="3200"/>
      <c r="AA329" s="3200"/>
      <c r="AB329" s="3200"/>
      <c r="AC329" s="3174">
        <f t="shared" si="209"/>
        <v>0</v>
      </c>
      <c r="AD329" s="3212"/>
      <c r="AE329" s="3212"/>
      <c r="AF329" s="3180"/>
      <c r="AG329" s="3212"/>
      <c r="AH329" s="3212"/>
      <c r="AI329" s="3212"/>
      <c r="AJ329" s="3212"/>
      <c r="AK329" s="3212"/>
      <c r="AL329" s="3212"/>
      <c r="AM329" s="3212"/>
      <c r="AN329" s="3212"/>
      <c r="AO329" s="3212"/>
      <c r="AP329" s="3212"/>
      <c r="AQ329" s="3212"/>
      <c r="AR329" s="3212"/>
      <c r="AS329" s="3212"/>
      <c r="AT329" s="3175"/>
      <c r="AU329" s="3232"/>
      <c r="AV329" s="466">
        <f t="shared" ref="AV329:AV360" si="233">A329</f>
        <v>0</v>
      </c>
      <c r="AW329" s="466">
        <f t="shared" ref="AW329:AW360" si="234">B329</f>
        <v>0</v>
      </c>
      <c r="AX329" s="466">
        <f t="shared" ref="AX329:AX360" si="235">C329</f>
        <v>0</v>
      </c>
      <c r="AY329" s="385">
        <f t="shared" si="210"/>
        <v>0</v>
      </c>
      <c r="AZ329" s="3174">
        <f t="shared" si="211"/>
        <v>0</v>
      </c>
      <c r="BA329" s="3174">
        <f t="shared" si="212"/>
        <v>0</v>
      </c>
      <c r="BB329" s="3174">
        <f t="shared" si="213"/>
        <v>0</v>
      </c>
      <c r="BC329" s="3174">
        <f t="shared" si="214"/>
        <v>0</v>
      </c>
      <c r="BD329" s="3174">
        <f t="shared" si="215"/>
        <v>0</v>
      </c>
      <c r="BE329" s="3174">
        <f t="shared" si="216"/>
        <v>0</v>
      </c>
      <c r="BF329" s="3174">
        <f t="shared" si="217"/>
        <v>0</v>
      </c>
      <c r="BG329" s="3174">
        <f t="shared" si="218"/>
        <v>0</v>
      </c>
      <c r="BH329" s="3174">
        <f t="shared" si="219"/>
        <v>0</v>
      </c>
      <c r="BI329" s="3174">
        <f t="shared" si="220"/>
        <v>0</v>
      </c>
      <c r="BJ329" s="3174">
        <f t="shared" si="221"/>
        <v>0</v>
      </c>
      <c r="BK329" s="3174">
        <f t="shared" si="222"/>
        <v>0</v>
      </c>
      <c r="BL329" s="3174">
        <f t="shared" si="223"/>
        <v>0</v>
      </c>
      <c r="BM329" s="3174">
        <f t="shared" si="224"/>
        <v>0</v>
      </c>
      <c r="BN329" s="3174">
        <f t="shared" si="225"/>
        <v>0</v>
      </c>
      <c r="BO329" s="3174">
        <f t="shared" si="226"/>
        <v>0</v>
      </c>
      <c r="BP329" s="3174">
        <f t="shared" si="227"/>
        <v>0</v>
      </c>
      <c r="BQ329" s="3174">
        <f t="shared" si="228"/>
        <v>0</v>
      </c>
      <c r="BR329" s="3174">
        <f t="shared" si="229"/>
        <v>0</v>
      </c>
      <c r="BS329" s="3174">
        <f t="shared" si="230"/>
        <v>0</v>
      </c>
      <c r="BT329" s="3249">
        <f t="shared" si="231"/>
        <v>0</v>
      </c>
    </row>
    <row r="330" spans="1:72">
      <c r="A330" s="489"/>
      <c r="B330" s="3179"/>
      <c r="C330" s="3180"/>
      <c r="D330" s="3181"/>
      <c r="E330" s="3174">
        <f t="shared" si="232"/>
        <v>0</v>
      </c>
      <c r="F330" s="3175"/>
      <c r="G330" s="3176">
        <f t="shared" si="207"/>
        <v>0</v>
      </c>
      <c r="H330" s="3177">
        <f t="shared" si="208"/>
        <v>0</v>
      </c>
      <c r="I330" s="3180"/>
      <c r="J330" s="3200"/>
      <c r="K330" s="3180"/>
      <c r="L330" s="3200"/>
      <c r="M330" s="3200"/>
      <c r="N330" s="3200"/>
      <c r="O330" s="3200"/>
      <c r="P330" s="3200"/>
      <c r="Q330" s="3200"/>
      <c r="R330" s="3200"/>
      <c r="S330" s="3200"/>
      <c r="T330" s="3200"/>
      <c r="U330" s="3200"/>
      <c r="V330" s="3200"/>
      <c r="W330" s="3200"/>
      <c r="X330" s="3200"/>
      <c r="Y330" s="3200"/>
      <c r="Z330" s="3200"/>
      <c r="AA330" s="3200"/>
      <c r="AB330" s="3200"/>
      <c r="AC330" s="3174">
        <f t="shared" si="209"/>
        <v>0</v>
      </c>
      <c r="AD330" s="3212"/>
      <c r="AE330" s="3212"/>
      <c r="AF330" s="3180"/>
      <c r="AG330" s="3212"/>
      <c r="AH330" s="3212"/>
      <c r="AI330" s="3212"/>
      <c r="AJ330" s="3212"/>
      <c r="AK330" s="3212"/>
      <c r="AL330" s="3212"/>
      <c r="AM330" s="3212"/>
      <c r="AN330" s="3212"/>
      <c r="AO330" s="3212"/>
      <c r="AP330" s="3212"/>
      <c r="AQ330" s="3212"/>
      <c r="AR330" s="3212"/>
      <c r="AS330" s="3212"/>
      <c r="AT330" s="3175"/>
      <c r="AU330" s="3232"/>
      <c r="AV330" s="466">
        <f t="shared" si="233"/>
        <v>0</v>
      </c>
      <c r="AW330" s="466">
        <f t="shared" si="234"/>
        <v>0</v>
      </c>
      <c r="AX330" s="466">
        <f t="shared" si="235"/>
        <v>0</v>
      </c>
      <c r="AY330" s="385">
        <f t="shared" si="210"/>
        <v>0</v>
      </c>
      <c r="AZ330" s="3174">
        <f t="shared" si="211"/>
        <v>0</v>
      </c>
      <c r="BA330" s="3174">
        <f t="shared" si="212"/>
        <v>0</v>
      </c>
      <c r="BB330" s="3174">
        <f t="shared" si="213"/>
        <v>0</v>
      </c>
      <c r="BC330" s="3174">
        <f t="shared" si="214"/>
        <v>0</v>
      </c>
      <c r="BD330" s="3174">
        <f t="shared" si="215"/>
        <v>0</v>
      </c>
      <c r="BE330" s="3174">
        <f t="shared" si="216"/>
        <v>0</v>
      </c>
      <c r="BF330" s="3174">
        <f t="shared" si="217"/>
        <v>0</v>
      </c>
      <c r="BG330" s="3174">
        <f t="shared" si="218"/>
        <v>0</v>
      </c>
      <c r="BH330" s="3174">
        <f t="shared" si="219"/>
        <v>0</v>
      </c>
      <c r="BI330" s="3174">
        <f t="shared" si="220"/>
        <v>0</v>
      </c>
      <c r="BJ330" s="3174">
        <f t="shared" si="221"/>
        <v>0</v>
      </c>
      <c r="BK330" s="3174">
        <f t="shared" si="222"/>
        <v>0</v>
      </c>
      <c r="BL330" s="3174">
        <f t="shared" si="223"/>
        <v>0</v>
      </c>
      <c r="BM330" s="3174">
        <f t="shared" si="224"/>
        <v>0</v>
      </c>
      <c r="BN330" s="3174">
        <f t="shared" si="225"/>
        <v>0</v>
      </c>
      <c r="BO330" s="3174">
        <f t="shared" si="226"/>
        <v>0</v>
      </c>
      <c r="BP330" s="3174">
        <f t="shared" si="227"/>
        <v>0</v>
      </c>
      <c r="BQ330" s="3174">
        <f t="shared" si="228"/>
        <v>0</v>
      </c>
      <c r="BR330" s="3174">
        <f t="shared" si="229"/>
        <v>0</v>
      </c>
      <c r="BS330" s="3174">
        <f t="shared" si="230"/>
        <v>0</v>
      </c>
      <c r="BT330" s="3249">
        <f t="shared" si="231"/>
        <v>0</v>
      </c>
    </row>
    <row r="331" spans="1:72">
      <c r="A331" s="489"/>
      <c r="B331" s="3179"/>
      <c r="C331" s="3180"/>
      <c r="D331" s="3181"/>
      <c r="E331" s="3174">
        <f t="shared" si="232"/>
        <v>0</v>
      </c>
      <c r="F331" s="3175"/>
      <c r="G331" s="3176">
        <f t="shared" si="207"/>
        <v>0</v>
      </c>
      <c r="H331" s="3177">
        <f t="shared" si="208"/>
        <v>0</v>
      </c>
      <c r="I331" s="3180"/>
      <c r="J331" s="3200"/>
      <c r="K331" s="3180"/>
      <c r="L331" s="3200"/>
      <c r="M331" s="3180"/>
      <c r="N331" s="3200"/>
      <c r="O331" s="3200"/>
      <c r="P331" s="3200"/>
      <c r="Q331" s="3200"/>
      <c r="R331" s="3200"/>
      <c r="S331" s="3200"/>
      <c r="T331" s="3200"/>
      <c r="U331" s="3200"/>
      <c r="V331" s="3200"/>
      <c r="W331" s="3200"/>
      <c r="X331" s="3200"/>
      <c r="Y331" s="3200"/>
      <c r="Z331" s="3200"/>
      <c r="AA331" s="3200"/>
      <c r="AB331" s="3200"/>
      <c r="AC331" s="3174">
        <f t="shared" si="209"/>
        <v>0</v>
      </c>
      <c r="AD331" s="3212"/>
      <c r="AE331" s="3212"/>
      <c r="AF331" s="3180"/>
      <c r="AG331" s="3212"/>
      <c r="AH331" s="3212"/>
      <c r="AI331" s="3212"/>
      <c r="AJ331" s="3212"/>
      <c r="AK331" s="3212"/>
      <c r="AL331" s="3212"/>
      <c r="AM331" s="3212"/>
      <c r="AN331" s="3212"/>
      <c r="AO331" s="3212"/>
      <c r="AP331" s="3212"/>
      <c r="AQ331" s="3212"/>
      <c r="AR331" s="3212"/>
      <c r="AS331" s="3212"/>
      <c r="AT331" s="3175"/>
      <c r="AU331" s="3232"/>
      <c r="AV331" s="466">
        <f t="shared" si="233"/>
        <v>0</v>
      </c>
      <c r="AW331" s="466">
        <f t="shared" si="234"/>
        <v>0</v>
      </c>
      <c r="AX331" s="466">
        <f t="shared" si="235"/>
        <v>0</v>
      </c>
      <c r="AY331" s="385">
        <f t="shared" si="210"/>
        <v>0</v>
      </c>
      <c r="AZ331" s="3174">
        <f t="shared" si="211"/>
        <v>0</v>
      </c>
      <c r="BA331" s="3174">
        <f t="shared" si="212"/>
        <v>0</v>
      </c>
      <c r="BB331" s="3174">
        <f t="shared" si="213"/>
        <v>0</v>
      </c>
      <c r="BC331" s="3174">
        <f t="shared" si="214"/>
        <v>0</v>
      </c>
      <c r="BD331" s="3174">
        <f t="shared" si="215"/>
        <v>0</v>
      </c>
      <c r="BE331" s="3174">
        <f t="shared" si="216"/>
        <v>0</v>
      </c>
      <c r="BF331" s="3174">
        <f t="shared" si="217"/>
        <v>0</v>
      </c>
      <c r="BG331" s="3174">
        <f t="shared" si="218"/>
        <v>0</v>
      </c>
      <c r="BH331" s="3174">
        <f t="shared" si="219"/>
        <v>0</v>
      </c>
      <c r="BI331" s="3174">
        <f t="shared" si="220"/>
        <v>0</v>
      </c>
      <c r="BJ331" s="3174">
        <f t="shared" si="221"/>
        <v>0</v>
      </c>
      <c r="BK331" s="3174">
        <f t="shared" si="222"/>
        <v>0</v>
      </c>
      <c r="BL331" s="3174">
        <f t="shared" si="223"/>
        <v>0</v>
      </c>
      <c r="BM331" s="3174">
        <f t="shared" si="224"/>
        <v>0</v>
      </c>
      <c r="BN331" s="3174">
        <f t="shared" si="225"/>
        <v>0</v>
      </c>
      <c r="BO331" s="3174">
        <f t="shared" si="226"/>
        <v>0</v>
      </c>
      <c r="BP331" s="3174">
        <f t="shared" si="227"/>
        <v>0</v>
      </c>
      <c r="BQ331" s="3174">
        <f t="shared" si="228"/>
        <v>0</v>
      </c>
      <c r="BR331" s="3174">
        <f t="shared" si="229"/>
        <v>0</v>
      </c>
      <c r="BS331" s="3174">
        <f t="shared" si="230"/>
        <v>0</v>
      </c>
      <c r="BT331" s="3249">
        <f t="shared" si="231"/>
        <v>0</v>
      </c>
    </row>
    <row r="332" spans="1:72">
      <c r="A332" s="489"/>
      <c r="B332" s="356"/>
      <c r="C332" s="356"/>
      <c r="D332" s="3182"/>
      <c r="E332" s="3174">
        <f t="shared" si="232"/>
        <v>0</v>
      </c>
      <c r="F332" s="3175"/>
      <c r="G332" s="3176">
        <f t="shared" si="207"/>
        <v>0</v>
      </c>
      <c r="H332" s="3177">
        <f t="shared" si="208"/>
        <v>0</v>
      </c>
      <c r="I332" s="3200"/>
      <c r="J332" s="3200"/>
      <c r="K332" s="3200"/>
      <c r="L332" s="3200"/>
      <c r="M332" s="3200"/>
      <c r="N332" s="3200"/>
      <c r="O332" s="3200"/>
      <c r="P332" s="3200"/>
      <c r="Q332" s="3200"/>
      <c r="R332" s="3200"/>
      <c r="S332" s="3200"/>
      <c r="T332" s="3200"/>
      <c r="U332" s="3200"/>
      <c r="V332" s="3200"/>
      <c r="W332" s="3200"/>
      <c r="X332" s="3200"/>
      <c r="Y332" s="3200"/>
      <c r="Z332" s="3200"/>
      <c r="AA332" s="3200"/>
      <c r="AB332" s="3200"/>
      <c r="AC332" s="3174">
        <f t="shared" si="209"/>
        <v>0</v>
      </c>
      <c r="AD332" s="3212"/>
      <c r="AE332" s="3212"/>
      <c r="AF332" s="3212"/>
      <c r="AG332" s="3212"/>
      <c r="AH332" s="3212"/>
      <c r="AI332" s="3212"/>
      <c r="AJ332" s="3212"/>
      <c r="AK332" s="3212"/>
      <c r="AL332" s="3212"/>
      <c r="AM332" s="3212"/>
      <c r="AN332" s="3212"/>
      <c r="AO332" s="3212"/>
      <c r="AP332" s="3212"/>
      <c r="AQ332" s="3212"/>
      <c r="AR332" s="3212"/>
      <c r="AS332" s="3212"/>
      <c r="AT332" s="3175"/>
      <c r="AU332" s="3232"/>
      <c r="AV332" s="466">
        <f t="shared" si="233"/>
        <v>0</v>
      </c>
      <c r="AW332" s="466">
        <f t="shared" si="234"/>
        <v>0</v>
      </c>
      <c r="AX332" s="466">
        <f t="shared" si="235"/>
        <v>0</v>
      </c>
      <c r="AY332" s="385">
        <f t="shared" si="210"/>
        <v>0</v>
      </c>
      <c r="AZ332" s="3174">
        <f t="shared" si="211"/>
        <v>0</v>
      </c>
      <c r="BA332" s="3174">
        <f t="shared" si="212"/>
        <v>0</v>
      </c>
      <c r="BB332" s="3174">
        <f t="shared" si="213"/>
        <v>0</v>
      </c>
      <c r="BC332" s="3174">
        <f t="shared" si="214"/>
        <v>0</v>
      </c>
      <c r="BD332" s="3174">
        <f t="shared" si="215"/>
        <v>0</v>
      </c>
      <c r="BE332" s="3174">
        <f t="shared" si="216"/>
        <v>0</v>
      </c>
      <c r="BF332" s="3174">
        <f t="shared" si="217"/>
        <v>0</v>
      </c>
      <c r="BG332" s="3174">
        <f t="shared" si="218"/>
        <v>0</v>
      </c>
      <c r="BH332" s="3174">
        <f t="shared" si="219"/>
        <v>0</v>
      </c>
      <c r="BI332" s="3174">
        <f t="shared" si="220"/>
        <v>0</v>
      </c>
      <c r="BJ332" s="3174">
        <f t="shared" si="221"/>
        <v>0</v>
      </c>
      <c r="BK332" s="3174">
        <f t="shared" si="222"/>
        <v>0</v>
      </c>
      <c r="BL332" s="3174">
        <f t="shared" si="223"/>
        <v>0</v>
      </c>
      <c r="BM332" s="3174">
        <f t="shared" si="224"/>
        <v>0</v>
      </c>
      <c r="BN332" s="3174">
        <f t="shared" si="225"/>
        <v>0</v>
      </c>
      <c r="BO332" s="3174">
        <f t="shared" si="226"/>
        <v>0</v>
      </c>
      <c r="BP332" s="3174">
        <f t="shared" si="227"/>
        <v>0</v>
      </c>
      <c r="BQ332" s="3174">
        <f t="shared" si="228"/>
        <v>0</v>
      </c>
      <c r="BR332" s="3174">
        <f t="shared" si="229"/>
        <v>0</v>
      </c>
      <c r="BS332" s="3174">
        <f t="shared" si="230"/>
        <v>0</v>
      </c>
      <c r="BT332" s="3249">
        <f t="shared" si="231"/>
        <v>0</v>
      </c>
    </row>
    <row r="333" spans="1:72">
      <c r="A333" s="489"/>
      <c r="B333" s="356"/>
      <c r="C333" s="356"/>
      <c r="D333" s="3182"/>
      <c r="E333" s="3174">
        <f t="shared" si="232"/>
        <v>0</v>
      </c>
      <c r="F333" s="3175"/>
      <c r="G333" s="3176">
        <f t="shared" si="207"/>
        <v>0</v>
      </c>
      <c r="H333" s="3177">
        <f t="shared" si="208"/>
        <v>0</v>
      </c>
      <c r="I333" s="3200"/>
      <c r="J333" s="3200"/>
      <c r="K333" s="3200"/>
      <c r="L333" s="3200"/>
      <c r="M333" s="3200"/>
      <c r="N333" s="3200"/>
      <c r="O333" s="3200"/>
      <c r="P333" s="3200"/>
      <c r="Q333" s="3200"/>
      <c r="R333" s="3200"/>
      <c r="S333" s="3200"/>
      <c r="T333" s="3200"/>
      <c r="U333" s="3200"/>
      <c r="V333" s="3200"/>
      <c r="W333" s="3200"/>
      <c r="X333" s="3200"/>
      <c r="Y333" s="3200"/>
      <c r="Z333" s="3200"/>
      <c r="AA333" s="3200"/>
      <c r="AB333" s="3200"/>
      <c r="AC333" s="3174">
        <f t="shared" si="209"/>
        <v>0</v>
      </c>
      <c r="AD333" s="3212"/>
      <c r="AE333" s="3212"/>
      <c r="AF333" s="3212"/>
      <c r="AG333" s="3212"/>
      <c r="AH333" s="3212"/>
      <c r="AI333" s="3212"/>
      <c r="AJ333" s="3212"/>
      <c r="AK333" s="3212"/>
      <c r="AL333" s="3212"/>
      <c r="AM333" s="3212"/>
      <c r="AN333" s="3212"/>
      <c r="AO333" s="3212"/>
      <c r="AP333" s="3212"/>
      <c r="AQ333" s="3212"/>
      <c r="AR333" s="3212"/>
      <c r="AS333" s="3212"/>
      <c r="AT333" s="3175"/>
      <c r="AU333" s="3232"/>
      <c r="AV333" s="466">
        <f t="shared" si="233"/>
        <v>0</v>
      </c>
      <c r="AW333" s="466">
        <f t="shared" si="234"/>
        <v>0</v>
      </c>
      <c r="AX333" s="466">
        <f t="shared" si="235"/>
        <v>0</v>
      </c>
      <c r="AY333" s="385">
        <f t="shared" si="210"/>
        <v>0</v>
      </c>
      <c r="AZ333" s="3174">
        <f t="shared" si="211"/>
        <v>0</v>
      </c>
      <c r="BA333" s="3174">
        <f t="shared" si="212"/>
        <v>0</v>
      </c>
      <c r="BB333" s="3174">
        <f t="shared" si="213"/>
        <v>0</v>
      </c>
      <c r="BC333" s="3174">
        <f t="shared" si="214"/>
        <v>0</v>
      </c>
      <c r="BD333" s="3174">
        <f t="shared" si="215"/>
        <v>0</v>
      </c>
      <c r="BE333" s="3174">
        <f t="shared" si="216"/>
        <v>0</v>
      </c>
      <c r="BF333" s="3174">
        <f t="shared" si="217"/>
        <v>0</v>
      </c>
      <c r="BG333" s="3174">
        <f t="shared" si="218"/>
        <v>0</v>
      </c>
      <c r="BH333" s="3174">
        <f t="shared" si="219"/>
        <v>0</v>
      </c>
      <c r="BI333" s="3174">
        <f t="shared" si="220"/>
        <v>0</v>
      </c>
      <c r="BJ333" s="3174">
        <f t="shared" si="221"/>
        <v>0</v>
      </c>
      <c r="BK333" s="3174">
        <f t="shared" si="222"/>
        <v>0</v>
      </c>
      <c r="BL333" s="3174">
        <f t="shared" si="223"/>
        <v>0</v>
      </c>
      <c r="BM333" s="3174">
        <f t="shared" si="224"/>
        <v>0</v>
      </c>
      <c r="BN333" s="3174">
        <f t="shared" si="225"/>
        <v>0</v>
      </c>
      <c r="BO333" s="3174">
        <f t="shared" si="226"/>
        <v>0</v>
      </c>
      <c r="BP333" s="3174">
        <f t="shared" si="227"/>
        <v>0</v>
      </c>
      <c r="BQ333" s="3174">
        <f t="shared" si="228"/>
        <v>0</v>
      </c>
      <c r="BR333" s="3174">
        <f t="shared" si="229"/>
        <v>0</v>
      </c>
      <c r="BS333" s="3174">
        <f t="shared" si="230"/>
        <v>0</v>
      </c>
      <c r="BT333" s="3249">
        <f t="shared" si="231"/>
        <v>0</v>
      </c>
    </row>
    <row r="334" spans="1:72">
      <c r="A334" s="489"/>
      <c r="B334" s="356"/>
      <c r="C334" s="356"/>
      <c r="D334" s="3182"/>
      <c r="E334" s="3174">
        <f t="shared" si="232"/>
        <v>0</v>
      </c>
      <c r="F334" s="3175"/>
      <c r="G334" s="3176">
        <f t="shared" si="207"/>
        <v>0</v>
      </c>
      <c r="H334" s="3177">
        <f t="shared" si="208"/>
        <v>0</v>
      </c>
      <c r="I334" s="3200"/>
      <c r="J334" s="3200"/>
      <c r="K334" s="3200"/>
      <c r="L334" s="3200"/>
      <c r="M334" s="3200"/>
      <c r="N334" s="3200"/>
      <c r="O334" s="3200"/>
      <c r="P334" s="3200"/>
      <c r="Q334" s="3200"/>
      <c r="R334" s="3200"/>
      <c r="S334" s="3200"/>
      <c r="T334" s="3200"/>
      <c r="U334" s="3200"/>
      <c r="V334" s="3200"/>
      <c r="W334" s="3200"/>
      <c r="X334" s="3200"/>
      <c r="Y334" s="3200"/>
      <c r="Z334" s="3200"/>
      <c r="AA334" s="3200"/>
      <c r="AB334" s="3200"/>
      <c r="AC334" s="3174">
        <f t="shared" si="209"/>
        <v>0</v>
      </c>
      <c r="AD334" s="3212"/>
      <c r="AE334" s="3212"/>
      <c r="AF334" s="3212"/>
      <c r="AG334" s="3212"/>
      <c r="AH334" s="3212"/>
      <c r="AI334" s="3212"/>
      <c r="AJ334" s="3212"/>
      <c r="AK334" s="3212"/>
      <c r="AL334" s="3212"/>
      <c r="AM334" s="3212"/>
      <c r="AN334" s="3212"/>
      <c r="AO334" s="3212"/>
      <c r="AP334" s="3212"/>
      <c r="AQ334" s="3212"/>
      <c r="AR334" s="3212"/>
      <c r="AS334" s="3212"/>
      <c r="AT334" s="3175"/>
      <c r="AU334" s="3232"/>
      <c r="AV334" s="466">
        <f t="shared" si="233"/>
        <v>0</v>
      </c>
      <c r="AW334" s="466">
        <f t="shared" si="234"/>
        <v>0</v>
      </c>
      <c r="AX334" s="466">
        <f t="shared" si="235"/>
        <v>0</v>
      </c>
      <c r="AY334" s="385">
        <f t="shared" si="210"/>
        <v>0</v>
      </c>
      <c r="AZ334" s="3174">
        <f t="shared" si="211"/>
        <v>0</v>
      </c>
      <c r="BA334" s="3174">
        <f t="shared" si="212"/>
        <v>0</v>
      </c>
      <c r="BB334" s="3174">
        <f t="shared" si="213"/>
        <v>0</v>
      </c>
      <c r="BC334" s="3174">
        <f t="shared" si="214"/>
        <v>0</v>
      </c>
      <c r="BD334" s="3174">
        <f t="shared" si="215"/>
        <v>0</v>
      </c>
      <c r="BE334" s="3174">
        <f t="shared" si="216"/>
        <v>0</v>
      </c>
      <c r="BF334" s="3174">
        <f t="shared" si="217"/>
        <v>0</v>
      </c>
      <c r="BG334" s="3174">
        <f t="shared" si="218"/>
        <v>0</v>
      </c>
      <c r="BH334" s="3174">
        <f t="shared" si="219"/>
        <v>0</v>
      </c>
      <c r="BI334" s="3174">
        <f t="shared" si="220"/>
        <v>0</v>
      </c>
      <c r="BJ334" s="3174">
        <f t="shared" si="221"/>
        <v>0</v>
      </c>
      <c r="BK334" s="3174">
        <f t="shared" si="222"/>
        <v>0</v>
      </c>
      <c r="BL334" s="3174">
        <f t="shared" si="223"/>
        <v>0</v>
      </c>
      <c r="BM334" s="3174">
        <f t="shared" si="224"/>
        <v>0</v>
      </c>
      <c r="BN334" s="3174">
        <f t="shared" si="225"/>
        <v>0</v>
      </c>
      <c r="BO334" s="3174">
        <f t="shared" si="226"/>
        <v>0</v>
      </c>
      <c r="BP334" s="3174">
        <f t="shared" si="227"/>
        <v>0</v>
      </c>
      <c r="BQ334" s="3174">
        <f t="shared" si="228"/>
        <v>0</v>
      </c>
      <c r="BR334" s="3174">
        <f t="shared" si="229"/>
        <v>0</v>
      </c>
      <c r="BS334" s="3174">
        <f t="shared" si="230"/>
        <v>0</v>
      </c>
      <c r="BT334" s="3249">
        <f t="shared" si="231"/>
        <v>0</v>
      </c>
    </row>
    <row r="335" spans="1:72">
      <c r="A335" s="489"/>
      <c r="B335" s="356"/>
      <c r="C335" s="356"/>
      <c r="D335" s="3182"/>
      <c r="E335" s="3174">
        <f t="shared" si="232"/>
        <v>0</v>
      </c>
      <c r="F335" s="3175"/>
      <c r="G335" s="3176">
        <f t="shared" si="207"/>
        <v>0</v>
      </c>
      <c r="H335" s="3177">
        <f t="shared" si="208"/>
        <v>0</v>
      </c>
      <c r="I335" s="3200"/>
      <c r="J335" s="3200"/>
      <c r="K335" s="3200"/>
      <c r="L335" s="3200"/>
      <c r="M335" s="3200"/>
      <c r="N335" s="3200"/>
      <c r="O335" s="3200"/>
      <c r="P335" s="3200"/>
      <c r="Q335" s="3200"/>
      <c r="R335" s="3200"/>
      <c r="S335" s="3200"/>
      <c r="T335" s="3200"/>
      <c r="U335" s="3200"/>
      <c r="V335" s="3200"/>
      <c r="W335" s="3200"/>
      <c r="X335" s="3200"/>
      <c r="Y335" s="3200"/>
      <c r="Z335" s="3200"/>
      <c r="AA335" s="3200"/>
      <c r="AB335" s="3200"/>
      <c r="AC335" s="3174">
        <f t="shared" si="209"/>
        <v>0</v>
      </c>
      <c r="AD335" s="3212"/>
      <c r="AE335" s="3212"/>
      <c r="AF335" s="3212"/>
      <c r="AG335" s="3212"/>
      <c r="AH335" s="3212"/>
      <c r="AI335" s="3212"/>
      <c r="AJ335" s="3212"/>
      <c r="AK335" s="3212"/>
      <c r="AL335" s="3212"/>
      <c r="AM335" s="3212"/>
      <c r="AN335" s="3212"/>
      <c r="AO335" s="3212"/>
      <c r="AP335" s="3212"/>
      <c r="AQ335" s="3212"/>
      <c r="AR335" s="3212"/>
      <c r="AS335" s="3212"/>
      <c r="AT335" s="3175"/>
      <c r="AU335" s="3232"/>
      <c r="AV335" s="466">
        <f t="shared" si="233"/>
        <v>0</v>
      </c>
      <c r="AW335" s="466">
        <f t="shared" si="234"/>
        <v>0</v>
      </c>
      <c r="AX335" s="466">
        <f t="shared" si="235"/>
        <v>0</v>
      </c>
      <c r="AY335" s="385">
        <f t="shared" si="210"/>
        <v>0</v>
      </c>
      <c r="AZ335" s="3174">
        <f t="shared" si="211"/>
        <v>0</v>
      </c>
      <c r="BA335" s="3174">
        <f t="shared" si="212"/>
        <v>0</v>
      </c>
      <c r="BB335" s="3174">
        <f t="shared" si="213"/>
        <v>0</v>
      </c>
      <c r="BC335" s="3174">
        <f t="shared" si="214"/>
        <v>0</v>
      </c>
      <c r="BD335" s="3174">
        <f t="shared" si="215"/>
        <v>0</v>
      </c>
      <c r="BE335" s="3174">
        <f t="shared" si="216"/>
        <v>0</v>
      </c>
      <c r="BF335" s="3174">
        <f t="shared" si="217"/>
        <v>0</v>
      </c>
      <c r="BG335" s="3174">
        <f t="shared" si="218"/>
        <v>0</v>
      </c>
      <c r="BH335" s="3174">
        <f t="shared" si="219"/>
        <v>0</v>
      </c>
      <c r="BI335" s="3174">
        <f t="shared" si="220"/>
        <v>0</v>
      </c>
      <c r="BJ335" s="3174">
        <f t="shared" si="221"/>
        <v>0</v>
      </c>
      <c r="BK335" s="3174">
        <f t="shared" si="222"/>
        <v>0</v>
      </c>
      <c r="BL335" s="3174">
        <f t="shared" si="223"/>
        <v>0</v>
      </c>
      <c r="BM335" s="3174">
        <f t="shared" si="224"/>
        <v>0</v>
      </c>
      <c r="BN335" s="3174">
        <f t="shared" si="225"/>
        <v>0</v>
      </c>
      <c r="BO335" s="3174">
        <f t="shared" si="226"/>
        <v>0</v>
      </c>
      <c r="BP335" s="3174">
        <f t="shared" si="227"/>
        <v>0</v>
      </c>
      <c r="BQ335" s="3174">
        <f t="shared" si="228"/>
        <v>0</v>
      </c>
      <c r="BR335" s="3174">
        <f t="shared" si="229"/>
        <v>0</v>
      </c>
      <c r="BS335" s="3174">
        <f t="shared" si="230"/>
        <v>0</v>
      </c>
      <c r="BT335" s="3249">
        <f t="shared" si="231"/>
        <v>0</v>
      </c>
    </row>
    <row r="336" spans="1:72">
      <c r="A336" s="489"/>
      <c r="B336" s="356"/>
      <c r="C336" s="356"/>
      <c r="D336" s="3182"/>
      <c r="E336" s="3174">
        <f t="shared" si="232"/>
        <v>0</v>
      </c>
      <c r="F336" s="3175"/>
      <c r="G336" s="3176">
        <f t="shared" si="207"/>
        <v>0</v>
      </c>
      <c r="H336" s="3177">
        <f t="shared" si="208"/>
        <v>0</v>
      </c>
      <c r="I336" s="3200"/>
      <c r="J336" s="3200"/>
      <c r="K336" s="3200"/>
      <c r="L336" s="3200"/>
      <c r="M336" s="3200"/>
      <c r="N336" s="3200"/>
      <c r="O336" s="3200"/>
      <c r="P336" s="3200"/>
      <c r="Q336" s="3200"/>
      <c r="R336" s="3200"/>
      <c r="S336" s="3200"/>
      <c r="T336" s="3200"/>
      <c r="U336" s="3200"/>
      <c r="V336" s="3200"/>
      <c r="W336" s="3200"/>
      <c r="X336" s="3200"/>
      <c r="Y336" s="3200"/>
      <c r="Z336" s="3200"/>
      <c r="AA336" s="3200"/>
      <c r="AB336" s="3200"/>
      <c r="AC336" s="3174">
        <f t="shared" si="209"/>
        <v>0</v>
      </c>
      <c r="AD336" s="3212"/>
      <c r="AE336" s="3212"/>
      <c r="AF336" s="3212"/>
      <c r="AG336" s="3212"/>
      <c r="AH336" s="3212"/>
      <c r="AI336" s="3212"/>
      <c r="AJ336" s="3212"/>
      <c r="AK336" s="3212"/>
      <c r="AL336" s="3212"/>
      <c r="AM336" s="3212"/>
      <c r="AN336" s="3212"/>
      <c r="AO336" s="3212"/>
      <c r="AP336" s="3212"/>
      <c r="AQ336" s="3212"/>
      <c r="AR336" s="3212"/>
      <c r="AS336" s="3212"/>
      <c r="AT336" s="3175"/>
      <c r="AU336" s="3232"/>
      <c r="AV336" s="466">
        <f t="shared" si="233"/>
        <v>0</v>
      </c>
      <c r="AW336" s="466">
        <f t="shared" si="234"/>
        <v>0</v>
      </c>
      <c r="AX336" s="466">
        <f t="shared" si="235"/>
        <v>0</v>
      </c>
      <c r="AY336" s="385">
        <f t="shared" si="210"/>
        <v>0</v>
      </c>
      <c r="AZ336" s="3174">
        <f t="shared" si="211"/>
        <v>0</v>
      </c>
      <c r="BA336" s="3174">
        <f t="shared" si="212"/>
        <v>0</v>
      </c>
      <c r="BB336" s="3174">
        <f t="shared" si="213"/>
        <v>0</v>
      </c>
      <c r="BC336" s="3174">
        <f t="shared" si="214"/>
        <v>0</v>
      </c>
      <c r="BD336" s="3174">
        <f t="shared" si="215"/>
        <v>0</v>
      </c>
      <c r="BE336" s="3174">
        <f t="shared" si="216"/>
        <v>0</v>
      </c>
      <c r="BF336" s="3174">
        <f t="shared" si="217"/>
        <v>0</v>
      </c>
      <c r="BG336" s="3174">
        <f t="shared" si="218"/>
        <v>0</v>
      </c>
      <c r="BH336" s="3174">
        <f t="shared" si="219"/>
        <v>0</v>
      </c>
      <c r="BI336" s="3174">
        <f t="shared" si="220"/>
        <v>0</v>
      </c>
      <c r="BJ336" s="3174">
        <f t="shared" si="221"/>
        <v>0</v>
      </c>
      <c r="BK336" s="3174">
        <f t="shared" si="222"/>
        <v>0</v>
      </c>
      <c r="BL336" s="3174">
        <f t="shared" si="223"/>
        <v>0</v>
      </c>
      <c r="BM336" s="3174">
        <f t="shared" si="224"/>
        <v>0</v>
      </c>
      <c r="BN336" s="3174">
        <f t="shared" si="225"/>
        <v>0</v>
      </c>
      <c r="BO336" s="3174">
        <f t="shared" si="226"/>
        <v>0</v>
      </c>
      <c r="BP336" s="3174">
        <f t="shared" si="227"/>
        <v>0</v>
      </c>
      <c r="BQ336" s="3174">
        <f t="shared" si="228"/>
        <v>0</v>
      </c>
      <c r="BR336" s="3174">
        <f t="shared" si="229"/>
        <v>0</v>
      </c>
      <c r="BS336" s="3174">
        <f t="shared" si="230"/>
        <v>0</v>
      </c>
      <c r="BT336" s="3249">
        <f t="shared" si="231"/>
        <v>0</v>
      </c>
    </row>
    <row r="337" spans="1:72">
      <c r="A337" s="489"/>
      <c r="B337" s="356"/>
      <c r="C337" s="356"/>
      <c r="D337" s="3182"/>
      <c r="E337" s="3174">
        <f t="shared" si="232"/>
        <v>0</v>
      </c>
      <c r="F337" s="3175"/>
      <c r="G337" s="3176">
        <f t="shared" si="207"/>
        <v>0</v>
      </c>
      <c r="H337" s="3177">
        <f t="shared" si="208"/>
        <v>0</v>
      </c>
      <c r="I337" s="3200"/>
      <c r="J337" s="3200"/>
      <c r="K337" s="3200"/>
      <c r="L337" s="3200"/>
      <c r="M337" s="3200"/>
      <c r="N337" s="3200"/>
      <c r="O337" s="3200"/>
      <c r="P337" s="3200"/>
      <c r="Q337" s="3200"/>
      <c r="R337" s="3200"/>
      <c r="S337" s="3200"/>
      <c r="T337" s="3200"/>
      <c r="U337" s="3200"/>
      <c r="V337" s="3200"/>
      <c r="W337" s="3200"/>
      <c r="X337" s="3200"/>
      <c r="Y337" s="3200"/>
      <c r="Z337" s="3200"/>
      <c r="AA337" s="3200"/>
      <c r="AB337" s="3200"/>
      <c r="AC337" s="3174">
        <f t="shared" si="209"/>
        <v>0</v>
      </c>
      <c r="AD337" s="3212"/>
      <c r="AE337" s="3212"/>
      <c r="AF337" s="3212"/>
      <c r="AG337" s="3212"/>
      <c r="AH337" s="3212"/>
      <c r="AI337" s="3212"/>
      <c r="AJ337" s="3212"/>
      <c r="AK337" s="3212"/>
      <c r="AL337" s="3212"/>
      <c r="AM337" s="3212"/>
      <c r="AN337" s="3212"/>
      <c r="AO337" s="3212"/>
      <c r="AP337" s="3212"/>
      <c r="AQ337" s="3212"/>
      <c r="AR337" s="3212"/>
      <c r="AS337" s="3212"/>
      <c r="AT337" s="3175"/>
      <c r="AU337" s="3232"/>
      <c r="AV337" s="466">
        <f t="shared" si="233"/>
        <v>0</v>
      </c>
      <c r="AW337" s="466">
        <f t="shared" si="234"/>
        <v>0</v>
      </c>
      <c r="AX337" s="466">
        <f t="shared" si="235"/>
        <v>0</v>
      </c>
      <c r="AY337" s="385">
        <f t="shared" si="210"/>
        <v>0</v>
      </c>
      <c r="AZ337" s="3174">
        <f t="shared" si="211"/>
        <v>0</v>
      </c>
      <c r="BA337" s="3174">
        <f t="shared" si="212"/>
        <v>0</v>
      </c>
      <c r="BB337" s="3174">
        <f t="shared" si="213"/>
        <v>0</v>
      </c>
      <c r="BC337" s="3174">
        <f t="shared" si="214"/>
        <v>0</v>
      </c>
      <c r="BD337" s="3174">
        <f t="shared" si="215"/>
        <v>0</v>
      </c>
      <c r="BE337" s="3174">
        <f t="shared" si="216"/>
        <v>0</v>
      </c>
      <c r="BF337" s="3174">
        <f t="shared" si="217"/>
        <v>0</v>
      </c>
      <c r="BG337" s="3174">
        <f t="shared" si="218"/>
        <v>0</v>
      </c>
      <c r="BH337" s="3174">
        <f t="shared" si="219"/>
        <v>0</v>
      </c>
      <c r="BI337" s="3174">
        <f t="shared" si="220"/>
        <v>0</v>
      </c>
      <c r="BJ337" s="3174">
        <f t="shared" si="221"/>
        <v>0</v>
      </c>
      <c r="BK337" s="3174">
        <f t="shared" si="222"/>
        <v>0</v>
      </c>
      <c r="BL337" s="3174">
        <f t="shared" si="223"/>
        <v>0</v>
      </c>
      <c r="BM337" s="3174">
        <f t="shared" si="224"/>
        <v>0</v>
      </c>
      <c r="BN337" s="3174">
        <f t="shared" si="225"/>
        <v>0</v>
      </c>
      <c r="BO337" s="3174">
        <f t="shared" si="226"/>
        <v>0</v>
      </c>
      <c r="BP337" s="3174">
        <f t="shared" si="227"/>
        <v>0</v>
      </c>
      <c r="BQ337" s="3174">
        <f t="shared" si="228"/>
        <v>0</v>
      </c>
      <c r="BR337" s="3174">
        <f t="shared" si="229"/>
        <v>0</v>
      </c>
      <c r="BS337" s="3174">
        <f t="shared" si="230"/>
        <v>0</v>
      </c>
      <c r="BT337" s="3249">
        <f t="shared" si="231"/>
        <v>0</v>
      </c>
    </row>
    <row r="338" spans="1:72">
      <c r="A338" s="489"/>
      <c r="B338" s="356"/>
      <c r="C338" s="356"/>
      <c r="D338" s="3182"/>
      <c r="E338" s="3174">
        <f t="shared" si="232"/>
        <v>0</v>
      </c>
      <c r="F338" s="3175"/>
      <c r="G338" s="3176">
        <f t="shared" si="207"/>
        <v>0</v>
      </c>
      <c r="H338" s="3177">
        <f t="shared" si="208"/>
        <v>0</v>
      </c>
      <c r="I338" s="3200"/>
      <c r="J338" s="3200"/>
      <c r="K338" s="3200"/>
      <c r="L338" s="3200"/>
      <c r="M338" s="3200"/>
      <c r="N338" s="3200"/>
      <c r="O338" s="3200"/>
      <c r="P338" s="3200"/>
      <c r="Q338" s="3200"/>
      <c r="R338" s="3200"/>
      <c r="S338" s="3200"/>
      <c r="T338" s="3200"/>
      <c r="U338" s="3200"/>
      <c r="V338" s="3200"/>
      <c r="W338" s="3200"/>
      <c r="X338" s="3200"/>
      <c r="Y338" s="3200"/>
      <c r="Z338" s="3200"/>
      <c r="AA338" s="3200"/>
      <c r="AB338" s="3200"/>
      <c r="AC338" s="3174">
        <f t="shared" si="209"/>
        <v>0</v>
      </c>
      <c r="AD338" s="3212"/>
      <c r="AE338" s="3212"/>
      <c r="AF338" s="3212"/>
      <c r="AG338" s="3212"/>
      <c r="AH338" s="3212"/>
      <c r="AI338" s="3212"/>
      <c r="AJ338" s="3212"/>
      <c r="AK338" s="3212"/>
      <c r="AL338" s="3212"/>
      <c r="AM338" s="3212"/>
      <c r="AN338" s="3212"/>
      <c r="AO338" s="3212"/>
      <c r="AP338" s="3212"/>
      <c r="AQ338" s="3212"/>
      <c r="AR338" s="3212"/>
      <c r="AS338" s="3212"/>
      <c r="AT338" s="3175"/>
      <c r="AU338" s="3232"/>
      <c r="AV338" s="466">
        <f t="shared" si="233"/>
        <v>0</v>
      </c>
      <c r="AW338" s="466">
        <f t="shared" si="234"/>
        <v>0</v>
      </c>
      <c r="AX338" s="466">
        <f t="shared" si="235"/>
        <v>0</v>
      </c>
      <c r="AY338" s="385">
        <f t="shared" si="210"/>
        <v>0</v>
      </c>
      <c r="AZ338" s="3174">
        <f t="shared" si="211"/>
        <v>0</v>
      </c>
      <c r="BA338" s="3174">
        <f t="shared" si="212"/>
        <v>0</v>
      </c>
      <c r="BB338" s="3174">
        <f t="shared" si="213"/>
        <v>0</v>
      </c>
      <c r="BC338" s="3174">
        <f t="shared" si="214"/>
        <v>0</v>
      </c>
      <c r="BD338" s="3174">
        <f t="shared" si="215"/>
        <v>0</v>
      </c>
      <c r="BE338" s="3174">
        <f t="shared" si="216"/>
        <v>0</v>
      </c>
      <c r="BF338" s="3174">
        <f t="shared" si="217"/>
        <v>0</v>
      </c>
      <c r="BG338" s="3174">
        <f t="shared" si="218"/>
        <v>0</v>
      </c>
      <c r="BH338" s="3174">
        <f t="shared" si="219"/>
        <v>0</v>
      </c>
      <c r="BI338" s="3174">
        <f t="shared" si="220"/>
        <v>0</v>
      </c>
      <c r="BJ338" s="3174">
        <f t="shared" si="221"/>
        <v>0</v>
      </c>
      <c r="BK338" s="3174">
        <f t="shared" si="222"/>
        <v>0</v>
      </c>
      <c r="BL338" s="3174">
        <f t="shared" si="223"/>
        <v>0</v>
      </c>
      <c r="BM338" s="3174">
        <f t="shared" si="224"/>
        <v>0</v>
      </c>
      <c r="BN338" s="3174">
        <f t="shared" si="225"/>
        <v>0</v>
      </c>
      <c r="BO338" s="3174">
        <f t="shared" si="226"/>
        <v>0</v>
      </c>
      <c r="BP338" s="3174">
        <f t="shared" si="227"/>
        <v>0</v>
      </c>
      <c r="BQ338" s="3174">
        <f t="shared" si="228"/>
        <v>0</v>
      </c>
      <c r="BR338" s="3174">
        <f t="shared" si="229"/>
        <v>0</v>
      </c>
      <c r="BS338" s="3174">
        <f t="shared" si="230"/>
        <v>0</v>
      </c>
      <c r="BT338" s="3249">
        <f t="shared" si="231"/>
        <v>0</v>
      </c>
    </row>
    <row r="339" spans="1:72">
      <c r="A339" s="489"/>
      <c r="B339" s="356"/>
      <c r="C339" s="356"/>
      <c r="D339" s="3182"/>
      <c r="E339" s="3174">
        <f t="shared" si="232"/>
        <v>0</v>
      </c>
      <c r="F339" s="3175"/>
      <c r="G339" s="3176">
        <f t="shared" si="207"/>
        <v>0</v>
      </c>
      <c r="H339" s="3177">
        <f t="shared" si="208"/>
        <v>0</v>
      </c>
      <c r="I339" s="3200"/>
      <c r="J339" s="3200"/>
      <c r="K339" s="3200"/>
      <c r="L339" s="3200"/>
      <c r="M339" s="3200"/>
      <c r="N339" s="3200"/>
      <c r="O339" s="3200"/>
      <c r="P339" s="3200"/>
      <c r="Q339" s="3200"/>
      <c r="R339" s="3200"/>
      <c r="S339" s="3200"/>
      <c r="T339" s="3200"/>
      <c r="U339" s="3200"/>
      <c r="V339" s="3200"/>
      <c r="W339" s="3200"/>
      <c r="X339" s="3200"/>
      <c r="Y339" s="3200"/>
      <c r="Z339" s="3200"/>
      <c r="AA339" s="3200"/>
      <c r="AB339" s="3200"/>
      <c r="AC339" s="3174">
        <f t="shared" si="209"/>
        <v>0</v>
      </c>
      <c r="AD339" s="3212"/>
      <c r="AE339" s="3212"/>
      <c r="AF339" s="3212"/>
      <c r="AG339" s="3212"/>
      <c r="AH339" s="3212"/>
      <c r="AI339" s="3212"/>
      <c r="AJ339" s="3212"/>
      <c r="AK339" s="3212"/>
      <c r="AL339" s="3212"/>
      <c r="AM339" s="3212"/>
      <c r="AN339" s="3212"/>
      <c r="AO339" s="3212"/>
      <c r="AP339" s="3212"/>
      <c r="AQ339" s="3212"/>
      <c r="AR339" s="3212"/>
      <c r="AS339" s="3212"/>
      <c r="AT339" s="3175"/>
      <c r="AU339" s="3232"/>
      <c r="AV339" s="466">
        <f t="shared" si="233"/>
        <v>0</v>
      </c>
      <c r="AW339" s="466">
        <f t="shared" si="234"/>
        <v>0</v>
      </c>
      <c r="AX339" s="466">
        <f t="shared" si="235"/>
        <v>0</v>
      </c>
      <c r="AY339" s="385">
        <f t="shared" si="210"/>
        <v>0</v>
      </c>
      <c r="AZ339" s="3174">
        <f t="shared" si="211"/>
        <v>0</v>
      </c>
      <c r="BA339" s="3174">
        <f t="shared" si="212"/>
        <v>0</v>
      </c>
      <c r="BB339" s="3174">
        <f t="shared" si="213"/>
        <v>0</v>
      </c>
      <c r="BC339" s="3174">
        <f t="shared" si="214"/>
        <v>0</v>
      </c>
      <c r="BD339" s="3174">
        <f t="shared" si="215"/>
        <v>0</v>
      </c>
      <c r="BE339" s="3174">
        <f t="shared" si="216"/>
        <v>0</v>
      </c>
      <c r="BF339" s="3174">
        <f t="shared" si="217"/>
        <v>0</v>
      </c>
      <c r="BG339" s="3174">
        <f t="shared" si="218"/>
        <v>0</v>
      </c>
      <c r="BH339" s="3174">
        <f t="shared" si="219"/>
        <v>0</v>
      </c>
      <c r="BI339" s="3174">
        <f t="shared" si="220"/>
        <v>0</v>
      </c>
      <c r="BJ339" s="3174">
        <f t="shared" si="221"/>
        <v>0</v>
      </c>
      <c r="BK339" s="3174">
        <f t="shared" si="222"/>
        <v>0</v>
      </c>
      <c r="BL339" s="3174">
        <f t="shared" si="223"/>
        <v>0</v>
      </c>
      <c r="BM339" s="3174">
        <f t="shared" si="224"/>
        <v>0</v>
      </c>
      <c r="BN339" s="3174">
        <f t="shared" si="225"/>
        <v>0</v>
      </c>
      <c r="BO339" s="3174">
        <f t="shared" si="226"/>
        <v>0</v>
      </c>
      <c r="BP339" s="3174">
        <f t="shared" si="227"/>
        <v>0</v>
      </c>
      <c r="BQ339" s="3174">
        <f t="shared" si="228"/>
        <v>0</v>
      </c>
      <c r="BR339" s="3174">
        <f t="shared" si="229"/>
        <v>0</v>
      </c>
      <c r="BS339" s="3174">
        <f t="shared" si="230"/>
        <v>0</v>
      </c>
      <c r="BT339" s="3249">
        <f t="shared" si="231"/>
        <v>0</v>
      </c>
    </row>
    <row r="340" spans="1:72">
      <c r="A340" s="489"/>
      <c r="B340" s="356"/>
      <c r="C340" s="356"/>
      <c r="D340" s="3182"/>
      <c r="E340" s="3174">
        <f t="shared" si="232"/>
        <v>0</v>
      </c>
      <c r="F340" s="3175"/>
      <c r="G340" s="3176">
        <f t="shared" si="207"/>
        <v>0</v>
      </c>
      <c r="H340" s="3177">
        <f t="shared" si="208"/>
        <v>0</v>
      </c>
      <c r="I340" s="3200"/>
      <c r="J340" s="3200"/>
      <c r="K340" s="3200"/>
      <c r="L340" s="3200"/>
      <c r="M340" s="3200"/>
      <c r="N340" s="3200"/>
      <c r="O340" s="3200"/>
      <c r="P340" s="3200"/>
      <c r="Q340" s="3200"/>
      <c r="R340" s="3200"/>
      <c r="S340" s="3200"/>
      <c r="T340" s="3200"/>
      <c r="U340" s="3200"/>
      <c r="V340" s="3200"/>
      <c r="W340" s="3200"/>
      <c r="X340" s="3200"/>
      <c r="Y340" s="3200"/>
      <c r="Z340" s="3200"/>
      <c r="AA340" s="3200"/>
      <c r="AB340" s="3200"/>
      <c r="AC340" s="3174">
        <f t="shared" si="209"/>
        <v>0</v>
      </c>
      <c r="AD340" s="3212"/>
      <c r="AE340" s="3212"/>
      <c r="AF340" s="3212"/>
      <c r="AG340" s="3212"/>
      <c r="AH340" s="3212"/>
      <c r="AI340" s="3212"/>
      <c r="AJ340" s="3212"/>
      <c r="AK340" s="3212"/>
      <c r="AL340" s="3212"/>
      <c r="AM340" s="3212"/>
      <c r="AN340" s="3212"/>
      <c r="AO340" s="3212"/>
      <c r="AP340" s="3212"/>
      <c r="AQ340" s="3212"/>
      <c r="AR340" s="3212"/>
      <c r="AS340" s="3212"/>
      <c r="AT340" s="3175"/>
      <c r="AU340" s="3232"/>
      <c r="AV340" s="466">
        <f t="shared" si="233"/>
        <v>0</v>
      </c>
      <c r="AW340" s="466">
        <f t="shared" si="234"/>
        <v>0</v>
      </c>
      <c r="AX340" s="466">
        <f t="shared" si="235"/>
        <v>0</v>
      </c>
      <c r="AY340" s="385">
        <f t="shared" si="210"/>
        <v>0</v>
      </c>
      <c r="AZ340" s="3174">
        <f t="shared" si="211"/>
        <v>0</v>
      </c>
      <c r="BA340" s="3174">
        <f t="shared" si="212"/>
        <v>0</v>
      </c>
      <c r="BB340" s="3174">
        <f t="shared" si="213"/>
        <v>0</v>
      </c>
      <c r="BC340" s="3174">
        <f t="shared" si="214"/>
        <v>0</v>
      </c>
      <c r="BD340" s="3174">
        <f t="shared" si="215"/>
        <v>0</v>
      </c>
      <c r="BE340" s="3174">
        <f t="shared" si="216"/>
        <v>0</v>
      </c>
      <c r="BF340" s="3174">
        <f t="shared" si="217"/>
        <v>0</v>
      </c>
      <c r="BG340" s="3174">
        <f t="shared" si="218"/>
        <v>0</v>
      </c>
      <c r="BH340" s="3174">
        <f t="shared" si="219"/>
        <v>0</v>
      </c>
      <c r="BI340" s="3174">
        <f t="shared" si="220"/>
        <v>0</v>
      </c>
      <c r="BJ340" s="3174">
        <f t="shared" si="221"/>
        <v>0</v>
      </c>
      <c r="BK340" s="3174">
        <f t="shared" si="222"/>
        <v>0</v>
      </c>
      <c r="BL340" s="3174">
        <f t="shared" si="223"/>
        <v>0</v>
      </c>
      <c r="BM340" s="3174">
        <f t="shared" si="224"/>
        <v>0</v>
      </c>
      <c r="BN340" s="3174">
        <f t="shared" si="225"/>
        <v>0</v>
      </c>
      <c r="BO340" s="3174">
        <f t="shared" si="226"/>
        <v>0</v>
      </c>
      <c r="BP340" s="3174">
        <f t="shared" si="227"/>
        <v>0</v>
      </c>
      <c r="BQ340" s="3174">
        <f t="shared" si="228"/>
        <v>0</v>
      </c>
      <c r="BR340" s="3174">
        <f t="shared" si="229"/>
        <v>0</v>
      </c>
      <c r="BS340" s="3174">
        <f t="shared" si="230"/>
        <v>0</v>
      </c>
      <c r="BT340" s="3249">
        <f t="shared" si="231"/>
        <v>0</v>
      </c>
    </row>
    <row r="341" spans="1:72">
      <c r="A341" s="489"/>
      <c r="B341" s="356"/>
      <c r="C341" s="356"/>
      <c r="D341" s="3182"/>
      <c r="E341" s="3174">
        <f t="shared" si="232"/>
        <v>0</v>
      </c>
      <c r="F341" s="3175"/>
      <c r="G341" s="3176">
        <f t="shared" si="207"/>
        <v>0</v>
      </c>
      <c r="H341" s="3177">
        <f t="shared" si="208"/>
        <v>0</v>
      </c>
      <c r="I341" s="3200"/>
      <c r="J341" s="3200"/>
      <c r="K341" s="3200"/>
      <c r="L341" s="3200"/>
      <c r="M341" s="3200"/>
      <c r="N341" s="3200"/>
      <c r="O341" s="3200"/>
      <c r="P341" s="3200"/>
      <c r="Q341" s="3200"/>
      <c r="R341" s="3200"/>
      <c r="S341" s="3200"/>
      <c r="T341" s="3200"/>
      <c r="U341" s="3200"/>
      <c r="V341" s="3200"/>
      <c r="W341" s="3200"/>
      <c r="X341" s="3200"/>
      <c r="Y341" s="3200"/>
      <c r="Z341" s="3200"/>
      <c r="AA341" s="3200"/>
      <c r="AB341" s="3200"/>
      <c r="AC341" s="3174">
        <f t="shared" si="209"/>
        <v>0</v>
      </c>
      <c r="AD341" s="3212"/>
      <c r="AE341" s="3212"/>
      <c r="AF341" s="3212"/>
      <c r="AG341" s="3212"/>
      <c r="AH341" s="3212"/>
      <c r="AI341" s="3212"/>
      <c r="AJ341" s="3212"/>
      <c r="AK341" s="3212"/>
      <c r="AL341" s="3212"/>
      <c r="AM341" s="3212"/>
      <c r="AN341" s="3212"/>
      <c r="AO341" s="3212"/>
      <c r="AP341" s="3212"/>
      <c r="AQ341" s="3212"/>
      <c r="AR341" s="3212"/>
      <c r="AS341" s="3212"/>
      <c r="AT341" s="3175"/>
      <c r="AU341" s="3232"/>
      <c r="AV341" s="466">
        <f t="shared" si="233"/>
        <v>0</v>
      </c>
      <c r="AW341" s="466">
        <f t="shared" si="234"/>
        <v>0</v>
      </c>
      <c r="AX341" s="466">
        <f t="shared" si="235"/>
        <v>0</v>
      </c>
      <c r="AY341" s="385">
        <f t="shared" si="210"/>
        <v>0</v>
      </c>
      <c r="AZ341" s="3174">
        <f t="shared" si="211"/>
        <v>0</v>
      </c>
      <c r="BA341" s="3174">
        <f t="shared" si="212"/>
        <v>0</v>
      </c>
      <c r="BB341" s="3174">
        <f t="shared" si="213"/>
        <v>0</v>
      </c>
      <c r="BC341" s="3174">
        <f t="shared" si="214"/>
        <v>0</v>
      </c>
      <c r="BD341" s="3174">
        <f t="shared" si="215"/>
        <v>0</v>
      </c>
      <c r="BE341" s="3174">
        <f t="shared" si="216"/>
        <v>0</v>
      </c>
      <c r="BF341" s="3174">
        <f t="shared" si="217"/>
        <v>0</v>
      </c>
      <c r="BG341" s="3174">
        <f t="shared" si="218"/>
        <v>0</v>
      </c>
      <c r="BH341" s="3174">
        <f t="shared" si="219"/>
        <v>0</v>
      </c>
      <c r="BI341" s="3174">
        <f t="shared" si="220"/>
        <v>0</v>
      </c>
      <c r="BJ341" s="3174">
        <f t="shared" si="221"/>
        <v>0</v>
      </c>
      <c r="BK341" s="3174">
        <f t="shared" si="222"/>
        <v>0</v>
      </c>
      <c r="BL341" s="3174">
        <f t="shared" si="223"/>
        <v>0</v>
      </c>
      <c r="BM341" s="3174">
        <f t="shared" si="224"/>
        <v>0</v>
      </c>
      <c r="BN341" s="3174">
        <f t="shared" si="225"/>
        <v>0</v>
      </c>
      <c r="BO341" s="3174">
        <f t="shared" si="226"/>
        <v>0</v>
      </c>
      <c r="BP341" s="3174">
        <f t="shared" si="227"/>
        <v>0</v>
      </c>
      <c r="BQ341" s="3174">
        <f t="shared" si="228"/>
        <v>0</v>
      </c>
      <c r="BR341" s="3174">
        <f t="shared" si="229"/>
        <v>0</v>
      </c>
      <c r="BS341" s="3174">
        <f t="shared" si="230"/>
        <v>0</v>
      </c>
      <c r="BT341" s="3249">
        <f t="shared" si="231"/>
        <v>0</v>
      </c>
    </row>
    <row r="342" spans="1:72">
      <c r="A342" s="489"/>
      <c r="B342" s="356"/>
      <c r="C342" s="356"/>
      <c r="D342" s="3182"/>
      <c r="E342" s="3174">
        <f t="shared" si="232"/>
        <v>0</v>
      </c>
      <c r="F342" s="3175"/>
      <c r="G342" s="3176">
        <f t="shared" si="207"/>
        <v>0</v>
      </c>
      <c r="H342" s="3177">
        <f t="shared" si="208"/>
        <v>0</v>
      </c>
      <c r="I342" s="3200"/>
      <c r="J342" s="3200"/>
      <c r="K342" s="3200"/>
      <c r="L342" s="3200"/>
      <c r="M342" s="3200"/>
      <c r="N342" s="3200"/>
      <c r="O342" s="3200"/>
      <c r="P342" s="3200"/>
      <c r="Q342" s="3200"/>
      <c r="R342" s="3200"/>
      <c r="S342" s="3200"/>
      <c r="T342" s="3200"/>
      <c r="U342" s="3200"/>
      <c r="V342" s="3200"/>
      <c r="W342" s="3200"/>
      <c r="X342" s="3200"/>
      <c r="Y342" s="3200"/>
      <c r="Z342" s="3200"/>
      <c r="AA342" s="3200"/>
      <c r="AB342" s="3200"/>
      <c r="AC342" s="3174">
        <f t="shared" si="209"/>
        <v>0</v>
      </c>
      <c r="AD342" s="3212"/>
      <c r="AE342" s="3212"/>
      <c r="AF342" s="3212"/>
      <c r="AG342" s="3212"/>
      <c r="AH342" s="3212"/>
      <c r="AI342" s="3212"/>
      <c r="AJ342" s="3212"/>
      <c r="AK342" s="3212"/>
      <c r="AL342" s="3212"/>
      <c r="AM342" s="3212"/>
      <c r="AN342" s="3212"/>
      <c r="AO342" s="3212"/>
      <c r="AP342" s="3212"/>
      <c r="AQ342" s="3212"/>
      <c r="AR342" s="3212"/>
      <c r="AS342" s="3212"/>
      <c r="AT342" s="3175"/>
      <c r="AU342" s="3232"/>
      <c r="AV342" s="466">
        <f t="shared" si="233"/>
        <v>0</v>
      </c>
      <c r="AW342" s="466">
        <f t="shared" si="234"/>
        <v>0</v>
      </c>
      <c r="AX342" s="466">
        <f t="shared" si="235"/>
        <v>0</v>
      </c>
      <c r="AY342" s="385">
        <f t="shared" si="210"/>
        <v>0</v>
      </c>
      <c r="AZ342" s="3174">
        <f t="shared" si="211"/>
        <v>0</v>
      </c>
      <c r="BA342" s="3174">
        <f t="shared" si="212"/>
        <v>0</v>
      </c>
      <c r="BB342" s="3174">
        <f t="shared" si="213"/>
        <v>0</v>
      </c>
      <c r="BC342" s="3174">
        <f t="shared" si="214"/>
        <v>0</v>
      </c>
      <c r="BD342" s="3174">
        <f t="shared" si="215"/>
        <v>0</v>
      </c>
      <c r="BE342" s="3174">
        <f t="shared" si="216"/>
        <v>0</v>
      </c>
      <c r="BF342" s="3174">
        <f t="shared" si="217"/>
        <v>0</v>
      </c>
      <c r="BG342" s="3174">
        <f t="shared" si="218"/>
        <v>0</v>
      </c>
      <c r="BH342" s="3174">
        <f t="shared" si="219"/>
        <v>0</v>
      </c>
      <c r="BI342" s="3174">
        <f t="shared" si="220"/>
        <v>0</v>
      </c>
      <c r="BJ342" s="3174">
        <f t="shared" si="221"/>
        <v>0</v>
      </c>
      <c r="BK342" s="3174">
        <f t="shared" si="222"/>
        <v>0</v>
      </c>
      <c r="BL342" s="3174">
        <f t="shared" si="223"/>
        <v>0</v>
      </c>
      <c r="BM342" s="3174">
        <f t="shared" si="224"/>
        <v>0</v>
      </c>
      <c r="BN342" s="3174">
        <f t="shared" si="225"/>
        <v>0</v>
      </c>
      <c r="BO342" s="3174">
        <f t="shared" si="226"/>
        <v>0</v>
      </c>
      <c r="BP342" s="3174">
        <f t="shared" si="227"/>
        <v>0</v>
      </c>
      <c r="BQ342" s="3174">
        <f t="shared" si="228"/>
        <v>0</v>
      </c>
      <c r="BR342" s="3174">
        <f t="shared" si="229"/>
        <v>0</v>
      </c>
      <c r="BS342" s="3174">
        <f t="shared" si="230"/>
        <v>0</v>
      </c>
      <c r="BT342" s="3249">
        <f t="shared" si="231"/>
        <v>0</v>
      </c>
    </row>
    <row r="343" spans="1:72">
      <c r="A343" s="489"/>
      <c r="B343" s="356"/>
      <c r="C343" s="356"/>
      <c r="D343" s="3182"/>
      <c r="E343" s="3174">
        <f t="shared" si="232"/>
        <v>0</v>
      </c>
      <c r="F343" s="3175"/>
      <c r="G343" s="3176">
        <f t="shared" si="207"/>
        <v>0</v>
      </c>
      <c r="H343" s="3177">
        <f t="shared" si="208"/>
        <v>0</v>
      </c>
      <c r="I343" s="3200"/>
      <c r="J343" s="3200"/>
      <c r="K343" s="3200"/>
      <c r="L343" s="3200"/>
      <c r="M343" s="3200"/>
      <c r="N343" s="3200"/>
      <c r="O343" s="3200"/>
      <c r="P343" s="3200"/>
      <c r="Q343" s="3200"/>
      <c r="R343" s="3200"/>
      <c r="S343" s="3200"/>
      <c r="T343" s="3200"/>
      <c r="U343" s="3200"/>
      <c r="V343" s="3200"/>
      <c r="W343" s="3200"/>
      <c r="X343" s="3200"/>
      <c r="Y343" s="3200"/>
      <c r="Z343" s="3200"/>
      <c r="AA343" s="3200"/>
      <c r="AB343" s="3200"/>
      <c r="AC343" s="3174">
        <f t="shared" si="209"/>
        <v>0</v>
      </c>
      <c r="AD343" s="3212"/>
      <c r="AE343" s="3212"/>
      <c r="AF343" s="3212"/>
      <c r="AG343" s="3212"/>
      <c r="AH343" s="3212"/>
      <c r="AI343" s="3212"/>
      <c r="AJ343" s="3212"/>
      <c r="AK343" s="3212"/>
      <c r="AL343" s="3212"/>
      <c r="AM343" s="3212"/>
      <c r="AN343" s="3212"/>
      <c r="AO343" s="3212"/>
      <c r="AP343" s="3212"/>
      <c r="AQ343" s="3212"/>
      <c r="AR343" s="3212"/>
      <c r="AS343" s="3212"/>
      <c r="AT343" s="3175"/>
      <c r="AU343" s="3232"/>
      <c r="AV343" s="466">
        <f t="shared" si="233"/>
        <v>0</v>
      </c>
      <c r="AW343" s="466">
        <f t="shared" si="234"/>
        <v>0</v>
      </c>
      <c r="AX343" s="466">
        <f t="shared" si="235"/>
        <v>0</v>
      </c>
      <c r="AY343" s="385">
        <f t="shared" si="210"/>
        <v>0</v>
      </c>
      <c r="AZ343" s="3174">
        <f t="shared" si="211"/>
        <v>0</v>
      </c>
      <c r="BA343" s="3174">
        <f t="shared" si="212"/>
        <v>0</v>
      </c>
      <c r="BB343" s="3174">
        <f t="shared" si="213"/>
        <v>0</v>
      </c>
      <c r="BC343" s="3174">
        <f t="shared" si="214"/>
        <v>0</v>
      </c>
      <c r="BD343" s="3174">
        <f t="shared" si="215"/>
        <v>0</v>
      </c>
      <c r="BE343" s="3174">
        <f t="shared" si="216"/>
        <v>0</v>
      </c>
      <c r="BF343" s="3174">
        <f t="shared" si="217"/>
        <v>0</v>
      </c>
      <c r="BG343" s="3174">
        <f t="shared" si="218"/>
        <v>0</v>
      </c>
      <c r="BH343" s="3174">
        <f t="shared" si="219"/>
        <v>0</v>
      </c>
      <c r="BI343" s="3174">
        <f t="shared" si="220"/>
        <v>0</v>
      </c>
      <c r="BJ343" s="3174">
        <f t="shared" si="221"/>
        <v>0</v>
      </c>
      <c r="BK343" s="3174">
        <f t="shared" si="222"/>
        <v>0</v>
      </c>
      <c r="BL343" s="3174">
        <f t="shared" si="223"/>
        <v>0</v>
      </c>
      <c r="BM343" s="3174">
        <f t="shared" si="224"/>
        <v>0</v>
      </c>
      <c r="BN343" s="3174">
        <f t="shared" si="225"/>
        <v>0</v>
      </c>
      <c r="BO343" s="3174">
        <f t="shared" si="226"/>
        <v>0</v>
      </c>
      <c r="BP343" s="3174">
        <f t="shared" si="227"/>
        <v>0</v>
      </c>
      <c r="BQ343" s="3174">
        <f t="shared" si="228"/>
        <v>0</v>
      </c>
      <c r="BR343" s="3174">
        <f t="shared" si="229"/>
        <v>0</v>
      </c>
      <c r="BS343" s="3174">
        <f t="shared" si="230"/>
        <v>0</v>
      </c>
      <c r="BT343" s="3249">
        <f t="shared" si="231"/>
        <v>0</v>
      </c>
    </row>
    <row r="344" spans="1:72">
      <c r="A344" s="489"/>
      <c r="B344" s="356"/>
      <c r="C344" s="356"/>
      <c r="D344" s="3182"/>
      <c r="E344" s="3174">
        <f t="shared" si="232"/>
        <v>0</v>
      </c>
      <c r="F344" s="3175"/>
      <c r="G344" s="3176">
        <f t="shared" si="207"/>
        <v>0</v>
      </c>
      <c r="H344" s="3177">
        <f t="shared" si="208"/>
        <v>0</v>
      </c>
      <c r="I344" s="3200"/>
      <c r="J344" s="3200"/>
      <c r="K344" s="3200"/>
      <c r="L344" s="3200"/>
      <c r="M344" s="3200"/>
      <c r="N344" s="3200"/>
      <c r="O344" s="3200"/>
      <c r="P344" s="3200"/>
      <c r="Q344" s="3200"/>
      <c r="R344" s="3200"/>
      <c r="S344" s="3200"/>
      <c r="T344" s="3200"/>
      <c r="U344" s="3200"/>
      <c r="V344" s="3200"/>
      <c r="W344" s="3200"/>
      <c r="X344" s="3200"/>
      <c r="Y344" s="3200"/>
      <c r="Z344" s="3200"/>
      <c r="AA344" s="3200"/>
      <c r="AB344" s="3200"/>
      <c r="AC344" s="3174">
        <f t="shared" si="209"/>
        <v>0</v>
      </c>
      <c r="AD344" s="3212"/>
      <c r="AE344" s="3212"/>
      <c r="AF344" s="3212"/>
      <c r="AG344" s="3212"/>
      <c r="AH344" s="3212"/>
      <c r="AI344" s="3212"/>
      <c r="AJ344" s="3212"/>
      <c r="AK344" s="3212"/>
      <c r="AL344" s="3212"/>
      <c r="AM344" s="3212"/>
      <c r="AN344" s="3212"/>
      <c r="AO344" s="3212"/>
      <c r="AP344" s="3212"/>
      <c r="AQ344" s="3212"/>
      <c r="AR344" s="3212"/>
      <c r="AS344" s="3212"/>
      <c r="AT344" s="3175"/>
      <c r="AU344" s="3232"/>
      <c r="AV344" s="466">
        <f t="shared" si="233"/>
        <v>0</v>
      </c>
      <c r="AW344" s="466">
        <f t="shared" si="234"/>
        <v>0</v>
      </c>
      <c r="AX344" s="466">
        <f t="shared" si="235"/>
        <v>0</v>
      </c>
      <c r="AY344" s="385">
        <f t="shared" si="210"/>
        <v>0</v>
      </c>
      <c r="AZ344" s="3174">
        <f t="shared" si="211"/>
        <v>0</v>
      </c>
      <c r="BA344" s="3174">
        <f t="shared" si="212"/>
        <v>0</v>
      </c>
      <c r="BB344" s="3174">
        <f t="shared" si="213"/>
        <v>0</v>
      </c>
      <c r="BC344" s="3174">
        <f t="shared" si="214"/>
        <v>0</v>
      </c>
      <c r="BD344" s="3174">
        <f t="shared" si="215"/>
        <v>0</v>
      </c>
      <c r="BE344" s="3174">
        <f t="shared" si="216"/>
        <v>0</v>
      </c>
      <c r="BF344" s="3174">
        <f t="shared" si="217"/>
        <v>0</v>
      </c>
      <c r="BG344" s="3174">
        <f t="shared" si="218"/>
        <v>0</v>
      </c>
      <c r="BH344" s="3174">
        <f t="shared" si="219"/>
        <v>0</v>
      </c>
      <c r="BI344" s="3174">
        <f t="shared" si="220"/>
        <v>0</v>
      </c>
      <c r="BJ344" s="3174">
        <f t="shared" si="221"/>
        <v>0</v>
      </c>
      <c r="BK344" s="3174">
        <f t="shared" si="222"/>
        <v>0</v>
      </c>
      <c r="BL344" s="3174">
        <f t="shared" si="223"/>
        <v>0</v>
      </c>
      <c r="BM344" s="3174">
        <f t="shared" si="224"/>
        <v>0</v>
      </c>
      <c r="BN344" s="3174">
        <f t="shared" si="225"/>
        <v>0</v>
      </c>
      <c r="BO344" s="3174">
        <f t="shared" si="226"/>
        <v>0</v>
      </c>
      <c r="BP344" s="3174">
        <f t="shared" si="227"/>
        <v>0</v>
      </c>
      <c r="BQ344" s="3174">
        <f t="shared" si="228"/>
        <v>0</v>
      </c>
      <c r="BR344" s="3174">
        <f t="shared" si="229"/>
        <v>0</v>
      </c>
      <c r="BS344" s="3174">
        <f t="shared" si="230"/>
        <v>0</v>
      </c>
      <c r="BT344" s="3249">
        <f t="shared" si="231"/>
        <v>0</v>
      </c>
    </row>
    <row r="345" spans="1:72">
      <c r="A345" s="489"/>
      <c r="B345" s="356"/>
      <c r="C345" s="356"/>
      <c r="D345" s="3182"/>
      <c r="E345" s="3174">
        <f t="shared" si="232"/>
        <v>0</v>
      </c>
      <c r="F345" s="3175"/>
      <c r="G345" s="3176">
        <f t="shared" si="207"/>
        <v>0</v>
      </c>
      <c r="H345" s="3177">
        <f t="shared" si="208"/>
        <v>0</v>
      </c>
      <c r="I345" s="3200"/>
      <c r="J345" s="3200"/>
      <c r="K345" s="3200"/>
      <c r="L345" s="3200"/>
      <c r="M345" s="3200"/>
      <c r="N345" s="3200"/>
      <c r="O345" s="3200"/>
      <c r="P345" s="3200"/>
      <c r="Q345" s="3200"/>
      <c r="R345" s="3200"/>
      <c r="S345" s="3200"/>
      <c r="T345" s="3200"/>
      <c r="U345" s="3200"/>
      <c r="V345" s="3200"/>
      <c r="W345" s="3200"/>
      <c r="X345" s="3200"/>
      <c r="Y345" s="3200"/>
      <c r="Z345" s="3200"/>
      <c r="AA345" s="3200"/>
      <c r="AB345" s="3200"/>
      <c r="AC345" s="3174">
        <f t="shared" si="209"/>
        <v>0</v>
      </c>
      <c r="AD345" s="3212"/>
      <c r="AE345" s="3212"/>
      <c r="AF345" s="3212"/>
      <c r="AG345" s="3212"/>
      <c r="AH345" s="3212"/>
      <c r="AI345" s="3212"/>
      <c r="AJ345" s="3212"/>
      <c r="AK345" s="3212"/>
      <c r="AL345" s="3212"/>
      <c r="AM345" s="3212"/>
      <c r="AN345" s="3212"/>
      <c r="AO345" s="3212"/>
      <c r="AP345" s="3212"/>
      <c r="AQ345" s="3212"/>
      <c r="AR345" s="3212"/>
      <c r="AS345" s="3212"/>
      <c r="AT345" s="3175"/>
      <c r="AU345" s="3232"/>
      <c r="AV345" s="466">
        <f t="shared" si="233"/>
        <v>0</v>
      </c>
      <c r="AW345" s="466">
        <f t="shared" si="234"/>
        <v>0</v>
      </c>
      <c r="AX345" s="466">
        <f t="shared" si="235"/>
        <v>0</v>
      </c>
      <c r="AY345" s="385">
        <f t="shared" si="210"/>
        <v>0</v>
      </c>
      <c r="AZ345" s="3174">
        <f t="shared" si="211"/>
        <v>0</v>
      </c>
      <c r="BA345" s="3174">
        <f t="shared" si="212"/>
        <v>0</v>
      </c>
      <c r="BB345" s="3174">
        <f t="shared" si="213"/>
        <v>0</v>
      </c>
      <c r="BC345" s="3174">
        <f t="shared" si="214"/>
        <v>0</v>
      </c>
      <c r="BD345" s="3174">
        <f t="shared" si="215"/>
        <v>0</v>
      </c>
      <c r="BE345" s="3174">
        <f t="shared" si="216"/>
        <v>0</v>
      </c>
      <c r="BF345" s="3174">
        <f t="shared" si="217"/>
        <v>0</v>
      </c>
      <c r="BG345" s="3174">
        <f t="shared" si="218"/>
        <v>0</v>
      </c>
      <c r="BH345" s="3174">
        <f t="shared" si="219"/>
        <v>0</v>
      </c>
      <c r="BI345" s="3174">
        <f t="shared" si="220"/>
        <v>0</v>
      </c>
      <c r="BJ345" s="3174">
        <f t="shared" si="221"/>
        <v>0</v>
      </c>
      <c r="BK345" s="3174">
        <f t="shared" si="222"/>
        <v>0</v>
      </c>
      <c r="BL345" s="3174">
        <f t="shared" si="223"/>
        <v>0</v>
      </c>
      <c r="BM345" s="3174">
        <f t="shared" si="224"/>
        <v>0</v>
      </c>
      <c r="BN345" s="3174">
        <f t="shared" si="225"/>
        <v>0</v>
      </c>
      <c r="BO345" s="3174">
        <f t="shared" si="226"/>
        <v>0</v>
      </c>
      <c r="BP345" s="3174">
        <f t="shared" si="227"/>
        <v>0</v>
      </c>
      <c r="BQ345" s="3174">
        <f t="shared" si="228"/>
        <v>0</v>
      </c>
      <c r="BR345" s="3174">
        <f t="shared" si="229"/>
        <v>0</v>
      </c>
      <c r="BS345" s="3174">
        <f t="shared" si="230"/>
        <v>0</v>
      </c>
      <c r="BT345" s="3249">
        <f t="shared" si="231"/>
        <v>0</v>
      </c>
    </row>
    <row r="346" spans="1:72">
      <c r="A346" s="489"/>
      <c r="B346" s="356"/>
      <c r="C346" s="356"/>
      <c r="D346" s="3182"/>
      <c r="E346" s="3174">
        <f t="shared" si="232"/>
        <v>0</v>
      </c>
      <c r="F346" s="3175"/>
      <c r="G346" s="3176">
        <f t="shared" si="207"/>
        <v>0</v>
      </c>
      <c r="H346" s="3177">
        <f t="shared" si="208"/>
        <v>0</v>
      </c>
      <c r="I346" s="3200"/>
      <c r="J346" s="3200"/>
      <c r="K346" s="3200"/>
      <c r="L346" s="3200"/>
      <c r="M346" s="3200"/>
      <c r="N346" s="3200"/>
      <c r="O346" s="3200"/>
      <c r="P346" s="3200"/>
      <c r="Q346" s="3200"/>
      <c r="R346" s="3200"/>
      <c r="S346" s="3200"/>
      <c r="T346" s="3200"/>
      <c r="U346" s="3200"/>
      <c r="V346" s="3200"/>
      <c r="W346" s="3200"/>
      <c r="X346" s="3200"/>
      <c r="Y346" s="3200"/>
      <c r="Z346" s="3200"/>
      <c r="AA346" s="3200"/>
      <c r="AB346" s="3200"/>
      <c r="AC346" s="3174">
        <f t="shared" si="209"/>
        <v>0</v>
      </c>
      <c r="AD346" s="3212"/>
      <c r="AE346" s="3212"/>
      <c r="AF346" s="3212"/>
      <c r="AG346" s="3212"/>
      <c r="AH346" s="3212"/>
      <c r="AI346" s="3212"/>
      <c r="AJ346" s="3212"/>
      <c r="AK346" s="3212"/>
      <c r="AL346" s="3212"/>
      <c r="AM346" s="3212"/>
      <c r="AN346" s="3212"/>
      <c r="AO346" s="3212"/>
      <c r="AP346" s="3212"/>
      <c r="AQ346" s="3212"/>
      <c r="AR346" s="3212"/>
      <c r="AS346" s="3212"/>
      <c r="AT346" s="3175"/>
      <c r="AU346" s="3232"/>
      <c r="AV346" s="466">
        <f t="shared" si="233"/>
        <v>0</v>
      </c>
      <c r="AW346" s="466">
        <f t="shared" si="234"/>
        <v>0</v>
      </c>
      <c r="AX346" s="466">
        <f t="shared" si="235"/>
        <v>0</v>
      </c>
      <c r="AY346" s="385">
        <f t="shared" si="210"/>
        <v>0</v>
      </c>
      <c r="AZ346" s="3174">
        <f t="shared" si="211"/>
        <v>0</v>
      </c>
      <c r="BA346" s="3174">
        <f t="shared" si="212"/>
        <v>0</v>
      </c>
      <c r="BB346" s="3174">
        <f t="shared" si="213"/>
        <v>0</v>
      </c>
      <c r="BC346" s="3174">
        <f t="shared" si="214"/>
        <v>0</v>
      </c>
      <c r="BD346" s="3174">
        <f t="shared" si="215"/>
        <v>0</v>
      </c>
      <c r="BE346" s="3174">
        <f t="shared" si="216"/>
        <v>0</v>
      </c>
      <c r="BF346" s="3174">
        <f t="shared" si="217"/>
        <v>0</v>
      </c>
      <c r="BG346" s="3174">
        <f t="shared" si="218"/>
        <v>0</v>
      </c>
      <c r="BH346" s="3174">
        <f t="shared" si="219"/>
        <v>0</v>
      </c>
      <c r="BI346" s="3174">
        <f t="shared" si="220"/>
        <v>0</v>
      </c>
      <c r="BJ346" s="3174">
        <f t="shared" si="221"/>
        <v>0</v>
      </c>
      <c r="BK346" s="3174">
        <f t="shared" si="222"/>
        <v>0</v>
      </c>
      <c r="BL346" s="3174">
        <f t="shared" si="223"/>
        <v>0</v>
      </c>
      <c r="BM346" s="3174">
        <f t="shared" si="224"/>
        <v>0</v>
      </c>
      <c r="BN346" s="3174">
        <f t="shared" si="225"/>
        <v>0</v>
      </c>
      <c r="BO346" s="3174">
        <f t="shared" si="226"/>
        <v>0</v>
      </c>
      <c r="BP346" s="3174">
        <f t="shared" si="227"/>
        <v>0</v>
      </c>
      <c r="BQ346" s="3174">
        <f t="shared" si="228"/>
        <v>0</v>
      </c>
      <c r="BR346" s="3174">
        <f t="shared" si="229"/>
        <v>0</v>
      </c>
      <c r="BS346" s="3174">
        <f t="shared" si="230"/>
        <v>0</v>
      </c>
      <c r="BT346" s="3249">
        <f t="shared" si="231"/>
        <v>0</v>
      </c>
    </row>
    <row r="347" spans="1:72">
      <c r="A347" s="489"/>
      <c r="B347" s="356"/>
      <c r="C347" s="356"/>
      <c r="D347" s="3182"/>
      <c r="E347" s="3174">
        <f t="shared" si="232"/>
        <v>0</v>
      </c>
      <c r="F347" s="3175"/>
      <c r="G347" s="3176">
        <f t="shared" si="207"/>
        <v>0</v>
      </c>
      <c r="H347" s="3177">
        <f t="shared" si="208"/>
        <v>0</v>
      </c>
      <c r="I347" s="3200"/>
      <c r="J347" s="3200"/>
      <c r="K347" s="3200"/>
      <c r="L347" s="3200"/>
      <c r="M347" s="3200"/>
      <c r="N347" s="3200"/>
      <c r="O347" s="3200"/>
      <c r="P347" s="3200"/>
      <c r="Q347" s="3200"/>
      <c r="R347" s="3200"/>
      <c r="S347" s="3200"/>
      <c r="T347" s="3200"/>
      <c r="U347" s="3200"/>
      <c r="V347" s="3200"/>
      <c r="W347" s="3200"/>
      <c r="X347" s="3200"/>
      <c r="Y347" s="3200"/>
      <c r="Z347" s="3200"/>
      <c r="AA347" s="3200"/>
      <c r="AB347" s="3200"/>
      <c r="AC347" s="3174">
        <f t="shared" si="209"/>
        <v>0</v>
      </c>
      <c r="AD347" s="3212"/>
      <c r="AE347" s="3212"/>
      <c r="AF347" s="3212"/>
      <c r="AG347" s="3212"/>
      <c r="AH347" s="3212"/>
      <c r="AI347" s="3212"/>
      <c r="AJ347" s="3212"/>
      <c r="AK347" s="3212"/>
      <c r="AL347" s="3212"/>
      <c r="AM347" s="3212"/>
      <c r="AN347" s="3212"/>
      <c r="AO347" s="3212"/>
      <c r="AP347" s="3212"/>
      <c r="AQ347" s="3212"/>
      <c r="AR347" s="3212"/>
      <c r="AS347" s="3212"/>
      <c r="AT347" s="3175"/>
      <c r="AU347" s="3232"/>
      <c r="AV347" s="466">
        <f t="shared" si="233"/>
        <v>0</v>
      </c>
      <c r="AW347" s="466">
        <f t="shared" si="234"/>
        <v>0</v>
      </c>
      <c r="AX347" s="466">
        <f t="shared" si="235"/>
        <v>0</v>
      </c>
      <c r="AY347" s="385">
        <f t="shared" si="210"/>
        <v>0</v>
      </c>
      <c r="AZ347" s="3174">
        <f t="shared" si="211"/>
        <v>0</v>
      </c>
      <c r="BA347" s="3174">
        <f t="shared" si="212"/>
        <v>0</v>
      </c>
      <c r="BB347" s="3174">
        <f t="shared" si="213"/>
        <v>0</v>
      </c>
      <c r="BC347" s="3174">
        <f t="shared" si="214"/>
        <v>0</v>
      </c>
      <c r="BD347" s="3174">
        <f t="shared" si="215"/>
        <v>0</v>
      </c>
      <c r="BE347" s="3174">
        <f t="shared" si="216"/>
        <v>0</v>
      </c>
      <c r="BF347" s="3174">
        <f t="shared" si="217"/>
        <v>0</v>
      </c>
      <c r="BG347" s="3174">
        <f t="shared" si="218"/>
        <v>0</v>
      </c>
      <c r="BH347" s="3174">
        <f t="shared" si="219"/>
        <v>0</v>
      </c>
      <c r="BI347" s="3174">
        <f t="shared" si="220"/>
        <v>0</v>
      </c>
      <c r="BJ347" s="3174">
        <f t="shared" si="221"/>
        <v>0</v>
      </c>
      <c r="BK347" s="3174">
        <f t="shared" si="222"/>
        <v>0</v>
      </c>
      <c r="BL347" s="3174">
        <f t="shared" si="223"/>
        <v>0</v>
      </c>
      <c r="BM347" s="3174">
        <f t="shared" si="224"/>
        <v>0</v>
      </c>
      <c r="BN347" s="3174">
        <f t="shared" si="225"/>
        <v>0</v>
      </c>
      <c r="BO347" s="3174">
        <f t="shared" si="226"/>
        <v>0</v>
      </c>
      <c r="BP347" s="3174">
        <f t="shared" si="227"/>
        <v>0</v>
      </c>
      <c r="BQ347" s="3174">
        <f t="shared" si="228"/>
        <v>0</v>
      </c>
      <c r="BR347" s="3174">
        <f t="shared" si="229"/>
        <v>0</v>
      </c>
      <c r="BS347" s="3174">
        <f t="shared" si="230"/>
        <v>0</v>
      </c>
      <c r="BT347" s="3249">
        <f t="shared" si="231"/>
        <v>0</v>
      </c>
    </row>
    <row r="348" spans="1:72">
      <c r="A348" s="489"/>
      <c r="B348" s="356"/>
      <c r="C348" s="356"/>
      <c r="D348" s="3182"/>
      <c r="E348" s="3174">
        <f t="shared" si="232"/>
        <v>0</v>
      </c>
      <c r="F348" s="3175"/>
      <c r="G348" s="3176">
        <f t="shared" si="207"/>
        <v>0</v>
      </c>
      <c r="H348" s="3177">
        <f t="shared" si="208"/>
        <v>0</v>
      </c>
      <c r="I348" s="3200"/>
      <c r="J348" s="3200"/>
      <c r="K348" s="3200"/>
      <c r="L348" s="3200"/>
      <c r="M348" s="3200"/>
      <c r="N348" s="3200"/>
      <c r="O348" s="3200"/>
      <c r="P348" s="3200"/>
      <c r="Q348" s="3200"/>
      <c r="R348" s="3200"/>
      <c r="S348" s="3200"/>
      <c r="T348" s="3200"/>
      <c r="U348" s="3200"/>
      <c r="V348" s="3200"/>
      <c r="W348" s="3200"/>
      <c r="X348" s="3200"/>
      <c r="Y348" s="3200"/>
      <c r="Z348" s="3200"/>
      <c r="AA348" s="3200"/>
      <c r="AB348" s="3200"/>
      <c r="AC348" s="3174">
        <f t="shared" si="209"/>
        <v>0</v>
      </c>
      <c r="AD348" s="3212"/>
      <c r="AE348" s="3212"/>
      <c r="AF348" s="3212"/>
      <c r="AG348" s="3212"/>
      <c r="AH348" s="3212"/>
      <c r="AI348" s="3212"/>
      <c r="AJ348" s="3212"/>
      <c r="AK348" s="3212"/>
      <c r="AL348" s="3212"/>
      <c r="AM348" s="3212"/>
      <c r="AN348" s="3212"/>
      <c r="AO348" s="3212"/>
      <c r="AP348" s="3212"/>
      <c r="AQ348" s="3212"/>
      <c r="AR348" s="3212"/>
      <c r="AS348" s="3212"/>
      <c r="AT348" s="3175"/>
      <c r="AU348" s="3232"/>
      <c r="AV348" s="466">
        <f t="shared" si="233"/>
        <v>0</v>
      </c>
      <c r="AW348" s="466">
        <f t="shared" si="234"/>
        <v>0</v>
      </c>
      <c r="AX348" s="466">
        <f t="shared" si="235"/>
        <v>0</v>
      </c>
      <c r="AY348" s="385">
        <f t="shared" si="210"/>
        <v>0</v>
      </c>
      <c r="AZ348" s="3174">
        <f t="shared" si="211"/>
        <v>0</v>
      </c>
      <c r="BA348" s="3174">
        <f t="shared" si="212"/>
        <v>0</v>
      </c>
      <c r="BB348" s="3174">
        <f t="shared" si="213"/>
        <v>0</v>
      </c>
      <c r="BC348" s="3174">
        <f t="shared" si="214"/>
        <v>0</v>
      </c>
      <c r="BD348" s="3174">
        <f t="shared" si="215"/>
        <v>0</v>
      </c>
      <c r="BE348" s="3174">
        <f t="shared" si="216"/>
        <v>0</v>
      </c>
      <c r="BF348" s="3174">
        <f t="shared" si="217"/>
        <v>0</v>
      </c>
      <c r="BG348" s="3174">
        <f t="shared" si="218"/>
        <v>0</v>
      </c>
      <c r="BH348" s="3174">
        <f t="shared" si="219"/>
        <v>0</v>
      </c>
      <c r="BI348" s="3174">
        <f t="shared" si="220"/>
        <v>0</v>
      </c>
      <c r="BJ348" s="3174">
        <f t="shared" si="221"/>
        <v>0</v>
      </c>
      <c r="BK348" s="3174">
        <f t="shared" si="222"/>
        <v>0</v>
      </c>
      <c r="BL348" s="3174">
        <f t="shared" si="223"/>
        <v>0</v>
      </c>
      <c r="BM348" s="3174">
        <f t="shared" si="224"/>
        <v>0</v>
      </c>
      <c r="BN348" s="3174">
        <f t="shared" si="225"/>
        <v>0</v>
      </c>
      <c r="BO348" s="3174">
        <f t="shared" si="226"/>
        <v>0</v>
      </c>
      <c r="BP348" s="3174">
        <f t="shared" si="227"/>
        <v>0</v>
      </c>
      <c r="BQ348" s="3174">
        <f t="shared" si="228"/>
        <v>0</v>
      </c>
      <c r="BR348" s="3174">
        <f t="shared" si="229"/>
        <v>0</v>
      </c>
      <c r="BS348" s="3174">
        <f t="shared" si="230"/>
        <v>0</v>
      </c>
      <c r="BT348" s="3249">
        <f t="shared" si="231"/>
        <v>0</v>
      </c>
    </row>
    <row r="349" spans="1:72">
      <c r="A349" s="489"/>
      <c r="B349" s="356"/>
      <c r="C349" s="356"/>
      <c r="D349" s="3182"/>
      <c r="E349" s="3174">
        <f t="shared" si="232"/>
        <v>0</v>
      </c>
      <c r="F349" s="3175"/>
      <c r="G349" s="3176">
        <f t="shared" si="207"/>
        <v>0</v>
      </c>
      <c r="H349" s="3177">
        <f t="shared" si="208"/>
        <v>0</v>
      </c>
      <c r="I349" s="3200"/>
      <c r="J349" s="3200"/>
      <c r="K349" s="3200"/>
      <c r="L349" s="3200"/>
      <c r="M349" s="3200"/>
      <c r="N349" s="3200"/>
      <c r="O349" s="3200"/>
      <c r="P349" s="3200"/>
      <c r="Q349" s="3200"/>
      <c r="R349" s="3200"/>
      <c r="S349" s="3200"/>
      <c r="T349" s="3200"/>
      <c r="U349" s="3200"/>
      <c r="V349" s="3200"/>
      <c r="W349" s="3200"/>
      <c r="X349" s="3200"/>
      <c r="Y349" s="3200"/>
      <c r="Z349" s="3200"/>
      <c r="AA349" s="3200"/>
      <c r="AB349" s="3200"/>
      <c r="AC349" s="3174">
        <f t="shared" si="209"/>
        <v>0</v>
      </c>
      <c r="AD349" s="3212"/>
      <c r="AE349" s="3212"/>
      <c r="AF349" s="3212"/>
      <c r="AG349" s="3212"/>
      <c r="AH349" s="3212"/>
      <c r="AI349" s="3212"/>
      <c r="AJ349" s="3212"/>
      <c r="AK349" s="3212"/>
      <c r="AL349" s="3212"/>
      <c r="AM349" s="3212"/>
      <c r="AN349" s="3212"/>
      <c r="AO349" s="3212"/>
      <c r="AP349" s="3212"/>
      <c r="AQ349" s="3212"/>
      <c r="AR349" s="3212"/>
      <c r="AS349" s="3212"/>
      <c r="AT349" s="3175"/>
      <c r="AU349" s="3232"/>
      <c r="AV349" s="466">
        <f t="shared" si="233"/>
        <v>0</v>
      </c>
      <c r="AW349" s="466">
        <f t="shared" si="234"/>
        <v>0</v>
      </c>
      <c r="AX349" s="466">
        <f t="shared" si="235"/>
        <v>0</v>
      </c>
      <c r="AY349" s="385">
        <f t="shared" si="210"/>
        <v>0</v>
      </c>
      <c r="AZ349" s="3174">
        <f t="shared" si="211"/>
        <v>0</v>
      </c>
      <c r="BA349" s="3174">
        <f t="shared" si="212"/>
        <v>0</v>
      </c>
      <c r="BB349" s="3174">
        <f t="shared" si="213"/>
        <v>0</v>
      </c>
      <c r="BC349" s="3174">
        <f t="shared" si="214"/>
        <v>0</v>
      </c>
      <c r="BD349" s="3174">
        <f t="shared" si="215"/>
        <v>0</v>
      </c>
      <c r="BE349" s="3174">
        <f t="shared" si="216"/>
        <v>0</v>
      </c>
      <c r="BF349" s="3174">
        <f t="shared" si="217"/>
        <v>0</v>
      </c>
      <c r="BG349" s="3174">
        <f t="shared" si="218"/>
        <v>0</v>
      </c>
      <c r="BH349" s="3174">
        <f t="shared" si="219"/>
        <v>0</v>
      </c>
      <c r="BI349" s="3174">
        <f t="shared" si="220"/>
        <v>0</v>
      </c>
      <c r="BJ349" s="3174">
        <f t="shared" si="221"/>
        <v>0</v>
      </c>
      <c r="BK349" s="3174">
        <f t="shared" si="222"/>
        <v>0</v>
      </c>
      <c r="BL349" s="3174">
        <f t="shared" si="223"/>
        <v>0</v>
      </c>
      <c r="BM349" s="3174">
        <f t="shared" si="224"/>
        <v>0</v>
      </c>
      <c r="BN349" s="3174">
        <f t="shared" si="225"/>
        <v>0</v>
      </c>
      <c r="BO349" s="3174">
        <f t="shared" si="226"/>
        <v>0</v>
      </c>
      <c r="BP349" s="3174">
        <f t="shared" si="227"/>
        <v>0</v>
      </c>
      <c r="BQ349" s="3174">
        <f t="shared" si="228"/>
        <v>0</v>
      </c>
      <c r="BR349" s="3174">
        <f t="shared" si="229"/>
        <v>0</v>
      </c>
      <c r="BS349" s="3174">
        <f t="shared" si="230"/>
        <v>0</v>
      </c>
      <c r="BT349" s="3249">
        <f t="shared" si="231"/>
        <v>0</v>
      </c>
    </row>
    <row r="350" spans="1:72">
      <c r="A350" s="489"/>
      <c r="B350" s="356"/>
      <c r="C350" s="356"/>
      <c r="D350" s="3182"/>
      <c r="E350" s="3174">
        <f t="shared" si="232"/>
        <v>0</v>
      </c>
      <c r="F350" s="3175"/>
      <c r="G350" s="3176">
        <f t="shared" si="207"/>
        <v>0</v>
      </c>
      <c r="H350" s="3177">
        <f t="shared" si="208"/>
        <v>0</v>
      </c>
      <c r="I350" s="3200"/>
      <c r="J350" s="3200"/>
      <c r="K350" s="3200"/>
      <c r="L350" s="3200"/>
      <c r="M350" s="3200"/>
      <c r="N350" s="3200"/>
      <c r="O350" s="3200"/>
      <c r="P350" s="3200"/>
      <c r="Q350" s="3200"/>
      <c r="R350" s="3200"/>
      <c r="S350" s="3200"/>
      <c r="T350" s="3200"/>
      <c r="U350" s="3200"/>
      <c r="V350" s="3200"/>
      <c r="W350" s="3200"/>
      <c r="X350" s="3200"/>
      <c r="Y350" s="3200"/>
      <c r="Z350" s="3200"/>
      <c r="AA350" s="3200"/>
      <c r="AB350" s="3200"/>
      <c r="AC350" s="3174">
        <f t="shared" si="209"/>
        <v>0</v>
      </c>
      <c r="AD350" s="3212"/>
      <c r="AE350" s="3212"/>
      <c r="AF350" s="3212"/>
      <c r="AG350" s="3212"/>
      <c r="AH350" s="3212"/>
      <c r="AI350" s="3212"/>
      <c r="AJ350" s="3212"/>
      <c r="AK350" s="3212"/>
      <c r="AL350" s="3212"/>
      <c r="AM350" s="3212"/>
      <c r="AN350" s="3212"/>
      <c r="AO350" s="3212"/>
      <c r="AP350" s="3212"/>
      <c r="AQ350" s="3212"/>
      <c r="AR350" s="3212"/>
      <c r="AS350" s="3212"/>
      <c r="AT350" s="3175"/>
      <c r="AU350" s="3232"/>
      <c r="AV350" s="466">
        <f t="shared" si="233"/>
        <v>0</v>
      </c>
      <c r="AW350" s="466">
        <f t="shared" si="234"/>
        <v>0</v>
      </c>
      <c r="AX350" s="466">
        <f t="shared" si="235"/>
        <v>0</v>
      </c>
      <c r="AY350" s="385">
        <f t="shared" si="210"/>
        <v>0</v>
      </c>
      <c r="AZ350" s="3174">
        <f t="shared" si="211"/>
        <v>0</v>
      </c>
      <c r="BA350" s="3174">
        <f t="shared" si="212"/>
        <v>0</v>
      </c>
      <c r="BB350" s="3174">
        <f t="shared" si="213"/>
        <v>0</v>
      </c>
      <c r="BC350" s="3174">
        <f t="shared" si="214"/>
        <v>0</v>
      </c>
      <c r="BD350" s="3174">
        <f t="shared" si="215"/>
        <v>0</v>
      </c>
      <c r="BE350" s="3174">
        <f t="shared" si="216"/>
        <v>0</v>
      </c>
      <c r="BF350" s="3174">
        <f t="shared" si="217"/>
        <v>0</v>
      </c>
      <c r="BG350" s="3174">
        <f t="shared" si="218"/>
        <v>0</v>
      </c>
      <c r="BH350" s="3174">
        <f t="shared" si="219"/>
        <v>0</v>
      </c>
      <c r="BI350" s="3174">
        <f t="shared" si="220"/>
        <v>0</v>
      </c>
      <c r="BJ350" s="3174">
        <f t="shared" si="221"/>
        <v>0</v>
      </c>
      <c r="BK350" s="3174">
        <f t="shared" si="222"/>
        <v>0</v>
      </c>
      <c r="BL350" s="3174">
        <f t="shared" si="223"/>
        <v>0</v>
      </c>
      <c r="BM350" s="3174">
        <f t="shared" si="224"/>
        <v>0</v>
      </c>
      <c r="BN350" s="3174">
        <f t="shared" si="225"/>
        <v>0</v>
      </c>
      <c r="BO350" s="3174">
        <f t="shared" si="226"/>
        <v>0</v>
      </c>
      <c r="BP350" s="3174">
        <f t="shared" si="227"/>
        <v>0</v>
      </c>
      <c r="BQ350" s="3174">
        <f t="shared" si="228"/>
        <v>0</v>
      </c>
      <c r="BR350" s="3174">
        <f t="shared" si="229"/>
        <v>0</v>
      </c>
      <c r="BS350" s="3174">
        <f t="shared" si="230"/>
        <v>0</v>
      </c>
      <c r="BT350" s="3249">
        <f t="shared" si="231"/>
        <v>0</v>
      </c>
    </row>
    <row r="351" spans="1:72">
      <c r="A351" s="489"/>
      <c r="B351" s="356"/>
      <c r="C351" s="356"/>
      <c r="D351" s="3182"/>
      <c r="E351" s="3174">
        <f t="shared" si="232"/>
        <v>0</v>
      </c>
      <c r="F351" s="3175"/>
      <c r="G351" s="3176">
        <f t="shared" si="207"/>
        <v>0</v>
      </c>
      <c r="H351" s="3177">
        <f t="shared" si="208"/>
        <v>0</v>
      </c>
      <c r="I351" s="3200"/>
      <c r="J351" s="3200"/>
      <c r="K351" s="3200"/>
      <c r="L351" s="3200"/>
      <c r="M351" s="3200"/>
      <c r="N351" s="3200"/>
      <c r="O351" s="3200"/>
      <c r="P351" s="3200"/>
      <c r="Q351" s="3200"/>
      <c r="R351" s="3200"/>
      <c r="S351" s="3200"/>
      <c r="T351" s="3200"/>
      <c r="U351" s="3200"/>
      <c r="V351" s="3200"/>
      <c r="W351" s="3200"/>
      <c r="X351" s="3200"/>
      <c r="Y351" s="3200"/>
      <c r="Z351" s="3200"/>
      <c r="AA351" s="3200"/>
      <c r="AB351" s="3200"/>
      <c r="AC351" s="3174">
        <f t="shared" si="209"/>
        <v>0</v>
      </c>
      <c r="AD351" s="3212"/>
      <c r="AE351" s="3212"/>
      <c r="AF351" s="3212"/>
      <c r="AG351" s="3212"/>
      <c r="AH351" s="3212"/>
      <c r="AI351" s="3212"/>
      <c r="AJ351" s="3212"/>
      <c r="AK351" s="3212"/>
      <c r="AL351" s="3212"/>
      <c r="AM351" s="3212"/>
      <c r="AN351" s="3212"/>
      <c r="AO351" s="3212"/>
      <c r="AP351" s="3212"/>
      <c r="AQ351" s="3212"/>
      <c r="AR351" s="3212"/>
      <c r="AS351" s="3212"/>
      <c r="AT351" s="3175"/>
      <c r="AU351" s="3232"/>
      <c r="AV351" s="466">
        <f t="shared" si="233"/>
        <v>0</v>
      </c>
      <c r="AW351" s="466">
        <f t="shared" si="234"/>
        <v>0</v>
      </c>
      <c r="AX351" s="466">
        <f t="shared" si="235"/>
        <v>0</v>
      </c>
      <c r="AY351" s="385">
        <f t="shared" si="210"/>
        <v>0</v>
      </c>
      <c r="AZ351" s="3174">
        <f t="shared" si="211"/>
        <v>0</v>
      </c>
      <c r="BA351" s="3174">
        <f t="shared" si="212"/>
        <v>0</v>
      </c>
      <c r="BB351" s="3174">
        <f t="shared" si="213"/>
        <v>0</v>
      </c>
      <c r="BC351" s="3174">
        <f t="shared" si="214"/>
        <v>0</v>
      </c>
      <c r="BD351" s="3174">
        <f t="shared" si="215"/>
        <v>0</v>
      </c>
      <c r="BE351" s="3174">
        <f t="shared" si="216"/>
        <v>0</v>
      </c>
      <c r="BF351" s="3174">
        <f t="shared" si="217"/>
        <v>0</v>
      </c>
      <c r="BG351" s="3174">
        <f t="shared" si="218"/>
        <v>0</v>
      </c>
      <c r="BH351" s="3174">
        <f t="shared" si="219"/>
        <v>0</v>
      </c>
      <c r="BI351" s="3174">
        <f t="shared" si="220"/>
        <v>0</v>
      </c>
      <c r="BJ351" s="3174">
        <f t="shared" si="221"/>
        <v>0</v>
      </c>
      <c r="BK351" s="3174">
        <f t="shared" si="222"/>
        <v>0</v>
      </c>
      <c r="BL351" s="3174">
        <f t="shared" si="223"/>
        <v>0</v>
      </c>
      <c r="BM351" s="3174">
        <f t="shared" si="224"/>
        <v>0</v>
      </c>
      <c r="BN351" s="3174">
        <f t="shared" si="225"/>
        <v>0</v>
      </c>
      <c r="BO351" s="3174">
        <f t="shared" si="226"/>
        <v>0</v>
      </c>
      <c r="BP351" s="3174">
        <f t="shared" si="227"/>
        <v>0</v>
      </c>
      <c r="BQ351" s="3174">
        <f t="shared" si="228"/>
        <v>0</v>
      </c>
      <c r="BR351" s="3174">
        <f t="shared" si="229"/>
        <v>0</v>
      </c>
      <c r="BS351" s="3174">
        <f t="shared" si="230"/>
        <v>0</v>
      </c>
      <c r="BT351" s="3249">
        <f t="shared" si="231"/>
        <v>0</v>
      </c>
    </row>
    <row r="352" spans="1:72">
      <c r="A352" s="489"/>
      <c r="B352" s="356"/>
      <c r="C352" s="356"/>
      <c r="D352" s="3182"/>
      <c r="E352" s="3174">
        <f t="shared" si="232"/>
        <v>0</v>
      </c>
      <c r="F352" s="3175"/>
      <c r="G352" s="3176">
        <f t="shared" si="207"/>
        <v>0</v>
      </c>
      <c r="H352" s="3177">
        <f t="shared" si="208"/>
        <v>0</v>
      </c>
      <c r="I352" s="3200"/>
      <c r="J352" s="3200"/>
      <c r="K352" s="3200"/>
      <c r="L352" s="3200"/>
      <c r="M352" s="3200"/>
      <c r="N352" s="3200"/>
      <c r="O352" s="3200"/>
      <c r="P352" s="3200"/>
      <c r="Q352" s="3200"/>
      <c r="R352" s="3200"/>
      <c r="S352" s="3200"/>
      <c r="T352" s="3200"/>
      <c r="U352" s="3200"/>
      <c r="V352" s="3200"/>
      <c r="W352" s="3200"/>
      <c r="X352" s="3200"/>
      <c r="Y352" s="3200"/>
      <c r="Z352" s="3200"/>
      <c r="AA352" s="3200"/>
      <c r="AB352" s="3200"/>
      <c r="AC352" s="3174">
        <f t="shared" si="209"/>
        <v>0</v>
      </c>
      <c r="AD352" s="3212"/>
      <c r="AE352" s="3212"/>
      <c r="AF352" s="3212"/>
      <c r="AG352" s="3212"/>
      <c r="AH352" s="3212"/>
      <c r="AI352" s="3212"/>
      <c r="AJ352" s="3212"/>
      <c r="AK352" s="3212"/>
      <c r="AL352" s="3212"/>
      <c r="AM352" s="3212"/>
      <c r="AN352" s="3212"/>
      <c r="AO352" s="3212"/>
      <c r="AP352" s="3212"/>
      <c r="AQ352" s="3212"/>
      <c r="AR352" s="3212"/>
      <c r="AS352" s="3212"/>
      <c r="AT352" s="3175"/>
      <c r="AU352" s="3232"/>
      <c r="AV352" s="466">
        <f t="shared" si="233"/>
        <v>0</v>
      </c>
      <c r="AW352" s="466">
        <f t="shared" si="234"/>
        <v>0</v>
      </c>
      <c r="AX352" s="466">
        <f t="shared" si="235"/>
        <v>0</v>
      </c>
      <c r="AY352" s="385">
        <f t="shared" si="210"/>
        <v>0</v>
      </c>
      <c r="AZ352" s="3174">
        <f t="shared" si="211"/>
        <v>0</v>
      </c>
      <c r="BA352" s="3174">
        <f t="shared" si="212"/>
        <v>0</v>
      </c>
      <c r="BB352" s="3174">
        <f t="shared" si="213"/>
        <v>0</v>
      </c>
      <c r="BC352" s="3174">
        <f t="shared" si="214"/>
        <v>0</v>
      </c>
      <c r="BD352" s="3174">
        <f t="shared" si="215"/>
        <v>0</v>
      </c>
      <c r="BE352" s="3174">
        <f t="shared" si="216"/>
        <v>0</v>
      </c>
      <c r="BF352" s="3174">
        <f t="shared" si="217"/>
        <v>0</v>
      </c>
      <c r="BG352" s="3174">
        <f t="shared" si="218"/>
        <v>0</v>
      </c>
      <c r="BH352" s="3174">
        <f t="shared" si="219"/>
        <v>0</v>
      </c>
      <c r="BI352" s="3174">
        <f t="shared" si="220"/>
        <v>0</v>
      </c>
      <c r="BJ352" s="3174">
        <f t="shared" si="221"/>
        <v>0</v>
      </c>
      <c r="BK352" s="3174">
        <f t="shared" si="222"/>
        <v>0</v>
      </c>
      <c r="BL352" s="3174">
        <f t="shared" si="223"/>
        <v>0</v>
      </c>
      <c r="BM352" s="3174">
        <f t="shared" si="224"/>
        <v>0</v>
      </c>
      <c r="BN352" s="3174">
        <f t="shared" si="225"/>
        <v>0</v>
      </c>
      <c r="BO352" s="3174">
        <f t="shared" si="226"/>
        <v>0</v>
      </c>
      <c r="BP352" s="3174">
        <f t="shared" si="227"/>
        <v>0</v>
      </c>
      <c r="BQ352" s="3174">
        <f t="shared" si="228"/>
        <v>0</v>
      </c>
      <c r="BR352" s="3174">
        <f t="shared" si="229"/>
        <v>0</v>
      </c>
      <c r="BS352" s="3174">
        <f t="shared" si="230"/>
        <v>0</v>
      </c>
      <c r="BT352" s="3249">
        <f t="shared" si="231"/>
        <v>0</v>
      </c>
    </row>
    <row r="353" spans="1:72">
      <c r="A353" s="489"/>
      <c r="B353" s="356"/>
      <c r="C353" s="356"/>
      <c r="D353" s="3182"/>
      <c r="E353" s="3174">
        <f t="shared" si="232"/>
        <v>0</v>
      </c>
      <c r="F353" s="3175"/>
      <c r="G353" s="3176">
        <f t="shared" si="207"/>
        <v>0</v>
      </c>
      <c r="H353" s="3177">
        <f t="shared" si="208"/>
        <v>0</v>
      </c>
      <c r="I353" s="3200"/>
      <c r="J353" s="3200"/>
      <c r="K353" s="3200"/>
      <c r="L353" s="3200"/>
      <c r="M353" s="3200"/>
      <c r="N353" s="3200"/>
      <c r="O353" s="3200"/>
      <c r="P353" s="3200"/>
      <c r="Q353" s="3200"/>
      <c r="R353" s="3200"/>
      <c r="S353" s="3200"/>
      <c r="T353" s="3200"/>
      <c r="U353" s="3200"/>
      <c r="V353" s="3200"/>
      <c r="W353" s="3200"/>
      <c r="X353" s="3200"/>
      <c r="Y353" s="3200"/>
      <c r="Z353" s="3200"/>
      <c r="AA353" s="3200"/>
      <c r="AB353" s="3200"/>
      <c r="AC353" s="3174">
        <f t="shared" si="209"/>
        <v>0</v>
      </c>
      <c r="AD353" s="3212"/>
      <c r="AE353" s="3212"/>
      <c r="AF353" s="3212"/>
      <c r="AG353" s="3212"/>
      <c r="AH353" s="3212"/>
      <c r="AI353" s="3212"/>
      <c r="AJ353" s="3212"/>
      <c r="AK353" s="3212"/>
      <c r="AL353" s="3212"/>
      <c r="AM353" s="3212"/>
      <c r="AN353" s="3212"/>
      <c r="AO353" s="3212"/>
      <c r="AP353" s="3212"/>
      <c r="AQ353" s="3212"/>
      <c r="AR353" s="3212"/>
      <c r="AS353" s="3212"/>
      <c r="AT353" s="3175"/>
      <c r="AU353" s="3232"/>
      <c r="AV353" s="466">
        <f t="shared" si="233"/>
        <v>0</v>
      </c>
      <c r="AW353" s="466">
        <f t="shared" si="234"/>
        <v>0</v>
      </c>
      <c r="AX353" s="466">
        <f t="shared" si="235"/>
        <v>0</v>
      </c>
      <c r="AY353" s="385">
        <f t="shared" si="210"/>
        <v>0</v>
      </c>
      <c r="AZ353" s="3174">
        <f t="shared" si="211"/>
        <v>0</v>
      </c>
      <c r="BA353" s="3174">
        <f t="shared" si="212"/>
        <v>0</v>
      </c>
      <c r="BB353" s="3174">
        <f t="shared" si="213"/>
        <v>0</v>
      </c>
      <c r="BC353" s="3174">
        <f t="shared" si="214"/>
        <v>0</v>
      </c>
      <c r="BD353" s="3174">
        <f t="shared" si="215"/>
        <v>0</v>
      </c>
      <c r="BE353" s="3174">
        <f t="shared" si="216"/>
        <v>0</v>
      </c>
      <c r="BF353" s="3174">
        <f t="shared" si="217"/>
        <v>0</v>
      </c>
      <c r="BG353" s="3174">
        <f t="shared" si="218"/>
        <v>0</v>
      </c>
      <c r="BH353" s="3174">
        <f t="shared" si="219"/>
        <v>0</v>
      </c>
      <c r="BI353" s="3174">
        <f t="shared" si="220"/>
        <v>0</v>
      </c>
      <c r="BJ353" s="3174">
        <f t="shared" si="221"/>
        <v>0</v>
      </c>
      <c r="BK353" s="3174">
        <f t="shared" si="222"/>
        <v>0</v>
      </c>
      <c r="BL353" s="3174">
        <f t="shared" si="223"/>
        <v>0</v>
      </c>
      <c r="BM353" s="3174">
        <f t="shared" si="224"/>
        <v>0</v>
      </c>
      <c r="BN353" s="3174">
        <f t="shared" si="225"/>
        <v>0</v>
      </c>
      <c r="BO353" s="3174">
        <f t="shared" si="226"/>
        <v>0</v>
      </c>
      <c r="BP353" s="3174">
        <f t="shared" si="227"/>
        <v>0</v>
      </c>
      <c r="BQ353" s="3174">
        <f t="shared" si="228"/>
        <v>0</v>
      </c>
      <c r="BR353" s="3174">
        <f t="shared" si="229"/>
        <v>0</v>
      </c>
      <c r="BS353" s="3174">
        <f t="shared" si="230"/>
        <v>0</v>
      </c>
      <c r="BT353" s="3249">
        <f t="shared" si="231"/>
        <v>0</v>
      </c>
    </row>
    <row r="354" spans="1:72">
      <c r="A354" s="489"/>
      <c r="B354" s="356"/>
      <c r="C354" s="356"/>
      <c r="D354" s="3182"/>
      <c r="E354" s="3174">
        <f t="shared" si="232"/>
        <v>0</v>
      </c>
      <c r="F354" s="3175"/>
      <c r="G354" s="3176">
        <f t="shared" si="207"/>
        <v>0</v>
      </c>
      <c r="H354" s="3177">
        <f t="shared" si="208"/>
        <v>0</v>
      </c>
      <c r="I354" s="3200"/>
      <c r="J354" s="3200"/>
      <c r="K354" s="3200"/>
      <c r="L354" s="3200"/>
      <c r="M354" s="3200"/>
      <c r="N354" s="3200"/>
      <c r="O354" s="3200"/>
      <c r="P354" s="3200"/>
      <c r="Q354" s="3200"/>
      <c r="R354" s="3200"/>
      <c r="S354" s="3200"/>
      <c r="T354" s="3200"/>
      <c r="U354" s="3200"/>
      <c r="V354" s="3200"/>
      <c r="W354" s="3200"/>
      <c r="X354" s="3200"/>
      <c r="Y354" s="3200"/>
      <c r="Z354" s="3200"/>
      <c r="AA354" s="3200"/>
      <c r="AB354" s="3200"/>
      <c r="AC354" s="3174">
        <f t="shared" si="209"/>
        <v>0</v>
      </c>
      <c r="AD354" s="3212"/>
      <c r="AE354" s="3212"/>
      <c r="AF354" s="3212"/>
      <c r="AG354" s="3212"/>
      <c r="AH354" s="3212"/>
      <c r="AI354" s="3212"/>
      <c r="AJ354" s="3212"/>
      <c r="AK354" s="3212"/>
      <c r="AL354" s="3212"/>
      <c r="AM354" s="3212"/>
      <c r="AN354" s="3212"/>
      <c r="AO354" s="3212"/>
      <c r="AP354" s="3212"/>
      <c r="AQ354" s="3212"/>
      <c r="AR354" s="3212"/>
      <c r="AS354" s="3212"/>
      <c r="AT354" s="3175"/>
      <c r="AU354" s="3232"/>
      <c r="AV354" s="466">
        <f t="shared" si="233"/>
        <v>0</v>
      </c>
      <c r="AW354" s="466">
        <f t="shared" si="234"/>
        <v>0</v>
      </c>
      <c r="AX354" s="466">
        <f t="shared" si="235"/>
        <v>0</v>
      </c>
      <c r="AY354" s="385">
        <f t="shared" si="210"/>
        <v>0</v>
      </c>
      <c r="AZ354" s="3174">
        <f t="shared" si="211"/>
        <v>0</v>
      </c>
      <c r="BA354" s="3174">
        <f t="shared" si="212"/>
        <v>0</v>
      </c>
      <c r="BB354" s="3174">
        <f t="shared" si="213"/>
        <v>0</v>
      </c>
      <c r="BC354" s="3174">
        <f t="shared" si="214"/>
        <v>0</v>
      </c>
      <c r="BD354" s="3174">
        <f t="shared" si="215"/>
        <v>0</v>
      </c>
      <c r="BE354" s="3174">
        <f t="shared" si="216"/>
        <v>0</v>
      </c>
      <c r="BF354" s="3174">
        <f t="shared" si="217"/>
        <v>0</v>
      </c>
      <c r="BG354" s="3174">
        <f t="shared" si="218"/>
        <v>0</v>
      </c>
      <c r="BH354" s="3174">
        <f t="shared" si="219"/>
        <v>0</v>
      </c>
      <c r="BI354" s="3174">
        <f t="shared" si="220"/>
        <v>0</v>
      </c>
      <c r="BJ354" s="3174">
        <f t="shared" si="221"/>
        <v>0</v>
      </c>
      <c r="BK354" s="3174">
        <f t="shared" si="222"/>
        <v>0</v>
      </c>
      <c r="BL354" s="3174">
        <f t="shared" si="223"/>
        <v>0</v>
      </c>
      <c r="BM354" s="3174">
        <f t="shared" si="224"/>
        <v>0</v>
      </c>
      <c r="BN354" s="3174">
        <f t="shared" si="225"/>
        <v>0</v>
      </c>
      <c r="BO354" s="3174">
        <f t="shared" si="226"/>
        <v>0</v>
      </c>
      <c r="BP354" s="3174">
        <f t="shared" si="227"/>
        <v>0</v>
      </c>
      <c r="BQ354" s="3174">
        <f t="shared" si="228"/>
        <v>0</v>
      </c>
      <c r="BR354" s="3174">
        <f t="shared" si="229"/>
        <v>0</v>
      </c>
      <c r="BS354" s="3174">
        <f t="shared" si="230"/>
        <v>0</v>
      </c>
      <c r="BT354" s="3249">
        <f t="shared" si="231"/>
        <v>0</v>
      </c>
    </row>
    <row r="355" spans="1:72">
      <c r="A355" s="489"/>
      <c r="B355" s="356"/>
      <c r="C355" s="356"/>
      <c r="D355" s="3182"/>
      <c r="E355" s="3174">
        <f t="shared" si="232"/>
        <v>0</v>
      </c>
      <c r="F355" s="3175"/>
      <c r="G355" s="3176">
        <f t="shared" si="207"/>
        <v>0</v>
      </c>
      <c r="H355" s="3177">
        <f t="shared" si="208"/>
        <v>0</v>
      </c>
      <c r="I355" s="3200"/>
      <c r="J355" s="3200"/>
      <c r="K355" s="3200"/>
      <c r="L355" s="3200"/>
      <c r="M355" s="3200"/>
      <c r="N355" s="3200"/>
      <c r="O355" s="3200"/>
      <c r="P355" s="3200"/>
      <c r="Q355" s="3200"/>
      <c r="R355" s="3200"/>
      <c r="S355" s="3200"/>
      <c r="T355" s="3200"/>
      <c r="U355" s="3200"/>
      <c r="V355" s="3200"/>
      <c r="W355" s="3200"/>
      <c r="X355" s="3200"/>
      <c r="Y355" s="3200"/>
      <c r="Z355" s="3200"/>
      <c r="AA355" s="3200"/>
      <c r="AB355" s="3200"/>
      <c r="AC355" s="3174">
        <f t="shared" si="209"/>
        <v>0</v>
      </c>
      <c r="AD355" s="3212"/>
      <c r="AE355" s="3212"/>
      <c r="AF355" s="3212"/>
      <c r="AG355" s="3212"/>
      <c r="AH355" s="3212"/>
      <c r="AI355" s="3212"/>
      <c r="AJ355" s="3212"/>
      <c r="AK355" s="3212"/>
      <c r="AL355" s="3212"/>
      <c r="AM355" s="3212"/>
      <c r="AN355" s="3212"/>
      <c r="AO355" s="3212"/>
      <c r="AP355" s="3212"/>
      <c r="AQ355" s="3212"/>
      <c r="AR355" s="3212"/>
      <c r="AS355" s="3212"/>
      <c r="AT355" s="3175"/>
      <c r="AU355" s="3232"/>
      <c r="AV355" s="466">
        <f t="shared" si="233"/>
        <v>0</v>
      </c>
      <c r="AW355" s="466">
        <f t="shared" si="234"/>
        <v>0</v>
      </c>
      <c r="AX355" s="466">
        <f t="shared" si="235"/>
        <v>0</v>
      </c>
      <c r="AY355" s="385">
        <f t="shared" si="210"/>
        <v>0</v>
      </c>
      <c r="AZ355" s="3174">
        <f t="shared" si="211"/>
        <v>0</v>
      </c>
      <c r="BA355" s="3174">
        <f t="shared" si="212"/>
        <v>0</v>
      </c>
      <c r="BB355" s="3174">
        <f t="shared" si="213"/>
        <v>0</v>
      </c>
      <c r="BC355" s="3174">
        <f t="shared" si="214"/>
        <v>0</v>
      </c>
      <c r="BD355" s="3174">
        <f t="shared" si="215"/>
        <v>0</v>
      </c>
      <c r="BE355" s="3174">
        <f t="shared" si="216"/>
        <v>0</v>
      </c>
      <c r="BF355" s="3174">
        <f t="shared" si="217"/>
        <v>0</v>
      </c>
      <c r="BG355" s="3174">
        <f t="shared" si="218"/>
        <v>0</v>
      </c>
      <c r="BH355" s="3174">
        <f t="shared" si="219"/>
        <v>0</v>
      </c>
      <c r="BI355" s="3174">
        <f t="shared" si="220"/>
        <v>0</v>
      </c>
      <c r="BJ355" s="3174">
        <f t="shared" si="221"/>
        <v>0</v>
      </c>
      <c r="BK355" s="3174">
        <f t="shared" si="222"/>
        <v>0</v>
      </c>
      <c r="BL355" s="3174">
        <f t="shared" si="223"/>
        <v>0</v>
      </c>
      <c r="BM355" s="3174">
        <f t="shared" si="224"/>
        <v>0</v>
      </c>
      <c r="BN355" s="3174">
        <f t="shared" si="225"/>
        <v>0</v>
      </c>
      <c r="BO355" s="3174">
        <f t="shared" si="226"/>
        <v>0</v>
      </c>
      <c r="BP355" s="3174">
        <f t="shared" si="227"/>
        <v>0</v>
      </c>
      <c r="BQ355" s="3174">
        <f t="shared" si="228"/>
        <v>0</v>
      </c>
      <c r="BR355" s="3174">
        <f t="shared" si="229"/>
        <v>0</v>
      </c>
      <c r="BS355" s="3174">
        <f t="shared" si="230"/>
        <v>0</v>
      </c>
      <c r="BT355" s="3249">
        <f t="shared" si="231"/>
        <v>0</v>
      </c>
    </row>
    <row r="356" spans="1:72">
      <c r="A356" s="489"/>
      <c r="B356" s="356"/>
      <c r="C356" s="356"/>
      <c r="D356" s="3182"/>
      <c r="E356" s="3174">
        <f t="shared" si="232"/>
        <v>0</v>
      </c>
      <c r="F356" s="3175"/>
      <c r="G356" s="3176">
        <f t="shared" si="207"/>
        <v>0</v>
      </c>
      <c r="H356" s="3177">
        <f t="shared" si="208"/>
        <v>0</v>
      </c>
      <c r="I356" s="3200"/>
      <c r="J356" s="3200"/>
      <c r="K356" s="3200"/>
      <c r="L356" s="3200"/>
      <c r="M356" s="3200"/>
      <c r="N356" s="3200"/>
      <c r="O356" s="3200"/>
      <c r="P356" s="3200"/>
      <c r="Q356" s="3200"/>
      <c r="R356" s="3200"/>
      <c r="S356" s="3200"/>
      <c r="T356" s="3200"/>
      <c r="U356" s="3200"/>
      <c r="V356" s="3200"/>
      <c r="W356" s="3200"/>
      <c r="X356" s="3200"/>
      <c r="Y356" s="3200"/>
      <c r="Z356" s="3200"/>
      <c r="AA356" s="3200"/>
      <c r="AB356" s="3200"/>
      <c r="AC356" s="3174">
        <f t="shared" si="209"/>
        <v>0</v>
      </c>
      <c r="AD356" s="3212"/>
      <c r="AE356" s="3212"/>
      <c r="AF356" s="3212"/>
      <c r="AG356" s="3212"/>
      <c r="AH356" s="3212"/>
      <c r="AI356" s="3212"/>
      <c r="AJ356" s="3212"/>
      <c r="AK356" s="3212"/>
      <c r="AL356" s="3212"/>
      <c r="AM356" s="3212"/>
      <c r="AN356" s="3212"/>
      <c r="AO356" s="3212"/>
      <c r="AP356" s="3212"/>
      <c r="AQ356" s="3212"/>
      <c r="AR356" s="3212"/>
      <c r="AS356" s="3212"/>
      <c r="AT356" s="3175"/>
      <c r="AU356" s="3232"/>
      <c r="AV356" s="466">
        <f t="shared" si="233"/>
        <v>0</v>
      </c>
      <c r="AW356" s="466">
        <f t="shared" si="234"/>
        <v>0</v>
      </c>
      <c r="AX356" s="466">
        <f t="shared" si="235"/>
        <v>0</v>
      </c>
      <c r="AY356" s="385">
        <f t="shared" si="210"/>
        <v>0</v>
      </c>
      <c r="AZ356" s="3174">
        <f t="shared" si="211"/>
        <v>0</v>
      </c>
      <c r="BA356" s="3174">
        <f t="shared" si="212"/>
        <v>0</v>
      </c>
      <c r="BB356" s="3174">
        <f t="shared" si="213"/>
        <v>0</v>
      </c>
      <c r="BC356" s="3174">
        <f t="shared" si="214"/>
        <v>0</v>
      </c>
      <c r="BD356" s="3174">
        <f t="shared" si="215"/>
        <v>0</v>
      </c>
      <c r="BE356" s="3174">
        <f t="shared" si="216"/>
        <v>0</v>
      </c>
      <c r="BF356" s="3174">
        <f t="shared" si="217"/>
        <v>0</v>
      </c>
      <c r="BG356" s="3174">
        <f t="shared" si="218"/>
        <v>0</v>
      </c>
      <c r="BH356" s="3174">
        <f t="shared" si="219"/>
        <v>0</v>
      </c>
      <c r="BI356" s="3174">
        <f t="shared" si="220"/>
        <v>0</v>
      </c>
      <c r="BJ356" s="3174">
        <f t="shared" si="221"/>
        <v>0</v>
      </c>
      <c r="BK356" s="3174">
        <f t="shared" si="222"/>
        <v>0</v>
      </c>
      <c r="BL356" s="3174">
        <f t="shared" si="223"/>
        <v>0</v>
      </c>
      <c r="BM356" s="3174">
        <f t="shared" si="224"/>
        <v>0</v>
      </c>
      <c r="BN356" s="3174">
        <f t="shared" si="225"/>
        <v>0</v>
      </c>
      <c r="BO356" s="3174">
        <f t="shared" si="226"/>
        <v>0</v>
      </c>
      <c r="BP356" s="3174">
        <f t="shared" si="227"/>
        <v>0</v>
      </c>
      <c r="BQ356" s="3174">
        <f t="shared" si="228"/>
        <v>0</v>
      </c>
      <c r="BR356" s="3174">
        <f t="shared" si="229"/>
        <v>0</v>
      </c>
      <c r="BS356" s="3174">
        <f t="shared" si="230"/>
        <v>0</v>
      </c>
      <c r="BT356" s="3249">
        <f t="shared" si="231"/>
        <v>0</v>
      </c>
    </row>
    <row r="357" spans="1:72">
      <c r="A357" s="489"/>
      <c r="B357" s="356"/>
      <c r="C357" s="356"/>
      <c r="D357" s="3182"/>
      <c r="E357" s="3174">
        <f t="shared" si="232"/>
        <v>0</v>
      </c>
      <c r="F357" s="3175"/>
      <c r="G357" s="3176">
        <f t="shared" si="207"/>
        <v>0</v>
      </c>
      <c r="H357" s="3177">
        <f t="shared" si="208"/>
        <v>0</v>
      </c>
      <c r="I357" s="3200"/>
      <c r="J357" s="3200"/>
      <c r="K357" s="3200"/>
      <c r="L357" s="3200"/>
      <c r="M357" s="3200"/>
      <c r="N357" s="3200"/>
      <c r="O357" s="3200"/>
      <c r="P357" s="3200"/>
      <c r="Q357" s="3200"/>
      <c r="R357" s="3200"/>
      <c r="S357" s="3200"/>
      <c r="T357" s="3200"/>
      <c r="U357" s="3200"/>
      <c r="V357" s="3200"/>
      <c r="W357" s="3200"/>
      <c r="X357" s="3200"/>
      <c r="Y357" s="3200"/>
      <c r="Z357" s="3200"/>
      <c r="AA357" s="3200"/>
      <c r="AB357" s="3200"/>
      <c r="AC357" s="3174">
        <f t="shared" si="209"/>
        <v>0</v>
      </c>
      <c r="AD357" s="3212"/>
      <c r="AE357" s="3212"/>
      <c r="AF357" s="3212"/>
      <c r="AG357" s="3212"/>
      <c r="AH357" s="3212"/>
      <c r="AI357" s="3212"/>
      <c r="AJ357" s="3212"/>
      <c r="AK357" s="3212"/>
      <c r="AL357" s="3212"/>
      <c r="AM357" s="3212"/>
      <c r="AN357" s="3212"/>
      <c r="AO357" s="3212"/>
      <c r="AP357" s="3212"/>
      <c r="AQ357" s="3212"/>
      <c r="AR357" s="3212"/>
      <c r="AS357" s="3212"/>
      <c r="AT357" s="3175"/>
      <c r="AU357" s="3232"/>
      <c r="AV357" s="466">
        <f t="shared" si="233"/>
        <v>0</v>
      </c>
      <c r="AW357" s="466">
        <f t="shared" si="234"/>
        <v>0</v>
      </c>
      <c r="AX357" s="466">
        <f t="shared" si="235"/>
        <v>0</v>
      </c>
      <c r="AY357" s="385">
        <f t="shared" si="210"/>
        <v>0</v>
      </c>
      <c r="AZ357" s="3174">
        <f t="shared" si="211"/>
        <v>0</v>
      </c>
      <c r="BA357" s="3174">
        <f t="shared" si="212"/>
        <v>0</v>
      </c>
      <c r="BB357" s="3174">
        <f t="shared" si="213"/>
        <v>0</v>
      </c>
      <c r="BC357" s="3174">
        <f t="shared" si="214"/>
        <v>0</v>
      </c>
      <c r="BD357" s="3174">
        <f t="shared" si="215"/>
        <v>0</v>
      </c>
      <c r="BE357" s="3174">
        <f t="shared" si="216"/>
        <v>0</v>
      </c>
      <c r="BF357" s="3174">
        <f t="shared" si="217"/>
        <v>0</v>
      </c>
      <c r="BG357" s="3174">
        <f t="shared" si="218"/>
        <v>0</v>
      </c>
      <c r="BH357" s="3174">
        <f t="shared" si="219"/>
        <v>0</v>
      </c>
      <c r="BI357" s="3174">
        <f t="shared" si="220"/>
        <v>0</v>
      </c>
      <c r="BJ357" s="3174">
        <f t="shared" si="221"/>
        <v>0</v>
      </c>
      <c r="BK357" s="3174">
        <f t="shared" si="222"/>
        <v>0</v>
      </c>
      <c r="BL357" s="3174">
        <f t="shared" si="223"/>
        <v>0</v>
      </c>
      <c r="BM357" s="3174">
        <f t="shared" si="224"/>
        <v>0</v>
      </c>
      <c r="BN357" s="3174">
        <f t="shared" si="225"/>
        <v>0</v>
      </c>
      <c r="BO357" s="3174">
        <f t="shared" si="226"/>
        <v>0</v>
      </c>
      <c r="BP357" s="3174">
        <f t="shared" si="227"/>
        <v>0</v>
      </c>
      <c r="BQ357" s="3174">
        <f t="shared" si="228"/>
        <v>0</v>
      </c>
      <c r="BR357" s="3174">
        <f t="shared" si="229"/>
        <v>0</v>
      </c>
      <c r="BS357" s="3174">
        <f t="shared" si="230"/>
        <v>0</v>
      </c>
      <c r="BT357" s="3249">
        <f t="shared" si="231"/>
        <v>0</v>
      </c>
    </row>
    <row r="358" spans="1:72">
      <c r="A358" s="489"/>
      <c r="B358" s="356"/>
      <c r="C358" s="356"/>
      <c r="D358" s="3182"/>
      <c r="E358" s="3174">
        <f t="shared" si="232"/>
        <v>0</v>
      </c>
      <c r="F358" s="3175"/>
      <c r="G358" s="3176">
        <f t="shared" ref="G358:G388" si="236">H358+AC358+AT358</f>
        <v>0</v>
      </c>
      <c r="H358" s="3177">
        <f t="shared" ref="H358:H388" si="237">SUMIF(I$12:AB$12,"总值",I358:AB358)</f>
        <v>0</v>
      </c>
      <c r="I358" s="3200"/>
      <c r="J358" s="3200"/>
      <c r="K358" s="3200"/>
      <c r="L358" s="3200"/>
      <c r="M358" s="3200"/>
      <c r="N358" s="3200"/>
      <c r="O358" s="3200"/>
      <c r="P358" s="3200"/>
      <c r="Q358" s="3200"/>
      <c r="R358" s="3200"/>
      <c r="S358" s="3200"/>
      <c r="T358" s="3200"/>
      <c r="U358" s="3200"/>
      <c r="V358" s="3200"/>
      <c r="W358" s="3200"/>
      <c r="X358" s="3200"/>
      <c r="Y358" s="3200"/>
      <c r="Z358" s="3200"/>
      <c r="AA358" s="3200"/>
      <c r="AB358" s="3200"/>
      <c r="AC358" s="3174">
        <f t="shared" ref="AC358:AC388" si="238">SUMIF(AD$12:AS$12,"总值",AD358:AS358)</f>
        <v>0</v>
      </c>
      <c r="AD358" s="3212"/>
      <c r="AE358" s="3212"/>
      <c r="AF358" s="3212"/>
      <c r="AG358" s="3212"/>
      <c r="AH358" s="3212"/>
      <c r="AI358" s="3212"/>
      <c r="AJ358" s="3212"/>
      <c r="AK358" s="3212"/>
      <c r="AL358" s="3212"/>
      <c r="AM358" s="3212"/>
      <c r="AN358" s="3212"/>
      <c r="AO358" s="3212"/>
      <c r="AP358" s="3212"/>
      <c r="AQ358" s="3212"/>
      <c r="AR358" s="3212"/>
      <c r="AS358" s="3212"/>
      <c r="AT358" s="3175"/>
      <c r="AU358" s="3232"/>
      <c r="AV358" s="466">
        <f t="shared" si="233"/>
        <v>0</v>
      </c>
      <c r="AW358" s="466">
        <f t="shared" si="234"/>
        <v>0</v>
      </c>
      <c r="AX358" s="466">
        <f t="shared" si="235"/>
        <v>0</v>
      </c>
      <c r="AY358" s="385">
        <f t="shared" ref="AY358:AY388" si="239">ROUND($AY$6*AZ358/$AZ$5,2)</f>
        <v>0</v>
      </c>
      <c r="AZ358" s="3174">
        <f t="shared" ref="AZ358:AZ388" si="240">BA358+BL358</f>
        <v>0</v>
      </c>
      <c r="BA358" s="3174">
        <f t="shared" ref="BA358:BA388" si="241">SUM(BB358:BK358)</f>
        <v>0</v>
      </c>
      <c r="BB358" s="3174">
        <f t="shared" ref="BB358:BB388" si="242">IF($D358="是",I358-J358,0)</f>
        <v>0</v>
      </c>
      <c r="BC358" s="3174">
        <f t="shared" ref="BC358:BC388" si="243">IF($D358="是",K358-L358,0)</f>
        <v>0</v>
      </c>
      <c r="BD358" s="3174">
        <f t="shared" ref="BD358:BD388" si="244">IF($D358="是",M358-N358,0)</f>
        <v>0</v>
      </c>
      <c r="BE358" s="3174">
        <f t="shared" ref="BE358:BE388" si="245">IF($D358="是",O358-P358,0)</f>
        <v>0</v>
      </c>
      <c r="BF358" s="3174">
        <f t="shared" ref="BF358:BF388" si="246">IF($D358="是",Q358-R358,0)</f>
        <v>0</v>
      </c>
      <c r="BG358" s="3174">
        <f t="shared" ref="BG358:BG388" si="247">IF($D358="是",S358-T358,0)</f>
        <v>0</v>
      </c>
      <c r="BH358" s="3174">
        <f t="shared" ref="BH358:BH388" si="248">IF($D358="是",U358-V358,0)</f>
        <v>0</v>
      </c>
      <c r="BI358" s="3174">
        <f t="shared" ref="BI358:BI388" si="249">IF($D358="是",W358-X358,0)</f>
        <v>0</v>
      </c>
      <c r="BJ358" s="3174">
        <f t="shared" ref="BJ358:BJ388" si="250">IF($D358="是",Y358-Z358,0)</f>
        <v>0</v>
      </c>
      <c r="BK358" s="3174">
        <f t="shared" ref="BK358:BK388" si="251">IF($D358="是",AA358-AB358,0)</f>
        <v>0</v>
      </c>
      <c r="BL358" s="3174">
        <f t="shared" ref="BL358:BL388" si="252">SUM(BM358:BT358)</f>
        <v>0</v>
      </c>
      <c r="BM358" s="3174">
        <f t="shared" ref="BM358:BM388" si="253">IF($D358="是",AD358-AE358,0)</f>
        <v>0</v>
      </c>
      <c r="BN358" s="3174">
        <f t="shared" ref="BN358:BN388" si="254">IF($D358="是",AF358-AG358,0)</f>
        <v>0</v>
      </c>
      <c r="BO358" s="3174">
        <f t="shared" ref="BO358:BO388" si="255">IF($D358="是",AH358-AI358,0)</f>
        <v>0</v>
      </c>
      <c r="BP358" s="3174">
        <f t="shared" ref="BP358:BP388" si="256">IF($D358="是",AJ358-AK358,0)</f>
        <v>0</v>
      </c>
      <c r="BQ358" s="3174">
        <f t="shared" ref="BQ358:BQ388" si="257">IF($D358="是",AL358-AM358,0)</f>
        <v>0</v>
      </c>
      <c r="BR358" s="3174">
        <f t="shared" ref="BR358:BR388" si="258">IF($D358="是",AN358-AO358,0)</f>
        <v>0</v>
      </c>
      <c r="BS358" s="3174">
        <f t="shared" ref="BS358:BS388" si="259">IF($D358="是",AP358-AQ358,0)</f>
        <v>0</v>
      </c>
      <c r="BT358" s="3249">
        <f t="shared" ref="BT358:BT388" si="260">IF($D358="是",AR358-AS358,0)</f>
        <v>0</v>
      </c>
    </row>
    <row r="359" spans="1:72">
      <c r="A359" s="489"/>
      <c r="B359" s="356"/>
      <c r="C359" s="356"/>
      <c r="D359" s="3182"/>
      <c r="E359" s="3174">
        <f t="shared" si="232"/>
        <v>0</v>
      </c>
      <c r="F359" s="3175"/>
      <c r="G359" s="3176">
        <f t="shared" si="236"/>
        <v>0</v>
      </c>
      <c r="H359" s="3177">
        <f t="shared" si="237"/>
        <v>0</v>
      </c>
      <c r="I359" s="3200"/>
      <c r="J359" s="3200"/>
      <c r="K359" s="3200"/>
      <c r="L359" s="3200"/>
      <c r="M359" s="3200"/>
      <c r="N359" s="3200"/>
      <c r="O359" s="3200"/>
      <c r="P359" s="3200"/>
      <c r="Q359" s="3200"/>
      <c r="R359" s="3200"/>
      <c r="S359" s="3200"/>
      <c r="T359" s="3200"/>
      <c r="U359" s="3200"/>
      <c r="V359" s="3200"/>
      <c r="W359" s="3200"/>
      <c r="X359" s="3200"/>
      <c r="Y359" s="3200"/>
      <c r="Z359" s="3200"/>
      <c r="AA359" s="3200"/>
      <c r="AB359" s="3200"/>
      <c r="AC359" s="3174">
        <f t="shared" si="238"/>
        <v>0</v>
      </c>
      <c r="AD359" s="3212"/>
      <c r="AE359" s="3212"/>
      <c r="AF359" s="3212"/>
      <c r="AG359" s="3212"/>
      <c r="AH359" s="3212"/>
      <c r="AI359" s="3212"/>
      <c r="AJ359" s="3212"/>
      <c r="AK359" s="3212"/>
      <c r="AL359" s="3212"/>
      <c r="AM359" s="3212"/>
      <c r="AN359" s="3212"/>
      <c r="AO359" s="3212"/>
      <c r="AP359" s="3212"/>
      <c r="AQ359" s="3212"/>
      <c r="AR359" s="3212"/>
      <c r="AS359" s="3212"/>
      <c r="AT359" s="3175"/>
      <c r="AU359" s="3232"/>
      <c r="AV359" s="466">
        <f t="shared" si="233"/>
        <v>0</v>
      </c>
      <c r="AW359" s="466">
        <f t="shared" si="234"/>
        <v>0</v>
      </c>
      <c r="AX359" s="466">
        <f t="shared" si="235"/>
        <v>0</v>
      </c>
      <c r="AY359" s="385">
        <f t="shared" si="239"/>
        <v>0</v>
      </c>
      <c r="AZ359" s="3174">
        <f t="shared" si="240"/>
        <v>0</v>
      </c>
      <c r="BA359" s="3174">
        <f t="shared" si="241"/>
        <v>0</v>
      </c>
      <c r="BB359" s="3174">
        <f t="shared" si="242"/>
        <v>0</v>
      </c>
      <c r="BC359" s="3174">
        <f t="shared" si="243"/>
        <v>0</v>
      </c>
      <c r="BD359" s="3174">
        <f t="shared" si="244"/>
        <v>0</v>
      </c>
      <c r="BE359" s="3174">
        <f t="shared" si="245"/>
        <v>0</v>
      </c>
      <c r="BF359" s="3174">
        <f t="shared" si="246"/>
        <v>0</v>
      </c>
      <c r="BG359" s="3174">
        <f t="shared" si="247"/>
        <v>0</v>
      </c>
      <c r="BH359" s="3174">
        <f t="shared" si="248"/>
        <v>0</v>
      </c>
      <c r="BI359" s="3174">
        <f t="shared" si="249"/>
        <v>0</v>
      </c>
      <c r="BJ359" s="3174">
        <f t="shared" si="250"/>
        <v>0</v>
      </c>
      <c r="BK359" s="3174">
        <f t="shared" si="251"/>
        <v>0</v>
      </c>
      <c r="BL359" s="3174">
        <f t="shared" si="252"/>
        <v>0</v>
      </c>
      <c r="BM359" s="3174">
        <f t="shared" si="253"/>
        <v>0</v>
      </c>
      <c r="BN359" s="3174">
        <f t="shared" si="254"/>
        <v>0</v>
      </c>
      <c r="BO359" s="3174">
        <f t="shared" si="255"/>
        <v>0</v>
      </c>
      <c r="BP359" s="3174">
        <f t="shared" si="256"/>
        <v>0</v>
      </c>
      <c r="BQ359" s="3174">
        <f t="shared" si="257"/>
        <v>0</v>
      </c>
      <c r="BR359" s="3174">
        <f t="shared" si="258"/>
        <v>0</v>
      </c>
      <c r="BS359" s="3174">
        <f t="shared" si="259"/>
        <v>0</v>
      </c>
      <c r="BT359" s="3249">
        <f t="shared" si="260"/>
        <v>0</v>
      </c>
    </row>
    <row r="360" spans="1:72">
      <c r="A360" s="489"/>
      <c r="B360" s="356"/>
      <c r="C360" s="356"/>
      <c r="D360" s="3182"/>
      <c r="E360" s="3174">
        <f t="shared" si="232"/>
        <v>0</v>
      </c>
      <c r="F360" s="3175"/>
      <c r="G360" s="3176">
        <f t="shared" si="236"/>
        <v>0</v>
      </c>
      <c r="H360" s="3177">
        <f t="shared" si="237"/>
        <v>0</v>
      </c>
      <c r="I360" s="3200"/>
      <c r="J360" s="3200"/>
      <c r="K360" s="3200"/>
      <c r="L360" s="3200"/>
      <c r="M360" s="3200"/>
      <c r="N360" s="3200"/>
      <c r="O360" s="3200"/>
      <c r="P360" s="3200"/>
      <c r="Q360" s="3200"/>
      <c r="R360" s="3200"/>
      <c r="S360" s="3200"/>
      <c r="T360" s="3200"/>
      <c r="U360" s="3200"/>
      <c r="V360" s="3200"/>
      <c r="W360" s="3200"/>
      <c r="X360" s="3200"/>
      <c r="Y360" s="3200"/>
      <c r="Z360" s="3200"/>
      <c r="AA360" s="3200"/>
      <c r="AB360" s="3200"/>
      <c r="AC360" s="3174">
        <f t="shared" si="238"/>
        <v>0</v>
      </c>
      <c r="AD360" s="3212"/>
      <c r="AE360" s="3212"/>
      <c r="AF360" s="3212"/>
      <c r="AG360" s="3212"/>
      <c r="AH360" s="3212"/>
      <c r="AI360" s="3212"/>
      <c r="AJ360" s="3212"/>
      <c r="AK360" s="3212"/>
      <c r="AL360" s="3212"/>
      <c r="AM360" s="3212"/>
      <c r="AN360" s="3212"/>
      <c r="AO360" s="3212"/>
      <c r="AP360" s="3212"/>
      <c r="AQ360" s="3212"/>
      <c r="AR360" s="3212"/>
      <c r="AS360" s="3212"/>
      <c r="AT360" s="3175"/>
      <c r="AU360" s="3232"/>
      <c r="AV360" s="466">
        <f t="shared" si="233"/>
        <v>0</v>
      </c>
      <c r="AW360" s="466">
        <f t="shared" si="234"/>
        <v>0</v>
      </c>
      <c r="AX360" s="466">
        <f t="shared" si="235"/>
        <v>0</v>
      </c>
      <c r="AY360" s="385">
        <f t="shared" si="239"/>
        <v>0</v>
      </c>
      <c r="AZ360" s="3174">
        <f t="shared" si="240"/>
        <v>0</v>
      </c>
      <c r="BA360" s="3174">
        <f t="shared" si="241"/>
        <v>0</v>
      </c>
      <c r="BB360" s="3174">
        <f t="shared" si="242"/>
        <v>0</v>
      </c>
      <c r="BC360" s="3174">
        <f t="shared" si="243"/>
        <v>0</v>
      </c>
      <c r="BD360" s="3174">
        <f t="shared" si="244"/>
        <v>0</v>
      </c>
      <c r="BE360" s="3174">
        <f t="shared" si="245"/>
        <v>0</v>
      </c>
      <c r="BF360" s="3174">
        <f t="shared" si="246"/>
        <v>0</v>
      </c>
      <c r="BG360" s="3174">
        <f t="shared" si="247"/>
        <v>0</v>
      </c>
      <c r="BH360" s="3174">
        <f t="shared" si="248"/>
        <v>0</v>
      </c>
      <c r="BI360" s="3174">
        <f t="shared" si="249"/>
        <v>0</v>
      </c>
      <c r="BJ360" s="3174">
        <f t="shared" si="250"/>
        <v>0</v>
      </c>
      <c r="BK360" s="3174">
        <f t="shared" si="251"/>
        <v>0</v>
      </c>
      <c r="BL360" s="3174">
        <f t="shared" si="252"/>
        <v>0</v>
      </c>
      <c r="BM360" s="3174">
        <f t="shared" si="253"/>
        <v>0</v>
      </c>
      <c r="BN360" s="3174">
        <f t="shared" si="254"/>
        <v>0</v>
      </c>
      <c r="BO360" s="3174">
        <f t="shared" si="255"/>
        <v>0</v>
      </c>
      <c r="BP360" s="3174">
        <f t="shared" si="256"/>
        <v>0</v>
      </c>
      <c r="BQ360" s="3174">
        <f t="shared" si="257"/>
        <v>0</v>
      </c>
      <c r="BR360" s="3174">
        <f t="shared" si="258"/>
        <v>0</v>
      </c>
      <c r="BS360" s="3174">
        <f t="shared" si="259"/>
        <v>0</v>
      </c>
      <c r="BT360" s="3249">
        <f t="shared" si="260"/>
        <v>0</v>
      </c>
    </row>
    <row r="361" spans="1:72">
      <c r="A361" s="489"/>
      <c r="B361" s="356"/>
      <c r="C361" s="356"/>
      <c r="D361" s="3182"/>
      <c r="E361" s="3174">
        <f t="shared" ref="E361:E388" si="261">IF($C$3="是",ROUND($A$3*G361/$B$3,2),ROUND($A$3*(G361-AT361)/$B$3,2))</f>
        <v>0</v>
      </c>
      <c r="F361" s="3175"/>
      <c r="G361" s="3176">
        <f t="shared" si="236"/>
        <v>0</v>
      </c>
      <c r="H361" s="3177">
        <f t="shared" si="237"/>
        <v>0</v>
      </c>
      <c r="I361" s="3200"/>
      <c r="J361" s="3200"/>
      <c r="K361" s="3200"/>
      <c r="L361" s="3200"/>
      <c r="M361" s="3200"/>
      <c r="N361" s="3200"/>
      <c r="O361" s="3200"/>
      <c r="P361" s="3200"/>
      <c r="Q361" s="3200"/>
      <c r="R361" s="3200"/>
      <c r="S361" s="3200"/>
      <c r="T361" s="3200"/>
      <c r="U361" s="3200"/>
      <c r="V361" s="3200"/>
      <c r="W361" s="3200"/>
      <c r="X361" s="3200"/>
      <c r="Y361" s="3200"/>
      <c r="Z361" s="3200"/>
      <c r="AA361" s="3200"/>
      <c r="AB361" s="3200"/>
      <c r="AC361" s="3174">
        <f t="shared" si="238"/>
        <v>0</v>
      </c>
      <c r="AD361" s="3212"/>
      <c r="AE361" s="3212"/>
      <c r="AF361" s="3212"/>
      <c r="AG361" s="3212"/>
      <c r="AH361" s="3212"/>
      <c r="AI361" s="3212"/>
      <c r="AJ361" s="3212"/>
      <c r="AK361" s="3212"/>
      <c r="AL361" s="3212"/>
      <c r="AM361" s="3212"/>
      <c r="AN361" s="3212"/>
      <c r="AO361" s="3212"/>
      <c r="AP361" s="3212"/>
      <c r="AQ361" s="3212"/>
      <c r="AR361" s="3212"/>
      <c r="AS361" s="3212"/>
      <c r="AT361" s="3175"/>
      <c r="AU361" s="3232"/>
      <c r="AV361" s="466">
        <f t="shared" ref="AV361:AV388" si="262">A361</f>
        <v>0</v>
      </c>
      <c r="AW361" s="466">
        <f t="shared" ref="AW361:AW388" si="263">B361</f>
        <v>0</v>
      </c>
      <c r="AX361" s="466">
        <f t="shared" ref="AX361:AX388" si="264">C361</f>
        <v>0</v>
      </c>
      <c r="AY361" s="385">
        <f t="shared" si="239"/>
        <v>0</v>
      </c>
      <c r="AZ361" s="3174">
        <f t="shared" si="240"/>
        <v>0</v>
      </c>
      <c r="BA361" s="3174">
        <f t="shared" si="241"/>
        <v>0</v>
      </c>
      <c r="BB361" s="3174">
        <f t="shared" si="242"/>
        <v>0</v>
      </c>
      <c r="BC361" s="3174">
        <f t="shared" si="243"/>
        <v>0</v>
      </c>
      <c r="BD361" s="3174">
        <f t="shared" si="244"/>
        <v>0</v>
      </c>
      <c r="BE361" s="3174">
        <f t="shared" si="245"/>
        <v>0</v>
      </c>
      <c r="BF361" s="3174">
        <f t="shared" si="246"/>
        <v>0</v>
      </c>
      <c r="BG361" s="3174">
        <f t="shared" si="247"/>
        <v>0</v>
      </c>
      <c r="BH361" s="3174">
        <f t="shared" si="248"/>
        <v>0</v>
      </c>
      <c r="BI361" s="3174">
        <f t="shared" si="249"/>
        <v>0</v>
      </c>
      <c r="BJ361" s="3174">
        <f t="shared" si="250"/>
        <v>0</v>
      </c>
      <c r="BK361" s="3174">
        <f t="shared" si="251"/>
        <v>0</v>
      </c>
      <c r="BL361" s="3174">
        <f t="shared" si="252"/>
        <v>0</v>
      </c>
      <c r="BM361" s="3174">
        <f t="shared" si="253"/>
        <v>0</v>
      </c>
      <c r="BN361" s="3174">
        <f t="shared" si="254"/>
        <v>0</v>
      </c>
      <c r="BO361" s="3174">
        <f t="shared" si="255"/>
        <v>0</v>
      </c>
      <c r="BP361" s="3174">
        <f t="shared" si="256"/>
        <v>0</v>
      </c>
      <c r="BQ361" s="3174">
        <f t="shared" si="257"/>
        <v>0</v>
      </c>
      <c r="BR361" s="3174">
        <f t="shared" si="258"/>
        <v>0</v>
      </c>
      <c r="BS361" s="3174">
        <f t="shared" si="259"/>
        <v>0</v>
      </c>
      <c r="BT361" s="3249">
        <f t="shared" si="260"/>
        <v>0</v>
      </c>
    </row>
    <row r="362" spans="1:72">
      <c r="A362" s="489"/>
      <c r="B362" s="356"/>
      <c r="C362" s="356"/>
      <c r="D362" s="3182"/>
      <c r="E362" s="3174">
        <f t="shared" si="261"/>
        <v>0</v>
      </c>
      <c r="F362" s="3175"/>
      <c r="G362" s="3176">
        <f t="shared" si="236"/>
        <v>0</v>
      </c>
      <c r="H362" s="3177">
        <f t="shared" si="237"/>
        <v>0</v>
      </c>
      <c r="I362" s="3200"/>
      <c r="J362" s="3200"/>
      <c r="K362" s="3200"/>
      <c r="L362" s="3200"/>
      <c r="M362" s="3200"/>
      <c r="N362" s="3200"/>
      <c r="O362" s="3200"/>
      <c r="P362" s="3200"/>
      <c r="Q362" s="3200"/>
      <c r="R362" s="3200"/>
      <c r="S362" s="3200"/>
      <c r="T362" s="3200"/>
      <c r="U362" s="3200"/>
      <c r="V362" s="3200"/>
      <c r="W362" s="3200"/>
      <c r="X362" s="3200"/>
      <c r="Y362" s="3200"/>
      <c r="Z362" s="3200"/>
      <c r="AA362" s="3200"/>
      <c r="AB362" s="3200"/>
      <c r="AC362" s="3174">
        <f t="shared" si="238"/>
        <v>0</v>
      </c>
      <c r="AD362" s="3212"/>
      <c r="AE362" s="3212"/>
      <c r="AF362" s="3212"/>
      <c r="AG362" s="3212"/>
      <c r="AH362" s="3212"/>
      <c r="AI362" s="3212"/>
      <c r="AJ362" s="3212"/>
      <c r="AK362" s="3212"/>
      <c r="AL362" s="3212"/>
      <c r="AM362" s="3212"/>
      <c r="AN362" s="3212"/>
      <c r="AO362" s="3212"/>
      <c r="AP362" s="3212"/>
      <c r="AQ362" s="3212"/>
      <c r="AR362" s="3212"/>
      <c r="AS362" s="3212"/>
      <c r="AT362" s="3175"/>
      <c r="AU362" s="3232"/>
      <c r="AV362" s="466">
        <f t="shared" si="262"/>
        <v>0</v>
      </c>
      <c r="AW362" s="466">
        <f t="shared" si="263"/>
        <v>0</v>
      </c>
      <c r="AX362" s="466">
        <f t="shared" si="264"/>
        <v>0</v>
      </c>
      <c r="AY362" s="385">
        <f t="shared" si="239"/>
        <v>0</v>
      </c>
      <c r="AZ362" s="3174">
        <f t="shared" si="240"/>
        <v>0</v>
      </c>
      <c r="BA362" s="3174">
        <f t="shared" si="241"/>
        <v>0</v>
      </c>
      <c r="BB362" s="3174">
        <f t="shared" si="242"/>
        <v>0</v>
      </c>
      <c r="BC362" s="3174">
        <f t="shared" si="243"/>
        <v>0</v>
      </c>
      <c r="BD362" s="3174">
        <f t="shared" si="244"/>
        <v>0</v>
      </c>
      <c r="BE362" s="3174">
        <f t="shared" si="245"/>
        <v>0</v>
      </c>
      <c r="BF362" s="3174">
        <f t="shared" si="246"/>
        <v>0</v>
      </c>
      <c r="BG362" s="3174">
        <f t="shared" si="247"/>
        <v>0</v>
      </c>
      <c r="BH362" s="3174">
        <f t="shared" si="248"/>
        <v>0</v>
      </c>
      <c r="BI362" s="3174">
        <f t="shared" si="249"/>
        <v>0</v>
      </c>
      <c r="BJ362" s="3174">
        <f t="shared" si="250"/>
        <v>0</v>
      </c>
      <c r="BK362" s="3174">
        <f t="shared" si="251"/>
        <v>0</v>
      </c>
      <c r="BL362" s="3174">
        <f t="shared" si="252"/>
        <v>0</v>
      </c>
      <c r="BM362" s="3174">
        <f t="shared" si="253"/>
        <v>0</v>
      </c>
      <c r="BN362" s="3174">
        <f t="shared" si="254"/>
        <v>0</v>
      </c>
      <c r="BO362" s="3174">
        <f t="shared" si="255"/>
        <v>0</v>
      </c>
      <c r="BP362" s="3174">
        <f t="shared" si="256"/>
        <v>0</v>
      </c>
      <c r="BQ362" s="3174">
        <f t="shared" si="257"/>
        <v>0</v>
      </c>
      <c r="BR362" s="3174">
        <f t="shared" si="258"/>
        <v>0</v>
      </c>
      <c r="BS362" s="3174">
        <f t="shared" si="259"/>
        <v>0</v>
      </c>
      <c r="BT362" s="3249">
        <f t="shared" si="260"/>
        <v>0</v>
      </c>
    </row>
    <row r="363" spans="1:72">
      <c r="A363" s="489"/>
      <c r="B363" s="356"/>
      <c r="C363" s="356"/>
      <c r="D363" s="3182"/>
      <c r="E363" s="3174">
        <f t="shared" si="261"/>
        <v>0</v>
      </c>
      <c r="F363" s="3175"/>
      <c r="G363" s="3176">
        <f t="shared" si="236"/>
        <v>0</v>
      </c>
      <c r="H363" s="3177">
        <f t="shared" si="237"/>
        <v>0</v>
      </c>
      <c r="I363" s="3200"/>
      <c r="J363" s="3200"/>
      <c r="K363" s="3200"/>
      <c r="L363" s="3200"/>
      <c r="M363" s="3200"/>
      <c r="N363" s="3200"/>
      <c r="O363" s="3200"/>
      <c r="P363" s="3200"/>
      <c r="Q363" s="3200"/>
      <c r="R363" s="3200"/>
      <c r="S363" s="3200"/>
      <c r="T363" s="3200"/>
      <c r="U363" s="3200"/>
      <c r="V363" s="3200"/>
      <c r="W363" s="3200"/>
      <c r="X363" s="3200"/>
      <c r="Y363" s="3200"/>
      <c r="Z363" s="3200"/>
      <c r="AA363" s="3200"/>
      <c r="AB363" s="3200"/>
      <c r="AC363" s="3174">
        <f t="shared" si="238"/>
        <v>0</v>
      </c>
      <c r="AD363" s="3212"/>
      <c r="AE363" s="3212"/>
      <c r="AF363" s="3212"/>
      <c r="AG363" s="3212"/>
      <c r="AH363" s="3212"/>
      <c r="AI363" s="3212"/>
      <c r="AJ363" s="3212"/>
      <c r="AK363" s="3212"/>
      <c r="AL363" s="3212"/>
      <c r="AM363" s="3212"/>
      <c r="AN363" s="3212"/>
      <c r="AO363" s="3212"/>
      <c r="AP363" s="3212"/>
      <c r="AQ363" s="3212"/>
      <c r="AR363" s="3212"/>
      <c r="AS363" s="3212"/>
      <c r="AT363" s="3175"/>
      <c r="AU363" s="3232"/>
      <c r="AV363" s="466">
        <f t="shared" si="262"/>
        <v>0</v>
      </c>
      <c r="AW363" s="466">
        <f t="shared" si="263"/>
        <v>0</v>
      </c>
      <c r="AX363" s="466">
        <f t="shared" si="264"/>
        <v>0</v>
      </c>
      <c r="AY363" s="385">
        <f t="shared" si="239"/>
        <v>0</v>
      </c>
      <c r="AZ363" s="3174">
        <f t="shared" si="240"/>
        <v>0</v>
      </c>
      <c r="BA363" s="3174">
        <f t="shared" si="241"/>
        <v>0</v>
      </c>
      <c r="BB363" s="3174">
        <f t="shared" si="242"/>
        <v>0</v>
      </c>
      <c r="BC363" s="3174">
        <f t="shared" si="243"/>
        <v>0</v>
      </c>
      <c r="BD363" s="3174">
        <f t="shared" si="244"/>
        <v>0</v>
      </c>
      <c r="BE363" s="3174">
        <f t="shared" si="245"/>
        <v>0</v>
      </c>
      <c r="BF363" s="3174">
        <f t="shared" si="246"/>
        <v>0</v>
      </c>
      <c r="BG363" s="3174">
        <f t="shared" si="247"/>
        <v>0</v>
      </c>
      <c r="BH363" s="3174">
        <f t="shared" si="248"/>
        <v>0</v>
      </c>
      <c r="BI363" s="3174">
        <f t="shared" si="249"/>
        <v>0</v>
      </c>
      <c r="BJ363" s="3174">
        <f t="shared" si="250"/>
        <v>0</v>
      </c>
      <c r="BK363" s="3174">
        <f t="shared" si="251"/>
        <v>0</v>
      </c>
      <c r="BL363" s="3174">
        <f t="shared" si="252"/>
        <v>0</v>
      </c>
      <c r="BM363" s="3174">
        <f t="shared" si="253"/>
        <v>0</v>
      </c>
      <c r="BN363" s="3174">
        <f t="shared" si="254"/>
        <v>0</v>
      </c>
      <c r="BO363" s="3174">
        <f t="shared" si="255"/>
        <v>0</v>
      </c>
      <c r="BP363" s="3174">
        <f t="shared" si="256"/>
        <v>0</v>
      </c>
      <c r="BQ363" s="3174">
        <f t="shared" si="257"/>
        <v>0</v>
      </c>
      <c r="BR363" s="3174">
        <f t="shared" si="258"/>
        <v>0</v>
      </c>
      <c r="BS363" s="3174">
        <f t="shared" si="259"/>
        <v>0</v>
      </c>
      <c r="BT363" s="3249">
        <f t="shared" si="260"/>
        <v>0</v>
      </c>
    </row>
    <row r="364" spans="1:72">
      <c r="A364" s="489"/>
      <c r="B364" s="356"/>
      <c r="C364" s="356"/>
      <c r="D364" s="3182"/>
      <c r="E364" s="3174">
        <f t="shared" si="261"/>
        <v>0</v>
      </c>
      <c r="F364" s="3175"/>
      <c r="G364" s="3176">
        <f t="shared" si="236"/>
        <v>0</v>
      </c>
      <c r="H364" s="3177">
        <f t="shared" si="237"/>
        <v>0</v>
      </c>
      <c r="I364" s="3200"/>
      <c r="J364" s="3200"/>
      <c r="K364" s="3200"/>
      <c r="L364" s="3200"/>
      <c r="M364" s="3200"/>
      <c r="N364" s="3200"/>
      <c r="O364" s="3200"/>
      <c r="P364" s="3200"/>
      <c r="Q364" s="3200"/>
      <c r="R364" s="3200"/>
      <c r="S364" s="3200"/>
      <c r="T364" s="3200"/>
      <c r="U364" s="3200"/>
      <c r="V364" s="3200"/>
      <c r="W364" s="3200"/>
      <c r="X364" s="3200"/>
      <c r="Y364" s="3200"/>
      <c r="Z364" s="3200"/>
      <c r="AA364" s="3200"/>
      <c r="AB364" s="3200"/>
      <c r="AC364" s="3174">
        <f t="shared" si="238"/>
        <v>0</v>
      </c>
      <c r="AD364" s="3212"/>
      <c r="AE364" s="3212"/>
      <c r="AF364" s="3212"/>
      <c r="AG364" s="3212"/>
      <c r="AH364" s="3212"/>
      <c r="AI364" s="3212"/>
      <c r="AJ364" s="3212"/>
      <c r="AK364" s="3212"/>
      <c r="AL364" s="3212"/>
      <c r="AM364" s="3212"/>
      <c r="AN364" s="3212"/>
      <c r="AO364" s="3212"/>
      <c r="AP364" s="3212"/>
      <c r="AQ364" s="3212"/>
      <c r="AR364" s="3212"/>
      <c r="AS364" s="3212"/>
      <c r="AT364" s="3175"/>
      <c r="AU364" s="3232"/>
      <c r="AV364" s="466">
        <f t="shared" si="262"/>
        <v>0</v>
      </c>
      <c r="AW364" s="466">
        <f t="shared" si="263"/>
        <v>0</v>
      </c>
      <c r="AX364" s="466">
        <f t="shared" si="264"/>
        <v>0</v>
      </c>
      <c r="AY364" s="385">
        <f t="shared" si="239"/>
        <v>0</v>
      </c>
      <c r="AZ364" s="3174">
        <f t="shared" si="240"/>
        <v>0</v>
      </c>
      <c r="BA364" s="3174">
        <f t="shared" si="241"/>
        <v>0</v>
      </c>
      <c r="BB364" s="3174">
        <f t="shared" si="242"/>
        <v>0</v>
      </c>
      <c r="BC364" s="3174">
        <f t="shared" si="243"/>
        <v>0</v>
      </c>
      <c r="BD364" s="3174">
        <f t="shared" si="244"/>
        <v>0</v>
      </c>
      <c r="BE364" s="3174">
        <f t="shared" si="245"/>
        <v>0</v>
      </c>
      <c r="BF364" s="3174">
        <f t="shared" si="246"/>
        <v>0</v>
      </c>
      <c r="BG364" s="3174">
        <f t="shared" si="247"/>
        <v>0</v>
      </c>
      <c r="BH364" s="3174">
        <f t="shared" si="248"/>
        <v>0</v>
      </c>
      <c r="BI364" s="3174">
        <f t="shared" si="249"/>
        <v>0</v>
      </c>
      <c r="BJ364" s="3174">
        <f t="shared" si="250"/>
        <v>0</v>
      </c>
      <c r="BK364" s="3174">
        <f t="shared" si="251"/>
        <v>0</v>
      </c>
      <c r="BL364" s="3174">
        <f t="shared" si="252"/>
        <v>0</v>
      </c>
      <c r="BM364" s="3174">
        <f t="shared" si="253"/>
        <v>0</v>
      </c>
      <c r="BN364" s="3174">
        <f t="shared" si="254"/>
        <v>0</v>
      </c>
      <c r="BO364" s="3174">
        <f t="shared" si="255"/>
        <v>0</v>
      </c>
      <c r="BP364" s="3174">
        <f t="shared" si="256"/>
        <v>0</v>
      </c>
      <c r="BQ364" s="3174">
        <f t="shared" si="257"/>
        <v>0</v>
      </c>
      <c r="BR364" s="3174">
        <f t="shared" si="258"/>
        <v>0</v>
      </c>
      <c r="BS364" s="3174">
        <f t="shared" si="259"/>
        <v>0</v>
      </c>
      <c r="BT364" s="3249">
        <f t="shared" si="260"/>
        <v>0</v>
      </c>
    </row>
    <row r="365" spans="1:72">
      <c r="A365" s="489"/>
      <c r="B365" s="356"/>
      <c r="C365" s="356"/>
      <c r="D365" s="3182"/>
      <c r="E365" s="3174">
        <f t="shared" si="261"/>
        <v>0</v>
      </c>
      <c r="F365" s="3175"/>
      <c r="G365" s="3176">
        <f t="shared" si="236"/>
        <v>0</v>
      </c>
      <c r="H365" s="3177">
        <f t="shared" si="237"/>
        <v>0</v>
      </c>
      <c r="I365" s="3200"/>
      <c r="J365" s="3200"/>
      <c r="K365" s="3200"/>
      <c r="L365" s="3200"/>
      <c r="M365" s="3200"/>
      <c r="N365" s="3200"/>
      <c r="O365" s="3200"/>
      <c r="P365" s="3200"/>
      <c r="Q365" s="3200"/>
      <c r="R365" s="3200"/>
      <c r="S365" s="3200"/>
      <c r="T365" s="3200"/>
      <c r="U365" s="3200"/>
      <c r="V365" s="3200"/>
      <c r="W365" s="3200"/>
      <c r="X365" s="3200"/>
      <c r="Y365" s="3200"/>
      <c r="Z365" s="3200"/>
      <c r="AA365" s="3200"/>
      <c r="AB365" s="3200"/>
      <c r="AC365" s="3174">
        <f t="shared" si="238"/>
        <v>0</v>
      </c>
      <c r="AD365" s="3212"/>
      <c r="AE365" s="3212"/>
      <c r="AF365" s="3212"/>
      <c r="AG365" s="3212"/>
      <c r="AH365" s="3212"/>
      <c r="AI365" s="3212"/>
      <c r="AJ365" s="3212"/>
      <c r="AK365" s="3212"/>
      <c r="AL365" s="3212"/>
      <c r="AM365" s="3212"/>
      <c r="AN365" s="3212"/>
      <c r="AO365" s="3212"/>
      <c r="AP365" s="3212"/>
      <c r="AQ365" s="3212"/>
      <c r="AR365" s="3212"/>
      <c r="AS365" s="3212"/>
      <c r="AT365" s="3175"/>
      <c r="AU365" s="3232"/>
      <c r="AV365" s="466">
        <f t="shared" si="262"/>
        <v>0</v>
      </c>
      <c r="AW365" s="466">
        <f t="shared" si="263"/>
        <v>0</v>
      </c>
      <c r="AX365" s="466">
        <f t="shared" si="264"/>
        <v>0</v>
      </c>
      <c r="AY365" s="385">
        <f t="shared" si="239"/>
        <v>0</v>
      </c>
      <c r="AZ365" s="3174">
        <f t="shared" si="240"/>
        <v>0</v>
      </c>
      <c r="BA365" s="3174">
        <f t="shared" si="241"/>
        <v>0</v>
      </c>
      <c r="BB365" s="3174">
        <f t="shared" si="242"/>
        <v>0</v>
      </c>
      <c r="BC365" s="3174">
        <f t="shared" si="243"/>
        <v>0</v>
      </c>
      <c r="BD365" s="3174">
        <f t="shared" si="244"/>
        <v>0</v>
      </c>
      <c r="BE365" s="3174">
        <f t="shared" si="245"/>
        <v>0</v>
      </c>
      <c r="BF365" s="3174">
        <f t="shared" si="246"/>
        <v>0</v>
      </c>
      <c r="BG365" s="3174">
        <f t="shared" si="247"/>
        <v>0</v>
      </c>
      <c r="BH365" s="3174">
        <f t="shared" si="248"/>
        <v>0</v>
      </c>
      <c r="BI365" s="3174">
        <f t="shared" si="249"/>
        <v>0</v>
      </c>
      <c r="BJ365" s="3174">
        <f t="shared" si="250"/>
        <v>0</v>
      </c>
      <c r="BK365" s="3174">
        <f t="shared" si="251"/>
        <v>0</v>
      </c>
      <c r="BL365" s="3174">
        <f t="shared" si="252"/>
        <v>0</v>
      </c>
      <c r="BM365" s="3174">
        <f t="shared" si="253"/>
        <v>0</v>
      </c>
      <c r="BN365" s="3174">
        <f t="shared" si="254"/>
        <v>0</v>
      </c>
      <c r="BO365" s="3174">
        <f t="shared" si="255"/>
        <v>0</v>
      </c>
      <c r="BP365" s="3174">
        <f t="shared" si="256"/>
        <v>0</v>
      </c>
      <c r="BQ365" s="3174">
        <f t="shared" si="257"/>
        <v>0</v>
      </c>
      <c r="BR365" s="3174">
        <f t="shared" si="258"/>
        <v>0</v>
      </c>
      <c r="BS365" s="3174">
        <f t="shared" si="259"/>
        <v>0</v>
      </c>
      <c r="BT365" s="3249">
        <f t="shared" si="260"/>
        <v>0</v>
      </c>
    </row>
    <row r="366" spans="1:72">
      <c r="A366" s="489"/>
      <c r="B366" s="356"/>
      <c r="C366" s="356"/>
      <c r="D366" s="3182"/>
      <c r="E366" s="3174">
        <f t="shared" si="261"/>
        <v>0</v>
      </c>
      <c r="F366" s="3175"/>
      <c r="G366" s="3176">
        <f t="shared" si="236"/>
        <v>0</v>
      </c>
      <c r="H366" s="3177">
        <f t="shared" si="237"/>
        <v>0</v>
      </c>
      <c r="I366" s="3200"/>
      <c r="J366" s="3200"/>
      <c r="K366" s="3200"/>
      <c r="L366" s="3200"/>
      <c r="M366" s="3200"/>
      <c r="N366" s="3200"/>
      <c r="O366" s="3200"/>
      <c r="P366" s="3200"/>
      <c r="Q366" s="3200"/>
      <c r="R366" s="3200"/>
      <c r="S366" s="3200"/>
      <c r="T366" s="3200"/>
      <c r="U366" s="3200"/>
      <c r="V366" s="3200"/>
      <c r="W366" s="3200"/>
      <c r="X366" s="3200"/>
      <c r="Y366" s="3200"/>
      <c r="Z366" s="3200"/>
      <c r="AA366" s="3200"/>
      <c r="AB366" s="3200"/>
      <c r="AC366" s="3174">
        <f t="shared" si="238"/>
        <v>0</v>
      </c>
      <c r="AD366" s="3212"/>
      <c r="AE366" s="3212"/>
      <c r="AF366" s="3212"/>
      <c r="AG366" s="3212"/>
      <c r="AH366" s="3212"/>
      <c r="AI366" s="3212"/>
      <c r="AJ366" s="3212"/>
      <c r="AK366" s="3212"/>
      <c r="AL366" s="3212"/>
      <c r="AM366" s="3212"/>
      <c r="AN366" s="3212"/>
      <c r="AO366" s="3212"/>
      <c r="AP366" s="3212"/>
      <c r="AQ366" s="3212"/>
      <c r="AR366" s="3212"/>
      <c r="AS366" s="3212"/>
      <c r="AT366" s="3175"/>
      <c r="AU366" s="3232"/>
      <c r="AV366" s="466">
        <f t="shared" si="262"/>
        <v>0</v>
      </c>
      <c r="AW366" s="466">
        <f t="shared" si="263"/>
        <v>0</v>
      </c>
      <c r="AX366" s="466">
        <f t="shared" si="264"/>
        <v>0</v>
      </c>
      <c r="AY366" s="385">
        <f t="shared" si="239"/>
        <v>0</v>
      </c>
      <c r="AZ366" s="3174">
        <f t="shared" si="240"/>
        <v>0</v>
      </c>
      <c r="BA366" s="3174">
        <f t="shared" si="241"/>
        <v>0</v>
      </c>
      <c r="BB366" s="3174">
        <f t="shared" si="242"/>
        <v>0</v>
      </c>
      <c r="BC366" s="3174">
        <f t="shared" si="243"/>
        <v>0</v>
      </c>
      <c r="BD366" s="3174">
        <f t="shared" si="244"/>
        <v>0</v>
      </c>
      <c r="BE366" s="3174">
        <f t="shared" si="245"/>
        <v>0</v>
      </c>
      <c r="BF366" s="3174">
        <f t="shared" si="246"/>
        <v>0</v>
      </c>
      <c r="BG366" s="3174">
        <f t="shared" si="247"/>
        <v>0</v>
      </c>
      <c r="BH366" s="3174">
        <f t="shared" si="248"/>
        <v>0</v>
      </c>
      <c r="BI366" s="3174">
        <f t="shared" si="249"/>
        <v>0</v>
      </c>
      <c r="BJ366" s="3174">
        <f t="shared" si="250"/>
        <v>0</v>
      </c>
      <c r="BK366" s="3174">
        <f t="shared" si="251"/>
        <v>0</v>
      </c>
      <c r="BL366" s="3174">
        <f t="shared" si="252"/>
        <v>0</v>
      </c>
      <c r="BM366" s="3174">
        <f t="shared" si="253"/>
        <v>0</v>
      </c>
      <c r="BN366" s="3174">
        <f t="shared" si="254"/>
        <v>0</v>
      </c>
      <c r="BO366" s="3174">
        <f t="shared" si="255"/>
        <v>0</v>
      </c>
      <c r="BP366" s="3174">
        <f t="shared" si="256"/>
        <v>0</v>
      </c>
      <c r="BQ366" s="3174">
        <f t="shared" si="257"/>
        <v>0</v>
      </c>
      <c r="BR366" s="3174">
        <f t="shared" si="258"/>
        <v>0</v>
      </c>
      <c r="BS366" s="3174">
        <f t="shared" si="259"/>
        <v>0</v>
      </c>
      <c r="BT366" s="3249">
        <f t="shared" si="260"/>
        <v>0</v>
      </c>
    </row>
    <row r="367" spans="1:72">
      <c r="A367" s="489"/>
      <c r="B367" s="356"/>
      <c r="C367" s="356"/>
      <c r="D367" s="3182"/>
      <c r="E367" s="3174">
        <f t="shared" si="261"/>
        <v>0</v>
      </c>
      <c r="F367" s="3175"/>
      <c r="G367" s="3176">
        <f t="shared" si="236"/>
        <v>0</v>
      </c>
      <c r="H367" s="3177">
        <f t="shared" si="237"/>
        <v>0</v>
      </c>
      <c r="I367" s="3200"/>
      <c r="J367" s="3200"/>
      <c r="K367" s="3200"/>
      <c r="L367" s="3200"/>
      <c r="M367" s="3200"/>
      <c r="N367" s="3200"/>
      <c r="O367" s="3200"/>
      <c r="P367" s="3200"/>
      <c r="Q367" s="3200"/>
      <c r="R367" s="3200"/>
      <c r="S367" s="3200"/>
      <c r="T367" s="3200"/>
      <c r="U367" s="3200"/>
      <c r="V367" s="3200"/>
      <c r="W367" s="3200"/>
      <c r="X367" s="3200"/>
      <c r="Y367" s="3200"/>
      <c r="Z367" s="3200"/>
      <c r="AA367" s="3200"/>
      <c r="AB367" s="3200"/>
      <c r="AC367" s="3174">
        <f t="shared" si="238"/>
        <v>0</v>
      </c>
      <c r="AD367" s="3212"/>
      <c r="AE367" s="3212"/>
      <c r="AF367" s="3212"/>
      <c r="AG367" s="3212"/>
      <c r="AH367" s="3212"/>
      <c r="AI367" s="3212"/>
      <c r="AJ367" s="3212"/>
      <c r="AK367" s="3212"/>
      <c r="AL367" s="3212"/>
      <c r="AM367" s="3212"/>
      <c r="AN367" s="3212"/>
      <c r="AO367" s="3212"/>
      <c r="AP367" s="3212"/>
      <c r="AQ367" s="3212"/>
      <c r="AR367" s="3212"/>
      <c r="AS367" s="3212"/>
      <c r="AT367" s="3175"/>
      <c r="AU367" s="3232"/>
      <c r="AV367" s="466">
        <f t="shared" si="262"/>
        <v>0</v>
      </c>
      <c r="AW367" s="466">
        <f t="shared" si="263"/>
        <v>0</v>
      </c>
      <c r="AX367" s="466">
        <f t="shared" si="264"/>
        <v>0</v>
      </c>
      <c r="AY367" s="385">
        <f t="shared" si="239"/>
        <v>0</v>
      </c>
      <c r="AZ367" s="3174">
        <f t="shared" si="240"/>
        <v>0</v>
      </c>
      <c r="BA367" s="3174">
        <f t="shared" si="241"/>
        <v>0</v>
      </c>
      <c r="BB367" s="3174">
        <f t="shared" si="242"/>
        <v>0</v>
      </c>
      <c r="BC367" s="3174">
        <f t="shared" si="243"/>
        <v>0</v>
      </c>
      <c r="BD367" s="3174">
        <f t="shared" si="244"/>
        <v>0</v>
      </c>
      <c r="BE367" s="3174">
        <f t="shared" si="245"/>
        <v>0</v>
      </c>
      <c r="BF367" s="3174">
        <f t="shared" si="246"/>
        <v>0</v>
      </c>
      <c r="BG367" s="3174">
        <f t="shared" si="247"/>
        <v>0</v>
      </c>
      <c r="BH367" s="3174">
        <f t="shared" si="248"/>
        <v>0</v>
      </c>
      <c r="BI367" s="3174">
        <f t="shared" si="249"/>
        <v>0</v>
      </c>
      <c r="BJ367" s="3174">
        <f t="shared" si="250"/>
        <v>0</v>
      </c>
      <c r="BK367" s="3174">
        <f t="shared" si="251"/>
        <v>0</v>
      </c>
      <c r="BL367" s="3174">
        <f t="shared" si="252"/>
        <v>0</v>
      </c>
      <c r="BM367" s="3174">
        <f t="shared" si="253"/>
        <v>0</v>
      </c>
      <c r="BN367" s="3174">
        <f t="shared" si="254"/>
        <v>0</v>
      </c>
      <c r="BO367" s="3174">
        <f t="shared" si="255"/>
        <v>0</v>
      </c>
      <c r="BP367" s="3174">
        <f t="shared" si="256"/>
        <v>0</v>
      </c>
      <c r="BQ367" s="3174">
        <f t="shared" si="257"/>
        <v>0</v>
      </c>
      <c r="BR367" s="3174">
        <f t="shared" si="258"/>
        <v>0</v>
      </c>
      <c r="BS367" s="3174">
        <f t="shared" si="259"/>
        <v>0</v>
      </c>
      <c r="BT367" s="3249">
        <f t="shared" si="260"/>
        <v>0</v>
      </c>
    </row>
    <row r="368" spans="1:72">
      <c r="A368" s="489"/>
      <c r="B368" s="356"/>
      <c r="C368" s="356"/>
      <c r="D368" s="3182"/>
      <c r="E368" s="3174">
        <f t="shared" si="261"/>
        <v>0</v>
      </c>
      <c r="F368" s="3175"/>
      <c r="G368" s="3176">
        <f t="shared" si="236"/>
        <v>0</v>
      </c>
      <c r="H368" s="3177">
        <f t="shared" si="237"/>
        <v>0</v>
      </c>
      <c r="I368" s="3200"/>
      <c r="J368" s="3200"/>
      <c r="K368" s="3200"/>
      <c r="L368" s="3200"/>
      <c r="M368" s="3200"/>
      <c r="N368" s="3200"/>
      <c r="O368" s="3200"/>
      <c r="P368" s="3200"/>
      <c r="Q368" s="3200"/>
      <c r="R368" s="3200"/>
      <c r="S368" s="3200"/>
      <c r="T368" s="3200"/>
      <c r="U368" s="3200"/>
      <c r="V368" s="3200"/>
      <c r="W368" s="3200"/>
      <c r="X368" s="3200"/>
      <c r="Y368" s="3200"/>
      <c r="Z368" s="3200"/>
      <c r="AA368" s="3200"/>
      <c r="AB368" s="3200"/>
      <c r="AC368" s="3174">
        <f t="shared" si="238"/>
        <v>0</v>
      </c>
      <c r="AD368" s="3212"/>
      <c r="AE368" s="3212"/>
      <c r="AF368" s="3212"/>
      <c r="AG368" s="3212"/>
      <c r="AH368" s="3212"/>
      <c r="AI368" s="3212"/>
      <c r="AJ368" s="3212"/>
      <c r="AK368" s="3212"/>
      <c r="AL368" s="3212"/>
      <c r="AM368" s="3212"/>
      <c r="AN368" s="3212"/>
      <c r="AO368" s="3212"/>
      <c r="AP368" s="3212"/>
      <c r="AQ368" s="3212"/>
      <c r="AR368" s="3212"/>
      <c r="AS368" s="3212"/>
      <c r="AT368" s="3175"/>
      <c r="AU368" s="3232"/>
      <c r="AV368" s="466">
        <f t="shared" si="262"/>
        <v>0</v>
      </c>
      <c r="AW368" s="466">
        <f t="shared" si="263"/>
        <v>0</v>
      </c>
      <c r="AX368" s="466">
        <f t="shared" si="264"/>
        <v>0</v>
      </c>
      <c r="AY368" s="385">
        <f t="shared" si="239"/>
        <v>0</v>
      </c>
      <c r="AZ368" s="3174">
        <f t="shared" si="240"/>
        <v>0</v>
      </c>
      <c r="BA368" s="3174">
        <f t="shared" si="241"/>
        <v>0</v>
      </c>
      <c r="BB368" s="3174">
        <f t="shared" si="242"/>
        <v>0</v>
      </c>
      <c r="BC368" s="3174">
        <f t="shared" si="243"/>
        <v>0</v>
      </c>
      <c r="BD368" s="3174">
        <f t="shared" si="244"/>
        <v>0</v>
      </c>
      <c r="BE368" s="3174">
        <f t="shared" si="245"/>
        <v>0</v>
      </c>
      <c r="BF368" s="3174">
        <f t="shared" si="246"/>
        <v>0</v>
      </c>
      <c r="BG368" s="3174">
        <f t="shared" si="247"/>
        <v>0</v>
      </c>
      <c r="BH368" s="3174">
        <f t="shared" si="248"/>
        <v>0</v>
      </c>
      <c r="BI368" s="3174">
        <f t="shared" si="249"/>
        <v>0</v>
      </c>
      <c r="BJ368" s="3174">
        <f t="shared" si="250"/>
        <v>0</v>
      </c>
      <c r="BK368" s="3174">
        <f t="shared" si="251"/>
        <v>0</v>
      </c>
      <c r="BL368" s="3174">
        <f t="shared" si="252"/>
        <v>0</v>
      </c>
      <c r="BM368" s="3174">
        <f t="shared" si="253"/>
        <v>0</v>
      </c>
      <c r="BN368" s="3174">
        <f t="shared" si="254"/>
        <v>0</v>
      </c>
      <c r="BO368" s="3174">
        <f t="shared" si="255"/>
        <v>0</v>
      </c>
      <c r="BP368" s="3174">
        <f t="shared" si="256"/>
        <v>0</v>
      </c>
      <c r="BQ368" s="3174">
        <f t="shared" si="257"/>
        <v>0</v>
      </c>
      <c r="BR368" s="3174">
        <f t="shared" si="258"/>
        <v>0</v>
      </c>
      <c r="BS368" s="3174">
        <f t="shared" si="259"/>
        <v>0</v>
      </c>
      <c r="BT368" s="3249">
        <f t="shared" si="260"/>
        <v>0</v>
      </c>
    </row>
    <row r="369" spans="1:72">
      <c r="A369" s="489"/>
      <c r="B369" s="356"/>
      <c r="C369" s="356"/>
      <c r="D369" s="3182"/>
      <c r="E369" s="3174">
        <f t="shared" si="261"/>
        <v>0</v>
      </c>
      <c r="F369" s="3175"/>
      <c r="G369" s="3176">
        <f t="shared" si="236"/>
        <v>0</v>
      </c>
      <c r="H369" s="3177">
        <f t="shared" si="237"/>
        <v>0</v>
      </c>
      <c r="I369" s="3200"/>
      <c r="J369" s="3200"/>
      <c r="K369" s="3200"/>
      <c r="L369" s="3200"/>
      <c r="M369" s="3200"/>
      <c r="N369" s="3200"/>
      <c r="O369" s="3200"/>
      <c r="P369" s="3200"/>
      <c r="Q369" s="3200"/>
      <c r="R369" s="3200"/>
      <c r="S369" s="3200"/>
      <c r="T369" s="3200"/>
      <c r="U369" s="3200"/>
      <c r="V369" s="3200"/>
      <c r="W369" s="3200"/>
      <c r="X369" s="3200"/>
      <c r="Y369" s="3200"/>
      <c r="Z369" s="3200"/>
      <c r="AA369" s="3200"/>
      <c r="AB369" s="3200"/>
      <c r="AC369" s="3174">
        <f t="shared" si="238"/>
        <v>0</v>
      </c>
      <c r="AD369" s="3212"/>
      <c r="AE369" s="3212"/>
      <c r="AF369" s="3212"/>
      <c r="AG369" s="3212"/>
      <c r="AH369" s="3212"/>
      <c r="AI369" s="3212"/>
      <c r="AJ369" s="3212"/>
      <c r="AK369" s="3212"/>
      <c r="AL369" s="3212"/>
      <c r="AM369" s="3212"/>
      <c r="AN369" s="3212"/>
      <c r="AO369" s="3212"/>
      <c r="AP369" s="3212"/>
      <c r="AQ369" s="3212"/>
      <c r="AR369" s="3212"/>
      <c r="AS369" s="3212"/>
      <c r="AT369" s="3175"/>
      <c r="AU369" s="3232"/>
      <c r="AV369" s="466">
        <f t="shared" si="262"/>
        <v>0</v>
      </c>
      <c r="AW369" s="466">
        <f t="shared" si="263"/>
        <v>0</v>
      </c>
      <c r="AX369" s="466">
        <f t="shared" si="264"/>
        <v>0</v>
      </c>
      <c r="AY369" s="385">
        <f t="shared" si="239"/>
        <v>0</v>
      </c>
      <c r="AZ369" s="3174">
        <f t="shared" si="240"/>
        <v>0</v>
      </c>
      <c r="BA369" s="3174">
        <f t="shared" si="241"/>
        <v>0</v>
      </c>
      <c r="BB369" s="3174">
        <f t="shared" si="242"/>
        <v>0</v>
      </c>
      <c r="BC369" s="3174">
        <f t="shared" si="243"/>
        <v>0</v>
      </c>
      <c r="BD369" s="3174">
        <f t="shared" si="244"/>
        <v>0</v>
      </c>
      <c r="BE369" s="3174">
        <f t="shared" si="245"/>
        <v>0</v>
      </c>
      <c r="BF369" s="3174">
        <f t="shared" si="246"/>
        <v>0</v>
      </c>
      <c r="BG369" s="3174">
        <f t="shared" si="247"/>
        <v>0</v>
      </c>
      <c r="BH369" s="3174">
        <f t="shared" si="248"/>
        <v>0</v>
      </c>
      <c r="BI369" s="3174">
        <f t="shared" si="249"/>
        <v>0</v>
      </c>
      <c r="BJ369" s="3174">
        <f t="shared" si="250"/>
        <v>0</v>
      </c>
      <c r="BK369" s="3174">
        <f t="shared" si="251"/>
        <v>0</v>
      </c>
      <c r="BL369" s="3174">
        <f t="shared" si="252"/>
        <v>0</v>
      </c>
      <c r="BM369" s="3174">
        <f t="shared" si="253"/>
        <v>0</v>
      </c>
      <c r="BN369" s="3174">
        <f t="shared" si="254"/>
        <v>0</v>
      </c>
      <c r="BO369" s="3174">
        <f t="shared" si="255"/>
        <v>0</v>
      </c>
      <c r="BP369" s="3174">
        <f t="shared" si="256"/>
        <v>0</v>
      </c>
      <c r="BQ369" s="3174">
        <f t="shared" si="257"/>
        <v>0</v>
      </c>
      <c r="BR369" s="3174">
        <f t="shared" si="258"/>
        <v>0</v>
      </c>
      <c r="BS369" s="3174">
        <f t="shared" si="259"/>
        <v>0</v>
      </c>
      <c r="BT369" s="3249">
        <f t="shared" si="260"/>
        <v>0</v>
      </c>
    </row>
    <row r="370" spans="1:72">
      <c r="A370" s="489"/>
      <c r="B370" s="356"/>
      <c r="C370" s="356"/>
      <c r="D370" s="3182"/>
      <c r="E370" s="3174">
        <f t="shared" si="261"/>
        <v>0</v>
      </c>
      <c r="F370" s="3175"/>
      <c r="G370" s="3176">
        <f t="shared" si="236"/>
        <v>0</v>
      </c>
      <c r="H370" s="3177">
        <f t="shared" si="237"/>
        <v>0</v>
      </c>
      <c r="I370" s="3200"/>
      <c r="J370" s="3200"/>
      <c r="K370" s="3200"/>
      <c r="L370" s="3200"/>
      <c r="M370" s="3200"/>
      <c r="N370" s="3200"/>
      <c r="O370" s="3200"/>
      <c r="P370" s="3200"/>
      <c r="Q370" s="3200"/>
      <c r="R370" s="3200"/>
      <c r="S370" s="3200"/>
      <c r="T370" s="3200"/>
      <c r="U370" s="3200"/>
      <c r="V370" s="3200"/>
      <c r="W370" s="3200"/>
      <c r="X370" s="3200"/>
      <c r="Y370" s="3200"/>
      <c r="Z370" s="3200"/>
      <c r="AA370" s="3200"/>
      <c r="AB370" s="3200"/>
      <c r="AC370" s="3174">
        <f t="shared" si="238"/>
        <v>0</v>
      </c>
      <c r="AD370" s="3212"/>
      <c r="AE370" s="3212"/>
      <c r="AF370" s="3212"/>
      <c r="AG370" s="3212"/>
      <c r="AH370" s="3212"/>
      <c r="AI370" s="3212"/>
      <c r="AJ370" s="3212"/>
      <c r="AK370" s="3212"/>
      <c r="AL370" s="3212"/>
      <c r="AM370" s="3212"/>
      <c r="AN370" s="3212"/>
      <c r="AO370" s="3212"/>
      <c r="AP370" s="3212"/>
      <c r="AQ370" s="3212"/>
      <c r="AR370" s="3212"/>
      <c r="AS370" s="3212"/>
      <c r="AT370" s="3175"/>
      <c r="AU370" s="3232"/>
      <c r="AV370" s="466">
        <f t="shared" si="262"/>
        <v>0</v>
      </c>
      <c r="AW370" s="466">
        <f t="shared" si="263"/>
        <v>0</v>
      </c>
      <c r="AX370" s="466">
        <f t="shared" si="264"/>
        <v>0</v>
      </c>
      <c r="AY370" s="385">
        <f t="shared" si="239"/>
        <v>0</v>
      </c>
      <c r="AZ370" s="3174">
        <f t="shared" si="240"/>
        <v>0</v>
      </c>
      <c r="BA370" s="3174">
        <f t="shared" si="241"/>
        <v>0</v>
      </c>
      <c r="BB370" s="3174">
        <f t="shared" si="242"/>
        <v>0</v>
      </c>
      <c r="BC370" s="3174">
        <f t="shared" si="243"/>
        <v>0</v>
      </c>
      <c r="BD370" s="3174">
        <f t="shared" si="244"/>
        <v>0</v>
      </c>
      <c r="BE370" s="3174">
        <f t="shared" si="245"/>
        <v>0</v>
      </c>
      <c r="BF370" s="3174">
        <f t="shared" si="246"/>
        <v>0</v>
      </c>
      <c r="BG370" s="3174">
        <f t="shared" si="247"/>
        <v>0</v>
      </c>
      <c r="BH370" s="3174">
        <f t="shared" si="248"/>
        <v>0</v>
      </c>
      <c r="BI370" s="3174">
        <f t="shared" si="249"/>
        <v>0</v>
      </c>
      <c r="BJ370" s="3174">
        <f t="shared" si="250"/>
        <v>0</v>
      </c>
      <c r="BK370" s="3174">
        <f t="shared" si="251"/>
        <v>0</v>
      </c>
      <c r="BL370" s="3174">
        <f t="shared" si="252"/>
        <v>0</v>
      </c>
      <c r="BM370" s="3174">
        <f t="shared" si="253"/>
        <v>0</v>
      </c>
      <c r="BN370" s="3174">
        <f t="shared" si="254"/>
        <v>0</v>
      </c>
      <c r="BO370" s="3174">
        <f t="shared" si="255"/>
        <v>0</v>
      </c>
      <c r="BP370" s="3174">
        <f t="shared" si="256"/>
        <v>0</v>
      </c>
      <c r="BQ370" s="3174">
        <f t="shared" si="257"/>
        <v>0</v>
      </c>
      <c r="BR370" s="3174">
        <f t="shared" si="258"/>
        <v>0</v>
      </c>
      <c r="BS370" s="3174">
        <f t="shared" si="259"/>
        <v>0</v>
      </c>
      <c r="BT370" s="3249">
        <f t="shared" si="260"/>
        <v>0</v>
      </c>
    </row>
    <row r="371" spans="1:72">
      <c r="A371" s="489"/>
      <c r="B371" s="356"/>
      <c r="C371" s="356"/>
      <c r="D371" s="3182"/>
      <c r="E371" s="3174">
        <f t="shared" si="261"/>
        <v>0</v>
      </c>
      <c r="F371" s="3175"/>
      <c r="G371" s="3176">
        <f t="shared" si="236"/>
        <v>0</v>
      </c>
      <c r="H371" s="3177">
        <f t="shared" si="237"/>
        <v>0</v>
      </c>
      <c r="I371" s="3200"/>
      <c r="J371" s="3200"/>
      <c r="K371" s="3200"/>
      <c r="L371" s="3200"/>
      <c r="M371" s="3200"/>
      <c r="N371" s="3200"/>
      <c r="O371" s="3200"/>
      <c r="P371" s="3200"/>
      <c r="Q371" s="3200"/>
      <c r="R371" s="3200"/>
      <c r="S371" s="3200"/>
      <c r="T371" s="3200"/>
      <c r="U371" s="3200"/>
      <c r="V371" s="3200"/>
      <c r="W371" s="3200"/>
      <c r="X371" s="3200"/>
      <c r="Y371" s="3200"/>
      <c r="Z371" s="3200"/>
      <c r="AA371" s="3200"/>
      <c r="AB371" s="3200"/>
      <c r="AC371" s="3174">
        <f t="shared" si="238"/>
        <v>0</v>
      </c>
      <c r="AD371" s="3212"/>
      <c r="AE371" s="3212"/>
      <c r="AF371" s="3212"/>
      <c r="AG371" s="3212"/>
      <c r="AH371" s="3212"/>
      <c r="AI371" s="3212"/>
      <c r="AJ371" s="3212"/>
      <c r="AK371" s="3212"/>
      <c r="AL371" s="3212"/>
      <c r="AM371" s="3212"/>
      <c r="AN371" s="3212"/>
      <c r="AO371" s="3212"/>
      <c r="AP371" s="3212"/>
      <c r="AQ371" s="3212"/>
      <c r="AR371" s="3212"/>
      <c r="AS371" s="3212"/>
      <c r="AT371" s="3175"/>
      <c r="AU371" s="3232"/>
      <c r="AV371" s="466">
        <f t="shared" si="262"/>
        <v>0</v>
      </c>
      <c r="AW371" s="466">
        <f t="shared" si="263"/>
        <v>0</v>
      </c>
      <c r="AX371" s="466">
        <f t="shared" si="264"/>
        <v>0</v>
      </c>
      <c r="AY371" s="385">
        <f t="shared" si="239"/>
        <v>0</v>
      </c>
      <c r="AZ371" s="3174">
        <f t="shared" si="240"/>
        <v>0</v>
      </c>
      <c r="BA371" s="3174">
        <f t="shared" si="241"/>
        <v>0</v>
      </c>
      <c r="BB371" s="3174">
        <f t="shared" si="242"/>
        <v>0</v>
      </c>
      <c r="BC371" s="3174">
        <f t="shared" si="243"/>
        <v>0</v>
      </c>
      <c r="BD371" s="3174">
        <f t="shared" si="244"/>
        <v>0</v>
      </c>
      <c r="BE371" s="3174">
        <f t="shared" si="245"/>
        <v>0</v>
      </c>
      <c r="BF371" s="3174">
        <f t="shared" si="246"/>
        <v>0</v>
      </c>
      <c r="BG371" s="3174">
        <f t="shared" si="247"/>
        <v>0</v>
      </c>
      <c r="BH371" s="3174">
        <f t="shared" si="248"/>
        <v>0</v>
      </c>
      <c r="BI371" s="3174">
        <f t="shared" si="249"/>
        <v>0</v>
      </c>
      <c r="BJ371" s="3174">
        <f t="shared" si="250"/>
        <v>0</v>
      </c>
      <c r="BK371" s="3174">
        <f t="shared" si="251"/>
        <v>0</v>
      </c>
      <c r="BL371" s="3174">
        <f t="shared" si="252"/>
        <v>0</v>
      </c>
      <c r="BM371" s="3174">
        <f t="shared" si="253"/>
        <v>0</v>
      </c>
      <c r="BN371" s="3174">
        <f t="shared" si="254"/>
        <v>0</v>
      </c>
      <c r="BO371" s="3174">
        <f t="shared" si="255"/>
        <v>0</v>
      </c>
      <c r="BP371" s="3174">
        <f t="shared" si="256"/>
        <v>0</v>
      </c>
      <c r="BQ371" s="3174">
        <f t="shared" si="257"/>
        <v>0</v>
      </c>
      <c r="BR371" s="3174">
        <f t="shared" si="258"/>
        <v>0</v>
      </c>
      <c r="BS371" s="3174">
        <f t="shared" si="259"/>
        <v>0</v>
      </c>
      <c r="BT371" s="3249">
        <f t="shared" si="260"/>
        <v>0</v>
      </c>
    </row>
    <row r="372" spans="1:72">
      <c r="A372" s="489"/>
      <c r="B372" s="356"/>
      <c r="C372" s="356"/>
      <c r="D372" s="3182"/>
      <c r="E372" s="3174">
        <f t="shared" si="261"/>
        <v>0</v>
      </c>
      <c r="F372" s="3175"/>
      <c r="G372" s="3176">
        <f t="shared" si="236"/>
        <v>0</v>
      </c>
      <c r="H372" s="3177">
        <f t="shared" si="237"/>
        <v>0</v>
      </c>
      <c r="I372" s="3200"/>
      <c r="J372" s="3200"/>
      <c r="K372" s="3200"/>
      <c r="L372" s="3200"/>
      <c r="M372" s="3200"/>
      <c r="N372" s="3200"/>
      <c r="O372" s="3200"/>
      <c r="P372" s="3200"/>
      <c r="Q372" s="3200"/>
      <c r="R372" s="3200"/>
      <c r="S372" s="3200"/>
      <c r="T372" s="3200"/>
      <c r="U372" s="3200"/>
      <c r="V372" s="3200"/>
      <c r="W372" s="3200"/>
      <c r="X372" s="3200"/>
      <c r="Y372" s="3200"/>
      <c r="Z372" s="3200"/>
      <c r="AA372" s="3200"/>
      <c r="AB372" s="3200"/>
      <c r="AC372" s="3174">
        <f t="shared" si="238"/>
        <v>0</v>
      </c>
      <c r="AD372" s="3212"/>
      <c r="AE372" s="3212"/>
      <c r="AF372" s="3212"/>
      <c r="AG372" s="3212"/>
      <c r="AH372" s="3212"/>
      <c r="AI372" s="3212"/>
      <c r="AJ372" s="3212"/>
      <c r="AK372" s="3212"/>
      <c r="AL372" s="3212"/>
      <c r="AM372" s="3212"/>
      <c r="AN372" s="3212"/>
      <c r="AO372" s="3212"/>
      <c r="AP372" s="3212"/>
      <c r="AQ372" s="3212"/>
      <c r="AR372" s="3212"/>
      <c r="AS372" s="3212"/>
      <c r="AT372" s="3175"/>
      <c r="AU372" s="3232"/>
      <c r="AV372" s="466">
        <f t="shared" si="262"/>
        <v>0</v>
      </c>
      <c r="AW372" s="466">
        <f t="shared" si="263"/>
        <v>0</v>
      </c>
      <c r="AX372" s="466">
        <f t="shared" si="264"/>
        <v>0</v>
      </c>
      <c r="AY372" s="385">
        <f t="shared" si="239"/>
        <v>0</v>
      </c>
      <c r="AZ372" s="3174">
        <f t="shared" si="240"/>
        <v>0</v>
      </c>
      <c r="BA372" s="3174">
        <f t="shared" si="241"/>
        <v>0</v>
      </c>
      <c r="BB372" s="3174">
        <f t="shared" si="242"/>
        <v>0</v>
      </c>
      <c r="BC372" s="3174">
        <f t="shared" si="243"/>
        <v>0</v>
      </c>
      <c r="BD372" s="3174">
        <f t="shared" si="244"/>
        <v>0</v>
      </c>
      <c r="BE372" s="3174">
        <f t="shared" si="245"/>
        <v>0</v>
      </c>
      <c r="BF372" s="3174">
        <f t="shared" si="246"/>
        <v>0</v>
      </c>
      <c r="BG372" s="3174">
        <f t="shared" si="247"/>
        <v>0</v>
      </c>
      <c r="BH372" s="3174">
        <f t="shared" si="248"/>
        <v>0</v>
      </c>
      <c r="BI372" s="3174">
        <f t="shared" si="249"/>
        <v>0</v>
      </c>
      <c r="BJ372" s="3174">
        <f t="shared" si="250"/>
        <v>0</v>
      </c>
      <c r="BK372" s="3174">
        <f t="shared" si="251"/>
        <v>0</v>
      </c>
      <c r="BL372" s="3174">
        <f t="shared" si="252"/>
        <v>0</v>
      </c>
      <c r="BM372" s="3174">
        <f t="shared" si="253"/>
        <v>0</v>
      </c>
      <c r="BN372" s="3174">
        <f t="shared" si="254"/>
        <v>0</v>
      </c>
      <c r="BO372" s="3174">
        <f t="shared" si="255"/>
        <v>0</v>
      </c>
      <c r="BP372" s="3174">
        <f t="shared" si="256"/>
        <v>0</v>
      </c>
      <c r="BQ372" s="3174">
        <f t="shared" si="257"/>
        <v>0</v>
      </c>
      <c r="BR372" s="3174">
        <f t="shared" si="258"/>
        <v>0</v>
      </c>
      <c r="BS372" s="3174">
        <f t="shared" si="259"/>
        <v>0</v>
      </c>
      <c r="BT372" s="3249">
        <f t="shared" si="260"/>
        <v>0</v>
      </c>
    </row>
    <row r="373" spans="1:72">
      <c r="A373" s="489"/>
      <c r="B373" s="356"/>
      <c r="C373" s="356"/>
      <c r="D373" s="3182"/>
      <c r="E373" s="3174">
        <f t="shared" si="261"/>
        <v>0</v>
      </c>
      <c r="F373" s="3175"/>
      <c r="G373" s="3176">
        <f t="shared" si="236"/>
        <v>0</v>
      </c>
      <c r="H373" s="3177">
        <f t="shared" si="237"/>
        <v>0</v>
      </c>
      <c r="I373" s="3200"/>
      <c r="J373" s="3200"/>
      <c r="K373" s="3200"/>
      <c r="L373" s="3200"/>
      <c r="M373" s="3200"/>
      <c r="N373" s="3200"/>
      <c r="O373" s="3200"/>
      <c r="P373" s="3200"/>
      <c r="Q373" s="3200"/>
      <c r="R373" s="3200"/>
      <c r="S373" s="3200"/>
      <c r="T373" s="3200"/>
      <c r="U373" s="3200"/>
      <c r="V373" s="3200"/>
      <c r="W373" s="3200"/>
      <c r="X373" s="3200"/>
      <c r="Y373" s="3200"/>
      <c r="Z373" s="3200"/>
      <c r="AA373" s="3200"/>
      <c r="AB373" s="3200"/>
      <c r="AC373" s="3174">
        <f t="shared" si="238"/>
        <v>0</v>
      </c>
      <c r="AD373" s="3212"/>
      <c r="AE373" s="3212"/>
      <c r="AF373" s="3212"/>
      <c r="AG373" s="3212"/>
      <c r="AH373" s="3212"/>
      <c r="AI373" s="3212"/>
      <c r="AJ373" s="3212"/>
      <c r="AK373" s="3212"/>
      <c r="AL373" s="3212"/>
      <c r="AM373" s="3212"/>
      <c r="AN373" s="3212"/>
      <c r="AO373" s="3212"/>
      <c r="AP373" s="3212"/>
      <c r="AQ373" s="3212"/>
      <c r="AR373" s="3212"/>
      <c r="AS373" s="3212"/>
      <c r="AT373" s="3175"/>
      <c r="AU373" s="3232"/>
      <c r="AV373" s="466">
        <f t="shared" si="262"/>
        <v>0</v>
      </c>
      <c r="AW373" s="466">
        <f t="shared" si="263"/>
        <v>0</v>
      </c>
      <c r="AX373" s="466">
        <f t="shared" si="264"/>
        <v>0</v>
      </c>
      <c r="AY373" s="385">
        <f t="shared" si="239"/>
        <v>0</v>
      </c>
      <c r="AZ373" s="3174">
        <f t="shared" si="240"/>
        <v>0</v>
      </c>
      <c r="BA373" s="3174">
        <f t="shared" si="241"/>
        <v>0</v>
      </c>
      <c r="BB373" s="3174">
        <f t="shared" si="242"/>
        <v>0</v>
      </c>
      <c r="BC373" s="3174">
        <f t="shared" si="243"/>
        <v>0</v>
      </c>
      <c r="BD373" s="3174">
        <f t="shared" si="244"/>
        <v>0</v>
      </c>
      <c r="BE373" s="3174">
        <f t="shared" si="245"/>
        <v>0</v>
      </c>
      <c r="BF373" s="3174">
        <f t="shared" si="246"/>
        <v>0</v>
      </c>
      <c r="BG373" s="3174">
        <f t="shared" si="247"/>
        <v>0</v>
      </c>
      <c r="BH373" s="3174">
        <f t="shared" si="248"/>
        <v>0</v>
      </c>
      <c r="BI373" s="3174">
        <f t="shared" si="249"/>
        <v>0</v>
      </c>
      <c r="BJ373" s="3174">
        <f t="shared" si="250"/>
        <v>0</v>
      </c>
      <c r="BK373" s="3174">
        <f t="shared" si="251"/>
        <v>0</v>
      </c>
      <c r="BL373" s="3174">
        <f t="shared" si="252"/>
        <v>0</v>
      </c>
      <c r="BM373" s="3174">
        <f t="shared" si="253"/>
        <v>0</v>
      </c>
      <c r="BN373" s="3174">
        <f t="shared" si="254"/>
        <v>0</v>
      </c>
      <c r="BO373" s="3174">
        <f t="shared" si="255"/>
        <v>0</v>
      </c>
      <c r="BP373" s="3174">
        <f t="shared" si="256"/>
        <v>0</v>
      </c>
      <c r="BQ373" s="3174">
        <f t="shared" si="257"/>
        <v>0</v>
      </c>
      <c r="BR373" s="3174">
        <f t="shared" si="258"/>
        <v>0</v>
      </c>
      <c r="BS373" s="3174">
        <f t="shared" si="259"/>
        <v>0</v>
      </c>
      <c r="BT373" s="3249">
        <f t="shared" si="260"/>
        <v>0</v>
      </c>
    </row>
    <row r="374" spans="1:72">
      <c r="A374" s="489"/>
      <c r="B374" s="356"/>
      <c r="C374" s="356"/>
      <c r="D374" s="3182"/>
      <c r="E374" s="3174">
        <f t="shared" si="261"/>
        <v>0</v>
      </c>
      <c r="F374" s="3175"/>
      <c r="G374" s="3176">
        <f t="shared" si="236"/>
        <v>0</v>
      </c>
      <c r="H374" s="3177">
        <f t="shared" si="237"/>
        <v>0</v>
      </c>
      <c r="I374" s="3200"/>
      <c r="J374" s="3200"/>
      <c r="K374" s="3200"/>
      <c r="L374" s="3200"/>
      <c r="M374" s="3200"/>
      <c r="N374" s="3200"/>
      <c r="O374" s="3200"/>
      <c r="P374" s="3200"/>
      <c r="Q374" s="3200"/>
      <c r="R374" s="3200"/>
      <c r="S374" s="3200"/>
      <c r="T374" s="3200"/>
      <c r="U374" s="3200"/>
      <c r="V374" s="3200"/>
      <c r="W374" s="3200"/>
      <c r="X374" s="3200"/>
      <c r="Y374" s="3200"/>
      <c r="Z374" s="3200"/>
      <c r="AA374" s="3200"/>
      <c r="AB374" s="3200"/>
      <c r="AC374" s="3174">
        <f t="shared" si="238"/>
        <v>0</v>
      </c>
      <c r="AD374" s="3212"/>
      <c r="AE374" s="3212"/>
      <c r="AF374" s="3212"/>
      <c r="AG374" s="3212"/>
      <c r="AH374" s="3212"/>
      <c r="AI374" s="3212"/>
      <c r="AJ374" s="3212"/>
      <c r="AK374" s="3212"/>
      <c r="AL374" s="3212"/>
      <c r="AM374" s="3212"/>
      <c r="AN374" s="3212"/>
      <c r="AO374" s="3212"/>
      <c r="AP374" s="3212"/>
      <c r="AQ374" s="3212"/>
      <c r="AR374" s="3212"/>
      <c r="AS374" s="3212"/>
      <c r="AT374" s="3175"/>
      <c r="AU374" s="3232"/>
      <c r="AV374" s="466">
        <f t="shared" si="262"/>
        <v>0</v>
      </c>
      <c r="AW374" s="466">
        <f t="shared" si="263"/>
        <v>0</v>
      </c>
      <c r="AX374" s="466">
        <f t="shared" si="264"/>
        <v>0</v>
      </c>
      <c r="AY374" s="385">
        <f t="shared" si="239"/>
        <v>0</v>
      </c>
      <c r="AZ374" s="3174">
        <f t="shared" si="240"/>
        <v>0</v>
      </c>
      <c r="BA374" s="3174">
        <f t="shared" si="241"/>
        <v>0</v>
      </c>
      <c r="BB374" s="3174">
        <f t="shared" si="242"/>
        <v>0</v>
      </c>
      <c r="BC374" s="3174">
        <f t="shared" si="243"/>
        <v>0</v>
      </c>
      <c r="BD374" s="3174">
        <f t="shared" si="244"/>
        <v>0</v>
      </c>
      <c r="BE374" s="3174">
        <f t="shared" si="245"/>
        <v>0</v>
      </c>
      <c r="BF374" s="3174">
        <f t="shared" si="246"/>
        <v>0</v>
      </c>
      <c r="BG374" s="3174">
        <f t="shared" si="247"/>
        <v>0</v>
      </c>
      <c r="BH374" s="3174">
        <f t="shared" si="248"/>
        <v>0</v>
      </c>
      <c r="BI374" s="3174">
        <f t="shared" si="249"/>
        <v>0</v>
      </c>
      <c r="BJ374" s="3174">
        <f t="shared" si="250"/>
        <v>0</v>
      </c>
      <c r="BK374" s="3174">
        <f t="shared" si="251"/>
        <v>0</v>
      </c>
      <c r="BL374" s="3174">
        <f t="shared" si="252"/>
        <v>0</v>
      </c>
      <c r="BM374" s="3174">
        <f t="shared" si="253"/>
        <v>0</v>
      </c>
      <c r="BN374" s="3174">
        <f t="shared" si="254"/>
        <v>0</v>
      </c>
      <c r="BO374" s="3174">
        <f t="shared" si="255"/>
        <v>0</v>
      </c>
      <c r="BP374" s="3174">
        <f t="shared" si="256"/>
        <v>0</v>
      </c>
      <c r="BQ374" s="3174">
        <f t="shared" si="257"/>
        <v>0</v>
      </c>
      <c r="BR374" s="3174">
        <f t="shared" si="258"/>
        <v>0</v>
      </c>
      <c r="BS374" s="3174">
        <f t="shared" si="259"/>
        <v>0</v>
      </c>
      <c r="BT374" s="3249">
        <f t="shared" si="260"/>
        <v>0</v>
      </c>
    </row>
    <row r="375" spans="1:72">
      <c r="A375" s="489"/>
      <c r="B375" s="356"/>
      <c r="C375" s="356"/>
      <c r="D375" s="3182"/>
      <c r="E375" s="3174">
        <f t="shared" si="261"/>
        <v>0</v>
      </c>
      <c r="F375" s="3175"/>
      <c r="G375" s="3176">
        <f t="shared" si="236"/>
        <v>0</v>
      </c>
      <c r="H375" s="3177">
        <f t="shared" si="237"/>
        <v>0</v>
      </c>
      <c r="I375" s="3200"/>
      <c r="J375" s="3200"/>
      <c r="K375" s="3200"/>
      <c r="L375" s="3200"/>
      <c r="M375" s="3200"/>
      <c r="N375" s="3200"/>
      <c r="O375" s="3200"/>
      <c r="P375" s="3200"/>
      <c r="Q375" s="3200"/>
      <c r="R375" s="3200"/>
      <c r="S375" s="3200"/>
      <c r="T375" s="3200"/>
      <c r="U375" s="3200"/>
      <c r="V375" s="3200"/>
      <c r="W375" s="3200"/>
      <c r="X375" s="3200"/>
      <c r="Y375" s="3200"/>
      <c r="Z375" s="3200"/>
      <c r="AA375" s="3200"/>
      <c r="AB375" s="3200"/>
      <c r="AC375" s="3174">
        <f t="shared" si="238"/>
        <v>0</v>
      </c>
      <c r="AD375" s="3212"/>
      <c r="AE375" s="3212"/>
      <c r="AF375" s="3212"/>
      <c r="AG375" s="3212"/>
      <c r="AH375" s="3212"/>
      <c r="AI375" s="3212"/>
      <c r="AJ375" s="3212"/>
      <c r="AK375" s="3212"/>
      <c r="AL375" s="3212"/>
      <c r="AM375" s="3212"/>
      <c r="AN375" s="3212"/>
      <c r="AO375" s="3212"/>
      <c r="AP375" s="3212"/>
      <c r="AQ375" s="3212"/>
      <c r="AR375" s="3212"/>
      <c r="AS375" s="3212"/>
      <c r="AT375" s="3175"/>
      <c r="AU375" s="3232"/>
      <c r="AV375" s="466">
        <f t="shared" si="262"/>
        <v>0</v>
      </c>
      <c r="AW375" s="466">
        <f t="shared" si="263"/>
        <v>0</v>
      </c>
      <c r="AX375" s="466">
        <f t="shared" si="264"/>
        <v>0</v>
      </c>
      <c r="AY375" s="385">
        <f t="shared" si="239"/>
        <v>0</v>
      </c>
      <c r="AZ375" s="3174">
        <f t="shared" si="240"/>
        <v>0</v>
      </c>
      <c r="BA375" s="3174">
        <f t="shared" si="241"/>
        <v>0</v>
      </c>
      <c r="BB375" s="3174">
        <f t="shared" si="242"/>
        <v>0</v>
      </c>
      <c r="BC375" s="3174">
        <f t="shared" si="243"/>
        <v>0</v>
      </c>
      <c r="BD375" s="3174">
        <f t="shared" si="244"/>
        <v>0</v>
      </c>
      <c r="BE375" s="3174">
        <f t="shared" si="245"/>
        <v>0</v>
      </c>
      <c r="BF375" s="3174">
        <f t="shared" si="246"/>
        <v>0</v>
      </c>
      <c r="BG375" s="3174">
        <f t="shared" si="247"/>
        <v>0</v>
      </c>
      <c r="BH375" s="3174">
        <f t="shared" si="248"/>
        <v>0</v>
      </c>
      <c r="BI375" s="3174">
        <f t="shared" si="249"/>
        <v>0</v>
      </c>
      <c r="BJ375" s="3174">
        <f t="shared" si="250"/>
        <v>0</v>
      </c>
      <c r="BK375" s="3174">
        <f t="shared" si="251"/>
        <v>0</v>
      </c>
      <c r="BL375" s="3174">
        <f t="shared" si="252"/>
        <v>0</v>
      </c>
      <c r="BM375" s="3174">
        <f t="shared" si="253"/>
        <v>0</v>
      </c>
      <c r="BN375" s="3174">
        <f t="shared" si="254"/>
        <v>0</v>
      </c>
      <c r="BO375" s="3174">
        <f t="shared" si="255"/>
        <v>0</v>
      </c>
      <c r="BP375" s="3174">
        <f t="shared" si="256"/>
        <v>0</v>
      </c>
      <c r="BQ375" s="3174">
        <f t="shared" si="257"/>
        <v>0</v>
      </c>
      <c r="BR375" s="3174">
        <f t="shared" si="258"/>
        <v>0</v>
      </c>
      <c r="BS375" s="3174">
        <f t="shared" si="259"/>
        <v>0</v>
      </c>
      <c r="BT375" s="3249">
        <f t="shared" si="260"/>
        <v>0</v>
      </c>
    </row>
    <row r="376" spans="1:72">
      <c r="A376" s="489"/>
      <c r="B376" s="356"/>
      <c r="C376" s="356"/>
      <c r="D376" s="3182"/>
      <c r="E376" s="3174">
        <f t="shared" si="261"/>
        <v>0</v>
      </c>
      <c r="F376" s="3175"/>
      <c r="G376" s="3176">
        <f t="shared" si="236"/>
        <v>0</v>
      </c>
      <c r="H376" s="3177">
        <f t="shared" si="237"/>
        <v>0</v>
      </c>
      <c r="I376" s="3200"/>
      <c r="J376" s="3200"/>
      <c r="K376" s="3200"/>
      <c r="L376" s="3200"/>
      <c r="M376" s="3200"/>
      <c r="N376" s="3200"/>
      <c r="O376" s="3200"/>
      <c r="P376" s="3200"/>
      <c r="Q376" s="3200"/>
      <c r="R376" s="3200"/>
      <c r="S376" s="3200"/>
      <c r="T376" s="3200"/>
      <c r="U376" s="3200"/>
      <c r="V376" s="3200"/>
      <c r="W376" s="3200"/>
      <c r="X376" s="3200"/>
      <c r="Y376" s="3200"/>
      <c r="Z376" s="3200"/>
      <c r="AA376" s="3200"/>
      <c r="AB376" s="3200"/>
      <c r="AC376" s="3174">
        <f t="shared" si="238"/>
        <v>0</v>
      </c>
      <c r="AD376" s="3212"/>
      <c r="AE376" s="3212"/>
      <c r="AF376" s="3212"/>
      <c r="AG376" s="3212"/>
      <c r="AH376" s="3212"/>
      <c r="AI376" s="3212"/>
      <c r="AJ376" s="3212"/>
      <c r="AK376" s="3212"/>
      <c r="AL376" s="3212"/>
      <c r="AM376" s="3212"/>
      <c r="AN376" s="3212"/>
      <c r="AO376" s="3212"/>
      <c r="AP376" s="3212"/>
      <c r="AQ376" s="3212"/>
      <c r="AR376" s="3212"/>
      <c r="AS376" s="3212"/>
      <c r="AT376" s="3175"/>
      <c r="AU376" s="3232"/>
      <c r="AV376" s="466">
        <f t="shared" si="262"/>
        <v>0</v>
      </c>
      <c r="AW376" s="466">
        <f t="shared" si="263"/>
        <v>0</v>
      </c>
      <c r="AX376" s="466">
        <f t="shared" si="264"/>
        <v>0</v>
      </c>
      <c r="AY376" s="385">
        <f t="shared" si="239"/>
        <v>0</v>
      </c>
      <c r="AZ376" s="3174">
        <f t="shared" si="240"/>
        <v>0</v>
      </c>
      <c r="BA376" s="3174">
        <f t="shared" si="241"/>
        <v>0</v>
      </c>
      <c r="BB376" s="3174">
        <f t="shared" si="242"/>
        <v>0</v>
      </c>
      <c r="BC376" s="3174">
        <f t="shared" si="243"/>
        <v>0</v>
      </c>
      <c r="BD376" s="3174">
        <f t="shared" si="244"/>
        <v>0</v>
      </c>
      <c r="BE376" s="3174">
        <f t="shared" si="245"/>
        <v>0</v>
      </c>
      <c r="BF376" s="3174">
        <f t="shared" si="246"/>
        <v>0</v>
      </c>
      <c r="BG376" s="3174">
        <f t="shared" si="247"/>
        <v>0</v>
      </c>
      <c r="BH376" s="3174">
        <f t="shared" si="248"/>
        <v>0</v>
      </c>
      <c r="BI376" s="3174">
        <f t="shared" si="249"/>
        <v>0</v>
      </c>
      <c r="BJ376" s="3174">
        <f t="shared" si="250"/>
        <v>0</v>
      </c>
      <c r="BK376" s="3174">
        <f t="shared" si="251"/>
        <v>0</v>
      </c>
      <c r="BL376" s="3174">
        <f t="shared" si="252"/>
        <v>0</v>
      </c>
      <c r="BM376" s="3174">
        <f t="shared" si="253"/>
        <v>0</v>
      </c>
      <c r="BN376" s="3174">
        <f t="shared" si="254"/>
        <v>0</v>
      </c>
      <c r="BO376" s="3174">
        <f t="shared" si="255"/>
        <v>0</v>
      </c>
      <c r="BP376" s="3174">
        <f t="shared" si="256"/>
        <v>0</v>
      </c>
      <c r="BQ376" s="3174">
        <f t="shared" si="257"/>
        <v>0</v>
      </c>
      <c r="BR376" s="3174">
        <f t="shared" si="258"/>
        <v>0</v>
      </c>
      <c r="BS376" s="3174">
        <f t="shared" si="259"/>
        <v>0</v>
      </c>
      <c r="BT376" s="3249">
        <f t="shared" si="260"/>
        <v>0</v>
      </c>
    </row>
    <row r="377" spans="1:72">
      <c r="A377" s="489"/>
      <c r="B377" s="356"/>
      <c r="C377" s="356"/>
      <c r="D377" s="3182"/>
      <c r="E377" s="3174">
        <f t="shared" si="261"/>
        <v>0</v>
      </c>
      <c r="F377" s="3175"/>
      <c r="G377" s="3176">
        <f t="shared" si="236"/>
        <v>0</v>
      </c>
      <c r="H377" s="3177">
        <f t="shared" si="237"/>
        <v>0</v>
      </c>
      <c r="I377" s="3200"/>
      <c r="J377" s="3200"/>
      <c r="K377" s="3200"/>
      <c r="L377" s="3200"/>
      <c r="M377" s="3200"/>
      <c r="N377" s="3200"/>
      <c r="O377" s="3200"/>
      <c r="P377" s="3200"/>
      <c r="Q377" s="3200"/>
      <c r="R377" s="3200"/>
      <c r="S377" s="3200"/>
      <c r="T377" s="3200"/>
      <c r="U377" s="3200"/>
      <c r="V377" s="3200"/>
      <c r="W377" s="3200"/>
      <c r="X377" s="3200"/>
      <c r="Y377" s="3200"/>
      <c r="Z377" s="3200"/>
      <c r="AA377" s="3200"/>
      <c r="AB377" s="3200"/>
      <c r="AC377" s="3174">
        <f t="shared" si="238"/>
        <v>0</v>
      </c>
      <c r="AD377" s="3212"/>
      <c r="AE377" s="3212"/>
      <c r="AF377" s="3212"/>
      <c r="AG377" s="3212"/>
      <c r="AH377" s="3212"/>
      <c r="AI377" s="3212"/>
      <c r="AJ377" s="3212"/>
      <c r="AK377" s="3212"/>
      <c r="AL377" s="3212"/>
      <c r="AM377" s="3212"/>
      <c r="AN377" s="3212"/>
      <c r="AO377" s="3212"/>
      <c r="AP377" s="3212"/>
      <c r="AQ377" s="3212"/>
      <c r="AR377" s="3212"/>
      <c r="AS377" s="3212"/>
      <c r="AT377" s="3175"/>
      <c r="AU377" s="3232"/>
      <c r="AV377" s="466">
        <f t="shared" si="262"/>
        <v>0</v>
      </c>
      <c r="AW377" s="466">
        <f t="shared" si="263"/>
        <v>0</v>
      </c>
      <c r="AX377" s="466">
        <f t="shared" si="264"/>
        <v>0</v>
      </c>
      <c r="AY377" s="385">
        <f t="shared" si="239"/>
        <v>0</v>
      </c>
      <c r="AZ377" s="3174">
        <f t="shared" si="240"/>
        <v>0</v>
      </c>
      <c r="BA377" s="3174">
        <f t="shared" si="241"/>
        <v>0</v>
      </c>
      <c r="BB377" s="3174">
        <f t="shared" si="242"/>
        <v>0</v>
      </c>
      <c r="BC377" s="3174">
        <f t="shared" si="243"/>
        <v>0</v>
      </c>
      <c r="BD377" s="3174">
        <f t="shared" si="244"/>
        <v>0</v>
      </c>
      <c r="BE377" s="3174">
        <f t="shared" si="245"/>
        <v>0</v>
      </c>
      <c r="BF377" s="3174">
        <f t="shared" si="246"/>
        <v>0</v>
      </c>
      <c r="BG377" s="3174">
        <f t="shared" si="247"/>
        <v>0</v>
      </c>
      <c r="BH377" s="3174">
        <f t="shared" si="248"/>
        <v>0</v>
      </c>
      <c r="BI377" s="3174">
        <f t="shared" si="249"/>
        <v>0</v>
      </c>
      <c r="BJ377" s="3174">
        <f t="shared" si="250"/>
        <v>0</v>
      </c>
      <c r="BK377" s="3174">
        <f t="shared" si="251"/>
        <v>0</v>
      </c>
      <c r="BL377" s="3174">
        <f t="shared" si="252"/>
        <v>0</v>
      </c>
      <c r="BM377" s="3174">
        <f t="shared" si="253"/>
        <v>0</v>
      </c>
      <c r="BN377" s="3174">
        <f t="shared" si="254"/>
        <v>0</v>
      </c>
      <c r="BO377" s="3174">
        <f t="shared" si="255"/>
        <v>0</v>
      </c>
      <c r="BP377" s="3174">
        <f t="shared" si="256"/>
        <v>0</v>
      </c>
      <c r="BQ377" s="3174">
        <f t="shared" si="257"/>
        <v>0</v>
      </c>
      <c r="BR377" s="3174">
        <f t="shared" si="258"/>
        <v>0</v>
      </c>
      <c r="BS377" s="3174">
        <f t="shared" si="259"/>
        <v>0</v>
      </c>
      <c r="BT377" s="3249">
        <f t="shared" si="260"/>
        <v>0</v>
      </c>
    </row>
    <row r="378" spans="1:72">
      <c r="A378" s="489"/>
      <c r="B378" s="356"/>
      <c r="C378" s="356"/>
      <c r="D378" s="3182"/>
      <c r="E378" s="3174">
        <f t="shared" si="261"/>
        <v>0</v>
      </c>
      <c r="F378" s="3175"/>
      <c r="G378" s="3176">
        <f t="shared" si="236"/>
        <v>0</v>
      </c>
      <c r="H378" s="3177">
        <f t="shared" si="237"/>
        <v>0</v>
      </c>
      <c r="I378" s="3200"/>
      <c r="J378" s="3200"/>
      <c r="K378" s="3200"/>
      <c r="L378" s="3200"/>
      <c r="M378" s="3200"/>
      <c r="N378" s="3200"/>
      <c r="O378" s="3200"/>
      <c r="P378" s="3200"/>
      <c r="Q378" s="3200"/>
      <c r="R378" s="3200"/>
      <c r="S378" s="3200"/>
      <c r="T378" s="3200"/>
      <c r="U378" s="3200"/>
      <c r="V378" s="3200"/>
      <c r="W378" s="3200"/>
      <c r="X378" s="3200"/>
      <c r="Y378" s="3200"/>
      <c r="Z378" s="3200"/>
      <c r="AA378" s="3200"/>
      <c r="AB378" s="3200"/>
      <c r="AC378" s="3174">
        <f t="shared" si="238"/>
        <v>0</v>
      </c>
      <c r="AD378" s="3212"/>
      <c r="AE378" s="3212"/>
      <c r="AF378" s="3212"/>
      <c r="AG378" s="3212"/>
      <c r="AH378" s="3212"/>
      <c r="AI378" s="3212"/>
      <c r="AJ378" s="3212"/>
      <c r="AK378" s="3212"/>
      <c r="AL378" s="3212"/>
      <c r="AM378" s="3212"/>
      <c r="AN378" s="3212"/>
      <c r="AO378" s="3212"/>
      <c r="AP378" s="3212"/>
      <c r="AQ378" s="3212"/>
      <c r="AR378" s="3212"/>
      <c r="AS378" s="3212"/>
      <c r="AT378" s="3175"/>
      <c r="AU378" s="3232"/>
      <c r="AV378" s="466">
        <f t="shared" si="262"/>
        <v>0</v>
      </c>
      <c r="AW378" s="466">
        <f t="shared" si="263"/>
        <v>0</v>
      </c>
      <c r="AX378" s="466">
        <f t="shared" si="264"/>
        <v>0</v>
      </c>
      <c r="AY378" s="385">
        <f t="shared" si="239"/>
        <v>0</v>
      </c>
      <c r="AZ378" s="3174">
        <f t="shared" si="240"/>
        <v>0</v>
      </c>
      <c r="BA378" s="3174">
        <f t="shared" si="241"/>
        <v>0</v>
      </c>
      <c r="BB378" s="3174">
        <f t="shared" si="242"/>
        <v>0</v>
      </c>
      <c r="BC378" s="3174">
        <f t="shared" si="243"/>
        <v>0</v>
      </c>
      <c r="BD378" s="3174">
        <f t="shared" si="244"/>
        <v>0</v>
      </c>
      <c r="BE378" s="3174">
        <f t="shared" si="245"/>
        <v>0</v>
      </c>
      <c r="BF378" s="3174">
        <f t="shared" si="246"/>
        <v>0</v>
      </c>
      <c r="BG378" s="3174">
        <f t="shared" si="247"/>
        <v>0</v>
      </c>
      <c r="BH378" s="3174">
        <f t="shared" si="248"/>
        <v>0</v>
      </c>
      <c r="BI378" s="3174">
        <f t="shared" si="249"/>
        <v>0</v>
      </c>
      <c r="BJ378" s="3174">
        <f t="shared" si="250"/>
        <v>0</v>
      </c>
      <c r="BK378" s="3174">
        <f t="shared" si="251"/>
        <v>0</v>
      </c>
      <c r="BL378" s="3174">
        <f t="shared" si="252"/>
        <v>0</v>
      </c>
      <c r="BM378" s="3174">
        <f t="shared" si="253"/>
        <v>0</v>
      </c>
      <c r="BN378" s="3174">
        <f t="shared" si="254"/>
        <v>0</v>
      </c>
      <c r="BO378" s="3174">
        <f t="shared" si="255"/>
        <v>0</v>
      </c>
      <c r="BP378" s="3174">
        <f t="shared" si="256"/>
        <v>0</v>
      </c>
      <c r="BQ378" s="3174">
        <f t="shared" si="257"/>
        <v>0</v>
      </c>
      <c r="BR378" s="3174">
        <f t="shared" si="258"/>
        <v>0</v>
      </c>
      <c r="BS378" s="3174">
        <f t="shared" si="259"/>
        <v>0</v>
      </c>
      <c r="BT378" s="3249">
        <f t="shared" si="260"/>
        <v>0</v>
      </c>
    </row>
    <row r="379" spans="1:72">
      <c r="A379" s="489"/>
      <c r="B379" s="356"/>
      <c r="C379" s="356"/>
      <c r="D379" s="3182"/>
      <c r="E379" s="3174">
        <f t="shared" si="261"/>
        <v>0</v>
      </c>
      <c r="F379" s="3175"/>
      <c r="G379" s="3176">
        <f t="shared" si="236"/>
        <v>0</v>
      </c>
      <c r="H379" s="3177">
        <f t="shared" si="237"/>
        <v>0</v>
      </c>
      <c r="I379" s="3200"/>
      <c r="J379" s="3200"/>
      <c r="K379" s="3200"/>
      <c r="L379" s="3200"/>
      <c r="M379" s="3200"/>
      <c r="N379" s="3200"/>
      <c r="O379" s="3200"/>
      <c r="P379" s="3200"/>
      <c r="Q379" s="3200"/>
      <c r="R379" s="3200"/>
      <c r="S379" s="3200"/>
      <c r="T379" s="3200"/>
      <c r="U379" s="3200"/>
      <c r="V379" s="3200"/>
      <c r="W379" s="3200"/>
      <c r="X379" s="3200"/>
      <c r="Y379" s="3200"/>
      <c r="Z379" s="3200"/>
      <c r="AA379" s="3200"/>
      <c r="AB379" s="3200"/>
      <c r="AC379" s="3174">
        <f t="shared" si="238"/>
        <v>0</v>
      </c>
      <c r="AD379" s="3212"/>
      <c r="AE379" s="3212"/>
      <c r="AF379" s="3212"/>
      <c r="AG379" s="3212"/>
      <c r="AH379" s="3212"/>
      <c r="AI379" s="3212"/>
      <c r="AJ379" s="3212"/>
      <c r="AK379" s="3212"/>
      <c r="AL379" s="3212"/>
      <c r="AM379" s="3212"/>
      <c r="AN379" s="3212"/>
      <c r="AO379" s="3212"/>
      <c r="AP379" s="3212"/>
      <c r="AQ379" s="3212"/>
      <c r="AR379" s="3212"/>
      <c r="AS379" s="3212"/>
      <c r="AT379" s="3175"/>
      <c r="AU379" s="3232"/>
      <c r="AV379" s="466">
        <f t="shared" si="262"/>
        <v>0</v>
      </c>
      <c r="AW379" s="466">
        <f t="shared" si="263"/>
        <v>0</v>
      </c>
      <c r="AX379" s="466">
        <f t="shared" si="264"/>
        <v>0</v>
      </c>
      <c r="AY379" s="385">
        <f t="shared" si="239"/>
        <v>0</v>
      </c>
      <c r="AZ379" s="3174">
        <f t="shared" si="240"/>
        <v>0</v>
      </c>
      <c r="BA379" s="3174">
        <f t="shared" si="241"/>
        <v>0</v>
      </c>
      <c r="BB379" s="3174">
        <f t="shared" si="242"/>
        <v>0</v>
      </c>
      <c r="BC379" s="3174">
        <f t="shared" si="243"/>
        <v>0</v>
      </c>
      <c r="BD379" s="3174">
        <f t="shared" si="244"/>
        <v>0</v>
      </c>
      <c r="BE379" s="3174">
        <f t="shared" si="245"/>
        <v>0</v>
      </c>
      <c r="BF379" s="3174">
        <f t="shared" si="246"/>
        <v>0</v>
      </c>
      <c r="BG379" s="3174">
        <f t="shared" si="247"/>
        <v>0</v>
      </c>
      <c r="BH379" s="3174">
        <f t="shared" si="248"/>
        <v>0</v>
      </c>
      <c r="BI379" s="3174">
        <f t="shared" si="249"/>
        <v>0</v>
      </c>
      <c r="BJ379" s="3174">
        <f t="shared" si="250"/>
        <v>0</v>
      </c>
      <c r="BK379" s="3174">
        <f t="shared" si="251"/>
        <v>0</v>
      </c>
      <c r="BL379" s="3174">
        <f t="shared" si="252"/>
        <v>0</v>
      </c>
      <c r="BM379" s="3174">
        <f t="shared" si="253"/>
        <v>0</v>
      </c>
      <c r="BN379" s="3174">
        <f t="shared" si="254"/>
        <v>0</v>
      </c>
      <c r="BO379" s="3174">
        <f t="shared" si="255"/>
        <v>0</v>
      </c>
      <c r="BP379" s="3174">
        <f t="shared" si="256"/>
        <v>0</v>
      </c>
      <c r="BQ379" s="3174">
        <f t="shared" si="257"/>
        <v>0</v>
      </c>
      <c r="BR379" s="3174">
        <f t="shared" si="258"/>
        <v>0</v>
      </c>
      <c r="BS379" s="3174">
        <f t="shared" si="259"/>
        <v>0</v>
      </c>
      <c r="BT379" s="3249">
        <f t="shared" si="260"/>
        <v>0</v>
      </c>
    </row>
    <row r="380" spans="1:72">
      <c r="A380" s="489"/>
      <c r="B380" s="356"/>
      <c r="C380" s="356"/>
      <c r="D380" s="3182"/>
      <c r="E380" s="3174">
        <f t="shared" si="261"/>
        <v>0</v>
      </c>
      <c r="F380" s="3175"/>
      <c r="G380" s="3176">
        <f t="shared" si="236"/>
        <v>0</v>
      </c>
      <c r="H380" s="3177">
        <f t="shared" si="237"/>
        <v>0</v>
      </c>
      <c r="I380" s="3200"/>
      <c r="J380" s="3200"/>
      <c r="K380" s="3200"/>
      <c r="L380" s="3200"/>
      <c r="M380" s="3200"/>
      <c r="N380" s="3200"/>
      <c r="O380" s="3200"/>
      <c r="P380" s="3200"/>
      <c r="Q380" s="3200"/>
      <c r="R380" s="3200"/>
      <c r="S380" s="3200"/>
      <c r="T380" s="3200"/>
      <c r="U380" s="3200"/>
      <c r="V380" s="3200"/>
      <c r="W380" s="3200"/>
      <c r="X380" s="3200"/>
      <c r="Y380" s="3200"/>
      <c r="Z380" s="3200"/>
      <c r="AA380" s="3200"/>
      <c r="AB380" s="3200"/>
      <c r="AC380" s="3174">
        <f t="shared" si="238"/>
        <v>0</v>
      </c>
      <c r="AD380" s="3212"/>
      <c r="AE380" s="3212"/>
      <c r="AF380" s="3212"/>
      <c r="AG380" s="3212"/>
      <c r="AH380" s="3212"/>
      <c r="AI380" s="3212"/>
      <c r="AJ380" s="3212"/>
      <c r="AK380" s="3212"/>
      <c r="AL380" s="3212"/>
      <c r="AM380" s="3212"/>
      <c r="AN380" s="3212"/>
      <c r="AO380" s="3212"/>
      <c r="AP380" s="3212"/>
      <c r="AQ380" s="3212"/>
      <c r="AR380" s="3212"/>
      <c r="AS380" s="3212"/>
      <c r="AT380" s="3175"/>
      <c r="AU380" s="3232"/>
      <c r="AV380" s="466">
        <f t="shared" si="262"/>
        <v>0</v>
      </c>
      <c r="AW380" s="466">
        <f t="shared" si="263"/>
        <v>0</v>
      </c>
      <c r="AX380" s="466">
        <f t="shared" si="264"/>
        <v>0</v>
      </c>
      <c r="AY380" s="385">
        <f t="shared" si="239"/>
        <v>0</v>
      </c>
      <c r="AZ380" s="3174">
        <f t="shared" si="240"/>
        <v>0</v>
      </c>
      <c r="BA380" s="3174">
        <f t="shared" si="241"/>
        <v>0</v>
      </c>
      <c r="BB380" s="3174">
        <f t="shared" si="242"/>
        <v>0</v>
      </c>
      <c r="BC380" s="3174">
        <f t="shared" si="243"/>
        <v>0</v>
      </c>
      <c r="BD380" s="3174">
        <f t="shared" si="244"/>
        <v>0</v>
      </c>
      <c r="BE380" s="3174">
        <f t="shared" si="245"/>
        <v>0</v>
      </c>
      <c r="BF380" s="3174">
        <f t="shared" si="246"/>
        <v>0</v>
      </c>
      <c r="BG380" s="3174">
        <f t="shared" si="247"/>
        <v>0</v>
      </c>
      <c r="BH380" s="3174">
        <f t="shared" si="248"/>
        <v>0</v>
      </c>
      <c r="BI380" s="3174">
        <f t="shared" si="249"/>
        <v>0</v>
      </c>
      <c r="BJ380" s="3174">
        <f t="shared" si="250"/>
        <v>0</v>
      </c>
      <c r="BK380" s="3174">
        <f t="shared" si="251"/>
        <v>0</v>
      </c>
      <c r="BL380" s="3174">
        <f t="shared" si="252"/>
        <v>0</v>
      </c>
      <c r="BM380" s="3174">
        <f t="shared" si="253"/>
        <v>0</v>
      </c>
      <c r="BN380" s="3174">
        <f t="shared" si="254"/>
        <v>0</v>
      </c>
      <c r="BO380" s="3174">
        <f t="shared" si="255"/>
        <v>0</v>
      </c>
      <c r="BP380" s="3174">
        <f t="shared" si="256"/>
        <v>0</v>
      </c>
      <c r="BQ380" s="3174">
        <f t="shared" si="257"/>
        <v>0</v>
      </c>
      <c r="BR380" s="3174">
        <f t="shared" si="258"/>
        <v>0</v>
      </c>
      <c r="BS380" s="3174">
        <f t="shared" si="259"/>
        <v>0</v>
      </c>
      <c r="BT380" s="3249">
        <f t="shared" si="260"/>
        <v>0</v>
      </c>
    </row>
    <row r="381" spans="1:72">
      <c r="A381" s="489"/>
      <c r="B381" s="356"/>
      <c r="C381" s="356"/>
      <c r="D381" s="3182"/>
      <c r="E381" s="3174">
        <f t="shared" si="261"/>
        <v>0</v>
      </c>
      <c r="F381" s="3175"/>
      <c r="G381" s="3176">
        <f t="shared" si="236"/>
        <v>0</v>
      </c>
      <c r="H381" s="3177">
        <f t="shared" si="237"/>
        <v>0</v>
      </c>
      <c r="I381" s="3200"/>
      <c r="J381" s="3200"/>
      <c r="K381" s="3200"/>
      <c r="L381" s="3200"/>
      <c r="M381" s="3200"/>
      <c r="N381" s="3200"/>
      <c r="O381" s="3200"/>
      <c r="P381" s="3200"/>
      <c r="Q381" s="3200"/>
      <c r="R381" s="3200"/>
      <c r="S381" s="3200"/>
      <c r="T381" s="3200"/>
      <c r="U381" s="3200"/>
      <c r="V381" s="3200"/>
      <c r="W381" s="3200"/>
      <c r="X381" s="3200"/>
      <c r="Y381" s="3200"/>
      <c r="Z381" s="3200"/>
      <c r="AA381" s="3200"/>
      <c r="AB381" s="3200"/>
      <c r="AC381" s="3174">
        <f t="shared" si="238"/>
        <v>0</v>
      </c>
      <c r="AD381" s="3212"/>
      <c r="AE381" s="3212"/>
      <c r="AF381" s="3212"/>
      <c r="AG381" s="3212"/>
      <c r="AH381" s="3212"/>
      <c r="AI381" s="3212"/>
      <c r="AJ381" s="3212"/>
      <c r="AK381" s="3212"/>
      <c r="AL381" s="3212"/>
      <c r="AM381" s="3212"/>
      <c r="AN381" s="3212"/>
      <c r="AO381" s="3212"/>
      <c r="AP381" s="3212"/>
      <c r="AQ381" s="3212"/>
      <c r="AR381" s="3212"/>
      <c r="AS381" s="3212"/>
      <c r="AT381" s="3175"/>
      <c r="AU381" s="3232"/>
      <c r="AV381" s="466">
        <f t="shared" si="262"/>
        <v>0</v>
      </c>
      <c r="AW381" s="466">
        <f t="shared" si="263"/>
        <v>0</v>
      </c>
      <c r="AX381" s="466">
        <f t="shared" si="264"/>
        <v>0</v>
      </c>
      <c r="AY381" s="385">
        <f t="shared" si="239"/>
        <v>0</v>
      </c>
      <c r="AZ381" s="3174">
        <f t="shared" si="240"/>
        <v>0</v>
      </c>
      <c r="BA381" s="3174">
        <f t="shared" si="241"/>
        <v>0</v>
      </c>
      <c r="BB381" s="3174">
        <f t="shared" si="242"/>
        <v>0</v>
      </c>
      <c r="BC381" s="3174">
        <f t="shared" si="243"/>
        <v>0</v>
      </c>
      <c r="BD381" s="3174">
        <f t="shared" si="244"/>
        <v>0</v>
      </c>
      <c r="BE381" s="3174">
        <f t="shared" si="245"/>
        <v>0</v>
      </c>
      <c r="BF381" s="3174">
        <f t="shared" si="246"/>
        <v>0</v>
      </c>
      <c r="BG381" s="3174">
        <f t="shared" si="247"/>
        <v>0</v>
      </c>
      <c r="BH381" s="3174">
        <f t="shared" si="248"/>
        <v>0</v>
      </c>
      <c r="BI381" s="3174">
        <f t="shared" si="249"/>
        <v>0</v>
      </c>
      <c r="BJ381" s="3174">
        <f t="shared" si="250"/>
        <v>0</v>
      </c>
      <c r="BK381" s="3174">
        <f t="shared" si="251"/>
        <v>0</v>
      </c>
      <c r="BL381" s="3174">
        <f t="shared" si="252"/>
        <v>0</v>
      </c>
      <c r="BM381" s="3174">
        <f t="shared" si="253"/>
        <v>0</v>
      </c>
      <c r="BN381" s="3174">
        <f t="shared" si="254"/>
        <v>0</v>
      </c>
      <c r="BO381" s="3174">
        <f t="shared" si="255"/>
        <v>0</v>
      </c>
      <c r="BP381" s="3174">
        <f t="shared" si="256"/>
        <v>0</v>
      </c>
      <c r="BQ381" s="3174">
        <f t="shared" si="257"/>
        <v>0</v>
      </c>
      <c r="BR381" s="3174">
        <f t="shared" si="258"/>
        <v>0</v>
      </c>
      <c r="BS381" s="3174">
        <f t="shared" si="259"/>
        <v>0</v>
      </c>
      <c r="BT381" s="3249">
        <f t="shared" si="260"/>
        <v>0</v>
      </c>
    </row>
    <row r="382" spans="1:72">
      <c r="A382" s="489"/>
      <c r="B382" s="356"/>
      <c r="C382" s="356"/>
      <c r="D382" s="3182"/>
      <c r="E382" s="3174">
        <f t="shared" si="261"/>
        <v>0</v>
      </c>
      <c r="F382" s="3175"/>
      <c r="G382" s="3176">
        <f t="shared" si="236"/>
        <v>0</v>
      </c>
      <c r="H382" s="3177">
        <f t="shared" si="237"/>
        <v>0</v>
      </c>
      <c r="I382" s="3200"/>
      <c r="J382" s="3200"/>
      <c r="K382" s="3200"/>
      <c r="L382" s="3200"/>
      <c r="M382" s="3200"/>
      <c r="N382" s="3200"/>
      <c r="O382" s="3200"/>
      <c r="P382" s="3200"/>
      <c r="Q382" s="3200"/>
      <c r="R382" s="3200"/>
      <c r="S382" s="3200"/>
      <c r="T382" s="3200"/>
      <c r="U382" s="3200"/>
      <c r="V382" s="3200"/>
      <c r="W382" s="3200"/>
      <c r="X382" s="3200"/>
      <c r="Y382" s="3200"/>
      <c r="Z382" s="3200"/>
      <c r="AA382" s="3200"/>
      <c r="AB382" s="3200"/>
      <c r="AC382" s="3174">
        <f t="shared" si="238"/>
        <v>0</v>
      </c>
      <c r="AD382" s="3212"/>
      <c r="AE382" s="3212"/>
      <c r="AF382" s="3212"/>
      <c r="AG382" s="3212"/>
      <c r="AH382" s="3212"/>
      <c r="AI382" s="3212"/>
      <c r="AJ382" s="3212"/>
      <c r="AK382" s="3212"/>
      <c r="AL382" s="3212"/>
      <c r="AM382" s="3212"/>
      <c r="AN382" s="3212"/>
      <c r="AO382" s="3212"/>
      <c r="AP382" s="3212"/>
      <c r="AQ382" s="3212"/>
      <c r="AR382" s="3212"/>
      <c r="AS382" s="3212"/>
      <c r="AT382" s="3175"/>
      <c r="AU382" s="3232"/>
      <c r="AV382" s="466">
        <f t="shared" si="262"/>
        <v>0</v>
      </c>
      <c r="AW382" s="466">
        <f t="shared" si="263"/>
        <v>0</v>
      </c>
      <c r="AX382" s="466">
        <f t="shared" si="264"/>
        <v>0</v>
      </c>
      <c r="AY382" s="385">
        <f t="shared" si="239"/>
        <v>0</v>
      </c>
      <c r="AZ382" s="3174">
        <f t="shared" si="240"/>
        <v>0</v>
      </c>
      <c r="BA382" s="3174">
        <f t="shared" si="241"/>
        <v>0</v>
      </c>
      <c r="BB382" s="3174">
        <f t="shared" si="242"/>
        <v>0</v>
      </c>
      <c r="BC382" s="3174">
        <f t="shared" si="243"/>
        <v>0</v>
      </c>
      <c r="BD382" s="3174">
        <f t="shared" si="244"/>
        <v>0</v>
      </c>
      <c r="BE382" s="3174">
        <f t="shared" si="245"/>
        <v>0</v>
      </c>
      <c r="BF382" s="3174">
        <f t="shared" si="246"/>
        <v>0</v>
      </c>
      <c r="BG382" s="3174">
        <f t="shared" si="247"/>
        <v>0</v>
      </c>
      <c r="BH382" s="3174">
        <f t="shared" si="248"/>
        <v>0</v>
      </c>
      <c r="BI382" s="3174">
        <f t="shared" si="249"/>
        <v>0</v>
      </c>
      <c r="BJ382" s="3174">
        <f t="shared" si="250"/>
        <v>0</v>
      </c>
      <c r="BK382" s="3174">
        <f t="shared" si="251"/>
        <v>0</v>
      </c>
      <c r="BL382" s="3174">
        <f t="shared" si="252"/>
        <v>0</v>
      </c>
      <c r="BM382" s="3174">
        <f t="shared" si="253"/>
        <v>0</v>
      </c>
      <c r="BN382" s="3174">
        <f t="shared" si="254"/>
        <v>0</v>
      </c>
      <c r="BO382" s="3174">
        <f t="shared" si="255"/>
        <v>0</v>
      </c>
      <c r="BP382" s="3174">
        <f t="shared" si="256"/>
        <v>0</v>
      </c>
      <c r="BQ382" s="3174">
        <f t="shared" si="257"/>
        <v>0</v>
      </c>
      <c r="BR382" s="3174">
        <f t="shared" si="258"/>
        <v>0</v>
      </c>
      <c r="BS382" s="3174">
        <f t="shared" si="259"/>
        <v>0</v>
      </c>
      <c r="BT382" s="3249">
        <f t="shared" si="260"/>
        <v>0</v>
      </c>
    </row>
    <row r="383" spans="1:72">
      <c r="A383" s="489"/>
      <c r="B383" s="356"/>
      <c r="C383" s="356"/>
      <c r="D383" s="3182"/>
      <c r="E383" s="3174">
        <f t="shared" si="261"/>
        <v>0</v>
      </c>
      <c r="F383" s="3175"/>
      <c r="G383" s="3176">
        <f t="shared" si="236"/>
        <v>0</v>
      </c>
      <c r="H383" s="3177">
        <f t="shared" si="237"/>
        <v>0</v>
      </c>
      <c r="I383" s="3200"/>
      <c r="J383" s="3200"/>
      <c r="K383" s="3200"/>
      <c r="L383" s="3200"/>
      <c r="M383" s="3200"/>
      <c r="N383" s="3200"/>
      <c r="O383" s="3200"/>
      <c r="P383" s="3200"/>
      <c r="Q383" s="3200"/>
      <c r="R383" s="3200"/>
      <c r="S383" s="3200"/>
      <c r="T383" s="3200"/>
      <c r="U383" s="3200"/>
      <c r="V383" s="3200"/>
      <c r="W383" s="3200"/>
      <c r="X383" s="3200"/>
      <c r="Y383" s="3200"/>
      <c r="Z383" s="3200"/>
      <c r="AA383" s="3200"/>
      <c r="AB383" s="3200"/>
      <c r="AC383" s="3174">
        <f t="shared" si="238"/>
        <v>0</v>
      </c>
      <c r="AD383" s="3212"/>
      <c r="AE383" s="3212"/>
      <c r="AF383" s="3212"/>
      <c r="AG383" s="3212"/>
      <c r="AH383" s="3212"/>
      <c r="AI383" s="3212"/>
      <c r="AJ383" s="3212"/>
      <c r="AK383" s="3212"/>
      <c r="AL383" s="3212"/>
      <c r="AM383" s="3212"/>
      <c r="AN383" s="3212"/>
      <c r="AO383" s="3212"/>
      <c r="AP383" s="3212"/>
      <c r="AQ383" s="3212"/>
      <c r="AR383" s="3212"/>
      <c r="AS383" s="3212"/>
      <c r="AT383" s="3175"/>
      <c r="AU383" s="3232"/>
      <c r="AV383" s="466">
        <f t="shared" si="262"/>
        <v>0</v>
      </c>
      <c r="AW383" s="466">
        <f t="shared" si="263"/>
        <v>0</v>
      </c>
      <c r="AX383" s="466">
        <f t="shared" si="264"/>
        <v>0</v>
      </c>
      <c r="AY383" s="385">
        <f t="shared" si="239"/>
        <v>0</v>
      </c>
      <c r="AZ383" s="3174">
        <f t="shared" si="240"/>
        <v>0</v>
      </c>
      <c r="BA383" s="3174">
        <f t="shared" si="241"/>
        <v>0</v>
      </c>
      <c r="BB383" s="3174">
        <f t="shared" si="242"/>
        <v>0</v>
      </c>
      <c r="BC383" s="3174">
        <f t="shared" si="243"/>
        <v>0</v>
      </c>
      <c r="BD383" s="3174">
        <f t="shared" si="244"/>
        <v>0</v>
      </c>
      <c r="BE383" s="3174">
        <f t="shared" si="245"/>
        <v>0</v>
      </c>
      <c r="BF383" s="3174">
        <f t="shared" si="246"/>
        <v>0</v>
      </c>
      <c r="BG383" s="3174">
        <f t="shared" si="247"/>
        <v>0</v>
      </c>
      <c r="BH383" s="3174">
        <f t="shared" si="248"/>
        <v>0</v>
      </c>
      <c r="BI383" s="3174">
        <f t="shared" si="249"/>
        <v>0</v>
      </c>
      <c r="BJ383" s="3174">
        <f t="shared" si="250"/>
        <v>0</v>
      </c>
      <c r="BK383" s="3174">
        <f t="shared" si="251"/>
        <v>0</v>
      </c>
      <c r="BL383" s="3174">
        <f t="shared" si="252"/>
        <v>0</v>
      </c>
      <c r="BM383" s="3174">
        <f t="shared" si="253"/>
        <v>0</v>
      </c>
      <c r="BN383" s="3174">
        <f t="shared" si="254"/>
        <v>0</v>
      </c>
      <c r="BO383" s="3174">
        <f t="shared" si="255"/>
        <v>0</v>
      </c>
      <c r="BP383" s="3174">
        <f t="shared" si="256"/>
        <v>0</v>
      </c>
      <c r="BQ383" s="3174">
        <f t="shared" si="257"/>
        <v>0</v>
      </c>
      <c r="BR383" s="3174">
        <f t="shared" si="258"/>
        <v>0</v>
      </c>
      <c r="BS383" s="3174">
        <f t="shared" si="259"/>
        <v>0</v>
      </c>
      <c r="BT383" s="3249">
        <f t="shared" si="260"/>
        <v>0</v>
      </c>
    </row>
    <row r="384" spans="1:72">
      <c r="A384" s="489"/>
      <c r="B384" s="356"/>
      <c r="C384" s="356"/>
      <c r="D384" s="3182"/>
      <c r="E384" s="3174">
        <f t="shared" si="261"/>
        <v>0</v>
      </c>
      <c r="F384" s="3175"/>
      <c r="G384" s="3176">
        <f t="shared" si="236"/>
        <v>0</v>
      </c>
      <c r="H384" s="3177">
        <f t="shared" si="237"/>
        <v>0</v>
      </c>
      <c r="I384" s="3200"/>
      <c r="J384" s="3200"/>
      <c r="K384" s="3200"/>
      <c r="L384" s="3200"/>
      <c r="M384" s="3200"/>
      <c r="N384" s="3200"/>
      <c r="O384" s="3200"/>
      <c r="P384" s="3200"/>
      <c r="Q384" s="3200"/>
      <c r="R384" s="3200"/>
      <c r="S384" s="3200"/>
      <c r="T384" s="3200"/>
      <c r="U384" s="3200"/>
      <c r="V384" s="3200"/>
      <c r="W384" s="3200"/>
      <c r="X384" s="3200"/>
      <c r="Y384" s="3200"/>
      <c r="Z384" s="3200"/>
      <c r="AA384" s="3200"/>
      <c r="AB384" s="3200"/>
      <c r="AC384" s="3174">
        <f t="shared" si="238"/>
        <v>0</v>
      </c>
      <c r="AD384" s="3212"/>
      <c r="AE384" s="3212"/>
      <c r="AF384" s="3212"/>
      <c r="AG384" s="3212"/>
      <c r="AH384" s="3212"/>
      <c r="AI384" s="3212"/>
      <c r="AJ384" s="3212"/>
      <c r="AK384" s="3212"/>
      <c r="AL384" s="3212"/>
      <c r="AM384" s="3212"/>
      <c r="AN384" s="3212"/>
      <c r="AO384" s="3212"/>
      <c r="AP384" s="3212"/>
      <c r="AQ384" s="3212"/>
      <c r="AR384" s="3212"/>
      <c r="AS384" s="3212"/>
      <c r="AT384" s="3175"/>
      <c r="AU384" s="3232"/>
      <c r="AV384" s="466">
        <f t="shared" si="262"/>
        <v>0</v>
      </c>
      <c r="AW384" s="466">
        <f t="shared" si="263"/>
        <v>0</v>
      </c>
      <c r="AX384" s="466">
        <f t="shared" si="264"/>
        <v>0</v>
      </c>
      <c r="AY384" s="385">
        <f t="shared" si="239"/>
        <v>0</v>
      </c>
      <c r="AZ384" s="3174">
        <f t="shared" si="240"/>
        <v>0</v>
      </c>
      <c r="BA384" s="3174">
        <f t="shared" si="241"/>
        <v>0</v>
      </c>
      <c r="BB384" s="3174">
        <f t="shared" si="242"/>
        <v>0</v>
      </c>
      <c r="BC384" s="3174">
        <f t="shared" si="243"/>
        <v>0</v>
      </c>
      <c r="BD384" s="3174">
        <f t="shared" si="244"/>
        <v>0</v>
      </c>
      <c r="BE384" s="3174">
        <f t="shared" si="245"/>
        <v>0</v>
      </c>
      <c r="BF384" s="3174">
        <f t="shared" si="246"/>
        <v>0</v>
      </c>
      <c r="BG384" s="3174">
        <f t="shared" si="247"/>
        <v>0</v>
      </c>
      <c r="BH384" s="3174">
        <f t="shared" si="248"/>
        <v>0</v>
      </c>
      <c r="BI384" s="3174">
        <f t="shared" si="249"/>
        <v>0</v>
      </c>
      <c r="BJ384" s="3174">
        <f t="shared" si="250"/>
        <v>0</v>
      </c>
      <c r="BK384" s="3174">
        <f t="shared" si="251"/>
        <v>0</v>
      </c>
      <c r="BL384" s="3174">
        <f t="shared" si="252"/>
        <v>0</v>
      </c>
      <c r="BM384" s="3174">
        <f t="shared" si="253"/>
        <v>0</v>
      </c>
      <c r="BN384" s="3174">
        <f t="shared" si="254"/>
        <v>0</v>
      </c>
      <c r="BO384" s="3174">
        <f t="shared" si="255"/>
        <v>0</v>
      </c>
      <c r="BP384" s="3174">
        <f t="shared" si="256"/>
        <v>0</v>
      </c>
      <c r="BQ384" s="3174">
        <f t="shared" si="257"/>
        <v>0</v>
      </c>
      <c r="BR384" s="3174">
        <f t="shared" si="258"/>
        <v>0</v>
      </c>
      <c r="BS384" s="3174">
        <f t="shared" si="259"/>
        <v>0</v>
      </c>
      <c r="BT384" s="3249">
        <f t="shared" si="260"/>
        <v>0</v>
      </c>
    </row>
    <row r="385" spans="1:72">
      <c r="A385" s="489"/>
      <c r="B385" s="356"/>
      <c r="C385" s="356"/>
      <c r="D385" s="3182"/>
      <c r="E385" s="3174">
        <f t="shared" si="261"/>
        <v>0</v>
      </c>
      <c r="F385" s="3175"/>
      <c r="G385" s="3176">
        <f t="shared" si="236"/>
        <v>0</v>
      </c>
      <c r="H385" s="3177">
        <f t="shared" si="237"/>
        <v>0</v>
      </c>
      <c r="I385" s="3200"/>
      <c r="J385" s="3200"/>
      <c r="K385" s="3200"/>
      <c r="L385" s="3200"/>
      <c r="M385" s="3200"/>
      <c r="N385" s="3200"/>
      <c r="O385" s="3200"/>
      <c r="P385" s="3200"/>
      <c r="Q385" s="3200"/>
      <c r="R385" s="3200"/>
      <c r="S385" s="3200"/>
      <c r="T385" s="3200"/>
      <c r="U385" s="3200"/>
      <c r="V385" s="3200"/>
      <c r="W385" s="3200"/>
      <c r="X385" s="3200"/>
      <c r="Y385" s="3200"/>
      <c r="Z385" s="3200"/>
      <c r="AA385" s="3200"/>
      <c r="AB385" s="3200"/>
      <c r="AC385" s="3174">
        <f t="shared" si="238"/>
        <v>0</v>
      </c>
      <c r="AD385" s="3212"/>
      <c r="AE385" s="3212"/>
      <c r="AF385" s="3212"/>
      <c r="AG385" s="3212"/>
      <c r="AH385" s="3212"/>
      <c r="AI385" s="3212"/>
      <c r="AJ385" s="3212"/>
      <c r="AK385" s="3212"/>
      <c r="AL385" s="3212"/>
      <c r="AM385" s="3212"/>
      <c r="AN385" s="3212"/>
      <c r="AO385" s="3212"/>
      <c r="AP385" s="3212"/>
      <c r="AQ385" s="3212"/>
      <c r="AR385" s="3212"/>
      <c r="AS385" s="3212"/>
      <c r="AT385" s="3175"/>
      <c r="AU385" s="3232"/>
      <c r="AV385" s="466">
        <f t="shared" si="262"/>
        <v>0</v>
      </c>
      <c r="AW385" s="466">
        <f t="shared" si="263"/>
        <v>0</v>
      </c>
      <c r="AX385" s="466">
        <f t="shared" si="264"/>
        <v>0</v>
      </c>
      <c r="AY385" s="385">
        <f t="shared" si="239"/>
        <v>0</v>
      </c>
      <c r="AZ385" s="3174">
        <f t="shared" si="240"/>
        <v>0</v>
      </c>
      <c r="BA385" s="3174">
        <f t="shared" si="241"/>
        <v>0</v>
      </c>
      <c r="BB385" s="3174">
        <f t="shared" si="242"/>
        <v>0</v>
      </c>
      <c r="BC385" s="3174">
        <f t="shared" si="243"/>
        <v>0</v>
      </c>
      <c r="BD385" s="3174">
        <f t="shared" si="244"/>
        <v>0</v>
      </c>
      <c r="BE385" s="3174">
        <f t="shared" si="245"/>
        <v>0</v>
      </c>
      <c r="BF385" s="3174">
        <f t="shared" si="246"/>
        <v>0</v>
      </c>
      <c r="BG385" s="3174">
        <f t="shared" si="247"/>
        <v>0</v>
      </c>
      <c r="BH385" s="3174">
        <f t="shared" si="248"/>
        <v>0</v>
      </c>
      <c r="BI385" s="3174">
        <f t="shared" si="249"/>
        <v>0</v>
      </c>
      <c r="BJ385" s="3174">
        <f t="shared" si="250"/>
        <v>0</v>
      </c>
      <c r="BK385" s="3174">
        <f t="shared" si="251"/>
        <v>0</v>
      </c>
      <c r="BL385" s="3174">
        <f t="shared" si="252"/>
        <v>0</v>
      </c>
      <c r="BM385" s="3174">
        <f t="shared" si="253"/>
        <v>0</v>
      </c>
      <c r="BN385" s="3174">
        <f t="shared" si="254"/>
        <v>0</v>
      </c>
      <c r="BO385" s="3174">
        <f t="shared" si="255"/>
        <v>0</v>
      </c>
      <c r="BP385" s="3174">
        <f t="shared" si="256"/>
        <v>0</v>
      </c>
      <c r="BQ385" s="3174">
        <f t="shared" si="257"/>
        <v>0</v>
      </c>
      <c r="BR385" s="3174">
        <f t="shared" si="258"/>
        <v>0</v>
      </c>
      <c r="BS385" s="3174">
        <f t="shared" si="259"/>
        <v>0</v>
      </c>
      <c r="BT385" s="3249">
        <f t="shared" si="260"/>
        <v>0</v>
      </c>
    </row>
    <row r="386" spans="1:72">
      <c r="A386" s="489"/>
      <c r="B386" s="489"/>
      <c r="C386" s="489"/>
      <c r="D386" s="3182"/>
      <c r="E386" s="3174">
        <f t="shared" si="261"/>
        <v>0</v>
      </c>
      <c r="F386" s="3212"/>
      <c r="G386" s="3176">
        <f t="shared" si="236"/>
        <v>0</v>
      </c>
      <c r="H386" s="3177">
        <f t="shared" si="237"/>
        <v>0</v>
      </c>
      <c r="I386" s="3250"/>
      <c r="J386" s="3250"/>
      <c r="K386" s="3200"/>
      <c r="L386" s="3200"/>
      <c r="M386" s="3200"/>
      <c r="N386" s="3200"/>
      <c r="O386" s="3200"/>
      <c r="P386" s="3200"/>
      <c r="Q386" s="3200"/>
      <c r="R386" s="3200"/>
      <c r="S386" s="3200"/>
      <c r="T386" s="3200"/>
      <c r="U386" s="3200"/>
      <c r="V386" s="3200"/>
      <c r="W386" s="3200"/>
      <c r="X386" s="3200"/>
      <c r="Y386" s="3200"/>
      <c r="Z386" s="3200"/>
      <c r="AA386" s="3200"/>
      <c r="AB386" s="3200"/>
      <c r="AC386" s="3174">
        <f t="shared" si="238"/>
        <v>0</v>
      </c>
      <c r="AD386" s="3212"/>
      <c r="AE386" s="3212"/>
      <c r="AF386" s="3212"/>
      <c r="AG386" s="3212"/>
      <c r="AH386" s="3212"/>
      <c r="AI386" s="3212"/>
      <c r="AJ386" s="3212"/>
      <c r="AK386" s="3212"/>
      <c r="AL386" s="3212"/>
      <c r="AM386" s="3212"/>
      <c r="AN386" s="3212"/>
      <c r="AO386" s="3212"/>
      <c r="AP386" s="3212"/>
      <c r="AQ386" s="3212"/>
      <c r="AR386" s="3212"/>
      <c r="AS386" s="3212"/>
      <c r="AT386" s="3212"/>
      <c r="AU386" s="548"/>
      <c r="AV386" s="466">
        <f t="shared" si="262"/>
        <v>0</v>
      </c>
      <c r="AW386" s="466">
        <f t="shared" si="263"/>
        <v>0</v>
      </c>
      <c r="AX386" s="466">
        <f t="shared" si="264"/>
        <v>0</v>
      </c>
      <c r="AY386" s="385">
        <f t="shared" si="239"/>
        <v>0</v>
      </c>
      <c r="AZ386" s="3174">
        <f t="shared" si="240"/>
        <v>0</v>
      </c>
      <c r="BA386" s="3174">
        <f t="shared" si="241"/>
        <v>0</v>
      </c>
      <c r="BB386" s="3174">
        <f t="shared" si="242"/>
        <v>0</v>
      </c>
      <c r="BC386" s="3174">
        <f t="shared" si="243"/>
        <v>0</v>
      </c>
      <c r="BD386" s="3174">
        <f t="shared" si="244"/>
        <v>0</v>
      </c>
      <c r="BE386" s="3174">
        <f t="shared" si="245"/>
        <v>0</v>
      </c>
      <c r="BF386" s="3174">
        <f t="shared" si="246"/>
        <v>0</v>
      </c>
      <c r="BG386" s="3174">
        <f t="shared" si="247"/>
        <v>0</v>
      </c>
      <c r="BH386" s="3174">
        <f t="shared" si="248"/>
        <v>0</v>
      </c>
      <c r="BI386" s="3174">
        <f t="shared" si="249"/>
        <v>0</v>
      </c>
      <c r="BJ386" s="3174">
        <f t="shared" si="250"/>
        <v>0</v>
      </c>
      <c r="BK386" s="3174">
        <f t="shared" si="251"/>
        <v>0</v>
      </c>
      <c r="BL386" s="3174">
        <f t="shared" si="252"/>
        <v>0</v>
      </c>
      <c r="BM386" s="3174">
        <f t="shared" si="253"/>
        <v>0</v>
      </c>
      <c r="BN386" s="3174">
        <f t="shared" si="254"/>
        <v>0</v>
      </c>
      <c r="BO386" s="3174">
        <f t="shared" si="255"/>
        <v>0</v>
      </c>
      <c r="BP386" s="3174">
        <f t="shared" si="256"/>
        <v>0</v>
      </c>
      <c r="BQ386" s="3174">
        <f t="shared" si="257"/>
        <v>0</v>
      </c>
      <c r="BR386" s="3174">
        <f t="shared" si="258"/>
        <v>0</v>
      </c>
      <c r="BS386" s="3174">
        <f t="shared" si="259"/>
        <v>0</v>
      </c>
      <c r="BT386" s="3249">
        <f t="shared" si="260"/>
        <v>0</v>
      </c>
    </row>
    <row r="387" spans="1:72">
      <c r="A387" s="489"/>
      <c r="B387" s="489"/>
      <c r="C387" s="489"/>
      <c r="D387" s="3182"/>
      <c r="E387" s="3174">
        <f t="shared" si="261"/>
        <v>0</v>
      </c>
      <c r="F387" s="3212"/>
      <c r="G387" s="3176">
        <f t="shared" si="236"/>
        <v>0</v>
      </c>
      <c r="H387" s="3177">
        <f t="shared" si="237"/>
        <v>0</v>
      </c>
      <c r="I387" s="3200"/>
      <c r="J387" s="3200"/>
      <c r="K387" s="3200"/>
      <c r="L387" s="3200"/>
      <c r="M387" s="3200"/>
      <c r="N387" s="3200"/>
      <c r="O387" s="3200"/>
      <c r="P387" s="3200"/>
      <c r="Q387" s="3200"/>
      <c r="R387" s="3200"/>
      <c r="S387" s="3200"/>
      <c r="T387" s="3200"/>
      <c r="U387" s="3200"/>
      <c r="V387" s="3200"/>
      <c r="W387" s="3200"/>
      <c r="X387" s="3200"/>
      <c r="Y387" s="3200"/>
      <c r="Z387" s="3200"/>
      <c r="AA387" s="3200"/>
      <c r="AB387" s="3200"/>
      <c r="AC387" s="3174">
        <f t="shared" si="238"/>
        <v>0</v>
      </c>
      <c r="AD387" s="3212"/>
      <c r="AE387" s="3212"/>
      <c r="AF387" s="3212"/>
      <c r="AG387" s="3212"/>
      <c r="AH387" s="3212"/>
      <c r="AI387" s="3212"/>
      <c r="AJ387" s="3212"/>
      <c r="AK387" s="3212"/>
      <c r="AL387" s="3212"/>
      <c r="AM387" s="3212"/>
      <c r="AN387" s="3212"/>
      <c r="AO387" s="3212"/>
      <c r="AP387" s="3212"/>
      <c r="AQ387" s="3212"/>
      <c r="AR387" s="3212"/>
      <c r="AS387" s="3212"/>
      <c r="AT387" s="3212"/>
      <c r="AU387" s="548"/>
      <c r="AV387" s="466">
        <f t="shared" si="262"/>
        <v>0</v>
      </c>
      <c r="AW387" s="466">
        <f t="shared" si="263"/>
        <v>0</v>
      </c>
      <c r="AX387" s="466">
        <f t="shared" si="264"/>
        <v>0</v>
      </c>
      <c r="AY387" s="385">
        <f t="shared" si="239"/>
        <v>0</v>
      </c>
      <c r="AZ387" s="3174">
        <f t="shared" si="240"/>
        <v>0</v>
      </c>
      <c r="BA387" s="3174">
        <f t="shared" si="241"/>
        <v>0</v>
      </c>
      <c r="BB387" s="3174">
        <f t="shared" si="242"/>
        <v>0</v>
      </c>
      <c r="BC387" s="3174">
        <f t="shared" si="243"/>
        <v>0</v>
      </c>
      <c r="BD387" s="3174">
        <f t="shared" si="244"/>
        <v>0</v>
      </c>
      <c r="BE387" s="3174">
        <f t="shared" si="245"/>
        <v>0</v>
      </c>
      <c r="BF387" s="3174">
        <f t="shared" si="246"/>
        <v>0</v>
      </c>
      <c r="BG387" s="3174">
        <f t="shared" si="247"/>
        <v>0</v>
      </c>
      <c r="BH387" s="3174">
        <f t="shared" si="248"/>
        <v>0</v>
      </c>
      <c r="BI387" s="3174">
        <f t="shared" si="249"/>
        <v>0</v>
      </c>
      <c r="BJ387" s="3174">
        <f t="shared" si="250"/>
        <v>0</v>
      </c>
      <c r="BK387" s="3174">
        <f t="shared" si="251"/>
        <v>0</v>
      </c>
      <c r="BL387" s="3174">
        <f t="shared" si="252"/>
        <v>0</v>
      </c>
      <c r="BM387" s="3174">
        <f t="shared" si="253"/>
        <v>0</v>
      </c>
      <c r="BN387" s="3174">
        <f t="shared" si="254"/>
        <v>0</v>
      </c>
      <c r="BO387" s="3174">
        <f t="shared" si="255"/>
        <v>0</v>
      </c>
      <c r="BP387" s="3174">
        <f t="shared" si="256"/>
        <v>0</v>
      </c>
      <c r="BQ387" s="3174">
        <f t="shared" si="257"/>
        <v>0</v>
      </c>
      <c r="BR387" s="3174">
        <f t="shared" si="258"/>
        <v>0</v>
      </c>
      <c r="BS387" s="3174">
        <f t="shared" si="259"/>
        <v>0</v>
      </c>
      <c r="BT387" s="3249">
        <f t="shared" si="260"/>
        <v>0</v>
      </c>
    </row>
    <row r="388" spans="1:72">
      <c r="A388" s="489"/>
      <c r="B388" s="489"/>
      <c r="C388" s="489"/>
      <c r="D388" s="3182"/>
      <c r="E388" s="3174">
        <f t="shared" si="261"/>
        <v>0</v>
      </c>
      <c r="F388" s="3212"/>
      <c r="G388" s="3176">
        <f t="shared" si="236"/>
        <v>0</v>
      </c>
      <c r="H388" s="3177">
        <f t="shared" si="237"/>
        <v>0</v>
      </c>
      <c r="I388" s="3200"/>
      <c r="J388" s="3200"/>
      <c r="K388" s="3200"/>
      <c r="L388" s="3200"/>
      <c r="M388" s="3200"/>
      <c r="N388" s="3200"/>
      <c r="O388" s="3200"/>
      <c r="P388" s="3200"/>
      <c r="Q388" s="3200"/>
      <c r="R388" s="3200"/>
      <c r="S388" s="3200"/>
      <c r="T388" s="3200"/>
      <c r="U388" s="3200"/>
      <c r="V388" s="3200"/>
      <c r="W388" s="3200"/>
      <c r="X388" s="3200"/>
      <c r="Y388" s="3200"/>
      <c r="Z388" s="3200"/>
      <c r="AA388" s="3200"/>
      <c r="AB388" s="3200"/>
      <c r="AC388" s="3174">
        <f t="shared" si="238"/>
        <v>0</v>
      </c>
      <c r="AD388" s="3212"/>
      <c r="AE388" s="3212"/>
      <c r="AF388" s="3212"/>
      <c r="AG388" s="3212"/>
      <c r="AH388" s="3212"/>
      <c r="AI388" s="3212"/>
      <c r="AJ388" s="3212"/>
      <c r="AK388" s="3212"/>
      <c r="AL388" s="3212"/>
      <c r="AM388" s="3212"/>
      <c r="AN388" s="3212"/>
      <c r="AO388" s="3212"/>
      <c r="AP388" s="3212"/>
      <c r="AQ388" s="3212"/>
      <c r="AR388" s="3212"/>
      <c r="AS388" s="3212"/>
      <c r="AT388" s="3212"/>
      <c r="AU388" s="548"/>
      <c r="AV388" s="466">
        <f t="shared" si="262"/>
        <v>0</v>
      </c>
      <c r="AW388" s="466">
        <f t="shared" si="263"/>
        <v>0</v>
      </c>
      <c r="AX388" s="466">
        <f t="shared" si="264"/>
        <v>0</v>
      </c>
      <c r="AY388" s="385">
        <f t="shared" si="239"/>
        <v>0</v>
      </c>
      <c r="AZ388" s="3174">
        <f t="shared" si="240"/>
        <v>0</v>
      </c>
      <c r="BA388" s="3174">
        <f t="shared" si="241"/>
        <v>0</v>
      </c>
      <c r="BB388" s="3174">
        <f t="shared" si="242"/>
        <v>0</v>
      </c>
      <c r="BC388" s="3174">
        <f t="shared" si="243"/>
        <v>0</v>
      </c>
      <c r="BD388" s="3174">
        <f t="shared" si="244"/>
        <v>0</v>
      </c>
      <c r="BE388" s="3174">
        <f t="shared" si="245"/>
        <v>0</v>
      </c>
      <c r="BF388" s="3174">
        <f t="shared" si="246"/>
        <v>0</v>
      </c>
      <c r="BG388" s="3174">
        <f t="shared" si="247"/>
        <v>0</v>
      </c>
      <c r="BH388" s="3174">
        <f t="shared" si="248"/>
        <v>0</v>
      </c>
      <c r="BI388" s="3174">
        <f t="shared" si="249"/>
        <v>0</v>
      </c>
      <c r="BJ388" s="3174">
        <f t="shared" si="250"/>
        <v>0</v>
      </c>
      <c r="BK388" s="3174">
        <f t="shared" si="251"/>
        <v>0</v>
      </c>
      <c r="BL388" s="3174">
        <f t="shared" si="252"/>
        <v>0</v>
      </c>
      <c r="BM388" s="3174">
        <f t="shared" si="253"/>
        <v>0</v>
      </c>
      <c r="BN388" s="3174">
        <f t="shared" si="254"/>
        <v>0</v>
      </c>
      <c r="BO388" s="3174">
        <f t="shared" si="255"/>
        <v>0</v>
      </c>
      <c r="BP388" s="3174">
        <f t="shared" si="256"/>
        <v>0</v>
      </c>
      <c r="BQ388" s="3174">
        <f t="shared" si="257"/>
        <v>0</v>
      </c>
      <c r="BR388" s="3174">
        <f t="shared" si="258"/>
        <v>0</v>
      </c>
      <c r="BS388" s="3174">
        <f t="shared" si="259"/>
        <v>0</v>
      </c>
      <c r="BT388" s="3249">
        <f t="shared" si="260"/>
        <v>0</v>
      </c>
    </row>
    <row r="389" spans="1:72">
      <c r="A389" s="489"/>
      <c r="B389" s="3179"/>
      <c r="C389" s="3180"/>
      <c r="D389" s="3181"/>
      <c r="E389" s="3174">
        <f t="shared" ref="E389:E480" si="265">IF($C$3="是",ROUND($A$3*G389/$B$3,2),ROUND($A$3*(G389-AT389)/$B$3,2))</f>
        <v>0</v>
      </c>
      <c r="F389" s="3175"/>
      <c r="G389" s="3176">
        <f t="shared" ref="G389:G477" si="266">H389+AC389+AT389</f>
        <v>0</v>
      </c>
      <c r="H389" s="3177">
        <f t="shared" ref="H389:H477" si="267">SUMIF(I$12:AB$12,"总值",I389:AB389)</f>
        <v>0</v>
      </c>
      <c r="I389" s="3180"/>
      <c r="J389" s="3200"/>
      <c r="K389" s="3180"/>
      <c r="L389" s="3200"/>
      <c r="M389" s="3200"/>
      <c r="N389" s="3200"/>
      <c r="O389" s="3200"/>
      <c r="P389" s="3200"/>
      <c r="Q389" s="3200"/>
      <c r="R389" s="3200"/>
      <c r="S389" s="3200"/>
      <c r="T389" s="3200"/>
      <c r="U389" s="3200"/>
      <c r="V389" s="3200"/>
      <c r="W389" s="3200"/>
      <c r="X389" s="3200"/>
      <c r="Y389" s="3200"/>
      <c r="Z389" s="3200"/>
      <c r="AA389" s="3200"/>
      <c r="AB389" s="3200"/>
      <c r="AC389" s="3174">
        <f t="shared" ref="AC389:AC477" si="268">SUMIF(AD$12:AS$12,"总值",AD389:AS389)</f>
        <v>0</v>
      </c>
      <c r="AD389" s="3212"/>
      <c r="AE389" s="3212"/>
      <c r="AF389" s="3213"/>
      <c r="AG389" s="3212"/>
      <c r="AH389" s="3212"/>
      <c r="AI389" s="3212"/>
      <c r="AJ389" s="3212"/>
      <c r="AK389" s="3212"/>
      <c r="AL389" s="3212"/>
      <c r="AM389" s="3212"/>
      <c r="AN389" s="3202"/>
      <c r="AO389" s="3212"/>
      <c r="AP389" s="3212"/>
      <c r="AQ389" s="3212"/>
      <c r="AR389" s="3212"/>
      <c r="AS389" s="3212"/>
      <c r="AT389" s="3175"/>
      <c r="AU389" s="3232"/>
      <c r="AV389" s="466">
        <f t="shared" ref="AV389:AV480" si="269">A389</f>
        <v>0</v>
      </c>
      <c r="AW389" s="466">
        <f t="shared" ref="AW389:AW480" si="270">B389</f>
        <v>0</v>
      </c>
      <c r="AX389" s="466">
        <f t="shared" ref="AX389:AX480" si="271">C389</f>
        <v>0</v>
      </c>
      <c r="AY389" s="385">
        <f t="shared" ref="AY389:AY477" si="272">ROUND($AY$6*AZ389/$AZ$5,2)</f>
        <v>0</v>
      </c>
      <c r="AZ389" s="3174">
        <f t="shared" ref="AZ389:AZ477" si="273">BA389+BL389</f>
        <v>0</v>
      </c>
      <c r="BA389" s="3174">
        <f t="shared" ref="BA389:BA477" si="274">SUM(BB389:BK389)</f>
        <v>0</v>
      </c>
      <c r="BB389" s="3174">
        <f t="shared" ref="BB389:BB477" si="275">IF($D389="是",I389-J389,0)</f>
        <v>0</v>
      </c>
      <c r="BC389" s="3174">
        <f t="shared" ref="BC389:BC477" si="276">IF($D389="是",K389-L389,0)</f>
        <v>0</v>
      </c>
      <c r="BD389" s="3174">
        <f t="shared" ref="BD389:BD477" si="277">IF($D389="是",M389-N389,0)</f>
        <v>0</v>
      </c>
      <c r="BE389" s="3174">
        <f t="shared" ref="BE389:BE477" si="278">IF($D389="是",O389-P389,0)</f>
        <v>0</v>
      </c>
      <c r="BF389" s="3174">
        <f t="shared" ref="BF389:BF477" si="279">IF($D389="是",Q389-R389,0)</f>
        <v>0</v>
      </c>
      <c r="BG389" s="3174">
        <f t="shared" ref="BG389:BG477" si="280">IF($D389="是",S389-T389,0)</f>
        <v>0</v>
      </c>
      <c r="BH389" s="3174">
        <f t="shared" ref="BH389:BH477" si="281">IF($D389="是",U389-V389,0)</f>
        <v>0</v>
      </c>
      <c r="BI389" s="3174">
        <f t="shared" ref="BI389:BI477" si="282">IF($D389="是",W389-X389,0)</f>
        <v>0</v>
      </c>
      <c r="BJ389" s="3174">
        <f t="shared" ref="BJ389:BJ477" si="283">IF($D389="是",Y389-Z389,0)</f>
        <v>0</v>
      </c>
      <c r="BK389" s="3174">
        <f t="shared" ref="BK389:BK477" si="284">IF($D389="是",AA389-AB389,0)</f>
        <v>0</v>
      </c>
      <c r="BL389" s="3174">
        <f t="shared" ref="BL389:BL477" si="285">SUM(BM389:BT389)</f>
        <v>0</v>
      </c>
      <c r="BM389" s="3174">
        <f t="shared" ref="BM389:BM477" si="286">IF($D389="是",AD389-AE389,0)</f>
        <v>0</v>
      </c>
      <c r="BN389" s="3174">
        <f t="shared" ref="BN389:BN477" si="287">IF($D389="是",AF389-AG389,0)</f>
        <v>0</v>
      </c>
      <c r="BO389" s="3174">
        <f t="shared" ref="BO389:BO477" si="288">IF($D389="是",AH389-AI389,0)</f>
        <v>0</v>
      </c>
      <c r="BP389" s="3174">
        <f t="shared" ref="BP389:BP477" si="289">IF($D389="是",AJ389-AK389,0)</f>
        <v>0</v>
      </c>
      <c r="BQ389" s="3174">
        <f t="shared" ref="BQ389:BQ477" si="290">IF($D389="是",AL389-AM389,0)</f>
        <v>0</v>
      </c>
      <c r="BR389" s="3174">
        <f t="shared" ref="BR389:BR477" si="291">IF($D389="是",AN389-AO389,0)</f>
        <v>0</v>
      </c>
      <c r="BS389" s="3174">
        <f t="shared" ref="BS389:BS477" si="292">IF($D389="是",AP389-AQ389,0)</f>
        <v>0</v>
      </c>
      <c r="BT389" s="3249">
        <f t="shared" ref="BT389:BT477" si="293">IF($D389="是",AR389-AS389,0)</f>
        <v>0</v>
      </c>
    </row>
    <row r="390" spans="1:72">
      <c r="A390" s="489"/>
      <c r="B390" s="3179"/>
      <c r="C390" s="3180"/>
      <c r="D390" s="3181"/>
      <c r="E390" s="3174">
        <f t="shared" si="265"/>
        <v>0</v>
      </c>
      <c r="F390" s="3175"/>
      <c r="G390" s="3176">
        <f t="shared" si="266"/>
        <v>0</v>
      </c>
      <c r="H390" s="3177">
        <f t="shared" si="267"/>
        <v>0</v>
      </c>
      <c r="I390" s="3180"/>
      <c r="J390" s="3200"/>
      <c r="K390" s="3180"/>
      <c r="L390" s="3200"/>
      <c r="M390" s="3202"/>
      <c r="N390" s="3200"/>
      <c r="O390" s="3200"/>
      <c r="P390" s="3200"/>
      <c r="Q390" s="3200"/>
      <c r="R390" s="3200"/>
      <c r="S390" s="3200"/>
      <c r="T390" s="3200"/>
      <c r="U390" s="3200"/>
      <c r="V390" s="3200"/>
      <c r="W390" s="3200"/>
      <c r="X390" s="3200"/>
      <c r="Y390" s="3200"/>
      <c r="Z390" s="3200"/>
      <c r="AA390" s="3200"/>
      <c r="AB390" s="3200"/>
      <c r="AC390" s="3174">
        <f t="shared" si="268"/>
        <v>0</v>
      </c>
      <c r="AD390" s="3202"/>
      <c r="AE390" s="3212"/>
      <c r="AF390" s="3213"/>
      <c r="AG390" s="3212"/>
      <c r="AH390" s="3212"/>
      <c r="AI390" s="3212"/>
      <c r="AJ390" s="3212"/>
      <c r="AK390" s="3212"/>
      <c r="AL390" s="3202"/>
      <c r="AM390" s="3212"/>
      <c r="AN390" s="3202"/>
      <c r="AO390" s="3212"/>
      <c r="AP390" s="3212"/>
      <c r="AQ390" s="3212"/>
      <c r="AR390" s="3212"/>
      <c r="AS390" s="3212"/>
      <c r="AT390" s="3175"/>
      <c r="AU390" s="3232"/>
      <c r="AV390" s="466">
        <f t="shared" si="269"/>
        <v>0</v>
      </c>
      <c r="AW390" s="466">
        <f t="shared" si="270"/>
        <v>0</v>
      </c>
      <c r="AX390" s="466">
        <f t="shared" si="271"/>
        <v>0</v>
      </c>
      <c r="AY390" s="385">
        <f t="shared" si="272"/>
        <v>0</v>
      </c>
      <c r="AZ390" s="3174">
        <f t="shared" si="273"/>
        <v>0</v>
      </c>
      <c r="BA390" s="3174">
        <f t="shared" si="274"/>
        <v>0</v>
      </c>
      <c r="BB390" s="3174">
        <f t="shared" si="275"/>
        <v>0</v>
      </c>
      <c r="BC390" s="3174">
        <f t="shared" si="276"/>
        <v>0</v>
      </c>
      <c r="BD390" s="3174">
        <f t="shared" si="277"/>
        <v>0</v>
      </c>
      <c r="BE390" s="3174">
        <f t="shared" si="278"/>
        <v>0</v>
      </c>
      <c r="BF390" s="3174">
        <f t="shared" si="279"/>
        <v>0</v>
      </c>
      <c r="BG390" s="3174">
        <f t="shared" si="280"/>
        <v>0</v>
      </c>
      <c r="BH390" s="3174">
        <f t="shared" si="281"/>
        <v>0</v>
      </c>
      <c r="BI390" s="3174">
        <f t="shared" si="282"/>
        <v>0</v>
      </c>
      <c r="BJ390" s="3174">
        <f t="shared" si="283"/>
        <v>0</v>
      </c>
      <c r="BK390" s="3174">
        <f t="shared" si="284"/>
        <v>0</v>
      </c>
      <c r="BL390" s="3174">
        <f t="shared" si="285"/>
        <v>0</v>
      </c>
      <c r="BM390" s="3174">
        <f t="shared" si="286"/>
        <v>0</v>
      </c>
      <c r="BN390" s="3174">
        <f t="shared" si="287"/>
        <v>0</v>
      </c>
      <c r="BO390" s="3174">
        <f t="shared" si="288"/>
        <v>0</v>
      </c>
      <c r="BP390" s="3174">
        <f t="shared" si="289"/>
        <v>0</v>
      </c>
      <c r="BQ390" s="3174">
        <f t="shared" si="290"/>
        <v>0</v>
      </c>
      <c r="BR390" s="3174">
        <f t="shared" si="291"/>
        <v>0</v>
      </c>
      <c r="BS390" s="3174">
        <f t="shared" si="292"/>
        <v>0</v>
      </c>
      <c r="BT390" s="3249">
        <f t="shared" si="293"/>
        <v>0</v>
      </c>
    </row>
    <row r="391" spans="1:72">
      <c r="A391" s="489"/>
      <c r="B391" s="3179"/>
      <c r="C391" s="3180"/>
      <c r="D391" s="3181"/>
      <c r="E391" s="3174">
        <f t="shared" si="265"/>
        <v>0</v>
      </c>
      <c r="F391" s="3175"/>
      <c r="G391" s="3176">
        <f t="shared" si="266"/>
        <v>0</v>
      </c>
      <c r="H391" s="3177">
        <f t="shared" si="267"/>
        <v>0</v>
      </c>
      <c r="I391" s="3180"/>
      <c r="J391" s="3200"/>
      <c r="K391" s="3180"/>
      <c r="L391" s="3200"/>
      <c r="M391" s="3202"/>
      <c r="N391" s="3200"/>
      <c r="O391" s="3200"/>
      <c r="P391" s="3200"/>
      <c r="Q391" s="3200"/>
      <c r="R391" s="3200"/>
      <c r="S391" s="3200"/>
      <c r="T391" s="3200"/>
      <c r="U391" s="3200"/>
      <c r="V391" s="3200"/>
      <c r="W391" s="3200"/>
      <c r="X391" s="3200"/>
      <c r="Y391" s="3200"/>
      <c r="Z391" s="3200"/>
      <c r="AA391" s="3200"/>
      <c r="AB391" s="3200"/>
      <c r="AC391" s="3174">
        <f t="shared" si="268"/>
        <v>0</v>
      </c>
      <c r="AD391" s="3212"/>
      <c r="AE391" s="3212"/>
      <c r="AF391" s="3213"/>
      <c r="AG391" s="3212"/>
      <c r="AH391" s="3212"/>
      <c r="AI391" s="3212"/>
      <c r="AJ391" s="3212"/>
      <c r="AK391" s="3212"/>
      <c r="AL391" s="3202"/>
      <c r="AM391" s="3212"/>
      <c r="AN391" s="3202"/>
      <c r="AO391" s="3212"/>
      <c r="AP391" s="3212"/>
      <c r="AQ391" s="3212"/>
      <c r="AR391" s="3212"/>
      <c r="AS391" s="3212"/>
      <c r="AT391" s="3175"/>
      <c r="AU391" s="3232"/>
      <c r="AV391" s="466">
        <f t="shared" si="269"/>
        <v>0</v>
      </c>
      <c r="AW391" s="466">
        <f t="shared" si="270"/>
        <v>0</v>
      </c>
      <c r="AX391" s="466">
        <f t="shared" si="271"/>
        <v>0</v>
      </c>
      <c r="AY391" s="385">
        <f t="shared" si="272"/>
        <v>0</v>
      </c>
      <c r="AZ391" s="3174">
        <f t="shared" si="273"/>
        <v>0</v>
      </c>
      <c r="BA391" s="3174">
        <f t="shared" si="274"/>
        <v>0</v>
      </c>
      <c r="BB391" s="3174">
        <f t="shared" si="275"/>
        <v>0</v>
      </c>
      <c r="BC391" s="3174">
        <f t="shared" si="276"/>
        <v>0</v>
      </c>
      <c r="BD391" s="3174">
        <f t="shared" si="277"/>
        <v>0</v>
      </c>
      <c r="BE391" s="3174">
        <f t="shared" si="278"/>
        <v>0</v>
      </c>
      <c r="BF391" s="3174">
        <f t="shared" si="279"/>
        <v>0</v>
      </c>
      <c r="BG391" s="3174">
        <f t="shared" si="280"/>
        <v>0</v>
      </c>
      <c r="BH391" s="3174">
        <f t="shared" si="281"/>
        <v>0</v>
      </c>
      <c r="BI391" s="3174">
        <f t="shared" si="282"/>
        <v>0</v>
      </c>
      <c r="BJ391" s="3174">
        <f t="shared" si="283"/>
        <v>0</v>
      </c>
      <c r="BK391" s="3174">
        <f t="shared" si="284"/>
        <v>0</v>
      </c>
      <c r="BL391" s="3174">
        <f t="shared" si="285"/>
        <v>0</v>
      </c>
      <c r="BM391" s="3174">
        <f t="shared" si="286"/>
        <v>0</v>
      </c>
      <c r="BN391" s="3174">
        <f t="shared" si="287"/>
        <v>0</v>
      </c>
      <c r="BO391" s="3174">
        <f t="shared" si="288"/>
        <v>0</v>
      </c>
      <c r="BP391" s="3174">
        <f t="shared" si="289"/>
        <v>0</v>
      </c>
      <c r="BQ391" s="3174">
        <f t="shared" si="290"/>
        <v>0</v>
      </c>
      <c r="BR391" s="3174">
        <f t="shared" si="291"/>
        <v>0</v>
      </c>
      <c r="BS391" s="3174">
        <f t="shared" si="292"/>
        <v>0</v>
      </c>
      <c r="BT391" s="3249">
        <f t="shared" si="293"/>
        <v>0</v>
      </c>
    </row>
    <row r="392" spans="1:72">
      <c r="A392" s="489"/>
      <c r="B392" s="3179"/>
      <c r="C392" s="3180"/>
      <c r="D392" s="3181"/>
      <c r="E392" s="3174">
        <f t="shared" si="265"/>
        <v>0</v>
      </c>
      <c r="F392" s="3175"/>
      <c r="G392" s="3176">
        <f t="shared" si="266"/>
        <v>0</v>
      </c>
      <c r="H392" s="3177">
        <f t="shared" si="267"/>
        <v>0</v>
      </c>
      <c r="I392" s="3180"/>
      <c r="J392" s="3200"/>
      <c r="K392" s="3180"/>
      <c r="L392" s="3200"/>
      <c r="M392" s="3200"/>
      <c r="N392" s="3200"/>
      <c r="O392" s="3202"/>
      <c r="P392" s="3200"/>
      <c r="Q392" s="3200"/>
      <c r="R392" s="3200"/>
      <c r="S392" s="3200"/>
      <c r="T392" s="3200"/>
      <c r="U392" s="3200"/>
      <c r="V392" s="3200"/>
      <c r="W392" s="3200"/>
      <c r="X392" s="3200"/>
      <c r="Y392" s="3200"/>
      <c r="Z392" s="3200"/>
      <c r="AA392" s="3200"/>
      <c r="AB392" s="3200"/>
      <c r="AC392" s="3174">
        <f t="shared" si="268"/>
        <v>0</v>
      </c>
      <c r="AD392" s="3212"/>
      <c r="AE392" s="3212"/>
      <c r="AF392" s="3213"/>
      <c r="AG392" s="3212"/>
      <c r="AH392" s="3212"/>
      <c r="AI392" s="3212"/>
      <c r="AJ392" s="3212"/>
      <c r="AK392" s="3212"/>
      <c r="AL392" s="3212"/>
      <c r="AM392" s="3212"/>
      <c r="AN392" s="3202"/>
      <c r="AO392" s="3212"/>
      <c r="AP392" s="3212"/>
      <c r="AQ392" s="3212"/>
      <c r="AR392" s="3212"/>
      <c r="AS392" s="3212"/>
      <c r="AT392" s="3175"/>
      <c r="AU392" s="3232"/>
      <c r="AV392" s="466">
        <f t="shared" si="269"/>
        <v>0</v>
      </c>
      <c r="AW392" s="466">
        <f t="shared" si="270"/>
        <v>0</v>
      </c>
      <c r="AX392" s="466">
        <f t="shared" si="271"/>
        <v>0</v>
      </c>
      <c r="AY392" s="385">
        <f t="shared" si="272"/>
        <v>0</v>
      </c>
      <c r="AZ392" s="3174">
        <f t="shared" si="273"/>
        <v>0</v>
      </c>
      <c r="BA392" s="3174">
        <f t="shared" si="274"/>
        <v>0</v>
      </c>
      <c r="BB392" s="3174">
        <f t="shared" si="275"/>
        <v>0</v>
      </c>
      <c r="BC392" s="3174">
        <f t="shared" si="276"/>
        <v>0</v>
      </c>
      <c r="BD392" s="3174">
        <f t="shared" si="277"/>
        <v>0</v>
      </c>
      <c r="BE392" s="3174">
        <f t="shared" si="278"/>
        <v>0</v>
      </c>
      <c r="BF392" s="3174">
        <f t="shared" si="279"/>
        <v>0</v>
      </c>
      <c r="BG392" s="3174">
        <f t="shared" si="280"/>
        <v>0</v>
      </c>
      <c r="BH392" s="3174">
        <f t="shared" si="281"/>
        <v>0</v>
      </c>
      <c r="BI392" s="3174">
        <f t="shared" si="282"/>
        <v>0</v>
      </c>
      <c r="BJ392" s="3174">
        <f t="shared" si="283"/>
        <v>0</v>
      </c>
      <c r="BK392" s="3174">
        <f t="shared" si="284"/>
        <v>0</v>
      </c>
      <c r="BL392" s="3174">
        <f t="shared" si="285"/>
        <v>0</v>
      </c>
      <c r="BM392" s="3174">
        <f t="shared" si="286"/>
        <v>0</v>
      </c>
      <c r="BN392" s="3174">
        <f t="shared" si="287"/>
        <v>0</v>
      </c>
      <c r="BO392" s="3174">
        <f t="shared" si="288"/>
        <v>0</v>
      </c>
      <c r="BP392" s="3174">
        <f t="shared" si="289"/>
        <v>0</v>
      </c>
      <c r="BQ392" s="3174">
        <f t="shared" si="290"/>
        <v>0</v>
      </c>
      <c r="BR392" s="3174">
        <f t="shared" si="291"/>
        <v>0</v>
      </c>
      <c r="BS392" s="3174">
        <f t="shared" si="292"/>
        <v>0</v>
      </c>
      <c r="BT392" s="3249">
        <f t="shared" si="293"/>
        <v>0</v>
      </c>
    </row>
    <row r="393" spans="1:72">
      <c r="A393" s="489"/>
      <c r="B393" s="3179"/>
      <c r="C393" s="3180"/>
      <c r="D393" s="3181"/>
      <c r="E393" s="3174">
        <f t="shared" si="265"/>
        <v>0</v>
      </c>
      <c r="F393" s="3175"/>
      <c r="G393" s="3176">
        <f t="shared" si="266"/>
        <v>0</v>
      </c>
      <c r="H393" s="3177">
        <f t="shared" si="267"/>
        <v>0</v>
      </c>
      <c r="I393" s="3180"/>
      <c r="J393" s="3200"/>
      <c r="K393" s="3180"/>
      <c r="L393" s="3200"/>
      <c r="M393" s="3200"/>
      <c r="N393" s="3200"/>
      <c r="O393" s="3200"/>
      <c r="P393" s="3200"/>
      <c r="Q393" s="3200"/>
      <c r="R393" s="3200"/>
      <c r="S393" s="3200"/>
      <c r="T393" s="3200"/>
      <c r="U393" s="3200"/>
      <c r="V393" s="3200"/>
      <c r="W393" s="3200"/>
      <c r="X393" s="3200"/>
      <c r="Y393" s="3200"/>
      <c r="Z393" s="3200"/>
      <c r="AA393" s="3200"/>
      <c r="AB393" s="3200"/>
      <c r="AC393" s="3174">
        <f t="shared" si="268"/>
        <v>0</v>
      </c>
      <c r="AD393" s="3212"/>
      <c r="AE393" s="3212"/>
      <c r="AF393" s="3213"/>
      <c r="AG393" s="3212"/>
      <c r="AH393" s="3212"/>
      <c r="AI393" s="3212"/>
      <c r="AJ393" s="3212"/>
      <c r="AK393" s="3212"/>
      <c r="AL393" s="3212"/>
      <c r="AM393" s="3212"/>
      <c r="AN393" s="3212"/>
      <c r="AO393" s="3212"/>
      <c r="AP393" s="3212"/>
      <c r="AQ393" s="3212"/>
      <c r="AR393" s="3212"/>
      <c r="AS393" s="3212"/>
      <c r="AT393" s="3175"/>
      <c r="AU393" s="3232"/>
      <c r="AV393" s="466">
        <f t="shared" si="269"/>
        <v>0</v>
      </c>
      <c r="AW393" s="466">
        <f t="shared" si="270"/>
        <v>0</v>
      </c>
      <c r="AX393" s="466">
        <f t="shared" si="271"/>
        <v>0</v>
      </c>
      <c r="AY393" s="385">
        <f t="shared" si="272"/>
        <v>0</v>
      </c>
      <c r="AZ393" s="3174">
        <f t="shared" si="273"/>
        <v>0</v>
      </c>
      <c r="BA393" s="3174">
        <f t="shared" si="274"/>
        <v>0</v>
      </c>
      <c r="BB393" s="3174">
        <f t="shared" si="275"/>
        <v>0</v>
      </c>
      <c r="BC393" s="3174">
        <f t="shared" si="276"/>
        <v>0</v>
      </c>
      <c r="BD393" s="3174">
        <f t="shared" si="277"/>
        <v>0</v>
      </c>
      <c r="BE393" s="3174">
        <f t="shared" si="278"/>
        <v>0</v>
      </c>
      <c r="BF393" s="3174">
        <f t="shared" si="279"/>
        <v>0</v>
      </c>
      <c r="BG393" s="3174">
        <f t="shared" si="280"/>
        <v>0</v>
      </c>
      <c r="BH393" s="3174">
        <f t="shared" si="281"/>
        <v>0</v>
      </c>
      <c r="BI393" s="3174">
        <f t="shared" si="282"/>
        <v>0</v>
      </c>
      <c r="BJ393" s="3174">
        <f t="shared" si="283"/>
        <v>0</v>
      </c>
      <c r="BK393" s="3174">
        <f t="shared" si="284"/>
        <v>0</v>
      </c>
      <c r="BL393" s="3174">
        <f t="shared" si="285"/>
        <v>0</v>
      </c>
      <c r="BM393" s="3174">
        <f t="shared" si="286"/>
        <v>0</v>
      </c>
      <c r="BN393" s="3174">
        <f t="shared" si="287"/>
        <v>0</v>
      </c>
      <c r="BO393" s="3174">
        <f t="shared" si="288"/>
        <v>0</v>
      </c>
      <c r="BP393" s="3174">
        <f t="shared" si="289"/>
        <v>0</v>
      </c>
      <c r="BQ393" s="3174">
        <f t="shared" si="290"/>
        <v>0</v>
      </c>
      <c r="BR393" s="3174">
        <f t="shared" si="291"/>
        <v>0</v>
      </c>
      <c r="BS393" s="3174">
        <f t="shared" si="292"/>
        <v>0</v>
      </c>
      <c r="BT393" s="3249">
        <f t="shared" si="293"/>
        <v>0</v>
      </c>
    </row>
    <row r="394" spans="1:72">
      <c r="A394" s="489"/>
      <c r="B394" s="3179"/>
      <c r="C394" s="3180"/>
      <c r="D394" s="3181"/>
      <c r="E394" s="3174">
        <f t="shared" si="265"/>
        <v>0</v>
      </c>
      <c r="F394" s="3175"/>
      <c r="G394" s="3176">
        <f t="shared" si="266"/>
        <v>0</v>
      </c>
      <c r="H394" s="3177">
        <f t="shared" si="267"/>
        <v>0</v>
      </c>
      <c r="I394" s="3180"/>
      <c r="J394" s="3200"/>
      <c r="K394" s="3180"/>
      <c r="L394" s="3200"/>
      <c r="M394" s="3200"/>
      <c r="N394" s="3200"/>
      <c r="O394" s="3200"/>
      <c r="P394" s="3200"/>
      <c r="Q394" s="3200"/>
      <c r="R394" s="3200"/>
      <c r="S394" s="3200"/>
      <c r="T394" s="3200"/>
      <c r="U394" s="3200"/>
      <c r="V394" s="3200"/>
      <c r="W394" s="3200"/>
      <c r="X394" s="3200"/>
      <c r="Y394" s="3200"/>
      <c r="Z394" s="3200"/>
      <c r="AA394" s="3200"/>
      <c r="AB394" s="3200"/>
      <c r="AC394" s="3174">
        <f t="shared" si="268"/>
        <v>0</v>
      </c>
      <c r="AD394" s="3212"/>
      <c r="AE394" s="3212"/>
      <c r="AF394" s="3213"/>
      <c r="AG394" s="3212"/>
      <c r="AH394" s="3212"/>
      <c r="AI394" s="3212"/>
      <c r="AJ394" s="3212"/>
      <c r="AK394" s="3212"/>
      <c r="AL394" s="3212"/>
      <c r="AM394" s="3212"/>
      <c r="AN394" s="3212"/>
      <c r="AO394" s="3212"/>
      <c r="AP394" s="3212"/>
      <c r="AQ394" s="3212"/>
      <c r="AR394" s="3212"/>
      <c r="AS394" s="3212"/>
      <c r="AT394" s="3175"/>
      <c r="AU394" s="3232"/>
      <c r="AV394" s="466">
        <f t="shared" si="269"/>
        <v>0</v>
      </c>
      <c r="AW394" s="466">
        <f t="shared" si="270"/>
        <v>0</v>
      </c>
      <c r="AX394" s="466">
        <f t="shared" si="271"/>
        <v>0</v>
      </c>
      <c r="AY394" s="385">
        <f t="shared" si="272"/>
        <v>0</v>
      </c>
      <c r="AZ394" s="3174">
        <f t="shared" si="273"/>
        <v>0</v>
      </c>
      <c r="BA394" s="3174">
        <f t="shared" si="274"/>
        <v>0</v>
      </c>
      <c r="BB394" s="3174">
        <f t="shared" si="275"/>
        <v>0</v>
      </c>
      <c r="BC394" s="3174">
        <f t="shared" si="276"/>
        <v>0</v>
      </c>
      <c r="BD394" s="3174">
        <f t="shared" si="277"/>
        <v>0</v>
      </c>
      <c r="BE394" s="3174">
        <f t="shared" si="278"/>
        <v>0</v>
      </c>
      <c r="BF394" s="3174">
        <f t="shared" si="279"/>
        <v>0</v>
      </c>
      <c r="BG394" s="3174">
        <f t="shared" si="280"/>
        <v>0</v>
      </c>
      <c r="BH394" s="3174">
        <f t="shared" si="281"/>
        <v>0</v>
      </c>
      <c r="BI394" s="3174">
        <f t="shared" si="282"/>
        <v>0</v>
      </c>
      <c r="BJ394" s="3174">
        <f t="shared" si="283"/>
        <v>0</v>
      </c>
      <c r="BK394" s="3174">
        <f t="shared" si="284"/>
        <v>0</v>
      </c>
      <c r="BL394" s="3174">
        <f t="shared" si="285"/>
        <v>0</v>
      </c>
      <c r="BM394" s="3174">
        <f t="shared" si="286"/>
        <v>0</v>
      </c>
      <c r="BN394" s="3174">
        <f t="shared" si="287"/>
        <v>0</v>
      </c>
      <c r="BO394" s="3174">
        <f t="shared" si="288"/>
        <v>0</v>
      </c>
      <c r="BP394" s="3174">
        <f t="shared" si="289"/>
        <v>0</v>
      </c>
      <c r="BQ394" s="3174">
        <f t="shared" si="290"/>
        <v>0</v>
      </c>
      <c r="BR394" s="3174">
        <f t="shared" si="291"/>
        <v>0</v>
      </c>
      <c r="BS394" s="3174">
        <f t="shared" si="292"/>
        <v>0</v>
      </c>
      <c r="BT394" s="3249">
        <f t="shared" si="293"/>
        <v>0</v>
      </c>
    </row>
    <row r="395" spans="1:72">
      <c r="A395" s="489"/>
      <c r="B395" s="3179"/>
      <c r="C395" s="3180"/>
      <c r="D395" s="3181"/>
      <c r="E395" s="3174">
        <f t="shared" si="265"/>
        <v>0</v>
      </c>
      <c r="F395" s="3175"/>
      <c r="G395" s="3176">
        <f t="shared" si="266"/>
        <v>0</v>
      </c>
      <c r="H395" s="3177">
        <f t="shared" si="267"/>
        <v>0</v>
      </c>
      <c r="I395" s="3180"/>
      <c r="J395" s="3200"/>
      <c r="K395" s="3180"/>
      <c r="L395" s="3200"/>
      <c r="M395" s="3200"/>
      <c r="N395" s="3200"/>
      <c r="O395" s="3200"/>
      <c r="P395" s="3200"/>
      <c r="Q395" s="3200"/>
      <c r="R395" s="3200"/>
      <c r="S395" s="3200"/>
      <c r="T395" s="3200"/>
      <c r="U395" s="3200"/>
      <c r="V395" s="3200"/>
      <c r="W395" s="3200"/>
      <c r="X395" s="3200"/>
      <c r="Y395" s="3200"/>
      <c r="Z395" s="3200"/>
      <c r="AA395" s="3200"/>
      <c r="AB395" s="3200"/>
      <c r="AC395" s="3174">
        <f t="shared" si="268"/>
        <v>0</v>
      </c>
      <c r="AD395" s="3212"/>
      <c r="AE395" s="3212"/>
      <c r="AF395" s="3213"/>
      <c r="AG395" s="3212"/>
      <c r="AH395" s="3212"/>
      <c r="AI395" s="3212"/>
      <c r="AJ395" s="3212"/>
      <c r="AK395" s="3212"/>
      <c r="AL395" s="3212"/>
      <c r="AM395" s="3212"/>
      <c r="AN395" s="3212"/>
      <c r="AO395" s="3212"/>
      <c r="AP395" s="3212"/>
      <c r="AQ395" s="3212"/>
      <c r="AR395" s="3212"/>
      <c r="AS395" s="3212"/>
      <c r="AT395" s="3175"/>
      <c r="AU395" s="3232"/>
      <c r="AV395" s="466">
        <f t="shared" si="269"/>
        <v>0</v>
      </c>
      <c r="AW395" s="466">
        <f t="shared" si="270"/>
        <v>0</v>
      </c>
      <c r="AX395" s="466">
        <f t="shared" si="271"/>
        <v>0</v>
      </c>
      <c r="AY395" s="385">
        <f t="shared" si="272"/>
        <v>0</v>
      </c>
      <c r="AZ395" s="3174">
        <f t="shared" si="273"/>
        <v>0</v>
      </c>
      <c r="BA395" s="3174">
        <f t="shared" si="274"/>
        <v>0</v>
      </c>
      <c r="BB395" s="3174">
        <f t="shared" si="275"/>
        <v>0</v>
      </c>
      <c r="BC395" s="3174">
        <f t="shared" si="276"/>
        <v>0</v>
      </c>
      <c r="BD395" s="3174">
        <f t="shared" si="277"/>
        <v>0</v>
      </c>
      <c r="BE395" s="3174">
        <f t="shared" si="278"/>
        <v>0</v>
      </c>
      <c r="BF395" s="3174">
        <f t="shared" si="279"/>
        <v>0</v>
      </c>
      <c r="BG395" s="3174">
        <f t="shared" si="280"/>
        <v>0</v>
      </c>
      <c r="BH395" s="3174">
        <f t="shared" si="281"/>
        <v>0</v>
      </c>
      <c r="BI395" s="3174">
        <f t="shared" si="282"/>
        <v>0</v>
      </c>
      <c r="BJ395" s="3174">
        <f t="shared" si="283"/>
        <v>0</v>
      </c>
      <c r="BK395" s="3174">
        <f t="shared" si="284"/>
        <v>0</v>
      </c>
      <c r="BL395" s="3174">
        <f t="shared" si="285"/>
        <v>0</v>
      </c>
      <c r="BM395" s="3174">
        <f t="shared" si="286"/>
        <v>0</v>
      </c>
      <c r="BN395" s="3174">
        <f t="shared" si="287"/>
        <v>0</v>
      </c>
      <c r="BO395" s="3174">
        <f t="shared" si="288"/>
        <v>0</v>
      </c>
      <c r="BP395" s="3174">
        <f t="shared" si="289"/>
        <v>0</v>
      </c>
      <c r="BQ395" s="3174">
        <f t="shared" si="290"/>
        <v>0</v>
      </c>
      <c r="BR395" s="3174">
        <f t="shared" si="291"/>
        <v>0</v>
      </c>
      <c r="BS395" s="3174">
        <f t="shared" si="292"/>
        <v>0</v>
      </c>
      <c r="BT395" s="3249">
        <f t="shared" si="293"/>
        <v>0</v>
      </c>
    </row>
    <row r="396" spans="1:72">
      <c r="A396" s="489"/>
      <c r="B396" s="3179"/>
      <c r="C396" s="3180"/>
      <c r="D396" s="3181"/>
      <c r="E396" s="3174">
        <f t="shared" si="265"/>
        <v>0</v>
      </c>
      <c r="F396" s="3175"/>
      <c r="G396" s="3176">
        <f t="shared" si="266"/>
        <v>0</v>
      </c>
      <c r="H396" s="3177">
        <f t="shared" si="267"/>
        <v>0</v>
      </c>
      <c r="I396" s="3180"/>
      <c r="J396" s="3200"/>
      <c r="K396" s="3180"/>
      <c r="L396" s="3200"/>
      <c r="M396" s="3200"/>
      <c r="N396" s="3200"/>
      <c r="O396" s="3200"/>
      <c r="P396" s="3200"/>
      <c r="Q396" s="3200"/>
      <c r="R396" s="3200"/>
      <c r="S396" s="3200"/>
      <c r="T396" s="3200"/>
      <c r="U396" s="3200"/>
      <c r="V396" s="3200"/>
      <c r="W396" s="3200"/>
      <c r="X396" s="3200"/>
      <c r="Y396" s="3200"/>
      <c r="Z396" s="3200"/>
      <c r="AA396" s="3200"/>
      <c r="AB396" s="3200"/>
      <c r="AC396" s="3174">
        <f t="shared" si="268"/>
        <v>0</v>
      </c>
      <c r="AD396" s="3212"/>
      <c r="AE396" s="3212"/>
      <c r="AF396" s="3180"/>
      <c r="AG396" s="3212"/>
      <c r="AH396" s="3212"/>
      <c r="AI396" s="3212"/>
      <c r="AJ396" s="3212"/>
      <c r="AK396" s="3212"/>
      <c r="AL396" s="3212"/>
      <c r="AM396" s="3212"/>
      <c r="AN396" s="3212"/>
      <c r="AO396" s="3212"/>
      <c r="AP396" s="3212"/>
      <c r="AQ396" s="3212"/>
      <c r="AR396" s="3212"/>
      <c r="AS396" s="3212"/>
      <c r="AT396" s="3175"/>
      <c r="AU396" s="3232"/>
      <c r="AV396" s="466">
        <f t="shared" si="269"/>
        <v>0</v>
      </c>
      <c r="AW396" s="466">
        <f t="shared" si="270"/>
        <v>0</v>
      </c>
      <c r="AX396" s="466">
        <f t="shared" si="271"/>
        <v>0</v>
      </c>
      <c r="AY396" s="385">
        <f t="shared" si="272"/>
        <v>0</v>
      </c>
      <c r="AZ396" s="3174">
        <f t="shared" si="273"/>
        <v>0</v>
      </c>
      <c r="BA396" s="3174">
        <f t="shared" si="274"/>
        <v>0</v>
      </c>
      <c r="BB396" s="3174">
        <f t="shared" si="275"/>
        <v>0</v>
      </c>
      <c r="BC396" s="3174">
        <f t="shared" si="276"/>
        <v>0</v>
      </c>
      <c r="BD396" s="3174">
        <f t="shared" si="277"/>
        <v>0</v>
      </c>
      <c r="BE396" s="3174">
        <f t="shared" si="278"/>
        <v>0</v>
      </c>
      <c r="BF396" s="3174">
        <f t="shared" si="279"/>
        <v>0</v>
      </c>
      <c r="BG396" s="3174">
        <f t="shared" si="280"/>
        <v>0</v>
      </c>
      <c r="BH396" s="3174">
        <f t="shared" si="281"/>
        <v>0</v>
      </c>
      <c r="BI396" s="3174">
        <f t="shared" si="282"/>
        <v>0</v>
      </c>
      <c r="BJ396" s="3174">
        <f t="shared" si="283"/>
        <v>0</v>
      </c>
      <c r="BK396" s="3174">
        <f t="shared" si="284"/>
        <v>0</v>
      </c>
      <c r="BL396" s="3174">
        <f t="shared" si="285"/>
        <v>0</v>
      </c>
      <c r="BM396" s="3174">
        <f t="shared" si="286"/>
        <v>0</v>
      </c>
      <c r="BN396" s="3174">
        <f t="shared" si="287"/>
        <v>0</v>
      </c>
      <c r="BO396" s="3174">
        <f t="shared" si="288"/>
        <v>0</v>
      </c>
      <c r="BP396" s="3174">
        <f t="shared" si="289"/>
        <v>0</v>
      </c>
      <c r="BQ396" s="3174">
        <f t="shared" si="290"/>
        <v>0</v>
      </c>
      <c r="BR396" s="3174">
        <f t="shared" si="291"/>
        <v>0</v>
      </c>
      <c r="BS396" s="3174">
        <f t="shared" si="292"/>
        <v>0</v>
      </c>
      <c r="BT396" s="3249">
        <f t="shared" si="293"/>
        <v>0</v>
      </c>
    </row>
    <row r="397" spans="1:72">
      <c r="A397" s="489"/>
      <c r="B397" s="3179"/>
      <c r="C397" s="3180"/>
      <c r="D397" s="3181"/>
      <c r="E397" s="3174">
        <f t="shared" si="265"/>
        <v>0</v>
      </c>
      <c r="F397" s="3175"/>
      <c r="G397" s="3176">
        <f t="shared" si="266"/>
        <v>0</v>
      </c>
      <c r="H397" s="3177">
        <f t="shared" si="267"/>
        <v>0</v>
      </c>
      <c r="I397" s="3180"/>
      <c r="J397" s="3200"/>
      <c r="K397" s="3180"/>
      <c r="L397" s="3200"/>
      <c r="M397" s="3200"/>
      <c r="N397" s="3200"/>
      <c r="O397" s="3200"/>
      <c r="P397" s="3200"/>
      <c r="Q397" s="3200"/>
      <c r="R397" s="3200"/>
      <c r="S397" s="3200"/>
      <c r="T397" s="3200"/>
      <c r="U397" s="3200"/>
      <c r="V397" s="3200"/>
      <c r="W397" s="3200"/>
      <c r="X397" s="3200"/>
      <c r="Y397" s="3200"/>
      <c r="Z397" s="3200"/>
      <c r="AA397" s="3200"/>
      <c r="AB397" s="3200"/>
      <c r="AC397" s="3174">
        <f t="shared" si="268"/>
        <v>0</v>
      </c>
      <c r="AD397" s="3212"/>
      <c r="AE397" s="3212"/>
      <c r="AF397" s="3180"/>
      <c r="AG397" s="3212"/>
      <c r="AH397" s="3212"/>
      <c r="AI397" s="3212"/>
      <c r="AJ397" s="3212"/>
      <c r="AK397" s="3212"/>
      <c r="AL397" s="3212"/>
      <c r="AM397" s="3212"/>
      <c r="AN397" s="3212"/>
      <c r="AO397" s="3212"/>
      <c r="AP397" s="3212"/>
      <c r="AQ397" s="3212"/>
      <c r="AR397" s="3212"/>
      <c r="AS397" s="3212"/>
      <c r="AT397" s="3175"/>
      <c r="AU397" s="3232"/>
      <c r="AV397" s="466">
        <f t="shared" si="269"/>
        <v>0</v>
      </c>
      <c r="AW397" s="466">
        <f t="shared" si="270"/>
        <v>0</v>
      </c>
      <c r="AX397" s="466">
        <f t="shared" si="271"/>
        <v>0</v>
      </c>
      <c r="AY397" s="385">
        <f t="shared" si="272"/>
        <v>0</v>
      </c>
      <c r="AZ397" s="3174">
        <f t="shared" si="273"/>
        <v>0</v>
      </c>
      <c r="BA397" s="3174">
        <f t="shared" si="274"/>
        <v>0</v>
      </c>
      <c r="BB397" s="3174">
        <f t="shared" si="275"/>
        <v>0</v>
      </c>
      <c r="BC397" s="3174">
        <f t="shared" si="276"/>
        <v>0</v>
      </c>
      <c r="BD397" s="3174">
        <f t="shared" si="277"/>
        <v>0</v>
      </c>
      <c r="BE397" s="3174">
        <f t="shared" si="278"/>
        <v>0</v>
      </c>
      <c r="BF397" s="3174">
        <f t="shared" si="279"/>
        <v>0</v>
      </c>
      <c r="BG397" s="3174">
        <f t="shared" si="280"/>
        <v>0</v>
      </c>
      <c r="BH397" s="3174">
        <f t="shared" si="281"/>
        <v>0</v>
      </c>
      <c r="BI397" s="3174">
        <f t="shared" si="282"/>
        <v>0</v>
      </c>
      <c r="BJ397" s="3174">
        <f t="shared" si="283"/>
        <v>0</v>
      </c>
      <c r="BK397" s="3174">
        <f t="shared" si="284"/>
        <v>0</v>
      </c>
      <c r="BL397" s="3174">
        <f t="shared" si="285"/>
        <v>0</v>
      </c>
      <c r="BM397" s="3174">
        <f t="shared" si="286"/>
        <v>0</v>
      </c>
      <c r="BN397" s="3174">
        <f t="shared" si="287"/>
        <v>0</v>
      </c>
      <c r="BO397" s="3174">
        <f t="shared" si="288"/>
        <v>0</v>
      </c>
      <c r="BP397" s="3174">
        <f t="shared" si="289"/>
        <v>0</v>
      </c>
      <c r="BQ397" s="3174">
        <f t="shared" si="290"/>
        <v>0</v>
      </c>
      <c r="BR397" s="3174">
        <f t="shared" si="291"/>
        <v>0</v>
      </c>
      <c r="BS397" s="3174">
        <f t="shared" si="292"/>
        <v>0</v>
      </c>
      <c r="BT397" s="3249">
        <f t="shared" si="293"/>
        <v>0</v>
      </c>
    </row>
    <row r="398" spans="1:72">
      <c r="A398" s="489"/>
      <c r="B398" s="3179"/>
      <c r="C398" s="3180"/>
      <c r="D398" s="3181"/>
      <c r="E398" s="3174">
        <f t="shared" si="265"/>
        <v>0</v>
      </c>
      <c r="F398" s="3175"/>
      <c r="G398" s="3176">
        <f t="shared" si="266"/>
        <v>0</v>
      </c>
      <c r="H398" s="3177">
        <f t="shared" si="267"/>
        <v>0</v>
      </c>
      <c r="I398" s="3180"/>
      <c r="J398" s="3200"/>
      <c r="K398" s="3180"/>
      <c r="L398" s="3200"/>
      <c r="M398" s="3200"/>
      <c r="N398" s="3200"/>
      <c r="O398" s="3200"/>
      <c r="P398" s="3200"/>
      <c r="Q398" s="3200"/>
      <c r="R398" s="3200"/>
      <c r="S398" s="3200"/>
      <c r="T398" s="3200"/>
      <c r="U398" s="3200"/>
      <c r="V398" s="3200"/>
      <c r="W398" s="3200"/>
      <c r="X398" s="3200"/>
      <c r="Y398" s="3200"/>
      <c r="Z398" s="3200"/>
      <c r="AA398" s="3200"/>
      <c r="AB398" s="3200"/>
      <c r="AC398" s="3174">
        <f t="shared" si="268"/>
        <v>0</v>
      </c>
      <c r="AD398" s="3212"/>
      <c r="AE398" s="3212"/>
      <c r="AF398" s="3180"/>
      <c r="AG398" s="3212"/>
      <c r="AH398" s="3212"/>
      <c r="AI398" s="3212"/>
      <c r="AJ398" s="3212"/>
      <c r="AK398" s="3212"/>
      <c r="AL398" s="3212"/>
      <c r="AM398" s="3212"/>
      <c r="AN398" s="3212"/>
      <c r="AO398" s="3212"/>
      <c r="AP398" s="3212"/>
      <c r="AQ398" s="3212"/>
      <c r="AR398" s="3212"/>
      <c r="AS398" s="3212"/>
      <c r="AT398" s="3175"/>
      <c r="AU398" s="3232"/>
      <c r="AV398" s="466">
        <f t="shared" si="269"/>
        <v>0</v>
      </c>
      <c r="AW398" s="466">
        <f t="shared" si="270"/>
        <v>0</v>
      </c>
      <c r="AX398" s="466">
        <f t="shared" si="271"/>
        <v>0</v>
      </c>
      <c r="AY398" s="385">
        <f t="shared" si="272"/>
        <v>0</v>
      </c>
      <c r="AZ398" s="3174">
        <f t="shared" si="273"/>
        <v>0</v>
      </c>
      <c r="BA398" s="3174">
        <f t="shared" si="274"/>
        <v>0</v>
      </c>
      <c r="BB398" s="3174">
        <f t="shared" si="275"/>
        <v>0</v>
      </c>
      <c r="BC398" s="3174">
        <f t="shared" si="276"/>
        <v>0</v>
      </c>
      <c r="BD398" s="3174">
        <f t="shared" si="277"/>
        <v>0</v>
      </c>
      <c r="BE398" s="3174">
        <f t="shared" si="278"/>
        <v>0</v>
      </c>
      <c r="BF398" s="3174">
        <f t="shared" si="279"/>
        <v>0</v>
      </c>
      <c r="BG398" s="3174">
        <f t="shared" si="280"/>
        <v>0</v>
      </c>
      <c r="BH398" s="3174">
        <f t="shared" si="281"/>
        <v>0</v>
      </c>
      <c r="BI398" s="3174">
        <f t="shared" si="282"/>
        <v>0</v>
      </c>
      <c r="BJ398" s="3174">
        <f t="shared" si="283"/>
        <v>0</v>
      </c>
      <c r="BK398" s="3174">
        <f t="shared" si="284"/>
        <v>0</v>
      </c>
      <c r="BL398" s="3174">
        <f t="shared" si="285"/>
        <v>0</v>
      </c>
      <c r="BM398" s="3174">
        <f t="shared" si="286"/>
        <v>0</v>
      </c>
      <c r="BN398" s="3174">
        <f t="shared" si="287"/>
        <v>0</v>
      </c>
      <c r="BO398" s="3174">
        <f t="shared" si="288"/>
        <v>0</v>
      </c>
      <c r="BP398" s="3174">
        <f t="shared" si="289"/>
        <v>0</v>
      </c>
      <c r="BQ398" s="3174">
        <f t="shared" si="290"/>
        <v>0</v>
      </c>
      <c r="BR398" s="3174">
        <f t="shared" si="291"/>
        <v>0</v>
      </c>
      <c r="BS398" s="3174">
        <f t="shared" si="292"/>
        <v>0</v>
      </c>
      <c r="BT398" s="3249">
        <f t="shared" si="293"/>
        <v>0</v>
      </c>
    </row>
    <row r="399" spans="1:72">
      <c r="A399" s="489"/>
      <c r="B399" s="3179"/>
      <c r="C399" s="3180"/>
      <c r="D399" s="3181"/>
      <c r="E399" s="3174">
        <f t="shared" si="265"/>
        <v>0</v>
      </c>
      <c r="F399" s="3175"/>
      <c r="G399" s="3176">
        <f t="shared" si="266"/>
        <v>0</v>
      </c>
      <c r="H399" s="3177">
        <f t="shared" si="267"/>
        <v>0</v>
      </c>
      <c r="I399" s="3180"/>
      <c r="J399" s="3200"/>
      <c r="K399" s="3180"/>
      <c r="L399" s="3200"/>
      <c r="M399" s="3200"/>
      <c r="N399" s="3200"/>
      <c r="O399" s="3200"/>
      <c r="P399" s="3200"/>
      <c r="Q399" s="3200"/>
      <c r="R399" s="3200"/>
      <c r="S399" s="3200"/>
      <c r="T399" s="3200"/>
      <c r="U399" s="3200"/>
      <c r="V399" s="3200"/>
      <c r="W399" s="3200"/>
      <c r="X399" s="3200"/>
      <c r="Y399" s="3200"/>
      <c r="Z399" s="3200"/>
      <c r="AA399" s="3200"/>
      <c r="AB399" s="3200"/>
      <c r="AC399" s="3174">
        <f t="shared" si="268"/>
        <v>0</v>
      </c>
      <c r="AD399" s="3212"/>
      <c r="AE399" s="3212"/>
      <c r="AF399" s="3180"/>
      <c r="AG399" s="3212"/>
      <c r="AH399" s="3212"/>
      <c r="AI399" s="3212"/>
      <c r="AJ399" s="3212"/>
      <c r="AK399" s="3212"/>
      <c r="AL399" s="3212"/>
      <c r="AM399" s="3212"/>
      <c r="AN399" s="3212"/>
      <c r="AO399" s="3212"/>
      <c r="AP399" s="3212"/>
      <c r="AQ399" s="3212"/>
      <c r="AR399" s="3212"/>
      <c r="AS399" s="3212"/>
      <c r="AT399" s="3175"/>
      <c r="AU399" s="3232"/>
      <c r="AV399" s="466">
        <f t="shared" si="269"/>
        <v>0</v>
      </c>
      <c r="AW399" s="466">
        <f t="shared" si="270"/>
        <v>0</v>
      </c>
      <c r="AX399" s="466">
        <f t="shared" si="271"/>
        <v>0</v>
      </c>
      <c r="AY399" s="385">
        <f t="shared" si="272"/>
        <v>0</v>
      </c>
      <c r="AZ399" s="3174">
        <f t="shared" si="273"/>
        <v>0</v>
      </c>
      <c r="BA399" s="3174">
        <f t="shared" si="274"/>
        <v>0</v>
      </c>
      <c r="BB399" s="3174">
        <f t="shared" si="275"/>
        <v>0</v>
      </c>
      <c r="BC399" s="3174">
        <f t="shared" si="276"/>
        <v>0</v>
      </c>
      <c r="BD399" s="3174">
        <f t="shared" si="277"/>
        <v>0</v>
      </c>
      <c r="BE399" s="3174">
        <f t="shared" si="278"/>
        <v>0</v>
      </c>
      <c r="BF399" s="3174">
        <f t="shared" si="279"/>
        <v>0</v>
      </c>
      <c r="BG399" s="3174">
        <f t="shared" si="280"/>
        <v>0</v>
      </c>
      <c r="BH399" s="3174">
        <f t="shared" si="281"/>
        <v>0</v>
      </c>
      <c r="BI399" s="3174">
        <f t="shared" si="282"/>
        <v>0</v>
      </c>
      <c r="BJ399" s="3174">
        <f t="shared" si="283"/>
        <v>0</v>
      </c>
      <c r="BK399" s="3174">
        <f t="shared" si="284"/>
        <v>0</v>
      </c>
      <c r="BL399" s="3174">
        <f t="shared" si="285"/>
        <v>0</v>
      </c>
      <c r="BM399" s="3174">
        <f t="shared" si="286"/>
        <v>0</v>
      </c>
      <c r="BN399" s="3174">
        <f t="shared" si="287"/>
        <v>0</v>
      </c>
      <c r="BO399" s="3174">
        <f t="shared" si="288"/>
        <v>0</v>
      </c>
      <c r="BP399" s="3174">
        <f t="shared" si="289"/>
        <v>0</v>
      </c>
      <c r="BQ399" s="3174">
        <f t="shared" si="290"/>
        <v>0</v>
      </c>
      <c r="BR399" s="3174">
        <f t="shared" si="291"/>
        <v>0</v>
      </c>
      <c r="BS399" s="3174">
        <f t="shared" si="292"/>
        <v>0</v>
      </c>
      <c r="BT399" s="3249">
        <f t="shared" si="293"/>
        <v>0</v>
      </c>
    </row>
    <row r="400" spans="1:72">
      <c r="A400" s="489"/>
      <c r="B400" s="3179"/>
      <c r="C400" s="3180"/>
      <c r="D400" s="3181"/>
      <c r="E400" s="3174">
        <f t="shared" si="265"/>
        <v>0</v>
      </c>
      <c r="F400" s="3175"/>
      <c r="G400" s="3176">
        <f t="shared" si="266"/>
        <v>0</v>
      </c>
      <c r="H400" s="3177">
        <f t="shared" si="267"/>
        <v>0</v>
      </c>
      <c r="I400" s="3180"/>
      <c r="J400" s="3200"/>
      <c r="K400" s="3180"/>
      <c r="L400" s="3200"/>
      <c r="M400" s="3200"/>
      <c r="N400" s="3200"/>
      <c r="O400" s="3200"/>
      <c r="P400" s="3200"/>
      <c r="Q400" s="3200"/>
      <c r="R400" s="3200"/>
      <c r="S400" s="3200"/>
      <c r="T400" s="3200"/>
      <c r="U400" s="3200"/>
      <c r="V400" s="3200"/>
      <c r="W400" s="3200"/>
      <c r="X400" s="3200"/>
      <c r="Y400" s="3200"/>
      <c r="Z400" s="3200"/>
      <c r="AA400" s="3200"/>
      <c r="AB400" s="3200"/>
      <c r="AC400" s="3174">
        <f t="shared" si="268"/>
        <v>0</v>
      </c>
      <c r="AD400" s="3212"/>
      <c r="AE400" s="3212"/>
      <c r="AF400" s="3180"/>
      <c r="AG400" s="3212"/>
      <c r="AH400" s="3212"/>
      <c r="AI400" s="3212"/>
      <c r="AJ400" s="3212"/>
      <c r="AK400" s="3212"/>
      <c r="AL400" s="3212"/>
      <c r="AM400" s="3212"/>
      <c r="AN400" s="3212"/>
      <c r="AO400" s="3212"/>
      <c r="AP400" s="3212"/>
      <c r="AQ400" s="3212"/>
      <c r="AR400" s="3212"/>
      <c r="AS400" s="3212"/>
      <c r="AT400" s="3175"/>
      <c r="AU400" s="3232"/>
      <c r="AV400" s="466">
        <f t="shared" si="269"/>
        <v>0</v>
      </c>
      <c r="AW400" s="466">
        <f t="shared" si="270"/>
        <v>0</v>
      </c>
      <c r="AX400" s="466">
        <f t="shared" si="271"/>
        <v>0</v>
      </c>
      <c r="AY400" s="385">
        <f t="shared" si="272"/>
        <v>0</v>
      </c>
      <c r="AZ400" s="3174">
        <f t="shared" si="273"/>
        <v>0</v>
      </c>
      <c r="BA400" s="3174">
        <f t="shared" si="274"/>
        <v>0</v>
      </c>
      <c r="BB400" s="3174">
        <f t="shared" si="275"/>
        <v>0</v>
      </c>
      <c r="BC400" s="3174">
        <f t="shared" si="276"/>
        <v>0</v>
      </c>
      <c r="BD400" s="3174">
        <f t="shared" si="277"/>
        <v>0</v>
      </c>
      <c r="BE400" s="3174">
        <f t="shared" si="278"/>
        <v>0</v>
      </c>
      <c r="BF400" s="3174">
        <f t="shared" si="279"/>
        <v>0</v>
      </c>
      <c r="BG400" s="3174">
        <f t="shared" si="280"/>
        <v>0</v>
      </c>
      <c r="BH400" s="3174">
        <f t="shared" si="281"/>
        <v>0</v>
      </c>
      <c r="BI400" s="3174">
        <f t="shared" si="282"/>
        <v>0</v>
      </c>
      <c r="BJ400" s="3174">
        <f t="shared" si="283"/>
        <v>0</v>
      </c>
      <c r="BK400" s="3174">
        <f t="shared" si="284"/>
        <v>0</v>
      </c>
      <c r="BL400" s="3174">
        <f t="shared" si="285"/>
        <v>0</v>
      </c>
      <c r="BM400" s="3174">
        <f t="shared" si="286"/>
        <v>0</v>
      </c>
      <c r="BN400" s="3174">
        <f t="shared" si="287"/>
        <v>0</v>
      </c>
      <c r="BO400" s="3174">
        <f t="shared" si="288"/>
        <v>0</v>
      </c>
      <c r="BP400" s="3174">
        <f t="shared" si="289"/>
        <v>0</v>
      </c>
      <c r="BQ400" s="3174">
        <f t="shared" si="290"/>
        <v>0</v>
      </c>
      <c r="BR400" s="3174">
        <f t="shared" si="291"/>
        <v>0</v>
      </c>
      <c r="BS400" s="3174">
        <f t="shared" si="292"/>
        <v>0</v>
      </c>
      <c r="BT400" s="3249">
        <f t="shared" si="293"/>
        <v>0</v>
      </c>
    </row>
    <row r="401" spans="1:72">
      <c r="A401" s="489"/>
      <c r="B401" s="3179"/>
      <c r="C401" s="3180"/>
      <c r="D401" s="3181"/>
      <c r="E401" s="3174">
        <f t="shared" si="265"/>
        <v>0</v>
      </c>
      <c r="F401" s="3175"/>
      <c r="G401" s="3176">
        <f t="shared" si="266"/>
        <v>0</v>
      </c>
      <c r="H401" s="3177">
        <f t="shared" si="267"/>
        <v>0</v>
      </c>
      <c r="I401" s="3180"/>
      <c r="J401" s="3200"/>
      <c r="K401" s="3180"/>
      <c r="L401" s="3200"/>
      <c r="M401" s="3200"/>
      <c r="N401" s="3200"/>
      <c r="O401" s="3200"/>
      <c r="P401" s="3200"/>
      <c r="Q401" s="3200"/>
      <c r="R401" s="3200"/>
      <c r="S401" s="3200"/>
      <c r="T401" s="3200"/>
      <c r="U401" s="3200"/>
      <c r="V401" s="3200"/>
      <c r="W401" s="3200"/>
      <c r="X401" s="3200"/>
      <c r="Y401" s="3200"/>
      <c r="Z401" s="3200"/>
      <c r="AA401" s="3200"/>
      <c r="AB401" s="3200"/>
      <c r="AC401" s="3174">
        <f t="shared" si="268"/>
        <v>0</v>
      </c>
      <c r="AD401" s="3212"/>
      <c r="AE401" s="3212"/>
      <c r="AF401" s="3180"/>
      <c r="AG401" s="3212"/>
      <c r="AH401" s="3212"/>
      <c r="AI401" s="3212"/>
      <c r="AJ401" s="3212"/>
      <c r="AK401" s="3212"/>
      <c r="AL401" s="3212"/>
      <c r="AM401" s="3212"/>
      <c r="AN401" s="3212"/>
      <c r="AO401" s="3212"/>
      <c r="AP401" s="3212"/>
      <c r="AQ401" s="3212"/>
      <c r="AR401" s="3212"/>
      <c r="AS401" s="3212"/>
      <c r="AT401" s="3175"/>
      <c r="AU401" s="3232"/>
      <c r="AV401" s="466">
        <f t="shared" si="269"/>
        <v>0</v>
      </c>
      <c r="AW401" s="466">
        <f t="shared" si="270"/>
        <v>0</v>
      </c>
      <c r="AX401" s="466">
        <f t="shared" si="271"/>
        <v>0</v>
      </c>
      <c r="AY401" s="385">
        <f t="shared" si="272"/>
        <v>0</v>
      </c>
      <c r="AZ401" s="3174">
        <f t="shared" si="273"/>
        <v>0</v>
      </c>
      <c r="BA401" s="3174">
        <f t="shared" si="274"/>
        <v>0</v>
      </c>
      <c r="BB401" s="3174">
        <f t="shared" si="275"/>
        <v>0</v>
      </c>
      <c r="BC401" s="3174">
        <f t="shared" si="276"/>
        <v>0</v>
      </c>
      <c r="BD401" s="3174">
        <f t="shared" si="277"/>
        <v>0</v>
      </c>
      <c r="BE401" s="3174">
        <f t="shared" si="278"/>
        <v>0</v>
      </c>
      <c r="BF401" s="3174">
        <f t="shared" si="279"/>
        <v>0</v>
      </c>
      <c r="BG401" s="3174">
        <f t="shared" si="280"/>
        <v>0</v>
      </c>
      <c r="BH401" s="3174">
        <f t="shared" si="281"/>
        <v>0</v>
      </c>
      <c r="BI401" s="3174">
        <f t="shared" si="282"/>
        <v>0</v>
      </c>
      <c r="BJ401" s="3174">
        <f t="shared" si="283"/>
        <v>0</v>
      </c>
      <c r="BK401" s="3174">
        <f t="shared" si="284"/>
        <v>0</v>
      </c>
      <c r="BL401" s="3174">
        <f t="shared" si="285"/>
        <v>0</v>
      </c>
      <c r="BM401" s="3174">
        <f t="shared" si="286"/>
        <v>0</v>
      </c>
      <c r="BN401" s="3174">
        <f t="shared" si="287"/>
        <v>0</v>
      </c>
      <c r="BO401" s="3174">
        <f t="shared" si="288"/>
        <v>0</v>
      </c>
      <c r="BP401" s="3174">
        <f t="shared" si="289"/>
        <v>0</v>
      </c>
      <c r="BQ401" s="3174">
        <f t="shared" si="290"/>
        <v>0</v>
      </c>
      <c r="BR401" s="3174">
        <f t="shared" si="291"/>
        <v>0</v>
      </c>
      <c r="BS401" s="3174">
        <f t="shared" si="292"/>
        <v>0</v>
      </c>
      <c r="BT401" s="3249">
        <f t="shared" si="293"/>
        <v>0</v>
      </c>
    </row>
    <row r="402" spans="1:72">
      <c r="A402" s="489"/>
      <c r="B402" s="3179"/>
      <c r="C402" s="3180"/>
      <c r="D402" s="3181"/>
      <c r="E402" s="3174">
        <f t="shared" si="265"/>
        <v>0</v>
      </c>
      <c r="F402" s="3175"/>
      <c r="G402" s="3176">
        <f t="shared" si="266"/>
        <v>0</v>
      </c>
      <c r="H402" s="3177">
        <f t="shared" si="267"/>
        <v>0</v>
      </c>
      <c r="I402" s="3180"/>
      <c r="J402" s="3200"/>
      <c r="K402" s="3180"/>
      <c r="L402" s="3200"/>
      <c r="M402" s="3200"/>
      <c r="N402" s="3200"/>
      <c r="O402" s="3200"/>
      <c r="P402" s="3200"/>
      <c r="Q402" s="3200"/>
      <c r="R402" s="3200"/>
      <c r="S402" s="3200"/>
      <c r="T402" s="3200"/>
      <c r="U402" s="3200"/>
      <c r="V402" s="3200"/>
      <c r="W402" s="3200"/>
      <c r="X402" s="3200"/>
      <c r="Y402" s="3200"/>
      <c r="Z402" s="3200"/>
      <c r="AA402" s="3200"/>
      <c r="AB402" s="3200"/>
      <c r="AC402" s="3174">
        <f t="shared" si="268"/>
        <v>0</v>
      </c>
      <c r="AD402" s="3212"/>
      <c r="AE402" s="3212"/>
      <c r="AF402" s="3180"/>
      <c r="AG402" s="3212"/>
      <c r="AH402" s="3212"/>
      <c r="AI402" s="3212"/>
      <c r="AJ402" s="3212"/>
      <c r="AK402" s="3212"/>
      <c r="AL402" s="3212"/>
      <c r="AM402" s="3212"/>
      <c r="AN402" s="3212"/>
      <c r="AO402" s="3212"/>
      <c r="AP402" s="3212"/>
      <c r="AQ402" s="3212"/>
      <c r="AR402" s="3212"/>
      <c r="AS402" s="3212"/>
      <c r="AT402" s="3175"/>
      <c r="AU402" s="3232"/>
      <c r="AV402" s="466">
        <f t="shared" si="269"/>
        <v>0</v>
      </c>
      <c r="AW402" s="466">
        <f t="shared" si="270"/>
        <v>0</v>
      </c>
      <c r="AX402" s="466">
        <f t="shared" si="271"/>
        <v>0</v>
      </c>
      <c r="AY402" s="385">
        <f t="shared" si="272"/>
        <v>0</v>
      </c>
      <c r="AZ402" s="3174">
        <f t="shared" si="273"/>
        <v>0</v>
      </c>
      <c r="BA402" s="3174">
        <f t="shared" si="274"/>
        <v>0</v>
      </c>
      <c r="BB402" s="3174">
        <f t="shared" si="275"/>
        <v>0</v>
      </c>
      <c r="BC402" s="3174">
        <f t="shared" si="276"/>
        <v>0</v>
      </c>
      <c r="BD402" s="3174">
        <f t="shared" si="277"/>
        <v>0</v>
      </c>
      <c r="BE402" s="3174">
        <f t="shared" si="278"/>
        <v>0</v>
      </c>
      <c r="BF402" s="3174">
        <f t="shared" si="279"/>
        <v>0</v>
      </c>
      <c r="BG402" s="3174">
        <f t="shared" si="280"/>
        <v>0</v>
      </c>
      <c r="BH402" s="3174">
        <f t="shared" si="281"/>
        <v>0</v>
      </c>
      <c r="BI402" s="3174">
        <f t="shared" si="282"/>
        <v>0</v>
      </c>
      <c r="BJ402" s="3174">
        <f t="shared" si="283"/>
        <v>0</v>
      </c>
      <c r="BK402" s="3174">
        <f t="shared" si="284"/>
        <v>0</v>
      </c>
      <c r="BL402" s="3174">
        <f t="shared" si="285"/>
        <v>0</v>
      </c>
      <c r="BM402" s="3174">
        <f t="shared" si="286"/>
        <v>0</v>
      </c>
      <c r="BN402" s="3174">
        <f t="shared" si="287"/>
        <v>0</v>
      </c>
      <c r="BO402" s="3174">
        <f t="shared" si="288"/>
        <v>0</v>
      </c>
      <c r="BP402" s="3174">
        <f t="shared" si="289"/>
        <v>0</v>
      </c>
      <c r="BQ402" s="3174">
        <f t="shared" si="290"/>
        <v>0</v>
      </c>
      <c r="BR402" s="3174">
        <f t="shared" si="291"/>
        <v>0</v>
      </c>
      <c r="BS402" s="3174">
        <f t="shared" si="292"/>
        <v>0</v>
      </c>
      <c r="BT402" s="3249">
        <f t="shared" si="293"/>
        <v>0</v>
      </c>
    </row>
    <row r="403" spans="1:72">
      <c r="A403" s="489"/>
      <c r="B403" s="3179"/>
      <c r="C403" s="3180"/>
      <c r="D403" s="3181"/>
      <c r="E403" s="3174">
        <f t="shared" si="265"/>
        <v>0</v>
      </c>
      <c r="F403" s="3175"/>
      <c r="G403" s="3176">
        <f t="shared" si="266"/>
        <v>0</v>
      </c>
      <c r="H403" s="3177">
        <f t="shared" si="267"/>
        <v>0</v>
      </c>
      <c r="I403" s="3180"/>
      <c r="J403" s="3200"/>
      <c r="K403" s="3180"/>
      <c r="L403" s="3200"/>
      <c r="M403" s="3200"/>
      <c r="N403" s="3200"/>
      <c r="O403" s="3200"/>
      <c r="P403" s="3200"/>
      <c r="Q403" s="3200"/>
      <c r="R403" s="3200"/>
      <c r="S403" s="3200"/>
      <c r="T403" s="3200"/>
      <c r="U403" s="3200"/>
      <c r="V403" s="3200"/>
      <c r="W403" s="3200"/>
      <c r="X403" s="3200"/>
      <c r="Y403" s="3200"/>
      <c r="Z403" s="3200"/>
      <c r="AA403" s="3200"/>
      <c r="AB403" s="3200"/>
      <c r="AC403" s="3174">
        <f t="shared" si="268"/>
        <v>0</v>
      </c>
      <c r="AD403" s="3212"/>
      <c r="AE403" s="3212"/>
      <c r="AF403" s="3180"/>
      <c r="AG403" s="3212"/>
      <c r="AH403" s="3212"/>
      <c r="AI403" s="3212"/>
      <c r="AJ403" s="3212"/>
      <c r="AK403" s="3212"/>
      <c r="AL403" s="3212"/>
      <c r="AM403" s="3212"/>
      <c r="AN403" s="3212"/>
      <c r="AO403" s="3212"/>
      <c r="AP403" s="3212"/>
      <c r="AQ403" s="3212"/>
      <c r="AR403" s="3212"/>
      <c r="AS403" s="3212"/>
      <c r="AT403" s="3175"/>
      <c r="AU403" s="3232"/>
      <c r="AV403" s="466">
        <f t="shared" si="269"/>
        <v>0</v>
      </c>
      <c r="AW403" s="466">
        <f t="shared" si="270"/>
        <v>0</v>
      </c>
      <c r="AX403" s="466">
        <f t="shared" si="271"/>
        <v>0</v>
      </c>
      <c r="AY403" s="385">
        <f t="shared" si="272"/>
        <v>0</v>
      </c>
      <c r="AZ403" s="3174">
        <f t="shared" si="273"/>
        <v>0</v>
      </c>
      <c r="BA403" s="3174">
        <f t="shared" si="274"/>
        <v>0</v>
      </c>
      <c r="BB403" s="3174">
        <f t="shared" si="275"/>
        <v>0</v>
      </c>
      <c r="BC403" s="3174">
        <f t="shared" si="276"/>
        <v>0</v>
      </c>
      <c r="BD403" s="3174">
        <f t="shared" si="277"/>
        <v>0</v>
      </c>
      <c r="BE403" s="3174">
        <f t="shared" si="278"/>
        <v>0</v>
      </c>
      <c r="BF403" s="3174">
        <f t="shared" si="279"/>
        <v>0</v>
      </c>
      <c r="BG403" s="3174">
        <f t="shared" si="280"/>
        <v>0</v>
      </c>
      <c r="BH403" s="3174">
        <f t="shared" si="281"/>
        <v>0</v>
      </c>
      <c r="BI403" s="3174">
        <f t="shared" si="282"/>
        <v>0</v>
      </c>
      <c r="BJ403" s="3174">
        <f t="shared" si="283"/>
        <v>0</v>
      </c>
      <c r="BK403" s="3174">
        <f t="shared" si="284"/>
        <v>0</v>
      </c>
      <c r="BL403" s="3174">
        <f t="shared" si="285"/>
        <v>0</v>
      </c>
      <c r="BM403" s="3174">
        <f t="shared" si="286"/>
        <v>0</v>
      </c>
      <c r="BN403" s="3174">
        <f t="shared" si="287"/>
        <v>0</v>
      </c>
      <c r="BO403" s="3174">
        <f t="shared" si="288"/>
        <v>0</v>
      </c>
      <c r="BP403" s="3174">
        <f t="shared" si="289"/>
        <v>0</v>
      </c>
      <c r="BQ403" s="3174">
        <f t="shared" si="290"/>
        <v>0</v>
      </c>
      <c r="BR403" s="3174">
        <f t="shared" si="291"/>
        <v>0</v>
      </c>
      <c r="BS403" s="3174">
        <f t="shared" si="292"/>
        <v>0</v>
      </c>
      <c r="BT403" s="3249">
        <f t="shared" si="293"/>
        <v>0</v>
      </c>
    </row>
    <row r="404" spans="1:72">
      <c r="A404" s="489"/>
      <c r="B404" s="3179"/>
      <c r="C404" s="3180"/>
      <c r="D404" s="3181"/>
      <c r="E404" s="3174">
        <f t="shared" si="265"/>
        <v>0</v>
      </c>
      <c r="F404" s="3175"/>
      <c r="G404" s="3176">
        <f t="shared" si="266"/>
        <v>0</v>
      </c>
      <c r="H404" s="3177">
        <f t="shared" si="267"/>
        <v>0</v>
      </c>
      <c r="I404" s="3180"/>
      <c r="J404" s="3200"/>
      <c r="K404" s="3180"/>
      <c r="L404" s="3200"/>
      <c r="M404" s="3200"/>
      <c r="N404" s="3200"/>
      <c r="O404" s="3200"/>
      <c r="P404" s="3200"/>
      <c r="Q404" s="3200"/>
      <c r="R404" s="3200"/>
      <c r="S404" s="3200"/>
      <c r="T404" s="3200"/>
      <c r="U404" s="3200"/>
      <c r="V404" s="3200"/>
      <c r="W404" s="3200"/>
      <c r="X404" s="3200"/>
      <c r="Y404" s="3200"/>
      <c r="Z404" s="3200"/>
      <c r="AA404" s="3200"/>
      <c r="AB404" s="3200"/>
      <c r="AC404" s="3174">
        <f t="shared" si="268"/>
        <v>0</v>
      </c>
      <c r="AD404" s="3212"/>
      <c r="AE404" s="3212"/>
      <c r="AF404" s="3180"/>
      <c r="AG404" s="3212"/>
      <c r="AH404" s="3212"/>
      <c r="AI404" s="3212"/>
      <c r="AJ404" s="3212"/>
      <c r="AK404" s="3212"/>
      <c r="AL404" s="3212"/>
      <c r="AM404" s="3212"/>
      <c r="AN404" s="3212"/>
      <c r="AO404" s="3212"/>
      <c r="AP404" s="3212"/>
      <c r="AQ404" s="3212"/>
      <c r="AR404" s="3212"/>
      <c r="AS404" s="3212"/>
      <c r="AT404" s="3175"/>
      <c r="AU404" s="3232"/>
      <c r="AV404" s="466">
        <f t="shared" si="269"/>
        <v>0</v>
      </c>
      <c r="AW404" s="466">
        <f t="shared" si="270"/>
        <v>0</v>
      </c>
      <c r="AX404" s="466">
        <f t="shared" si="271"/>
        <v>0</v>
      </c>
      <c r="AY404" s="385">
        <f t="shared" si="272"/>
        <v>0</v>
      </c>
      <c r="AZ404" s="3174">
        <f t="shared" si="273"/>
        <v>0</v>
      </c>
      <c r="BA404" s="3174">
        <f t="shared" si="274"/>
        <v>0</v>
      </c>
      <c r="BB404" s="3174">
        <f t="shared" si="275"/>
        <v>0</v>
      </c>
      <c r="BC404" s="3174">
        <f t="shared" si="276"/>
        <v>0</v>
      </c>
      <c r="BD404" s="3174">
        <f t="shared" si="277"/>
        <v>0</v>
      </c>
      <c r="BE404" s="3174">
        <f t="shared" si="278"/>
        <v>0</v>
      </c>
      <c r="BF404" s="3174">
        <f t="shared" si="279"/>
        <v>0</v>
      </c>
      <c r="BG404" s="3174">
        <f t="shared" si="280"/>
        <v>0</v>
      </c>
      <c r="BH404" s="3174">
        <f t="shared" si="281"/>
        <v>0</v>
      </c>
      <c r="BI404" s="3174">
        <f t="shared" si="282"/>
        <v>0</v>
      </c>
      <c r="BJ404" s="3174">
        <f t="shared" si="283"/>
        <v>0</v>
      </c>
      <c r="BK404" s="3174">
        <f t="shared" si="284"/>
        <v>0</v>
      </c>
      <c r="BL404" s="3174">
        <f t="shared" si="285"/>
        <v>0</v>
      </c>
      <c r="BM404" s="3174">
        <f t="shared" si="286"/>
        <v>0</v>
      </c>
      <c r="BN404" s="3174">
        <f t="shared" si="287"/>
        <v>0</v>
      </c>
      <c r="BO404" s="3174">
        <f t="shared" si="288"/>
        <v>0</v>
      </c>
      <c r="BP404" s="3174">
        <f t="shared" si="289"/>
        <v>0</v>
      </c>
      <c r="BQ404" s="3174">
        <f t="shared" si="290"/>
        <v>0</v>
      </c>
      <c r="BR404" s="3174">
        <f t="shared" si="291"/>
        <v>0</v>
      </c>
      <c r="BS404" s="3174">
        <f t="shared" si="292"/>
        <v>0</v>
      </c>
      <c r="BT404" s="3249">
        <f t="shared" si="293"/>
        <v>0</v>
      </c>
    </row>
    <row r="405" spans="1:72">
      <c r="A405" s="489"/>
      <c r="B405" s="3179"/>
      <c r="C405" s="3180"/>
      <c r="D405" s="3181"/>
      <c r="E405" s="3174">
        <f t="shared" si="265"/>
        <v>0</v>
      </c>
      <c r="F405" s="3175"/>
      <c r="G405" s="3176">
        <f t="shared" si="266"/>
        <v>0</v>
      </c>
      <c r="H405" s="3177">
        <f t="shared" si="267"/>
        <v>0</v>
      </c>
      <c r="I405" s="3180"/>
      <c r="J405" s="3200"/>
      <c r="K405" s="3180"/>
      <c r="L405" s="3200"/>
      <c r="M405" s="3200"/>
      <c r="N405" s="3200"/>
      <c r="O405" s="3200"/>
      <c r="P405" s="3200"/>
      <c r="Q405" s="3200"/>
      <c r="R405" s="3200"/>
      <c r="S405" s="3200"/>
      <c r="T405" s="3200"/>
      <c r="U405" s="3200"/>
      <c r="V405" s="3200"/>
      <c r="W405" s="3200"/>
      <c r="X405" s="3200"/>
      <c r="Y405" s="3200"/>
      <c r="Z405" s="3200"/>
      <c r="AA405" s="3200"/>
      <c r="AB405" s="3200"/>
      <c r="AC405" s="3174">
        <f t="shared" si="268"/>
        <v>0</v>
      </c>
      <c r="AD405" s="3212"/>
      <c r="AE405" s="3212"/>
      <c r="AF405" s="3180"/>
      <c r="AG405" s="3212"/>
      <c r="AH405" s="3212"/>
      <c r="AI405" s="3212"/>
      <c r="AJ405" s="3212"/>
      <c r="AK405" s="3212"/>
      <c r="AL405" s="3212"/>
      <c r="AM405" s="3212"/>
      <c r="AN405" s="3212"/>
      <c r="AO405" s="3212"/>
      <c r="AP405" s="3212"/>
      <c r="AQ405" s="3212"/>
      <c r="AR405" s="3212"/>
      <c r="AS405" s="3212"/>
      <c r="AT405" s="3175"/>
      <c r="AU405" s="3232"/>
      <c r="AV405" s="466">
        <f t="shared" si="269"/>
        <v>0</v>
      </c>
      <c r="AW405" s="466">
        <f t="shared" si="270"/>
        <v>0</v>
      </c>
      <c r="AX405" s="466">
        <f t="shared" si="271"/>
        <v>0</v>
      </c>
      <c r="AY405" s="385">
        <f t="shared" si="272"/>
        <v>0</v>
      </c>
      <c r="AZ405" s="3174">
        <f t="shared" si="273"/>
        <v>0</v>
      </c>
      <c r="BA405" s="3174">
        <f t="shared" si="274"/>
        <v>0</v>
      </c>
      <c r="BB405" s="3174">
        <f t="shared" si="275"/>
        <v>0</v>
      </c>
      <c r="BC405" s="3174">
        <f t="shared" si="276"/>
        <v>0</v>
      </c>
      <c r="BD405" s="3174">
        <f t="shared" si="277"/>
        <v>0</v>
      </c>
      <c r="BE405" s="3174">
        <f t="shared" si="278"/>
        <v>0</v>
      </c>
      <c r="BF405" s="3174">
        <f t="shared" si="279"/>
        <v>0</v>
      </c>
      <c r="BG405" s="3174">
        <f t="shared" si="280"/>
        <v>0</v>
      </c>
      <c r="BH405" s="3174">
        <f t="shared" si="281"/>
        <v>0</v>
      </c>
      <c r="BI405" s="3174">
        <f t="shared" si="282"/>
        <v>0</v>
      </c>
      <c r="BJ405" s="3174">
        <f t="shared" si="283"/>
        <v>0</v>
      </c>
      <c r="BK405" s="3174">
        <f t="shared" si="284"/>
        <v>0</v>
      </c>
      <c r="BL405" s="3174">
        <f t="shared" si="285"/>
        <v>0</v>
      </c>
      <c r="BM405" s="3174">
        <f t="shared" si="286"/>
        <v>0</v>
      </c>
      <c r="BN405" s="3174">
        <f t="shared" si="287"/>
        <v>0</v>
      </c>
      <c r="BO405" s="3174">
        <f t="shared" si="288"/>
        <v>0</v>
      </c>
      <c r="BP405" s="3174">
        <f t="shared" si="289"/>
        <v>0</v>
      </c>
      <c r="BQ405" s="3174">
        <f t="shared" si="290"/>
        <v>0</v>
      </c>
      <c r="BR405" s="3174">
        <f t="shared" si="291"/>
        <v>0</v>
      </c>
      <c r="BS405" s="3174">
        <f t="shared" si="292"/>
        <v>0</v>
      </c>
      <c r="BT405" s="3249">
        <f t="shared" si="293"/>
        <v>0</v>
      </c>
    </row>
    <row r="406" spans="1:72">
      <c r="A406" s="489"/>
      <c r="B406" s="3179"/>
      <c r="C406" s="3180"/>
      <c r="D406" s="3181"/>
      <c r="E406" s="3174">
        <f t="shared" si="265"/>
        <v>0</v>
      </c>
      <c r="F406" s="3175"/>
      <c r="G406" s="3176">
        <f t="shared" si="266"/>
        <v>0</v>
      </c>
      <c r="H406" s="3177">
        <f t="shared" si="267"/>
        <v>0</v>
      </c>
      <c r="I406" s="3180"/>
      <c r="J406" s="3200"/>
      <c r="K406" s="3180"/>
      <c r="L406" s="3200"/>
      <c r="M406" s="3200"/>
      <c r="N406" s="3200"/>
      <c r="O406" s="3200"/>
      <c r="P406" s="3200"/>
      <c r="Q406" s="3200"/>
      <c r="R406" s="3200"/>
      <c r="S406" s="3200"/>
      <c r="T406" s="3200"/>
      <c r="U406" s="3200"/>
      <c r="V406" s="3200"/>
      <c r="W406" s="3200"/>
      <c r="X406" s="3200"/>
      <c r="Y406" s="3200"/>
      <c r="Z406" s="3200"/>
      <c r="AA406" s="3200"/>
      <c r="AB406" s="3200"/>
      <c r="AC406" s="3174">
        <f t="shared" si="268"/>
        <v>0</v>
      </c>
      <c r="AD406" s="3212"/>
      <c r="AE406" s="3212"/>
      <c r="AF406" s="3180"/>
      <c r="AG406" s="3212"/>
      <c r="AH406" s="3212"/>
      <c r="AI406" s="3212"/>
      <c r="AJ406" s="3212"/>
      <c r="AK406" s="3212"/>
      <c r="AL406" s="3212"/>
      <c r="AM406" s="3212"/>
      <c r="AN406" s="3212"/>
      <c r="AO406" s="3212"/>
      <c r="AP406" s="3212"/>
      <c r="AQ406" s="3212"/>
      <c r="AR406" s="3212"/>
      <c r="AS406" s="3212"/>
      <c r="AT406" s="3175"/>
      <c r="AU406" s="3232"/>
      <c r="AV406" s="466">
        <f t="shared" si="269"/>
        <v>0</v>
      </c>
      <c r="AW406" s="466">
        <f t="shared" si="270"/>
        <v>0</v>
      </c>
      <c r="AX406" s="466">
        <f t="shared" si="271"/>
        <v>0</v>
      </c>
      <c r="AY406" s="385">
        <f t="shared" si="272"/>
        <v>0</v>
      </c>
      <c r="AZ406" s="3174">
        <f t="shared" si="273"/>
        <v>0</v>
      </c>
      <c r="BA406" s="3174">
        <f t="shared" si="274"/>
        <v>0</v>
      </c>
      <c r="BB406" s="3174">
        <f t="shared" si="275"/>
        <v>0</v>
      </c>
      <c r="BC406" s="3174">
        <f t="shared" si="276"/>
        <v>0</v>
      </c>
      <c r="BD406" s="3174">
        <f t="shared" si="277"/>
        <v>0</v>
      </c>
      <c r="BE406" s="3174">
        <f t="shared" si="278"/>
        <v>0</v>
      </c>
      <c r="BF406" s="3174">
        <f t="shared" si="279"/>
        <v>0</v>
      </c>
      <c r="BG406" s="3174">
        <f t="shared" si="280"/>
        <v>0</v>
      </c>
      <c r="BH406" s="3174">
        <f t="shared" si="281"/>
        <v>0</v>
      </c>
      <c r="BI406" s="3174">
        <f t="shared" si="282"/>
        <v>0</v>
      </c>
      <c r="BJ406" s="3174">
        <f t="shared" si="283"/>
        <v>0</v>
      </c>
      <c r="BK406" s="3174">
        <f t="shared" si="284"/>
        <v>0</v>
      </c>
      <c r="BL406" s="3174">
        <f t="shared" si="285"/>
        <v>0</v>
      </c>
      <c r="BM406" s="3174">
        <f t="shared" si="286"/>
        <v>0</v>
      </c>
      <c r="BN406" s="3174">
        <f t="shared" si="287"/>
        <v>0</v>
      </c>
      <c r="BO406" s="3174">
        <f t="shared" si="288"/>
        <v>0</v>
      </c>
      <c r="BP406" s="3174">
        <f t="shared" si="289"/>
        <v>0</v>
      </c>
      <c r="BQ406" s="3174">
        <f t="shared" si="290"/>
        <v>0</v>
      </c>
      <c r="BR406" s="3174">
        <f t="shared" si="291"/>
        <v>0</v>
      </c>
      <c r="BS406" s="3174">
        <f t="shared" si="292"/>
        <v>0</v>
      </c>
      <c r="BT406" s="3249">
        <f t="shared" si="293"/>
        <v>0</v>
      </c>
    </row>
    <row r="407" spans="1:72">
      <c r="A407" s="489"/>
      <c r="B407" s="3179"/>
      <c r="C407" s="3180"/>
      <c r="D407" s="3181"/>
      <c r="E407" s="3174">
        <f t="shared" si="265"/>
        <v>0</v>
      </c>
      <c r="F407" s="3175"/>
      <c r="G407" s="3176">
        <f t="shared" si="266"/>
        <v>0</v>
      </c>
      <c r="H407" s="3177">
        <f t="shared" si="267"/>
        <v>0</v>
      </c>
      <c r="I407" s="3180"/>
      <c r="J407" s="3200"/>
      <c r="K407" s="3180"/>
      <c r="L407" s="3200"/>
      <c r="M407" s="3200"/>
      <c r="N407" s="3200"/>
      <c r="O407" s="3200"/>
      <c r="P407" s="3200"/>
      <c r="Q407" s="3200"/>
      <c r="R407" s="3200"/>
      <c r="S407" s="3200"/>
      <c r="T407" s="3200"/>
      <c r="U407" s="3200"/>
      <c r="V407" s="3200"/>
      <c r="W407" s="3200"/>
      <c r="X407" s="3200"/>
      <c r="Y407" s="3200"/>
      <c r="Z407" s="3200"/>
      <c r="AA407" s="3200"/>
      <c r="AB407" s="3200"/>
      <c r="AC407" s="3174">
        <f t="shared" si="268"/>
        <v>0</v>
      </c>
      <c r="AD407" s="3212"/>
      <c r="AE407" s="3212"/>
      <c r="AF407" s="3180"/>
      <c r="AG407" s="3212"/>
      <c r="AH407" s="3212"/>
      <c r="AI407" s="3212"/>
      <c r="AJ407" s="3212"/>
      <c r="AK407" s="3212"/>
      <c r="AL407" s="3212"/>
      <c r="AM407" s="3212"/>
      <c r="AN407" s="3212"/>
      <c r="AO407" s="3212"/>
      <c r="AP407" s="3212"/>
      <c r="AQ407" s="3212"/>
      <c r="AR407" s="3212"/>
      <c r="AS407" s="3212"/>
      <c r="AT407" s="3175"/>
      <c r="AU407" s="3232"/>
      <c r="AV407" s="466">
        <f t="shared" si="269"/>
        <v>0</v>
      </c>
      <c r="AW407" s="466">
        <f t="shared" si="270"/>
        <v>0</v>
      </c>
      <c r="AX407" s="466">
        <f t="shared" si="271"/>
        <v>0</v>
      </c>
      <c r="AY407" s="385">
        <f t="shared" si="272"/>
        <v>0</v>
      </c>
      <c r="AZ407" s="3174">
        <f t="shared" si="273"/>
        <v>0</v>
      </c>
      <c r="BA407" s="3174">
        <f t="shared" si="274"/>
        <v>0</v>
      </c>
      <c r="BB407" s="3174">
        <f t="shared" si="275"/>
        <v>0</v>
      </c>
      <c r="BC407" s="3174">
        <f t="shared" si="276"/>
        <v>0</v>
      </c>
      <c r="BD407" s="3174">
        <f t="shared" si="277"/>
        <v>0</v>
      </c>
      <c r="BE407" s="3174">
        <f t="shared" si="278"/>
        <v>0</v>
      </c>
      <c r="BF407" s="3174">
        <f t="shared" si="279"/>
        <v>0</v>
      </c>
      <c r="BG407" s="3174">
        <f t="shared" si="280"/>
        <v>0</v>
      </c>
      <c r="BH407" s="3174">
        <f t="shared" si="281"/>
        <v>0</v>
      </c>
      <c r="BI407" s="3174">
        <f t="shared" si="282"/>
        <v>0</v>
      </c>
      <c r="BJ407" s="3174">
        <f t="shared" si="283"/>
        <v>0</v>
      </c>
      <c r="BK407" s="3174">
        <f t="shared" si="284"/>
        <v>0</v>
      </c>
      <c r="BL407" s="3174">
        <f t="shared" si="285"/>
        <v>0</v>
      </c>
      <c r="BM407" s="3174">
        <f t="shared" si="286"/>
        <v>0</v>
      </c>
      <c r="BN407" s="3174">
        <f t="shared" si="287"/>
        <v>0</v>
      </c>
      <c r="BO407" s="3174">
        <f t="shared" si="288"/>
        <v>0</v>
      </c>
      <c r="BP407" s="3174">
        <f t="shared" si="289"/>
        <v>0</v>
      </c>
      <c r="BQ407" s="3174">
        <f t="shared" si="290"/>
        <v>0</v>
      </c>
      <c r="BR407" s="3174">
        <f t="shared" si="291"/>
        <v>0</v>
      </c>
      <c r="BS407" s="3174">
        <f t="shared" si="292"/>
        <v>0</v>
      </c>
      <c r="BT407" s="3249">
        <f t="shared" si="293"/>
        <v>0</v>
      </c>
    </row>
    <row r="408" spans="1:72">
      <c r="A408" s="489"/>
      <c r="B408" s="3179"/>
      <c r="C408" s="3180"/>
      <c r="D408" s="3181"/>
      <c r="E408" s="3174">
        <f t="shared" si="265"/>
        <v>0</v>
      </c>
      <c r="F408" s="3175"/>
      <c r="G408" s="3176">
        <f t="shared" si="266"/>
        <v>0</v>
      </c>
      <c r="H408" s="3177">
        <f t="shared" si="267"/>
        <v>0</v>
      </c>
      <c r="I408" s="3180"/>
      <c r="J408" s="3200"/>
      <c r="K408" s="3180"/>
      <c r="L408" s="3200"/>
      <c r="M408" s="3200"/>
      <c r="N408" s="3200"/>
      <c r="O408" s="3200"/>
      <c r="P408" s="3200"/>
      <c r="Q408" s="3200"/>
      <c r="R408" s="3200"/>
      <c r="S408" s="3200"/>
      <c r="T408" s="3200"/>
      <c r="U408" s="3200"/>
      <c r="V408" s="3200"/>
      <c r="W408" s="3200"/>
      <c r="X408" s="3200"/>
      <c r="Y408" s="3200"/>
      <c r="Z408" s="3200"/>
      <c r="AA408" s="3200"/>
      <c r="AB408" s="3200"/>
      <c r="AC408" s="3174">
        <f t="shared" si="268"/>
        <v>0</v>
      </c>
      <c r="AD408" s="3212"/>
      <c r="AE408" s="3212"/>
      <c r="AF408" s="3180"/>
      <c r="AG408" s="3212"/>
      <c r="AH408" s="3212"/>
      <c r="AI408" s="3212"/>
      <c r="AJ408" s="3212"/>
      <c r="AK408" s="3212"/>
      <c r="AL408" s="3212"/>
      <c r="AM408" s="3212"/>
      <c r="AN408" s="3212"/>
      <c r="AO408" s="3212"/>
      <c r="AP408" s="3212"/>
      <c r="AQ408" s="3212"/>
      <c r="AR408" s="3212"/>
      <c r="AS408" s="3212"/>
      <c r="AT408" s="3175"/>
      <c r="AU408" s="3232"/>
      <c r="AV408" s="466">
        <f t="shared" si="269"/>
        <v>0</v>
      </c>
      <c r="AW408" s="466">
        <f t="shared" si="270"/>
        <v>0</v>
      </c>
      <c r="AX408" s="466">
        <f t="shared" si="271"/>
        <v>0</v>
      </c>
      <c r="AY408" s="385">
        <f t="shared" si="272"/>
        <v>0</v>
      </c>
      <c r="AZ408" s="3174">
        <f t="shared" si="273"/>
        <v>0</v>
      </c>
      <c r="BA408" s="3174">
        <f t="shared" si="274"/>
        <v>0</v>
      </c>
      <c r="BB408" s="3174">
        <f t="shared" si="275"/>
        <v>0</v>
      </c>
      <c r="BC408" s="3174">
        <f t="shared" si="276"/>
        <v>0</v>
      </c>
      <c r="BD408" s="3174">
        <f t="shared" si="277"/>
        <v>0</v>
      </c>
      <c r="BE408" s="3174">
        <f t="shared" si="278"/>
        <v>0</v>
      </c>
      <c r="BF408" s="3174">
        <f t="shared" si="279"/>
        <v>0</v>
      </c>
      <c r="BG408" s="3174">
        <f t="shared" si="280"/>
        <v>0</v>
      </c>
      <c r="BH408" s="3174">
        <f t="shared" si="281"/>
        <v>0</v>
      </c>
      <c r="BI408" s="3174">
        <f t="shared" si="282"/>
        <v>0</v>
      </c>
      <c r="BJ408" s="3174">
        <f t="shared" si="283"/>
        <v>0</v>
      </c>
      <c r="BK408" s="3174">
        <f t="shared" si="284"/>
        <v>0</v>
      </c>
      <c r="BL408" s="3174">
        <f t="shared" si="285"/>
        <v>0</v>
      </c>
      <c r="BM408" s="3174">
        <f t="shared" si="286"/>
        <v>0</v>
      </c>
      <c r="BN408" s="3174">
        <f t="shared" si="287"/>
        <v>0</v>
      </c>
      <c r="BO408" s="3174">
        <f t="shared" si="288"/>
        <v>0</v>
      </c>
      <c r="BP408" s="3174">
        <f t="shared" si="289"/>
        <v>0</v>
      </c>
      <c r="BQ408" s="3174">
        <f t="shared" si="290"/>
        <v>0</v>
      </c>
      <c r="BR408" s="3174">
        <f t="shared" si="291"/>
        <v>0</v>
      </c>
      <c r="BS408" s="3174">
        <f t="shared" si="292"/>
        <v>0</v>
      </c>
      <c r="BT408" s="3249">
        <f t="shared" si="293"/>
        <v>0</v>
      </c>
    </row>
    <row r="409" spans="1:72">
      <c r="A409" s="489"/>
      <c r="B409" s="3179"/>
      <c r="C409" s="3180"/>
      <c r="D409" s="3181"/>
      <c r="E409" s="3174">
        <f t="shared" si="265"/>
        <v>0</v>
      </c>
      <c r="F409" s="3175"/>
      <c r="G409" s="3176">
        <f t="shared" si="266"/>
        <v>0</v>
      </c>
      <c r="H409" s="3177">
        <f t="shared" si="267"/>
        <v>0</v>
      </c>
      <c r="I409" s="3180"/>
      <c r="J409" s="3200"/>
      <c r="K409" s="3180"/>
      <c r="L409" s="3200"/>
      <c r="M409" s="3200"/>
      <c r="N409" s="3200"/>
      <c r="O409" s="3200"/>
      <c r="P409" s="3200"/>
      <c r="Q409" s="3200"/>
      <c r="R409" s="3200"/>
      <c r="S409" s="3200"/>
      <c r="T409" s="3200"/>
      <c r="U409" s="3200"/>
      <c r="V409" s="3200"/>
      <c r="W409" s="3200"/>
      <c r="X409" s="3200"/>
      <c r="Y409" s="3200"/>
      <c r="Z409" s="3200"/>
      <c r="AA409" s="3200"/>
      <c r="AB409" s="3200"/>
      <c r="AC409" s="3174">
        <f t="shared" si="268"/>
        <v>0</v>
      </c>
      <c r="AD409" s="3212"/>
      <c r="AE409" s="3212"/>
      <c r="AF409" s="3180"/>
      <c r="AG409" s="3212"/>
      <c r="AH409" s="3212"/>
      <c r="AI409" s="3212"/>
      <c r="AJ409" s="3212"/>
      <c r="AK409" s="3212"/>
      <c r="AL409" s="3212"/>
      <c r="AM409" s="3212"/>
      <c r="AN409" s="3212"/>
      <c r="AO409" s="3212"/>
      <c r="AP409" s="3212"/>
      <c r="AQ409" s="3212"/>
      <c r="AR409" s="3212"/>
      <c r="AS409" s="3212"/>
      <c r="AT409" s="3175"/>
      <c r="AU409" s="3232"/>
      <c r="AV409" s="466">
        <f t="shared" si="269"/>
        <v>0</v>
      </c>
      <c r="AW409" s="466">
        <f t="shared" si="270"/>
        <v>0</v>
      </c>
      <c r="AX409" s="466">
        <f t="shared" si="271"/>
        <v>0</v>
      </c>
      <c r="AY409" s="385">
        <f t="shared" si="272"/>
        <v>0</v>
      </c>
      <c r="AZ409" s="3174">
        <f t="shared" si="273"/>
        <v>0</v>
      </c>
      <c r="BA409" s="3174">
        <f t="shared" si="274"/>
        <v>0</v>
      </c>
      <c r="BB409" s="3174">
        <f t="shared" si="275"/>
        <v>0</v>
      </c>
      <c r="BC409" s="3174">
        <f t="shared" si="276"/>
        <v>0</v>
      </c>
      <c r="BD409" s="3174">
        <f t="shared" si="277"/>
        <v>0</v>
      </c>
      <c r="BE409" s="3174">
        <f t="shared" si="278"/>
        <v>0</v>
      </c>
      <c r="BF409" s="3174">
        <f t="shared" si="279"/>
        <v>0</v>
      </c>
      <c r="BG409" s="3174">
        <f t="shared" si="280"/>
        <v>0</v>
      </c>
      <c r="BH409" s="3174">
        <f t="shared" si="281"/>
        <v>0</v>
      </c>
      <c r="BI409" s="3174">
        <f t="shared" si="282"/>
        <v>0</v>
      </c>
      <c r="BJ409" s="3174">
        <f t="shared" si="283"/>
        <v>0</v>
      </c>
      <c r="BK409" s="3174">
        <f t="shared" si="284"/>
        <v>0</v>
      </c>
      <c r="BL409" s="3174">
        <f t="shared" si="285"/>
        <v>0</v>
      </c>
      <c r="BM409" s="3174">
        <f t="shared" si="286"/>
        <v>0</v>
      </c>
      <c r="BN409" s="3174">
        <f t="shared" si="287"/>
        <v>0</v>
      </c>
      <c r="BO409" s="3174">
        <f t="shared" si="288"/>
        <v>0</v>
      </c>
      <c r="BP409" s="3174">
        <f t="shared" si="289"/>
        <v>0</v>
      </c>
      <c r="BQ409" s="3174">
        <f t="shared" si="290"/>
        <v>0</v>
      </c>
      <c r="BR409" s="3174">
        <f t="shared" si="291"/>
        <v>0</v>
      </c>
      <c r="BS409" s="3174">
        <f t="shared" si="292"/>
        <v>0</v>
      </c>
      <c r="BT409" s="3249">
        <f t="shared" si="293"/>
        <v>0</v>
      </c>
    </row>
    <row r="410" spans="1:72">
      <c r="A410" s="489"/>
      <c r="B410" s="3179"/>
      <c r="C410" s="3180"/>
      <c r="D410" s="3181"/>
      <c r="E410" s="3174">
        <f t="shared" si="265"/>
        <v>0</v>
      </c>
      <c r="F410" s="3175"/>
      <c r="G410" s="3176">
        <f t="shared" si="266"/>
        <v>0</v>
      </c>
      <c r="H410" s="3177">
        <f t="shared" si="267"/>
        <v>0</v>
      </c>
      <c r="I410" s="3180"/>
      <c r="J410" s="3200"/>
      <c r="K410" s="3180"/>
      <c r="L410" s="3200"/>
      <c r="M410" s="3200"/>
      <c r="N410" s="3200"/>
      <c r="O410" s="3200"/>
      <c r="P410" s="3200"/>
      <c r="Q410" s="3200"/>
      <c r="R410" s="3200"/>
      <c r="S410" s="3200"/>
      <c r="T410" s="3200"/>
      <c r="U410" s="3200"/>
      <c r="V410" s="3200"/>
      <c r="W410" s="3200"/>
      <c r="X410" s="3200"/>
      <c r="Y410" s="3200"/>
      <c r="Z410" s="3200"/>
      <c r="AA410" s="3200"/>
      <c r="AB410" s="3200"/>
      <c r="AC410" s="3174">
        <f t="shared" si="268"/>
        <v>0</v>
      </c>
      <c r="AD410" s="3212"/>
      <c r="AE410" s="3212"/>
      <c r="AF410" s="3180"/>
      <c r="AG410" s="3212"/>
      <c r="AH410" s="3212"/>
      <c r="AI410" s="3212"/>
      <c r="AJ410" s="3212"/>
      <c r="AK410" s="3212"/>
      <c r="AL410" s="3212"/>
      <c r="AM410" s="3212"/>
      <c r="AN410" s="3212"/>
      <c r="AO410" s="3212"/>
      <c r="AP410" s="3212"/>
      <c r="AQ410" s="3212"/>
      <c r="AR410" s="3212"/>
      <c r="AS410" s="3212"/>
      <c r="AT410" s="3175"/>
      <c r="AU410" s="3232"/>
      <c r="AV410" s="466">
        <f t="shared" si="269"/>
        <v>0</v>
      </c>
      <c r="AW410" s="466">
        <f t="shared" si="270"/>
        <v>0</v>
      </c>
      <c r="AX410" s="466">
        <f t="shared" si="271"/>
        <v>0</v>
      </c>
      <c r="AY410" s="385">
        <f t="shared" si="272"/>
        <v>0</v>
      </c>
      <c r="AZ410" s="3174">
        <f t="shared" si="273"/>
        <v>0</v>
      </c>
      <c r="BA410" s="3174">
        <f t="shared" si="274"/>
        <v>0</v>
      </c>
      <c r="BB410" s="3174">
        <f t="shared" si="275"/>
        <v>0</v>
      </c>
      <c r="BC410" s="3174">
        <f t="shared" si="276"/>
        <v>0</v>
      </c>
      <c r="BD410" s="3174">
        <f t="shared" si="277"/>
        <v>0</v>
      </c>
      <c r="BE410" s="3174">
        <f t="shared" si="278"/>
        <v>0</v>
      </c>
      <c r="BF410" s="3174">
        <f t="shared" si="279"/>
        <v>0</v>
      </c>
      <c r="BG410" s="3174">
        <f t="shared" si="280"/>
        <v>0</v>
      </c>
      <c r="BH410" s="3174">
        <f t="shared" si="281"/>
        <v>0</v>
      </c>
      <c r="BI410" s="3174">
        <f t="shared" si="282"/>
        <v>0</v>
      </c>
      <c r="BJ410" s="3174">
        <f t="shared" si="283"/>
        <v>0</v>
      </c>
      <c r="BK410" s="3174">
        <f t="shared" si="284"/>
        <v>0</v>
      </c>
      <c r="BL410" s="3174">
        <f t="shared" si="285"/>
        <v>0</v>
      </c>
      <c r="BM410" s="3174">
        <f t="shared" si="286"/>
        <v>0</v>
      </c>
      <c r="BN410" s="3174">
        <f t="shared" si="287"/>
        <v>0</v>
      </c>
      <c r="BO410" s="3174">
        <f t="shared" si="288"/>
        <v>0</v>
      </c>
      <c r="BP410" s="3174">
        <f t="shared" si="289"/>
        <v>0</v>
      </c>
      <c r="BQ410" s="3174">
        <f t="shared" si="290"/>
        <v>0</v>
      </c>
      <c r="BR410" s="3174">
        <f t="shared" si="291"/>
        <v>0</v>
      </c>
      <c r="BS410" s="3174">
        <f t="shared" si="292"/>
        <v>0</v>
      </c>
      <c r="BT410" s="3249">
        <f t="shared" si="293"/>
        <v>0</v>
      </c>
    </row>
    <row r="411" spans="1:72">
      <c r="A411" s="489"/>
      <c r="B411" s="3179"/>
      <c r="C411" s="3180"/>
      <c r="D411" s="3181"/>
      <c r="E411" s="3174">
        <f t="shared" si="265"/>
        <v>0</v>
      </c>
      <c r="F411" s="3175"/>
      <c r="G411" s="3176">
        <f t="shared" si="266"/>
        <v>0</v>
      </c>
      <c r="H411" s="3177">
        <f t="shared" si="267"/>
        <v>0</v>
      </c>
      <c r="I411" s="3180"/>
      <c r="J411" s="3200"/>
      <c r="K411" s="3180"/>
      <c r="L411" s="3200"/>
      <c r="M411" s="3200"/>
      <c r="N411" s="3200"/>
      <c r="O411" s="3200"/>
      <c r="P411" s="3200"/>
      <c r="Q411" s="3200"/>
      <c r="R411" s="3200"/>
      <c r="S411" s="3200"/>
      <c r="T411" s="3200"/>
      <c r="U411" s="3200"/>
      <c r="V411" s="3200"/>
      <c r="W411" s="3200"/>
      <c r="X411" s="3200"/>
      <c r="Y411" s="3200"/>
      <c r="Z411" s="3200"/>
      <c r="AA411" s="3200"/>
      <c r="AB411" s="3200"/>
      <c r="AC411" s="3174">
        <f t="shared" si="268"/>
        <v>0</v>
      </c>
      <c r="AD411" s="3212"/>
      <c r="AE411" s="3212"/>
      <c r="AF411" s="3180"/>
      <c r="AG411" s="3212"/>
      <c r="AH411" s="3212"/>
      <c r="AI411" s="3212"/>
      <c r="AJ411" s="3212"/>
      <c r="AK411" s="3212"/>
      <c r="AL411" s="3212"/>
      <c r="AM411" s="3212"/>
      <c r="AN411" s="3212"/>
      <c r="AO411" s="3212"/>
      <c r="AP411" s="3212"/>
      <c r="AQ411" s="3212"/>
      <c r="AR411" s="3212"/>
      <c r="AS411" s="3212"/>
      <c r="AT411" s="3175"/>
      <c r="AU411" s="3232"/>
      <c r="AV411" s="466">
        <f t="shared" si="269"/>
        <v>0</v>
      </c>
      <c r="AW411" s="466">
        <f t="shared" si="270"/>
        <v>0</v>
      </c>
      <c r="AX411" s="466">
        <f t="shared" si="271"/>
        <v>0</v>
      </c>
      <c r="AY411" s="385">
        <f t="shared" si="272"/>
        <v>0</v>
      </c>
      <c r="AZ411" s="3174">
        <f t="shared" si="273"/>
        <v>0</v>
      </c>
      <c r="BA411" s="3174">
        <f t="shared" si="274"/>
        <v>0</v>
      </c>
      <c r="BB411" s="3174">
        <f t="shared" si="275"/>
        <v>0</v>
      </c>
      <c r="BC411" s="3174">
        <f t="shared" si="276"/>
        <v>0</v>
      </c>
      <c r="BD411" s="3174">
        <f t="shared" si="277"/>
        <v>0</v>
      </c>
      <c r="BE411" s="3174">
        <f t="shared" si="278"/>
        <v>0</v>
      </c>
      <c r="BF411" s="3174">
        <f t="shared" si="279"/>
        <v>0</v>
      </c>
      <c r="BG411" s="3174">
        <f t="shared" si="280"/>
        <v>0</v>
      </c>
      <c r="BH411" s="3174">
        <f t="shared" si="281"/>
        <v>0</v>
      </c>
      <c r="BI411" s="3174">
        <f t="shared" si="282"/>
        <v>0</v>
      </c>
      <c r="BJ411" s="3174">
        <f t="shared" si="283"/>
        <v>0</v>
      </c>
      <c r="BK411" s="3174">
        <f t="shared" si="284"/>
        <v>0</v>
      </c>
      <c r="BL411" s="3174">
        <f t="shared" si="285"/>
        <v>0</v>
      </c>
      <c r="BM411" s="3174">
        <f t="shared" si="286"/>
        <v>0</v>
      </c>
      <c r="BN411" s="3174">
        <f t="shared" si="287"/>
        <v>0</v>
      </c>
      <c r="BO411" s="3174">
        <f t="shared" si="288"/>
        <v>0</v>
      </c>
      <c r="BP411" s="3174">
        <f t="shared" si="289"/>
        <v>0</v>
      </c>
      <c r="BQ411" s="3174">
        <f t="shared" si="290"/>
        <v>0</v>
      </c>
      <c r="BR411" s="3174">
        <f t="shared" si="291"/>
        <v>0</v>
      </c>
      <c r="BS411" s="3174">
        <f t="shared" si="292"/>
        <v>0</v>
      </c>
      <c r="BT411" s="3249">
        <f t="shared" si="293"/>
        <v>0</v>
      </c>
    </row>
    <row r="412" spans="1:72">
      <c r="A412" s="489"/>
      <c r="B412" s="3179"/>
      <c r="C412" s="3180"/>
      <c r="D412" s="3181"/>
      <c r="E412" s="3174">
        <f t="shared" si="265"/>
        <v>0</v>
      </c>
      <c r="F412" s="3175"/>
      <c r="G412" s="3176">
        <f t="shared" si="266"/>
        <v>0</v>
      </c>
      <c r="H412" s="3177">
        <f t="shared" si="267"/>
        <v>0</v>
      </c>
      <c r="I412" s="3180"/>
      <c r="J412" s="3200"/>
      <c r="K412" s="3180"/>
      <c r="L412" s="3200"/>
      <c r="M412" s="3200"/>
      <c r="N412" s="3200"/>
      <c r="O412" s="3200"/>
      <c r="P412" s="3200"/>
      <c r="Q412" s="3200"/>
      <c r="R412" s="3200"/>
      <c r="S412" s="3200"/>
      <c r="T412" s="3200"/>
      <c r="U412" s="3200"/>
      <c r="V412" s="3200"/>
      <c r="W412" s="3200"/>
      <c r="X412" s="3200"/>
      <c r="Y412" s="3200"/>
      <c r="Z412" s="3200"/>
      <c r="AA412" s="3200"/>
      <c r="AB412" s="3200"/>
      <c r="AC412" s="3174">
        <f t="shared" si="268"/>
        <v>0</v>
      </c>
      <c r="AD412" s="3212"/>
      <c r="AE412" s="3212"/>
      <c r="AF412" s="3180"/>
      <c r="AG412" s="3212"/>
      <c r="AH412" s="3212"/>
      <c r="AI412" s="3212"/>
      <c r="AJ412" s="3212"/>
      <c r="AK412" s="3212"/>
      <c r="AL412" s="3212"/>
      <c r="AM412" s="3212"/>
      <c r="AN412" s="3212"/>
      <c r="AO412" s="3212"/>
      <c r="AP412" s="3212"/>
      <c r="AQ412" s="3212"/>
      <c r="AR412" s="3212"/>
      <c r="AS412" s="3212"/>
      <c r="AT412" s="3175"/>
      <c r="AU412" s="3232"/>
      <c r="AV412" s="466">
        <f t="shared" si="269"/>
        <v>0</v>
      </c>
      <c r="AW412" s="466">
        <f t="shared" si="270"/>
        <v>0</v>
      </c>
      <c r="AX412" s="466">
        <f t="shared" si="271"/>
        <v>0</v>
      </c>
      <c r="AY412" s="385">
        <f t="shared" si="272"/>
        <v>0</v>
      </c>
      <c r="AZ412" s="3174">
        <f t="shared" si="273"/>
        <v>0</v>
      </c>
      <c r="BA412" s="3174">
        <f t="shared" si="274"/>
        <v>0</v>
      </c>
      <c r="BB412" s="3174">
        <f t="shared" si="275"/>
        <v>0</v>
      </c>
      <c r="BC412" s="3174">
        <f t="shared" si="276"/>
        <v>0</v>
      </c>
      <c r="BD412" s="3174">
        <f t="shared" si="277"/>
        <v>0</v>
      </c>
      <c r="BE412" s="3174">
        <f t="shared" si="278"/>
        <v>0</v>
      </c>
      <c r="BF412" s="3174">
        <f t="shared" si="279"/>
        <v>0</v>
      </c>
      <c r="BG412" s="3174">
        <f t="shared" si="280"/>
        <v>0</v>
      </c>
      <c r="BH412" s="3174">
        <f t="shared" si="281"/>
        <v>0</v>
      </c>
      <c r="BI412" s="3174">
        <f t="shared" si="282"/>
        <v>0</v>
      </c>
      <c r="BJ412" s="3174">
        <f t="shared" si="283"/>
        <v>0</v>
      </c>
      <c r="BK412" s="3174">
        <f t="shared" si="284"/>
        <v>0</v>
      </c>
      <c r="BL412" s="3174">
        <f t="shared" si="285"/>
        <v>0</v>
      </c>
      <c r="BM412" s="3174">
        <f t="shared" si="286"/>
        <v>0</v>
      </c>
      <c r="BN412" s="3174">
        <f t="shared" si="287"/>
        <v>0</v>
      </c>
      <c r="BO412" s="3174">
        <f t="shared" si="288"/>
        <v>0</v>
      </c>
      <c r="BP412" s="3174">
        <f t="shared" si="289"/>
        <v>0</v>
      </c>
      <c r="BQ412" s="3174">
        <f t="shared" si="290"/>
        <v>0</v>
      </c>
      <c r="BR412" s="3174">
        <f t="shared" si="291"/>
        <v>0</v>
      </c>
      <c r="BS412" s="3174">
        <f t="shared" si="292"/>
        <v>0</v>
      </c>
      <c r="BT412" s="3249">
        <f t="shared" si="293"/>
        <v>0</v>
      </c>
    </row>
    <row r="413" spans="1:72">
      <c r="A413" s="489"/>
      <c r="B413" s="3179"/>
      <c r="C413" s="3180"/>
      <c r="D413" s="3181"/>
      <c r="E413" s="3174">
        <f t="shared" si="265"/>
        <v>0</v>
      </c>
      <c r="F413" s="3175"/>
      <c r="G413" s="3176">
        <f t="shared" si="266"/>
        <v>0</v>
      </c>
      <c r="H413" s="3177">
        <f t="shared" si="267"/>
        <v>0</v>
      </c>
      <c r="I413" s="3180"/>
      <c r="J413" s="3200"/>
      <c r="K413" s="3180"/>
      <c r="L413" s="3200"/>
      <c r="M413" s="3200"/>
      <c r="N413" s="3200"/>
      <c r="O413" s="3200"/>
      <c r="P413" s="3200"/>
      <c r="Q413" s="3200"/>
      <c r="R413" s="3200"/>
      <c r="S413" s="3200"/>
      <c r="T413" s="3200"/>
      <c r="U413" s="3200"/>
      <c r="V413" s="3200"/>
      <c r="W413" s="3200"/>
      <c r="X413" s="3200"/>
      <c r="Y413" s="3200"/>
      <c r="Z413" s="3200"/>
      <c r="AA413" s="3200"/>
      <c r="AB413" s="3200"/>
      <c r="AC413" s="3174">
        <f t="shared" si="268"/>
        <v>0</v>
      </c>
      <c r="AD413" s="3212"/>
      <c r="AE413" s="3212"/>
      <c r="AF413" s="3180"/>
      <c r="AG413" s="3212"/>
      <c r="AH413" s="3212"/>
      <c r="AI413" s="3212"/>
      <c r="AJ413" s="3212"/>
      <c r="AK413" s="3212"/>
      <c r="AL413" s="3212"/>
      <c r="AM413" s="3212"/>
      <c r="AN413" s="3212"/>
      <c r="AO413" s="3212"/>
      <c r="AP413" s="3212"/>
      <c r="AQ413" s="3212"/>
      <c r="AR413" s="3212"/>
      <c r="AS413" s="3212"/>
      <c r="AT413" s="3175"/>
      <c r="AU413" s="3232"/>
      <c r="AV413" s="466">
        <f t="shared" si="269"/>
        <v>0</v>
      </c>
      <c r="AW413" s="466">
        <f t="shared" si="270"/>
        <v>0</v>
      </c>
      <c r="AX413" s="466">
        <f t="shared" si="271"/>
        <v>0</v>
      </c>
      <c r="AY413" s="385">
        <f t="shared" si="272"/>
        <v>0</v>
      </c>
      <c r="AZ413" s="3174">
        <f t="shared" si="273"/>
        <v>0</v>
      </c>
      <c r="BA413" s="3174">
        <f t="shared" si="274"/>
        <v>0</v>
      </c>
      <c r="BB413" s="3174">
        <f t="shared" si="275"/>
        <v>0</v>
      </c>
      <c r="BC413" s="3174">
        <f t="shared" si="276"/>
        <v>0</v>
      </c>
      <c r="BD413" s="3174">
        <f t="shared" si="277"/>
        <v>0</v>
      </c>
      <c r="BE413" s="3174">
        <f t="shared" si="278"/>
        <v>0</v>
      </c>
      <c r="BF413" s="3174">
        <f t="shared" si="279"/>
        <v>0</v>
      </c>
      <c r="BG413" s="3174">
        <f t="shared" si="280"/>
        <v>0</v>
      </c>
      <c r="BH413" s="3174">
        <f t="shared" si="281"/>
        <v>0</v>
      </c>
      <c r="BI413" s="3174">
        <f t="shared" si="282"/>
        <v>0</v>
      </c>
      <c r="BJ413" s="3174">
        <f t="shared" si="283"/>
        <v>0</v>
      </c>
      <c r="BK413" s="3174">
        <f t="shared" si="284"/>
        <v>0</v>
      </c>
      <c r="BL413" s="3174">
        <f t="shared" si="285"/>
        <v>0</v>
      </c>
      <c r="BM413" s="3174">
        <f t="shared" si="286"/>
        <v>0</v>
      </c>
      <c r="BN413" s="3174">
        <f t="shared" si="287"/>
        <v>0</v>
      </c>
      <c r="BO413" s="3174">
        <f t="shared" si="288"/>
        <v>0</v>
      </c>
      <c r="BP413" s="3174">
        <f t="shared" si="289"/>
        <v>0</v>
      </c>
      <c r="BQ413" s="3174">
        <f t="shared" si="290"/>
        <v>0</v>
      </c>
      <c r="BR413" s="3174">
        <f t="shared" si="291"/>
        <v>0</v>
      </c>
      <c r="BS413" s="3174">
        <f t="shared" si="292"/>
        <v>0</v>
      </c>
      <c r="BT413" s="3249">
        <f t="shared" si="293"/>
        <v>0</v>
      </c>
    </row>
    <row r="414" spans="1:72">
      <c r="A414" s="489"/>
      <c r="B414" s="3179"/>
      <c r="C414" s="3180"/>
      <c r="D414" s="3181"/>
      <c r="E414" s="3174">
        <f t="shared" si="265"/>
        <v>0</v>
      </c>
      <c r="F414" s="3175"/>
      <c r="G414" s="3176">
        <f t="shared" si="266"/>
        <v>0</v>
      </c>
      <c r="H414" s="3177">
        <f t="shared" si="267"/>
        <v>0</v>
      </c>
      <c r="I414" s="3180"/>
      <c r="J414" s="3200"/>
      <c r="K414" s="3180"/>
      <c r="L414" s="3200"/>
      <c r="M414" s="3200"/>
      <c r="N414" s="3200"/>
      <c r="O414" s="3200"/>
      <c r="P414" s="3200"/>
      <c r="Q414" s="3200"/>
      <c r="R414" s="3200"/>
      <c r="S414" s="3200"/>
      <c r="T414" s="3200"/>
      <c r="U414" s="3200"/>
      <c r="V414" s="3200"/>
      <c r="W414" s="3200"/>
      <c r="X414" s="3200"/>
      <c r="Y414" s="3200"/>
      <c r="Z414" s="3200"/>
      <c r="AA414" s="3200"/>
      <c r="AB414" s="3200"/>
      <c r="AC414" s="3174">
        <f t="shared" si="268"/>
        <v>0</v>
      </c>
      <c r="AD414" s="3212"/>
      <c r="AE414" s="3212"/>
      <c r="AF414" s="3180"/>
      <c r="AG414" s="3212"/>
      <c r="AH414" s="3212"/>
      <c r="AI414" s="3212"/>
      <c r="AJ414" s="3212"/>
      <c r="AK414" s="3212"/>
      <c r="AL414" s="3212"/>
      <c r="AM414" s="3212"/>
      <c r="AN414" s="3212"/>
      <c r="AO414" s="3212"/>
      <c r="AP414" s="3212"/>
      <c r="AQ414" s="3212"/>
      <c r="AR414" s="3212"/>
      <c r="AS414" s="3212"/>
      <c r="AT414" s="3175"/>
      <c r="AU414" s="3232"/>
      <c r="AV414" s="466">
        <f t="shared" si="269"/>
        <v>0</v>
      </c>
      <c r="AW414" s="466">
        <f t="shared" si="270"/>
        <v>0</v>
      </c>
      <c r="AX414" s="466">
        <f t="shared" si="271"/>
        <v>0</v>
      </c>
      <c r="AY414" s="385">
        <f t="shared" si="272"/>
        <v>0</v>
      </c>
      <c r="AZ414" s="3174">
        <f t="shared" si="273"/>
        <v>0</v>
      </c>
      <c r="BA414" s="3174">
        <f t="shared" si="274"/>
        <v>0</v>
      </c>
      <c r="BB414" s="3174">
        <f t="shared" si="275"/>
        <v>0</v>
      </c>
      <c r="BC414" s="3174">
        <f t="shared" si="276"/>
        <v>0</v>
      </c>
      <c r="BD414" s="3174">
        <f t="shared" si="277"/>
        <v>0</v>
      </c>
      <c r="BE414" s="3174">
        <f t="shared" si="278"/>
        <v>0</v>
      </c>
      <c r="BF414" s="3174">
        <f t="shared" si="279"/>
        <v>0</v>
      </c>
      <c r="BG414" s="3174">
        <f t="shared" si="280"/>
        <v>0</v>
      </c>
      <c r="BH414" s="3174">
        <f t="shared" si="281"/>
        <v>0</v>
      </c>
      <c r="BI414" s="3174">
        <f t="shared" si="282"/>
        <v>0</v>
      </c>
      <c r="BJ414" s="3174">
        <f t="shared" si="283"/>
        <v>0</v>
      </c>
      <c r="BK414" s="3174">
        <f t="shared" si="284"/>
        <v>0</v>
      </c>
      <c r="BL414" s="3174">
        <f t="shared" si="285"/>
        <v>0</v>
      </c>
      <c r="BM414" s="3174">
        <f t="shared" si="286"/>
        <v>0</v>
      </c>
      <c r="BN414" s="3174">
        <f t="shared" si="287"/>
        <v>0</v>
      </c>
      <c r="BO414" s="3174">
        <f t="shared" si="288"/>
        <v>0</v>
      </c>
      <c r="BP414" s="3174">
        <f t="shared" si="289"/>
        <v>0</v>
      </c>
      <c r="BQ414" s="3174">
        <f t="shared" si="290"/>
        <v>0</v>
      </c>
      <c r="BR414" s="3174">
        <f t="shared" si="291"/>
        <v>0</v>
      </c>
      <c r="BS414" s="3174">
        <f t="shared" si="292"/>
        <v>0</v>
      </c>
      <c r="BT414" s="3249">
        <f t="shared" si="293"/>
        <v>0</v>
      </c>
    </row>
    <row r="415" spans="1:72">
      <c r="A415" s="489"/>
      <c r="B415" s="3179"/>
      <c r="C415" s="3180"/>
      <c r="D415" s="3181"/>
      <c r="E415" s="3174">
        <f t="shared" si="265"/>
        <v>0</v>
      </c>
      <c r="F415" s="3175"/>
      <c r="G415" s="3176">
        <f t="shared" si="266"/>
        <v>0</v>
      </c>
      <c r="H415" s="3177">
        <f t="shared" si="267"/>
        <v>0</v>
      </c>
      <c r="I415" s="3180"/>
      <c r="J415" s="3200"/>
      <c r="K415" s="3180"/>
      <c r="L415" s="3200"/>
      <c r="M415" s="3200"/>
      <c r="N415" s="3200"/>
      <c r="O415" s="3200"/>
      <c r="P415" s="3200"/>
      <c r="Q415" s="3200"/>
      <c r="R415" s="3200"/>
      <c r="S415" s="3200"/>
      <c r="T415" s="3200"/>
      <c r="U415" s="3200"/>
      <c r="V415" s="3200"/>
      <c r="W415" s="3200"/>
      <c r="X415" s="3200"/>
      <c r="Y415" s="3200"/>
      <c r="Z415" s="3200"/>
      <c r="AA415" s="3200"/>
      <c r="AB415" s="3200"/>
      <c r="AC415" s="3174">
        <f t="shared" si="268"/>
        <v>0</v>
      </c>
      <c r="AD415" s="3212"/>
      <c r="AE415" s="3212"/>
      <c r="AF415" s="3180"/>
      <c r="AG415" s="3212"/>
      <c r="AH415" s="3212"/>
      <c r="AI415" s="3212"/>
      <c r="AJ415" s="3212"/>
      <c r="AK415" s="3212"/>
      <c r="AL415" s="3212"/>
      <c r="AM415" s="3212"/>
      <c r="AN415" s="3212"/>
      <c r="AO415" s="3212"/>
      <c r="AP415" s="3212"/>
      <c r="AQ415" s="3212"/>
      <c r="AR415" s="3212"/>
      <c r="AS415" s="3212"/>
      <c r="AT415" s="3175"/>
      <c r="AU415" s="3232"/>
      <c r="AV415" s="466">
        <f t="shared" si="269"/>
        <v>0</v>
      </c>
      <c r="AW415" s="466">
        <f t="shared" si="270"/>
        <v>0</v>
      </c>
      <c r="AX415" s="466">
        <f t="shared" si="271"/>
        <v>0</v>
      </c>
      <c r="AY415" s="385">
        <f t="shared" si="272"/>
        <v>0</v>
      </c>
      <c r="AZ415" s="3174">
        <f t="shared" si="273"/>
        <v>0</v>
      </c>
      <c r="BA415" s="3174">
        <f t="shared" si="274"/>
        <v>0</v>
      </c>
      <c r="BB415" s="3174">
        <f t="shared" si="275"/>
        <v>0</v>
      </c>
      <c r="BC415" s="3174">
        <f t="shared" si="276"/>
        <v>0</v>
      </c>
      <c r="BD415" s="3174">
        <f t="shared" si="277"/>
        <v>0</v>
      </c>
      <c r="BE415" s="3174">
        <f t="shared" si="278"/>
        <v>0</v>
      </c>
      <c r="BF415" s="3174">
        <f t="shared" si="279"/>
        <v>0</v>
      </c>
      <c r="BG415" s="3174">
        <f t="shared" si="280"/>
        <v>0</v>
      </c>
      <c r="BH415" s="3174">
        <f t="shared" si="281"/>
        <v>0</v>
      </c>
      <c r="BI415" s="3174">
        <f t="shared" si="282"/>
        <v>0</v>
      </c>
      <c r="BJ415" s="3174">
        <f t="shared" si="283"/>
        <v>0</v>
      </c>
      <c r="BK415" s="3174">
        <f t="shared" si="284"/>
        <v>0</v>
      </c>
      <c r="BL415" s="3174">
        <f t="shared" si="285"/>
        <v>0</v>
      </c>
      <c r="BM415" s="3174">
        <f t="shared" si="286"/>
        <v>0</v>
      </c>
      <c r="BN415" s="3174">
        <f t="shared" si="287"/>
        <v>0</v>
      </c>
      <c r="BO415" s="3174">
        <f t="shared" si="288"/>
        <v>0</v>
      </c>
      <c r="BP415" s="3174">
        <f t="shared" si="289"/>
        <v>0</v>
      </c>
      <c r="BQ415" s="3174">
        <f t="shared" si="290"/>
        <v>0</v>
      </c>
      <c r="BR415" s="3174">
        <f t="shared" si="291"/>
        <v>0</v>
      </c>
      <c r="BS415" s="3174">
        <f t="shared" si="292"/>
        <v>0</v>
      </c>
      <c r="BT415" s="3249">
        <f t="shared" si="293"/>
        <v>0</v>
      </c>
    </row>
    <row r="416" spans="1:72">
      <c r="A416" s="489"/>
      <c r="B416" s="3179"/>
      <c r="C416" s="3180"/>
      <c r="D416" s="3181"/>
      <c r="E416" s="3174">
        <f t="shared" si="265"/>
        <v>0</v>
      </c>
      <c r="F416" s="3175"/>
      <c r="G416" s="3176">
        <f t="shared" si="266"/>
        <v>0</v>
      </c>
      <c r="H416" s="3177">
        <f t="shared" si="267"/>
        <v>0</v>
      </c>
      <c r="I416" s="3180"/>
      <c r="J416" s="3200"/>
      <c r="K416" s="3180"/>
      <c r="L416" s="3200"/>
      <c r="M416" s="3200"/>
      <c r="N416" s="3200"/>
      <c r="O416" s="3200"/>
      <c r="P416" s="3200"/>
      <c r="Q416" s="3200"/>
      <c r="R416" s="3200"/>
      <c r="S416" s="3200"/>
      <c r="T416" s="3200"/>
      <c r="U416" s="3200"/>
      <c r="V416" s="3200"/>
      <c r="W416" s="3200"/>
      <c r="X416" s="3200"/>
      <c r="Y416" s="3200"/>
      <c r="Z416" s="3200"/>
      <c r="AA416" s="3200"/>
      <c r="AB416" s="3200"/>
      <c r="AC416" s="3174">
        <f t="shared" si="268"/>
        <v>0</v>
      </c>
      <c r="AD416" s="3212"/>
      <c r="AE416" s="3212"/>
      <c r="AF416" s="3180"/>
      <c r="AG416" s="3212"/>
      <c r="AH416" s="3212"/>
      <c r="AI416" s="3212"/>
      <c r="AJ416" s="3212"/>
      <c r="AK416" s="3212"/>
      <c r="AL416" s="3212"/>
      <c r="AM416" s="3212"/>
      <c r="AN416" s="3212"/>
      <c r="AO416" s="3212"/>
      <c r="AP416" s="3212"/>
      <c r="AQ416" s="3212"/>
      <c r="AR416" s="3212"/>
      <c r="AS416" s="3212"/>
      <c r="AT416" s="3175"/>
      <c r="AU416" s="3232"/>
      <c r="AV416" s="466">
        <f t="shared" si="269"/>
        <v>0</v>
      </c>
      <c r="AW416" s="466">
        <f t="shared" si="270"/>
        <v>0</v>
      </c>
      <c r="AX416" s="466">
        <f t="shared" si="271"/>
        <v>0</v>
      </c>
      <c r="AY416" s="385">
        <f t="shared" si="272"/>
        <v>0</v>
      </c>
      <c r="AZ416" s="3174">
        <f t="shared" si="273"/>
        <v>0</v>
      </c>
      <c r="BA416" s="3174">
        <f t="shared" si="274"/>
        <v>0</v>
      </c>
      <c r="BB416" s="3174">
        <f t="shared" si="275"/>
        <v>0</v>
      </c>
      <c r="BC416" s="3174">
        <f t="shared" si="276"/>
        <v>0</v>
      </c>
      <c r="BD416" s="3174">
        <f t="shared" si="277"/>
        <v>0</v>
      </c>
      <c r="BE416" s="3174">
        <f t="shared" si="278"/>
        <v>0</v>
      </c>
      <c r="BF416" s="3174">
        <f t="shared" si="279"/>
        <v>0</v>
      </c>
      <c r="BG416" s="3174">
        <f t="shared" si="280"/>
        <v>0</v>
      </c>
      <c r="BH416" s="3174">
        <f t="shared" si="281"/>
        <v>0</v>
      </c>
      <c r="BI416" s="3174">
        <f t="shared" si="282"/>
        <v>0</v>
      </c>
      <c r="BJ416" s="3174">
        <f t="shared" si="283"/>
        <v>0</v>
      </c>
      <c r="BK416" s="3174">
        <f t="shared" si="284"/>
        <v>0</v>
      </c>
      <c r="BL416" s="3174">
        <f t="shared" si="285"/>
        <v>0</v>
      </c>
      <c r="BM416" s="3174">
        <f t="shared" si="286"/>
        <v>0</v>
      </c>
      <c r="BN416" s="3174">
        <f t="shared" si="287"/>
        <v>0</v>
      </c>
      <c r="BO416" s="3174">
        <f t="shared" si="288"/>
        <v>0</v>
      </c>
      <c r="BP416" s="3174">
        <f t="shared" si="289"/>
        <v>0</v>
      </c>
      <c r="BQ416" s="3174">
        <f t="shared" si="290"/>
        <v>0</v>
      </c>
      <c r="BR416" s="3174">
        <f t="shared" si="291"/>
        <v>0</v>
      </c>
      <c r="BS416" s="3174">
        <f t="shared" si="292"/>
        <v>0</v>
      </c>
      <c r="BT416" s="3249">
        <f t="shared" si="293"/>
        <v>0</v>
      </c>
    </row>
    <row r="417" spans="1:72">
      <c r="A417" s="489"/>
      <c r="B417" s="3179"/>
      <c r="C417" s="3180"/>
      <c r="D417" s="3181"/>
      <c r="E417" s="3174">
        <f t="shared" si="265"/>
        <v>0</v>
      </c>
      <c r="F417" s="3175"/>
      <c r="G417" s="3176">
        <f t="shared" si="266"/>
        <v>0</v>
      </c>
      <c r="H417" s="3177">
        <f t="shared" si="267"/>
        <v>0</v>
      </c>
      <c r="I417" s="3180"/>
      <c r="J417" s="3200"/>
      <c r="K417" s="3180"/>
      <c r="L417" s="3200"/>
      <c r="M417" s="3200"/>
      <c r="N417" s="3200"/>
      <c r="O417" s="3200"/>
      <c r="P417" s="3200"/>
      <c r="Q417" s="3200"/>
      <c r="R417" s="3200"/>
      <c r="S417" s="3200"/>
      <c r="T417" s="3200"/>
      <c r="U417" s="3200"/>
      <c r="V417" s="3200"/>
      <c r="W417" s="3200"/>
      <c r="X417" s="3200"/>
      <c r="Y417" s="3200"/>
      <c r="Z417" s="3200"/>
      <c r="AA417" s="3200"/>
      <c r="AB417" s="3200"/>
      <c r="AC417" s="3174">
        <f t="shared" si="268"/>
        <v>0</v>
      </c>
      <c r="AD417" s="3212"/>
      <c r="AE417" s="3212"/>
      <c r="AF417" s="3180"/>
      <c r="AG417" s="3212"/>
      <c r="AH417" s="3212"/>
      <c r="AI417" s="3212"/>
      <c r="AJ417" s="3212"/>
      <c r="AK417" s="3212"/>
      <c r="AL417" s="3212"/>
      <c r="AM417" s="3212"/>
      <c r="AN417" s="3212"/>
      <c r="AO417" s="3212"/>
      <c r="AP417" s="3212"/>
      <c r="AQ417" s="3212"/>
      <c r="AR417" s="3212"/>
      <c r="AS417" s="3212"/>
      <c r="AT417" s="3175"/>
      <c r="AU417" s="3232"/>
      <c r="AV417" s="466">
        <f t="shared" si="269"/>
        <v>0</v>
      </c>
      <c r="AW417" s="466">
        <f t="shared" si="270"/>
        <v>0</v>
      </c>
      <c r="AX417" s="466">
        <f t="shared" si="271"/>
        <v>0</v>
      </c>
      <c r="AY417" s="385">
        <f t="shared" si="272"/>
        <v>0</v>
      </c>
      <c r="AZ417" s="3174">
        <f t="shared" si="273"/>
        <v>0</v>
      </c>
      <c r="BA417" s="3174">
        <f t="shared" si="274"/>
        <v>0</v>
      </c>
      <c r="BB417" s="3174">
        <f t="shared" si="275"/>
        <v>0</v>
      </c>
      <c r="BC417" s="3174">
        <f t="shared" si="276"/>
        <v>0</v>
      </c>
      <c r="BD417" s="3174">
        <f t="shared" si="277"/>
        <v>0</v>
      </c>
      <c r="BE417" s="3174">
        <f t="shared" si="278"/>
        <v>0</v>
      </c>
      <c r="BF417" s="3174">
        <f t="shared" si="279"/>
        <v>0</v>
      </c>
      <c r="BG417" s="3174">
        <f t="shared" si="280"/>
        <v>0</v>
      </c>
      <c r="BH417" s="3174">
        <f t="shared" si="281"/>
        <v>0</v>
      </c>
      <c r="BI417" s="3174">
        <f t="shared" si="282"/>
        <v>0</v>
      </c>
      <c r="BJ417" s="3174">
        <f t="shared" si="283"/>
        <v>0</v>
      </c>
      <c r="BK417" s="3174">
        <f t="shared" si="284"/>
        <v>0</v>
      </c>
      <c r="BL417" s="3174">
        <f t="shared" si="285"/>
        <v>0</v>
      </c>
      <c r="BM417" s="3174">
        <f t="shared" si="286"/>
        <v>0</v>
      </c>
      <c r="BN417" s="3174">
        <f t="shared" si="287"/>
        <v>0</v>
      </c>
      <c r="BO417" s="3174">
        <f t="shared" si="288"/>
        <v>0</v>
      </c>
      <c r="BP417" s="3174">
        <f t="shared" si="289"/>
        <v>0</v>
      </c>
      <c r="BQ417" s="3174">
        <f t="shared" si="290"/>
        <v>0</v>
      </c>
      <c r="BR417" s="3174">
        <f t="shared" si="291"/>
        <v>0</v>
      </c>
      <c r="BS417" s="3174">
        <f t="shared" si="292"/>
        <v>0</v>
      </c>
      <c r="BT417" s="3249">
        <f t="shared" si="293"/>
        <v>0</v>
      </c>
    </row>
    <row r="418" spans="1:72">
      <c r="A418" s="489"/>
      <c r="B418" s="3179"/>
      <c r="C418" s="3180"/>
      <c r="D418" s="3181"/>
      <c r="E418" s="3174">
        <f t="shared" si="265"/>
        <v>0</v>
      </c>
      <c r="F418" s="3175"/>
      <c r="G418" s="3176">
        <f t="shared" si="266"/>
        <v>0</v>
      </c>
      <c r="H418" s="3177">
        <f t="shared" si="267"/>
        <v>0</v>
      </c>
      <c r="I418" s="3180"/>
      <c r="J418" s="3200"/>
      <c r="K418" s="3180"/>
      <c r="L418" s="3200"/>
      <c r="M418" s="3200"/>
      <c r="N418" s="3200"/>
      <c r="O418" s="3200"/>
      <c r="P418" s="3200"/>
      <c r="Q418" s="3200"/>
      <c r="R418" s="3200"/>
      <c r="S418" s="3200"/>
      <c r="T418" s="3200"/>
      <c r="U418" s="3200"/>
      <c r="V418" s="3200"/>
      <c r="W418" s="3200"/>
      <c r="X418" s="3200"/>
      <c r="Y418" s="3200"/>
      <c r="Z418" s="3200"/>
      <c r="AA418" s="3200"/>
      <c r="AB418" s="3200"/>
      <c r="AC418" s="3174">
        <f t="shared" si="268"/>
        <v>0</v>
      </c>
      <c r="AD418" s="3212"/>
      <c r="AE418" s="3212"/>
      <c r="AF418" s="3180"/>
      <c r="AG418" s="3212"/>
      <c r="AH418" s="3212"/>
      <c r="AI418" s="3212"/>
      <c r="AJ418" s="3212"/>
      <c r="AK418" s="3212"/>
      <c r="AL418" s="3212"/>
      <c r="AM418" s="3212"/>
      <c r="AN418" s="3212"/>
      <c r="AO418" s="3212"/>
      <c r="AP418" s="3212"/>
      <c r="AQ418" s="3212"/>
      <c r="AR418" s="3212"/>
      <c r="AS418" s="3212"/>
      <c r="AT418" s="3175"/>
      <c r="AU418" s="3232"/>
      <c r="AV418" s="466">
        <f t="shared" si="269"/>
        <v>0</v>
      </c>
      <c r="AW418" s="466">
        <f t="shared" si="270"/>
        <v>0</v>
      </c>
      <c r="AX418" s="466">
        <f t="shared" si="271"/>
        <v>0</v>
      </c>
      <c r="AY418" s="385">
        <f t="shared" si="272"/>
        <v>0</v>
      </c>
      <c r="AZ418" s="3174">
        <f t="shared" si="273"/>
        <v>0</v>
      </c>
      <c r="BA418" s="3174">
        <f t="shared" si="274"/>
        <v>0</v>
      </c>
      <c r="BB418" s="3174">
        <f t="shared" si="275"/>
        <v>0</v>
      </c>
      <c r="BC418" s="3174">
        <f t="shared" si="276"/>
        <v>0</v>
      </c>
      <c r="BD418" s="3174">
        <f t="shared" si="277"/>
        <v>0</v>
      </c>
      <c r="BE418" s="3174">
        <f t="shared" si="278"/>
        <v>0</v>
      </c>
      <c r="BF418" s="3174">
        <f t="shared" si="279"/>
        <v>0</v>
      </c>
      <c r="BG418" s="3174">
        <f t="shared" si="280"/>
        <v>0</v>
      </c>
      <c r="BH418" s="3174">
        <f t="shared" si="281"/>
        <v>0</v>
      </c>
      <c r="BI418" s="3174">
        <f t="shared" si="282"/>
        <v>0</v>
      </c>
      <c r="BJ418" s="3174">
        <f t="shared" si="283"/>
        <v>0</v>
      </c>
      <c r="BK418" s="3174">
        <f t="shared" si="284"/>
        <v>0</v>
      </c>
      <c r="BL418" s="3174">
        <f t="shared" si="285"/>
        <v>0</v>
      </c>
      <c r="BM418" s="3174">
        <f t="shared" si="286"/>
        <v>0</v>
      </c>
      <c r="BN418" s="3174">
        <f t="shared" si="287"/>
        <v>0</v>
      </c>
      <c r="BO418" s="3174">
        <f t="shared" si="288"/>
        <v>0</v>
      </c>
      <c r="BP418" s="3174">
        <f t="shared" si="289"/>
        <v>0</v>
      </c>
      <c r="BQ418" s="3174">
        <f t="shared" si="290"/>
        <v>0</v>
      </c>
      <c r="BR418" s="3174">
        <f t="shared" si="291"/>
        <v>0</v>
      </c>
      <c r="BS418" s="3174">
        <f t="shared" si="292"/>
        <v>0</v>
      </c>
      <c r="BT418" s="3249">
        <f t="shared" si="293"/>
        <v>0</v>
      </c>
    </row>
    <row r="419" spans="1:72">
      <c r="A419" s="489"/>
      <c r="B419" s="3179"/>
      <c r="C419" s="3180"/>
      <c r="D419" s="3181"/>
      <c r="E419" s="3174">
        <f t="shared" si="265"/>
        <v>0</v>
      </c>
      <c r="F419" s="3175"/>
      <c r="G419" s="3176">
        <f t="shared" si="266"/>
        <v>0</v>
      </c>
      <c r="H419" s="3177">
        <f t="shared" si="267"/>
        <v>0</v>
      </c>
      <c r="I419" s="3180"/>
      <c r="J419" s="3200"/>
      <c r="K419" s="3180"/>
      <c r="L419" s="3200"/>
      <c r="M419" s="3200"/>
      <c r="N419" s="3200"/>
      <c r="O419" s="3200"/>
      <c r="P419" s="3200"/>
      <c r="Q419" s="3200"/>
      <c r="R419" s="3200"/>
      <c r="S419" s="3200"/>
      <c r="T419" s="3200"/>
      <c r="U419" s="3200"/>
      <c r="V419" s="3200"/>
      <c r="W419" s="3200"/>
      <c r="X419" s="3200"/>
      <c r="Y419" s="3200"/>
      <c r="Z419" s="3200"/>
      <c r="AA419" s="3200"/>
      <c r="AB419" s="3200"/>
      <c r="AC419" s="3174">
        <f t="shared" si="268"/>
        <v>0</v>
      </c>
      <c r="AD419" s="3212"/>
      <c r="AE419" s="3212"/>
      <c r="AF419" s="3180"/>
      <c r="AG419" s="3212"/>
      <c r="AH419" s="3212"/>
      <c r="AI419" s="3212"/>
      <c r="AJ419" s="3212"/>
      <c r="AK419" s="3212"/>
      <c r="AL419" s="3212"/>
      <c r="AM419" s="3212"/>
      <c r="AN419" s="3212"/>
      <c r="AO419" s="3212"/>
      <c r="AP419" s="3212"/>
      <c r="AQ419" s="3212"/>
      <c r="AR419" s="3212"/>
      <c r="AS419" s="3212"/>
      <c r="AT419" s="3175"/>
      <c r="AU419" s="3232"/>
      <c r="AV419" s="466">
        <f t="shared" si="269"/>
        <v>0</v>
      </c>
      <c r="AW419" s="466">
        <f t="shared" si="270"/>
        <v>0</v>
      </c>
      <c r="AX419" s="466">
        <f t="shared" si="271"/>
        <v>0</v>
      </c>
      <c r="AY419" s="385">
        <f t="shared" si="272"/>
        <v>0</v>
      </c>
      <c r="AZ419" s="3174">
        <f t="shared" si="273"/>
        <v>0</v>
      </c>
      <c r="BA419" s="3174">
        <f t="shared" si="274"/>
        <v>0</v>
      </c>
      <c r="BB419" s="3174">
        <f t="shared" si="275"/>
        <v>0</v>
      </c>
      <c r="BC419" s="3174">
        <f t="shared" si="276"/>
        <v>0</v>
      </c>
      <c r="BD419" s="3174">
        <f t="shared" si="277"/>
        <v>0</v>
      </c>
      <c r="BE419" s="3174">
        <f t="shared" si="278"/>
        <v>0</v>
      </c>
      <c r="BF419" s="3174">
        <f t="shared" si="279"/>
        <v>0</v>
      </c>
      <c r="BG419" s="3174">
        <f t="shared" si="280"/>
        <v>0</v>
      </c>
      <c r="BH419" s="3174">
        <f t="shared" si="281"/>
        <v>0</v>
      </c>
      <c r="BI419" s="3174">
        <f t="shared" si="282"/>
        <v>0</v>
      </c>
      <c r="BJ419" s="3174">
        <f t="shared" si="283"/>
        <v>0</v>
      </c>
      <c r="BK419" s="3174">
        <f t="shared" si="284"/>
        <v>0</v>
      </c>
      <c r="BL419" s="3174">
        <f t="shared" si="285"/>
        <v>0</v>
      </c>
      <c r="BM419" s="3174">
        <f t="shared" si="286"/>
        <v>0</v>
      </c>
      <c r="BN419" s="3174">
        <f t="shared" si="287"/>
        <v>0</v>
      </c>
      <c r="BO419" s="3174">
        <f t="shared" si="288"/>
        <v>0</v>
      </c>
      <c r="BP419" s="3174">
        <f t="shared" si="289"/>
        <v>0</v>
      </c>
      <c r="BQ419" s="3174">
        <f t="shared" si="290"/>
        <v>0</v>
      </c>
      <c r="BR419" s="3174">
        <f t="shared" si="291"/>
        <v>0</v>
      </c>
      <c r="BS419" s="3174">
        <f t="shared" si="292"/>
        <v>0</v>
      </c>
      <c r="BT419" s="3249">
        <f t="shared" si="293"/>
        <v>0</v>
      </c>
    </row>
    <row r="420" spans="1:72">
      <c r="A420" s="489"/>
      <c r="B420" s="3179"/>
      <c r="C420" s="3180"/>
      <c r="D420" s="3181"/>
      <c r="E420" s="3174">
        <f t="shared" si="265"/>
        <v>0</v>
      </c>
      <c r="F420" s="3175"/>
      <c r="G420" s="3176">
        <f t="shared" si="266"/>
        <v>0</v>
      </c>
      <c r="H420" s="3177">
        <f t="shared" si="267"/>
        <v>0</v>
      </c>
      <c r="I420" s="3180"/>
      <c r="J420" s="3200"/>
      <c r="K420" s="3180"/>
      <c r="L420" s="3200"/>
      <c r="M420" s="3200"/>
      <c r="N420" s="3200"/>
      <c r="O420" s="3200"/>
      <c r="P420" s="3200"/>
      <c r="Q420" s="3200"/>
      <c r="R420" s="3200"/>
      <c r="S420" s="3200"/>
      <c r="T420" s="3200"/>
      <c r="U420" s="3200"/>
      <c r="V420" s="3200"/>
      <c r="W420" s="3200"/>
      <c r="X420" s="3200"/>
      <c r="Y420" s="3200"/>
      <c r="Z420" s="3200"/>
      <c r="AA420" s="3200"/>
      <c r="AB420" s="3200"/>
      <c r="AC420" s="3174">
        <f t="shared" si="268"/>
        <v>0</v>
      </c>
      <c r="AD420" s="3212"/>
      <c r="AE420" s="3212"/>
      <c r="AF420" s="3180"/>
      <c r="AG420" s="3212"/>
      <c r="AH420" s="3212"/>
      <c r="AI420" s="3212"/>
      <c r="AJ420" s="3212"/>
      <c r="AK420" s="3212"/>
      <c r="AL420" s="3212"/>
      <c r="AM420" s="3212"/>
      <c r="AN420" s="3212"/>
      <c r="AO420" s="3212"/>
      <c r="AP420" s="3212"/>
      <c r="AQ420" s="3212"/>
      <c r="AR420" s="3212"/>
      <c r="AS420" s="3212"/>
      <c r="AT420" s="3175"/>
      <c r="AU420" s="3232"/>
      <c r="AV420" s="466">
        <f t="shared" si="269"/>
        <v>0</v>
      </c>
      <c r="AW420" s="466">
        <f t="shared" si="270"/>
        <v>0</v>
      </c>
      <c r="AX420" s="466">
        <f t="shared" si="271"/>
        <v>0</v>
      </c>
      <c r="AY420" s="385">
        <f t="shared" si="272"/>
        <v>0</v>
      </c>
      <c r="AZ420" s="3174">
        <f t="shared" si="273"/>
        <v>0</v>
      </c>
      <c r="BA420" s="3174">
        <f t="shared" si="274"/>
        <v>0</v>
      </c>
      <c r="BB420" s="3174">
        <f t="shared" si="275"/>
        <v>0</v>
      </c>
      <c r="BC420" s="3174">
        <f t="shared" si="276"/>
        <v>0</v>
      </c>
      <c r="BD420" s="3174">
        <f t="shared" si="277"/>
        <v>0</v>
      </c>
      <c r="BE420" s="3174">
        <f t="shared" si="278"/>
        <v>0</v>
      </c>
      <c r="BF420" s="3174">
        <f t="shared" si="279"/>
        <v>0</v>
      </c>
      <c r="BG420" s="3174">
        <f t="shared" si="280"/>
        <v>0</v>
      </c>
      <c r="BH420" s="3174">
        <f t="shared" si="281"/>
        <v>0</v>
      </c>
      <c r="BI420" s="3174">
        <f t="shared" si="282"/>
        <v>0</v>
      </c>
      <c r="BJ420" s="3174">
        <f t="shared" si="283"/>
        <v>0</v>
      </c>
      <c r="BK420" s="3174">
        <f t="shared" si="284"/>
        <v>0</v>
      </c>
      <c r="BL420" s="3174">
        <f t="shared" si="285"/>
        <v>0</v>
      </c>
      <c r="BM420" s="3174">
        <f t="shared" si="286"/>
        <v>0</v>
      </c>
      <c r="BN420" s="3174">
        <f t="shared" si="287"/>
        <v>0</v>
      </c>
      <c r="BO420" s="3174">
        <f t="shared" si="288"/>
        <v>0</v>
      </c>
      <c r="BP420" s="3174">
        <f t="shared" si="289"/>
        <v>0</v>
      </c>
      <c r="BQ420" s="3174">
        <f t="shared" si="290"/>
        <v>0</v>
      </c>
      <c r="BR420" s="3174">
        <f t="shared" si="291"/>
        <v>0</v>
      </c>
      <c r="BS420" s="3174">
        <f t="shared" si="292"/>
        <v>0</v>
      </c>
      <c r="BT420" s="3249">
        <f t="shared" si="293"/>
        <v>0</v>
      </c>
    </row>
    <row r="421" spans="1:72">
      <c r="A421" s="489"/>
      <c r="B421" s="3179"/>
      <c r="C421" s="3180"/>
      <c r="D421" s="3181"/>
      <c r="E421" s="3174">
        <f t="shared" si="265"/>
        <v>0</v>
      </c>
      <c r="F421" s="3175"/>
      <c r="G421" s="3176">
        <f t="shared" si="266"/>
        <v>0</v>
      </c>
      <c r="H421" s="3177">
        <f t="shared" si="267"/>
        <v>0</v>
      </c>
      <c r="I421" s="3180"/>
      <c r="J421" s="3200"/>
      <c r="K421" s="3180"/>
      <c r="L421" s="3200"/>
      <c r="M421" s="3200"/>
      <c r="N421" s="3200"/>
      <c r="O421" s="3200"/>
      <c r="P421" s="3200"/>
      <c r="Q421" s="3200"/>
      <c r="R421" s="3200"/>
      <c r="S421" s="3200"/>
      <c r="T421" s="3200"/>
      <c r="U421" s="3200"/>
      <c r="V421" s="3200"/>
      <c r="W421" s="3200"/>
      <c r="X421" s="3200"/>
      <c r="Y421" s="3200"/>
      <c r="Z421" s="3200"/>
      <c r="AA421" s="3200"/>
      <c r="AB421" s="3200"/>
      <c r="AC421" s="3174">
        <f t="shared" si="268"/>
        <v>0</v>
      </c>
      <c r="AD421" s="3212"/>
      <c r="AE421" s="3212"/>
      <c r="AF421" s="3180"/>
      <c r="AG421" s="3212"/>
      <c r="AH421" s="3212"/>
      <c r="AI421" s="3212"/>
      <c r="AJ421" s="3212"/>
      <c r="AK421" s="3212"/>
      <c r="AL421" s="3212"/>
      <c r="AM421" s="3212"/>
      <c r="AN421" s="3212"/>
      <c r="AO421" s="3212"/>
      <c r="AP421" s="3212"/>
      <c r="AQ421" s="3212"/>
      <c r="AR421" s="3212"/>
      <c r="AS421" s="3212"/>
      <c r="AT421" s="3175"/>
      <c r="AU421" s="3232"/>
      <c r="AV421" s="466">
        <f t="shared" si="269"/>
        <v>0</v>
      </c>
      <c r="AW421" s="466">
        <f t="shared" si="270"/>
        <v>0</v>
      </c>
      <c r="AX421" s="466">
        <f t="shared" si="271"/>
        <v>0</v>
      </c>
      <c r="AY421" s="385">
        <f t="shared" si="272"/>
        <v>0</v>
      </c>
      <c r="AZ421" s="3174">
        <f t="shared" si="273"/>
        <v>0</v>
      </c>
      <c r="BA421" s="3174">
        <f t="shared" si="274"/>
        <v>0</v>
      </c>
      <c r="BB421" s="3174">
        <f t="shared" si="275"/>
        <v>0</v>
      </c>
      <c r="BC421" s="3174">
        <f t="shared" si="276"/>
        <v>0</v>
      </c>
      <c r="BD421" s="3174">
        <f t="shared" si="277"/>
        <v>0</v>
      </c>
      <c r="BE421" s="3174">
        <f t="shared" si="278"/>
        <v>0</v>
      </c>
      <c r="BF421" s="3174">
        <f t="shared" si="279"/>
        <v>0</v>
      </c>
      <c r="BG421" s="3174">
        <f t="shared" si="280"/>
        <v>0</v>
      </c>
      <c r="BH421" s="3174">
        <f t="shared" si="281"/>
        <v>0</v>
      </c>
      <c r="BI421" s="3174">
        <f t="shared" si="282"/>
        <v>0</v>
      </c>
      <c r="BJ421" s="3174">
        <f t="shared" si="283"/>
        <v>0</v>
      </c>
      <c r="BK421" s="3174">
        <f t="shared" si="284"/>
        <v>0</v>
      </c>
      <c r="BL421" s="3174">
        <f t="shared" si="285"/>
        <v>0</v>
      </c>
      <c r="BM421" s="3174">
        <f t="shared" si="286"/>
        <v>0</v>
      </c>
      <c r="BN421" s="3174">
        <f t="shared" si="287"/>
        <v>0</v>
      </c>
      <c r="BO421" s="3174">
        <f t="shared" si="288"/>
        <v>0</v>
      </c>
      <c r="BP421" s="3174">
        <f t="shared" si="289"/>
        <v>0</v>
      </c>
      <c r="BQ421" s="3174">
        <f t="shared" si="290"/>
        <v>0</v>
      </c>
      <c r="BR421" s="3174">
        <f t="shared" si="291"/>
        <v>0</v>
      </c>
      <c r="BS421" s="3174">
        <f t="shared" si="292"/>
        <v>0</v>
      </c>
      <c r="BT421" s="3249">
        <f t="shared" si="293"/>
        <v>0</v>
      </c>
    </row>
    <row r="422" spans="1:72">
      <c r="A422" s="489"/>
      <c r="B422" s="3179"/>
      <c r="C422" s="3180"/>
      <c r="D422" s="3181"/>
      <c r="E422" s="3174">
        <f t="shared" si="265"/>
        <v>0</v>
      </c>
      <c r="F422" s="3175"/>
      <c r="G422" s="3176">
        <f t="shared" si="266"/>
        <v>0</v>
      </c>
      <c r="H422" s="3177">
        <f t="shared" si="267"/>
        <v>0</v>
      </c>
      <c r="I422" s="3180"/>
      <c r="J422" s="3200"/>
      <c r="K422" s="3180"/>
      <c r="L422" s="3200"/>
      <c r="M422" s="3200"/>
      <c r="N422" s="3200"/>
      <c r="O422" s="3200"/>
      <c r="P422" s="3200"/>
      <c r="Q422" s="3200"/>
      <c r="R422" s="3200"/>
      <c r="S422" s="3200"/>
      <c r="T422" s="3200"/>
      <c r="U422" s="3200"/>
      <c r="V422" s="3200"/>
      <c r="W422" s="3200"/>
      <c r="X422" s="3200"/>
      <c r="Y422" s="3200"/>
      <c r="Z422" s="3200"/>
      <c r="AA422" s="3200"/>
      <c r="AB422" s="3200"/>
      <c r="AC422" s="3174">
        <f t="shared" si="268"/>
        <v>0</v>
      </c>
      <c r="AD422" s="3212"/>
      <c r="AE422" s="3212"/>
      <c r="AF422" s="3180"/>
      <c r="AG422" s="3212"/>
      <c r="AH422" s="3212"/>
      <c r="AI422" s="3212"/>
      <c r="AJ422" s="3212"/>
      <c r="AK422" s="3212"/>
      <c r="AL422" s="3212"/>
      <c r="AM422" s="3212"/>
      <c r="AN422" s="3212"/>
      <c r="AO422" s="3212"/>
      <c r="AP422" s="3212"/>
      <c r="AQ422" s="3212"/>
      <c r="AR422" s="3212"/>
      <c r="AS422" s="3212"/>
      <c r="AT422" s="3175"/>
      <c r="AU422" s="3232"/>
      <c r="AV422" s="466">
        <f t="shared" si="269"/>
        <v>0</v>
      </c>
      <c r="AW422" s="466">
        <f t="shared" si="270"/>
        <v>0</v>
      </c>
      <c r="AX422" s="466">
        <f t="shared" si="271"/>
        <v>0</v>
      </c>
      <c r="AY422" s="385">
        <f t="shared" si="272"/>
        <v>0</v>
      </c>
      <c r="AZ422" s="3174">
        <f t="shared" si="273"/>
        <v>0</v>
      </c>
      <c r="BA422" s="3174">
        <f t="shared" si="274"/>
        <v>0</v>
      </c>
      <c r="BB422" s="3174">
        <f t="shared" si="275"/>
        <v>0</v>
      </c>
      <c r="BC422" s="3174">
        <f t="shared" si="276"/>
        <v>0</v>
      </c>
      <c r="BD422" s="3174">
        <f t="shared" si="277"/>
        <v>0</v>
      </c>
      <c r="BE422" s="3174">
        <f t="shared" si="278"/>
        <v>0</v>
      </c>
      <c r="BF422" s="3174">
        <f t="shared" si="279"/>
        <v>0</v>
      </c>
      <c r="BG422" s="3174">
        <f t="shared" si="280"/>
        <v>0</v>
      </c>
      <c r="BH422" s="3174">
        <f t="shared" si="281"/>
        <v>0</v>
      </c>
      <c r="BI422" s="3174">
        <f t="shared" si="282"/>
        <v>0</v>
      </c>
      <c r="BJ422" s="3174">
        <f t="shared" si="283"/>
        <v>0</v>
      </c>
      <c r="BK422" s="3174">
        <f t="shared" si="284"/>
        <v>0</v>
      </c>
      <c r="BL422" s="3174">
        <f t="shared" si="285"/>
        <v>0</v>
      </c>
      <c r="BM422" s="3174">
        <f t="shared" si="286"/>
        <v>0</v>
      </c>
      <c r="BN422" s="3174">
        <f t="shared" si="287"/>
        <v>0</v>
      </c>
      <c r="BO422" s="3174">
        <f t="shared" si="288"/>
        <v>0</v>
      </c>
      <c r="BP422" s="3174">
        <f t="shared" si="289"/>
        <v>0</v>
      </c>
      <c r="BQ422" s="3174">
        <f t="shared" si="290"/>
        <v>0</v>
      </c>
      <c r="BR422" s="3174">
        <f t="shared" si="291"/>
        <v>0</v>
      </c>
      <c r="BS422" s="3174">
        <f t="shared" si="292"/>
        <v>0</v>
      </c>
      <c r="BT422" s="3249">
        <f t="shared" si="293"/>
        <v>0</v>
      </c>
    </row>
    <row r="423" spans="1:72">
      <c r="A423" s="489"/>
      <c r="B423" s="3179"/>
      <c r="C423" s="3180"/>
      <c r="D423" s="3181"/>
      <c r="E423" s="3174">
        <f t="shared" si="265"/>
        <v>0</v>
      </c>
      <c r="F423" s="3175"/>
      <c r="G423" s="3176">
        <f t="shared" si="266"/>
        <v>0</v>
      </c>
      <c r="H423" s="3177">
        <f t="shared" si="267"/>
        <v>0</v>
      </c>
      <c r="I423" s="3180"/>
      <c r="J423" s="3200"/>
      <c r="K423" s="3180"/>
      <c r="L423" s="3200"/>
      <c r="M423" s="3180"/>
      <c r="N423" s="3200"/>
      <c r="O423" s="3200"/>
      <c r="P423" s="3200"/>
      <c r="Q423" s="3200"/>
      <c r="R423" s="3200"/>
      <c r="S423" s="3200"/>
      <c r="T423" s="3200"/>
      <c r="U423" s="3200"/>
      <c r="V423" s="3200"/>
      <c r="W423" s="3200"/>
      <c r="X423" s="3200"/>
      <c r="Y423" s="3200"/>
      <c r="Z423" s="3200"/>
      <c r="AA423" s="3200"/>
      <c r="AB423" s="3200"/>
      <c r="AC423" s="3174">
        <f t="shared" si="268"/>
        <v>0</v>
      </c>
      <c r="AD423" s="3212"/>
      <c r="AE423" s="3212"/>
      <c r="AF423" s="3180"/>
      <c r="AG423" s="3212"/>
      <c r="AH423" s="3212"/>
      <c r="AI423" s="3212"/>
      <c r="AJ423" s="3212"/>
      <c r="AK423" s="3212"/>
      <c r="AL423" s="3212"/>
      <c r="AM423" s="3212"/>
      <c r="AN423" s="3212"/>
      <c r="AO423" s="3212"/>
      <c r="AP423" s="3212"/>
      <c r="AQ423" s="3212"/>
      <c r="AR423" s="3212"/>
      <c r="AS423" s="3212"/>
      <c r="AT423" s="3175"/>
      <c r="AU423" s="3232"/>
      <c r="AV423" s="466">
        <f t="shared" si="269"/>
        <v>0</v>
      </c>
      <c r="AW423" s="466">
        <f t="shared" si="270"/>
        <v>0</v>
      </c>
      <c r="AX423" s="466">
        <f t="shared" si="271"/>
        <v>0</v>
      </c>
      <c r="AY423" s="385">
        <f t="shared" si="272"/>
        <v>0</v>
      </c>
      <c r="AZ423" s="3174">
        <f t="shared" si="273"/>
        <v>0</v>
      </c>
      <c r="BA423" s="3174">
        <f t="shared" si="274"/>
        <v>0</v>
      </c>
      <c r="BB423" s="3174">
        <f t="shared" si="275"/>
        <v>0</v>
      </c>
      <c r="BC423" s="3174">
        <f t="shared" si="276"/>
        <v>0</v>
      </c>
      <c r="BD423" s="3174">
        <f t="shared" si="277"/>
        <v>0</v>
      </c>
      <c r="BE423" s="3174">
        <f t="shared" si="278"/>
        <v>0</v>
      </c>
      <c r="BF423" s="3174">
        <f t="shared" si="279"/>
        <v>0</v>
      </c>
      <c r="BG423" s="3174">
        <f t="shared" si="280"/>
        <v>0</v>
      </c>
      <c r="BH423" s="3174">
        <f t="shared" si="281"/>
        <v>0</v>
      </c>
      <c r="BI423" s="3174">
        <f t="shared" si="282"/>
        <v>0</v>
      </c>
      <c r="BJ423" s="3174">
        <f t="shared" si="283"/>
        <v>0</v>
      </c>
      <c r="BK423" s="3174">
        <f t="shared" si="284"/>
        <v>0</v>
      </c>
      <c r="BL423" s="3174">
        <f t="shared" si="285"/>
        <v>0</v>
      </c>
      <c r="BM423" s="3174">
        <f t="shared" si="286"/>
        <v>0</v>
      </c>
      <c r="BN423" s="3174">
        <f t="shared" si="287"/>
        <v>0</v>
      </c>
      <c r="BO423" s="3174">
        <f t="shared" si="288"/>
        <v>0</v>
      </c>
      <c r="BP423" s="3174">
        <f t="shared" si="289"/>
        <v>0</v>
      </c>
      <c r="BQ423" s="3174">
        <f t="shared" si="290"/>
        <v>0</v>
      </c>
      <c r="BR423" s="3174">
        <f t="shared" si="291"/>
        <v>0</v>
      </c>
      <c r="BS423" s="3174">
        <f t="shared" si="292"/>
        <v>0</v>
      </c>
      <c r="BT423" s="3249">
        <f t="shared" si="293"/>
        <v>0</v>
      </c>
    </row>
    <row r="424" spans="1:72">
      <c r="A424" s="489"/>
      <c r="B424" s="356"/>
      <c r="C424" s="356"/>
      <c r="D424" s="3182"/>
      <c r="E424" s="3174">
        <f t="shared" si="265"/>
        <v>0</v>
      </c>
      <c r="F424" s="3175"/>
      <c r="G424" s="3176">
        <f t="shared" si="266"/>
        <v>0</v>
      </c>
      <c r="H424" s="3177">
        <f t="shared" si="267"/>
        <v>0</v>
      </c>
      <c r="I424" s="3200"/>
      <c r="J424" s="3200"/>
      <c r="K424" s="3200"/>
      <c r="L424" s="3200"/>
      <c r="M424" s="3200"/>
      <c r="N424" s="3200"/>
      <c r="O424" s="3200"/>
      <c r="P424" s="3200"/>
      <c r="Q424" s="3200"/>
      <c r="R424" s="3200"/>
      <c r="S424" s="3200"/>
      <c r="T424" s="3200"/>
      <c r="U424" s="3200"/>
      <c r="V424" s="3200"/>
      <c r="W424" s="3200"/>
      <c r="X424" s="3200"/>
      <c r="Y424" s="3200"/>
      <c r="Z424" s="3200"/>
      <c r="AA424" s="3200"/>
      <c r="AB424" s="3200"/>
      <c r="AC424" s="3174">
        <f t="shared" si="268"/>
        <v>0</v>
      </c>
      <c r="AD424" s="3212"/>
      <c r="AE424" s="3212"/>
      <c r="AF424" s="3212"/>
      <c r="AG424" s="3212"/>
      <c r="AH424" s="3212"/>
      <c r="AI424" s="3212"/>
      <c r="AJ424" s="3212"/>
      <c r="AK424" s="3212"/>
      <c r="AL424" s="3212"/>
      <c r="AM424" s="3212"/>
      <c r="AN424" s="3212"/>
      <c r="AO424" s="3212"/>
      <c r="AP424" s="3212"/>
      <c r="AQ424" s="3212"/>
      <c r="AR424" s="3212"/>
      <c r="AS424" s="3212"/>
      <c r="AT424" s="3175"/>
      <c r="AU424" s="3232"/>
      <c r="AV424" s="466">
        <f t="shared" si="269"/>
        <v>0</v>
      </c>
      <c r="AW424" s="466">
        <f t="shared" si="270"/>
        <v>0</v>
      </c>
      <c r="AX424" s="466">
        <f t="shared" si="271"/>
        <v>0</v>
      </c>
      <c r="AY424" s="385">
        <f t="shared" si="272"/>
        <v>0</v>
      </c>
      <c r="AZ424" s="3174">
        <f t="shared" si="273"/>
        <v>0</v>
      </c>
      <c r="BA424" s="3174">
        <f t="shared" si="274"/>
        <v>0</v>
      </c>
      <c r="BB424" s="3174">
        <f t="shared" si="275"/>
        <v>0</v>
      </c>
      <c r="BC424" s="3174">
        <f t="shared" si="276"/>
        <v>0</v>
      </c>
      <c r="BD424" s="3174">
        <f t="shared" si="277"/>
        <v>0</v>
      </c>
      <c r="BE424" s="3174">
        <f t="shared" si="278"/>
        <v>0</v>
      </c>
      <c r="BF424" s="3174">
        <f t="shared" si="279"/>
        <v>0</v>
      </c>
      <c r="BG424" s="3174">
        <f t="shared" si="280"/>
        <v>0</v>
      </c>
      <c r="BH424" s="3174">
        <f t="shared" si="281"/>
        <v>0</v>
      </c>
      <c r="BI424" s="3174">
        <f t="shared" si="282"/>
        <v>0</v>
      </c>
      <c r="BJ424" s="3174">
        <f t="shared" si="283"/>
        <v>0</v>
      </c>
      <c r="BK424" s="3174">
        <f t="shared" si="284"/>
        <v>0</v>
      </c>
      <c r="BL424" s="3174">
        <f t="shared" si="285"/>
        <v>0</v>
      </c>
      <c r="BM424" s="3174">
        <f t="shared" si="286"/>
        <v>0</v>
      </c>
      <c r="BN424" s="3174">
        <f t="shared" si="287"/>
        <v>0</v>
      </c>
      <c r="BO424" s="3174">
        <f t="shared" si="288"/>
        <v>0</v>
      </c>
      <c r="BP424" s="3174">
        <f t="shared" si="289"/>
        <v>0</v>
      </c>
      <c r="BQ424" s="3174">
        <f t="shared" si="290"/>
        <v>0</v>
      </c>
      <c r="BR424" s="3174">
        <f t="shared" si="291"/>
        <v>0</v>
      </c>
      <c r="BS424" s="3174">
        <f t="shared" si="292"/>
        <v>0</v>
      </c>
      <c r="BT424" s="3249">
        <f t="shared" si="293"/>
        <v>0</v>
      </c>
    </row>
    <row r="425" spans="1:72">
      <c r="A425" s="489"/>
      <c r="B425" s="356"/>
      <c r="C425" s="356"/>
      <c r="D425" s="3182"/>
      <c r="E425" s="3174">
        <f t="shared" si="265"/>
        <v>0</v>
      </c>
      <c r="F425" s="3175"/>
      <c r="G425" s="3176">
        <f t="shared" si="266"/>
        <v>0</v>
      </c>
      <c r="H425" s="3177">
        <f t="shared" si="267"/>
        <v>0</v>
      </c>
      <c r="I425" s="3200"/>
      <c r="J425" s="3200"/>
      <c r="K425" s="3200"/>
      <c r="L425" s="3200"/>
      <c r="M425" s="3200"/>
      <c r="N425" s="3200"/>
      <c r="O425" s="3200"/>
      <c r="P425" s="3200"/>
      <c r="Q425" s="3200"/>
      <c r="R425" s="3200"/>
      <c r="S425" s="3200"/>
      <c r="T425" s="3200"/>
      <c r="U425" s="3200"/>
      <c r="V425" s="3200"/>
      <c r="W425" s="3200"/>
      <c r="X425" s="3200"/>
      <c r="Y425" s="3200"/>
      <c r="Z425" s="3200"/>
      <c r="AA425" s="3200"/>
      <c r="AB425" s="3200"/>
      <c r="AC425" s="3174">
        <f t="shared" si="268"/>
        <v>0</v>
      </c>
      <c r="AD425" s="3212"/>
      <c r="AE425" s="3212"/>
      <c r="AF425" s="3212"/>
      <c r="AG425" s="3212"/>
      <c r="AH425" s="3212"/>
      <c r="AI425" s="3212"/>
      <c r="AJ425" s="3212"/>
      <c r="AK425" s="3212"/>
      <c r="AL425" s="3212"/>
      <c r="AM425" s="3212"/>
      <c r="AN425" s="3212"/>
      <c r="AO425" s="3212"/>
      <c r="AP425" s="3212"/>
      <c r="AQ425" s="3212"/>
      <c r="AR425" s="3212"/>
      <c r="AS425" s="3212"/>
      <c r="AT425" s="3175"/>
      <c r="AU425" s="3232"/>
      <c r="AV425" s="466">
        <f t="shared" si="269"/>
        <v>0</v>
      </c>
      <c r="AW425" s="466">
        <f t="shared" si="270"/>
        <v>0</v>
      </c>
      <c r="AX425" s="466">
        <f t="shared" si="271"/>
        <v>0</v>
      </c>
      <c r="AY425" s="385">
        <f t="shared" si="272"/>
        <v>0</v>
      </c>
      <c r="AZ425" s="3174">
        <f t="shared" si="273"/>
        <v>0</v>
      </c>
      <c r="BA425" s="3174">
        <f t="shared" si="274"/>
        <v>0</v>
      </c>
      <c r="BB425" s="3174">
        <f t="shared" si="275"/>
        <v>0</v>
      </c>
      <c r="BC425" s="3174">
        <f t="shared" si="276"/>
        <v>0</v>
      </c>
      <c r="BD425" s="3174">
        <f t="shared" si="277"/>
        <v>0</v>
      </c>
      <c r="BE425" s="3174">
        <f t="shared" si="278"/>
        <v>0</v>
      </c>
      <c r="BF425" s="3174">
        <f t="shared" si="279"/>
        <v>0</v>
      </c>
      <c r="BG425" s="3174">
        <f t="shared" si="280"/>
        <v>0</v>
      </c>
      <c r="BH425" s="3174">
        <f t="shared" si="281"/>
        <v>0</v>
      </c>
      <c r="BI425" s="3174">
        <f t="shared" si="282"/>
        <v>0</v>
      </c>
      <c r="BJ425" s="3174">
        <f t="shared" si="283"/>
        <v>0</v>
      </c>
      <c r="BK425" s="3174">
        <f t="shared" si="284"/>
        <v>0</v>
      </c>
      <c r="BL425" s="3174">
        <f t="shared" si="285"/>
        <v>0</v>
      </c>
      <c r="BM425" s="3174">
        <f t="shared" si="286"/>
        <v>0</v>
      </c>
      <c r="BN425" s="3174">
        <f t="shared" si="287"/>
        <v>0</v>
      </c>
      <c r="BO425" s="3174">
        <f t="shared" si="288"/>
        <v>0</v>
      </c>
      <c r="BP425" s="3174">
        <f t="shared" si="289"/>
        <v>0</v>
      </c>
      <c r="BQ425" s="3174">
        <f t="shared" si="290"/>
        <v>0</v>
      </c>
      <c r="BR425" s="3174">
        <f t="shared" si="291"/>
        <v>0</v>
      </c>
      <c r="BS425" s="3174">
        <f t="shared" si="292"/>
        <v>0</v>
      </c>
      <c r="BT425" s="3249">
        <f t="shared" si="293"/>
        <v>0</v>
      </c>
    </row>
    <row r="426" spans="1:72">
      <c r="A426" s="489"/>
      <c r="B426" s="356"/>
      <c r="C426" s="356"/>
      <c r="D426" s="3182"/>
      <c r="E426" s="3174">
        <f t="shared" si="265"/>
        <v>0</v>
      </c>
      <c r="F426" s="3175"/>
      <c r="G426" s="3176">
        <f t="shared" si="266"/>
        <v>0</v>
      </c>
      <c r="H426" s="3177">
        <f t="shared" si="267"/>
        <v>0</v>
      </c>
      <c r="I426" s="3200"/>
      <c r="J426" s="3200"/>
      <c r="K426" s="3200"/>
      <c r="L426" s="3200"/>
      <c r="M426" s="3200"/>
      <c r="N426" s="3200"/>
      <c r="O426" s="3200"/>
      <c r="P426" s="3200"/>
      <c r="Q426" s="3200"/>
      <c r="R426" s="3200"/>
      <c r="S426" s="3200"/>
      <c r="T426" s="3200"/>
      <c r="U426" s="3200"/>
      <c r="V426" s="3200"/>
      <c r="W426" s="3200"/>
      <c r="X426" s="3200"/>
      <c r="Y426" s="3200"/>
      <c r="Z426" s="3200"/>
      <c r="AA426" s="3200"/>
      <c r="AB426" s="3200"/>
      <c r="AC426" s="3174">
        <f t="shared" si="268"/>
        <v>0</v>
      </c>
      <c r="AD426" s="3212"/>
      <c r="AE426" s="3212"/>
      <c r="AF426" s="3212"/>
      <c r="AG426" s="3212"/>
      <c r="AH426" s="3212"/>
      <c r="AI426" s="3212"/>
      <c r="AJ426" s="3212"/>
      <c r="AK426" s="3212"/>
      <c r="AL426" s="3212"/>
      <c r="AM426" s="3212"/>
      <c r="AN426" s="3212"/>
      <c r="AO426" s="3212"/>
      <c r="AP426" s="3212"/>
      <c r="AQ426" s="3212"/>
      <c r="AR426" s="3212"/>
      <c r="AS426" s="3212"/>
      <c r="AT426" s="3175"/>
      <c r="AU426" s="3232"/>
      <c r="AV426" s="466">
        <f t="shared" si="269"/>
        <v>0</v>
      </c>
      <c r="AW426" s="466">
        <f t="shared" si="270"/>
        <v>0</v>
      </c>
      <c r="AX426" s="466">
        <f t="shared" si="271"/>
        <v>0</v>
      </c>
      <c r="AY426" s="385">
        <f t="shared" si="272"/>
        <v>0</v>
      </c>
      <c r="AZ426" s="3174">
        <f t="shared" si="273"/>
        <v>0</v>
      </c>
      <c r="BA426" s="3174">
        <f t="shared" si="274"/>
        <v>0</v>
      </c>
      <c r="BB426" s="3174">
        <f t="shared" si="275"/>
        <v>0</v>
      </c>
      <c r="BC426" s="3174">
        <f t="shared" si="276"/>
        <v>0</v>
      </c>
      <c r="BD426" s="3174">
        <f t="shared" si="277"/>
        <v>0</v>
      </c>
      <c r="BE426" s="3174">
        <f t="shared" si="278"/>
        <v>0</v>
      </c>
      <c r="BF426" s="3174">
        <f t="shared" si="279"/>
        <v>0</v>
      </c>
      <c r="BG426" s="3174">
        <f t="shared" si="280"/>
        <v>0</v>
      </c>
      <c r="BH426" s="3174">
        <f t="shared" si="281"/>
        <v>0</v>
      </c>
      <c r="BI426" s="3174">
        <f t="shared" si="282"/>
        <v>0</v>
      </c>
      <c r="BJ426" s="3174">
        <f t="shared" si="283"/>
        <v>0</v>
      </c>
      <c r="BK426" s="3174">
        <f t="shared" si="284"/>
        <v>0</v>
      </c>
      <c r="BL426" s="3174">
        <f t="shared" si="285"/>
        <v>0</v>
      </c>
      <c r="BM426" s="3174">
        <f t="shared" si="286"/>
        <v>0</v>
      </c>
      <c r="BN426" s="3174">
        <f t="shared" si="287"/>
        <v>0</v>
      </c>
      <c r="BO426" s="3174">
        <f t="shared" si="288"/>
        <v>0</v>
      </c>
      <c r="BP426" s="3174">
        <f t="shared" si="289"/>
        <v>0</v>
      </c>
      <c r="BQ426" s="3174">
        <f t="shared" si="290"/>
        <v>0</v>
      </c>
      <c r="BR426" s="3174">
        <f t="shared" si="291"/>
        <v>0</v>
      </c>
      <c r="BS426" s="3174">
        <f t="shared" si="292"/>
        <v>0</v>
      </c>
      <c r="BT426" s="3249">
        <f t="shared" si="293"/>
        <v>0</v>
      </c>
    </row>
    <row r="427" spans="1:72">
      <c r="A427" s="489"/>
      <c r="B427" s="356"/>
      <c r="C427" s="356"/>
      <c r="D427" s="3182"/>
      <c r="E427" s="3174">
        <f t="shared" si="265"/>
        <v>0</v>
      </c>
      <c r="F427" s="3175"/>
      <c r="G427" s="3176">
        <f t="shared" si="266"/>
        <v>0</v>
      </c>
      <c r="H427" s="3177">
        <f t="shared" si="267"/>
        <v>0</v>
      </c>
      <c r="I427" s="3200"/>
      <c r="J427" s="3200"/>
      <c r="K427" s="3200"/>
      <c r="L427" s="3200"/>
      <c r="M427" s="3200"/>
      <c r="N427" s="3200"/>
      <c r="O427" s="3200"/>
      <c r="P427" s="3200"/>
      <c r="Q427" s="3200"/>
      <c r="R427" s="3200"/>
      <c r="S427" s="3200"/>
      <c r="T427" s="3200"/>
      <c r="U427" s="3200"/>
      <c r="V427" s="3200"/>
      <c r="W427" s="3200"/>
      <c r="X427" s="3200"/>
      <c r="Y427" s="3200"/>
      <c r="Z427" s="3200"/>
      <c r="AA427" s="3200"/>
      <c r="AB427" s="3200"/>
      <c r="AC427" s="3174">
        <f t="shared" si="268"/>
        <v>0</v>
      </c>
      <c r="AD427" s="3212"/>
      <c r="AE427" s="3212"/>
      <c r="AF427" s="3212"/>
      <c r="AG427" s="3212"/>
      <c r="AH427" s="3212"/>
      <c r="AI427" s="3212"/>
      <c r="AJ427" s="3212"/>
      <c r="AK427" s="3212"/>
      <c r="AL427" s="3212"/>
      <c r="AM427" s="3212"/>
      <c r="AN427" s="3212"/>
      <c r="AO427" s="3212"/>
      <c r="AP427" s="3212"/>
      <c r="AQ427" s="3212"/>
      <c r="AR427" s="3212"/>
      <c r="AS427" s="3212"/>
      <c r="AT427" s="3175"/>
      <c r="AU427" s="3232"/>
      <c r="AV427" s="466">
        <f t="shared" si="269"/>
        <v>0</v>
      </c>
      <c r="AW427" s="466">
        <f t="shared" si="270"/>
        <v>0</v>
      </c>
      <c r="AX427" s="466">
        <f t="shared" si="271"/>
        <v>0</v>
      </c>
      <c r="AY427" s="385">
        <f t="shared" si="272"/>
        <v>0</v>
      </c>
      <c r="AZ427" s="3174">
        <f t="shared" si="273"/>
        <v>0</v>
      </c>
      <c r="BA427" s="3174">
        <f t="shared" si="274"/>
        <v>0</v>
      </c>
      <c r="BB427" s="3174">
        <f t="shared" si="275"/>
        <v>0</v>
      </c>
      <c r="BC427" s="3174">
        <f t="shared" si="276"/>
        <v>0</v>
      </c>
      <c r="BD427" s="3174">
        <f t="shared" si="277"/>
        <v>0</v>
      </c>
      <c r="BE427" s="3174">
        <f t="shared" si="278"/>
        <v>0</v>
      </c>
      <c r="BF427" s="3174">
        <f t="shared" si="279"/>
        <v>0</v>
      </c>
      <c r="BG427" s="3174">
        <f t="shared" si="280"/>
        <v>0</v>
      </c>
      <c r="BH427" s="3174">
        <f t="shared" si="281"/>
        <v>0</v>
      </c>
      <c r="BI427" s="3174">
        <f t="shared" si="282"/>
        <v>0</v>
      </c>
      <c r="BJ427" s="3174">
        <f t="shared" si="283"/>
        <v>0</v>
      </c>
      <c r="BK427" s="3174">
        <f t="shared" si="284"/>
        <v>0</v>
      </c>
      <c r="BL427" s="3174">
        <f t="shared" si="285"/>
        <v>0</v>
      </c>
      <c r="BM427" s="3174">
        <f t="shared" si="286"/>
        <v>0</v>
      </c>
      <c r="BN427" s="3174">
        <f t="shared" si="287"/>
        <v>0</v>
      </c>
      <c r="BO427" s="3174">
        <f t="shared" si="288"/>
        <v>0</v>
      </c>
      <c r="BP427" s="3174">
        <f t="shared" si="289"/>
        <v>0</v>
      </c>
      <c r="BQ427" s="3174">
        <f t="shared" si="290"/>
        <v>0</v>
      </c>
      <c r="BR427" s="3174">
        <f t="shared" si="291"/>
        <v>0</v>
      </c>
      <c r="BS427" s="3174">
        <f t="shared" si="292"/>
        <v>0</v>
      </c>
      <c r="BT427" s="3249">
        <f t="shared" si="293"/>
        <v>0</v>
      </c>
    </row>
    <row r="428" spans="1:72">
      <c r="A428" s="489"/>
      <c r="B428" s="356"/>
      <c r="C428" s="356"/>
      <c r="D428" s="3182"/>
      <c r="E428" s="3174">
        <f t="shared" si="265"/>
        <v>0</v>
      </c>
      <c r="F428" s="3175"/>
      <c r="G428" s="3176">
        <f t="shared" si="266"/>
        <v>0</v>
      </c>
      <c r="H428" s="3177">
        <f t="shared" si="267"/>
        <v>0</v>
      </c>
      <c r="I428" s="3200"/>
      <c r="J428" s="3200"/>
      <c r="K428" s="3200"/>
      <c r="L428" s="3200"/>
      <c r="M428" s="3200"/>
      <c r="N428" s="3200"/>
      <c r="O428" s="3200"/>
      <c r="P428" s="3200"/>
      <c r="Q428" s="3200"/>
      <c r="R428" s="3200"/>
      <c r="S428" s="3200"/>
      <c r="T428" s="3200"/>
      <c r="U428" s="3200"/>
      <c r="V428" s="3200"/>
      <c r="W428" s="3200"/>
      <c r="X428" s="3200"/>
      <c r="Y428" s="3200"/>
      <c r="Z428" s="3200"/>
      <c r="AA428" s="3200"/>
      <c r="AB428" s="3200"/>
      <c r="AC428" s="3174">
        <f t="shared" si="268"/>
        <v>0</v>
      </c>
      <c r="AD428" s="3212"/>
      <c r="AE428" s="3212"/>
      <c r="AF428" s="3212"/>
      <c r="AG428" s="3212"/>
      <c r="AH428" s="3212"/>
      <c r="AI428" s="3212"/>
      <c r="AJ428" s="3212"/>
      <c r="AK428" s="3212"/>
      <c r="AL428" s="3212"/>
      <c r="AM428" s="3212"/>
      <c r="AN428" s="3212"/>
      <c r="AO428" s="3212"/>
      <c r="AP428" s="3212"/>
      <c r="AQ428" s="3212"/>
      <c r="AR428" s="3212"/>
      <c r="AS428" s="3212"/>
      <c r="AT428" s="3175"/>
      <c r="AU428" s="3232"/>
      <c r="AV428" s="466">
        <f t="shared" si="269"/>
        <v>0</v>
      </c>
      <c r="AW428" s="466">
        <f t="shared" si="270"/>
        <v>0</v>
      </c>
      <c r="AX428" s="466">
        <f t="shared" si="271"/>
        <v>0</v>
      </c>
      <c r="AY428" s="385">
        <f t="shared" si="272"/>
        <v>0</v>
      </c>
      <c r="AZ428" s="3174">
        <f t="shared" si="273"/>
        <v>0</v>
      </c>
      <c r="BA428" s="3174">
        <f t="shared" si="274"/>
        <v>0</v>
      </c>
      <c r="BB428" s="3174">
        <f t="shared" si="275"/>
        <v>0</v>
      </c>
      <c r="BC428" s="3174">
        <f t="shared" si="276"/>
        <v>0</v>
      </c>
      <c r="BD428" s="3174">
        <f t="shared" si="277"/>
        <v>0</v>
      </c>
      <c r="BE428" s="3174">
        <f t="shared" si="278"/>
        <v>0</v>
      </c>
      <c r="BF428" s="3174">
        <f t="shared" si="279"/>
        <v>0</v>
      </c>
      <c r="BG428" s="3174">
        <f t="shared" si="280"/>
        <v>0</v>
      </c>
      <c r="BH428" s="3174">
        <f t="shared" si="281"/>
        <v>0</v>
      </c>
      <c r="BI428" s="3174">
        <f t="shared" si="282"/>
        <v>0</v>
      </c>
      <c r="BJ428" s="3174">
        <f t="shared" si="283"/>
        <v>0</v>
      </c>
      <c r="BK428" s="3174">
        <f t="shared" si="284"/>
        <v>0</v>
      </c>
      <c r="BL428" s="3174">
        <f t="shared" si="285"/>
        <v>0</v>
      </c>
      <c r="BM428" s="3174">
        <f t="shared" si="286"/>
        <v>0</v>
      </c>
      <c r="BN428" s="3174">
        <f t="shared" si="287"/>
        <v>0</v>
      </c>
      <c r="BO428" s="3174">
        <f t="shared" si="288"/>
        <v>0</v>
      </c>
      <c r="BP428" s="3174">
        <f t="shared" si="289"/>
        <v>0</v>
      </c>
      <c r="BQ428" s="3174">
        <f t="shared" si="290"/>
        <v>0</v>
      </c>
      <c r="BR428" s="3174">
        <f t="shared" si="291"/>
        <v>0</v>
      </c>
      <c r="BS428" s="3174">
        <f t="shared" si="292"/>
        <v>0</v>
      </c>
      <c r="BT428" s="3249">
        <f t="shared" si="293"/>
        <v>0</v>
      </c>
    </row>
    <row r="429" spans="1:72">
      <c r="A429" s="489"/>
      <c r="B429" s="356"/>
      <c r="C429" s="356"/>
      <c r="D429" s="3182"/>
      <c r="E429" s="3174">
        <f t="shared" si="265"/>
        <v>0</v>
      </c>
      <c r="F429" s="3175"/>
      <c r="G429" s="3176">
        <f t="shared" si="266"/>
        <v>0</v>
      </c>
      <c r="H429" s="3177">
        <f t="shared" si="267"/>
        <v>0</v>
      </c>
      <c r="I429" s="3200"/>
      <c r="J429" s="3200"/>
      <c r="K429" s="3200"/>
      <c r="L429" s="3200"/>
      <c r="M429" s="3200"/>
      <c r="N429" s="3200"/>
      <c r="O429" s="3200"/>
      <c r="P429" s="3200"/>
      <c r="Q429" s="3200"/>
      <c r="R429" s="3200"/>
      <c r="S429" s="3200"/>
      <c r="T429" s="3200"/>
      <c r="U429" s="3200"/>
      <c r="V429" s="3200"/>
      <c r="W429" s="3200"/>
      <c r="X429" s="3200"/>
      <c r="Y429" s="3200"/>
      <c r="Z429" s="3200"/>
      <c r="AA429" s="3200"/>
      <c r="AB429" s="3200"/>
      <c r="AC429" s="3174">
        <f t="shared" si="268"/>
        <v>0</v>
      </c>
      <c r="AD429" s="3212"/>
      <c r="AE429" s="3212"/>
      <c r="AF429" s="3212"/>
      <c r="AG429" s="3212"/>
      <c r="AH429" s="3212"/>
      <c r="AI429" s="3212"/>
      <c r="AJ429" s="3212"/>
      <c r="AK429" s="3212"/>
      <c r="AL429" s="3212"/>
      <c r="AM429" s="3212"/>
      <c r="AN429" s="3212"/>
      <c r="AO429" s="3212"/>
      <c r="AP429" s="3212"/>
      <c r="AQ429" s="3212"/>
      <c r="AR429" s="3212"/>
      <c r="AS429" s="3212"/>
      <c r="AT429" s="3175"/>
      <c r="AU429" s="3232"/>
      <c r="AV429" s="466">
        <f t="shared" si="269"/>
        <v>0</v>
      </c>
      <c r="AW429" s="466">
        <f t="shared" si="270"/>
        <v>0</v>
      </c>
      <c r="AX429" s="466">
        <f t="shared" si="271"/>
        <v>0</v>
      </c>
      <c r="AY429" s="385">
        <f t="shared" si="272"/>
        <v>0</v>
      </c>
      <c r="AZ429" s="3174">
        <f t="shared" si="273"/>
        <v>0</v>
      </c>
      <c r="BA429" s="3174">
        <f t="shared" si="274"/>
        <v>0</v>
      </c>
      <c r="BB429" s="3174">
        <f t="shared" si="275"/>
        <v>0</v>
      </c>
      <c r="BC429" s="3174">
        <f t="shared" si="276"/>
        <v>0</v>
      </c>
      <c r="BD429" s="3174">
        <f t="shared" si="277"/>
        <v>0</v>
      </c>
      <c r="BE429" s="3174">
        <f t="shared" si="278"/>
        <v>0</v>
      </c>
      <c r="BF429" s="3174">
        <f t="shared" si="279"/>
        <v>0</v>
      </c>
      <c r="BG429" s="3174">
        <f t="shared" si="280"/>
        <v>0</v>
      </c>
      <c r="BH429" s="3174">
        <f t="shared" si="281"/>
        <v>0</v>
      </c>
      <c r="BI429" s="3174">
        <f t="shared" si="282"/>
        <v>0</v>
      </c>
      <c r="BJ429" s="3174">
        <f t="shared" si="283"/>
        <v>0</v>
      </c>
      <c r="BK429" s="3174">
        <f t="shared" si="284"/>
        <v>0</v>
      </c>
      <c r="BL429" s="3174">
        <f t="shared" si="285"/>
        <v>0</v>
      </c>
      <c r="BM429" s="3174">
        <f t="shared" si="286"/>
        <v>0</v>
      </c>
      <c r="BN429" s="3174">
        <f t="shared" si="287"/>
        <v>0</v>
      </c>
      <c r="BO429" s="3174">
        <f t="shared" si="288"/>
        <v>0</v>
      </c>
      <c r="BP429" s="3174">
        <f t="shared" si="289"/>
        <v>0</v>
      </c>
      <c r="BQ429" s="3174">
        <f t="shared" si="290"/>
        <v>0</v>
      </c>
      <c r="BR429" s="3174">
        <f t="shared" si="291"/>
        <v>0</v>
      </c>
      <c r="BS429" s="3174">
        <f t="shared" si="292"/>
        <v>0</v>
      </c>
      <c r="BT429" s="3249">
        <f t="shared" si="293"/>
        <v>0</v>
      </c>
    </row>
    <row r="430" spans="1:72">
      <c r="A430" s="489"/>
      <c r="B430" s="356"/>
      <c r="C430" s="356"/>
      <c r="D430" s="3182"/>
      <c r="E430" s="3174">
        <f t="shared" si="265"/>
        <v>0</v>
      </c>
      <c r="F430" s="3175"/>
      <c r="G430" s="3176">
        <f t="shared" si="266"/>
        <v>0</v>
      </c>
      <c r="H430" s="3177">
        <f t="shared" si="267"/>
        <v>0</v>
      </c>
      <c r="I430" s="3200"/>
      <c r="J430" s="3200"/>
      <c r="K430" s="3200"/>
      <c r="L430" s="3200"/>
      <c r="M430" s="3200"/>
      <c r="N430" s="3200"/>
      <c r="O430" s="3200"/>
      <c r="P430" s="3200"/>
      <c r="Q430" s="3200"/>
      <c r="R430" s="3200"/>
      <c r="S430" s="3200"/>
      <c r="T430" s="3200"/>
      <c r="U430" s="3200"/>
      <c r="V430" s="3200"/>
      <c r="W430" s="3200"/>
      <c r="X430" s="3200"/>
      <c r="Y430" s="3200"/>
      <c r="Z430" s="3200"/>
      <c r="AA430" s="3200"/>
      <c r="AB430" s="3200"/>
      <c r="AC430" s="3174">
        <f t="shared" si="268"/>
        <v>0</v>
      </c>
      <c r="AD430" s="3212"/>
      <c r="AE430" s="3212"/>
      <c r="AF430" s="3212"/>
      <c r="AG430" s="3212"/>
      <c r="AH430" s="3212"/>
      <c r="AI430" s="3212"/>
      <c r="AJ430" s="3212"/>
      <c r="AK430" s="3212"/>
      <c r="AL430" s="3212"/>
      <c r="AM430" s="3212"/>
      <c r="AN430" s="3212"/>
      <c r="AO430" s="3212"/>
      <c r="AP430" s="3212"/>
      <c r="AQ430" s="3212"/>
      <c r="AR430" s="3212"/>
      <c r="AS430" s="3212"/>
      <c r="AT430" s="3175"/>
      <c r="AU430" s="3232"/>
      <c r="AV430" s="466">
        <f t="shared" si="269"/>
        <v>0</v>
      </c>
      <c r="AW430" s="466">
        <f t="shared" si="270"/>
        <v>0</v>
      </c>
      <c r="AX430" s="466">
        <f t="shared" si="271"/>
        <v>0</v>
      </c>
      <c r="AY430" s="385">
        <f t="shared" si="272"/>
        <v>0</v>
      </c>
      <c r="AZ430" s="3174">
        <f t="shared" si="273"/>
        <v>0</v>
      </c>
      <c r="BA430" s="3174">
        <f t="shared" si="274"/>
        <v>0</v>
      </c>
      <c r="BB430" s="3174">
        <f t="shared" si="275"/>
        <v>0</v>
      </c>
      <c r="BC430" s="3174">
        <f t="shared" si="276"/>
        <v>0</v>
      </c>
      <c r="BD430" s="3174">
        <f t="shared" si="277"/>
        <v>0</v>
      </c>
      <c r="BE430" s="3174">
        <f t="shared" si="278"/>
        <v>0</v>
      </c>
      <c r="BF430" s="3174">
        <f t="shared" si="279"/>
        <v>0</v>
      </c>
      <c r="BG430" s="3174">
        <f t="shared" si="280"/>
        <v>0</v>
      </c>
      <c r="BH430" s="3174">
        <f t="shared" si="281"/>
        <v>0</v>
      </c>
      <c r="BI430" s="3174">
        <f t="shared" si="282"/>
        <v>0</v>
      </c>
      <c r="BJ430" s="3174">
        <f t="shared" si="283"/>
        <v>0</v>
      </c>
      <c r="BK430" s="3174">
        <f t="shared" si="284"/>
        <v>0</v>
      </c>
      <c r="BL430" s="3174">
        <f t="shared" si="285"/>
        <v>0</v>
      </c>
      <c r="BM430" s="3174">
        <f t="shared" si="286"/>
        <v>0</v>
      </c>
      <c r="BN430" s="3174">
        <f t="shared" si="287"/>
        <v>0</v>
      </c>
      <c r="BO430" s="3174">
        <f t="shared" si="288"/>
        <v>0</v>
      </c>
      <c r="BP430" s="3174">
        <f t="shared" si="289"/>
        <v>0</v>
      </c>
      <c r="BQ430" s="3174">
        <f t="shared" si="290"/>
        <v>0</v>
      </c>
      <c r="BR430" s="3174">
        <f t="shared" si="291"/>
        <v>0</v>
      </c>
      <c r="BS430" s="3174">
        <f t="shared" si="292"/>
        <v>0</v>
      </c>
      <c r="BT430" s="3249">
        <f t="shared" si="293"/>
        <v>0</v>
      </c>
    </row>
    <row r="431" spans="1:72">
      <c r="A431" s="489"/>
      <c r="B431" s="356"/>
      <c r="C431" s="356"/>
      <c r="D431" s="3182"/>
      <c r="E431" s="3174">
        <f t="shared" si="265"/>
        <v>0</v>
      </c>
      <c r="F431" s="3175"/>
      <c r="G431" s="3176">
        <f t="shared" si="266"/>
        <v>0</v>
      </c>
      <c r="H431" s="3177">
        <f t="shared" si="267"/>
        <v>0</v>
      </c>
      <c r="I431" s="3200"/>
      <c r="J431" s="3200"/>
      <c r="K431" s="3200"/>
      <c r="L431" s="3200"/>
      <c r="M431" s="3200"/>
      <c r="N431" s="3200"/>
      <c r="O431" s="3200"/>
      <c r="P431" s="3200"/>
      <c r="Q431" s="3200"/>
      <c r="R431" s="3200"/>
      <c r="S431" s="3200"/>
      <c r="T431" s="3200"/>
      <c r="U431" s="3200"/>
      <c r="V431" s="3200"/>
      <c r="W431" s="3200"/>
      <c r="X431" s="3200"/>
      <c r="Y431" s="3200"/>
      <c r="Z431" s="3200"/>
      <c r="AA431" s="3200"/>
      <c r="AB431" s="3200"/>
      <c r="AC431" s="3174">
        <f t="shared" si="268"/>
        <v>0</v>
      </c>
      <c r="AD431" s="3212"/>
      <c r="AE431" s="3212"/>
      <c r="AF431" s="3212"/>
      <c r="AG431" s="3212"/>
      <c r="AH431" s="3212"/>
      <c r="AI431" s="3212"/>
      <c r="AJ431" s="3212"/>
      <c r="AK431" s="3212"/>
      <c r="AL431" s="3212"/>
      <c r="AM431" s="3212"/>
      <c r="AN431" s="3212"/>
      <c r="AO431" s="3212"/>
      <c r="AP431" s="3212"/>
      <c r="AQ431" s="3212"/>
      <c r="AR431" s="3212"/>
      <c r="AS431" s="3212"/>
      <c r="AT431" s="3175"/>
      <c r="AU431" s="3232"/>
      <c r="AV431" s="466">
        <f t="shared" si="269"/>
        <v>0</v>
      </c>
      <c r="AW431" s="466">
        <f t="shared" si="270"/>
        <v>0</v>
      </c>
      <c r="AX431" s="466">
        <f t="shared" si="271"/>
        <v>0</v>
      </c>
      <c r="AY431" s="385">
        <f t="shared" si="272"/>
        <v>0</v>
      </c>
      <c r="AZ431" s="3174">
        <f t="shared" si="273"/>
        <v>0</v>
      </c>
      <c r="BA431" s="3174">
        <f t="shared" si="274"/>
        <v>0</v>
      </c>
      <c r="BB431" s="3174">
        <f t="shared" si="275"/>
        <v>0</v>
      </c>
      <c r="BC431" s="3174">
        <f t="shared" si="276"/>
        <v>0</v>
      </c>
      <c r="BD431" s="3174">
        <f t="shared" si="277"/>
        <v>0</v>
      </c>
      <c r="BE431" s="3174">
        <f t="shared" si="278"/>
        <v>0</v>
      </c>
      <c r="BF431" s="3174">
        <f t="shared" si="279"/>
        <v>0</v>
      </c>
      <c r="BG431" s="3174">
        <f t="shared" si="280"/>
        <v>0</v>
      </c>
      <c r="BH431" s="3174">
        <f t="shared" si="281"/>
        <v>0</v>
      </c>
      <c r="BI431" s="3174">
        <f t="shared" si="282"/>
        <v>0</v>
      </c>
      <c r="BJ431" s="3174">
        <f t="shared" si="283"/>
        <v>0</v>
      </c>
      <c r="BK431" s="3174">
        <f t="shared" si="284"/>
        <v>0</v>
      </c>
      <c r="BL431" s="3174">
        <f t="shared" si="285"/>
        <v>0</v>
      </c>
      <c r="BM431" s="3174">
        <f t="shared" si="286"/>
        <v>0</v>
      </c>
      <c r="BN431" s="3174">
        <f t="shared" si="287"/>
        <v>0</v>
      </c>
      <c r="BO431" s="3174">
        <f t="shared" si="288"/>
        <v>0</v>
      </c>
      <c r="BP431" s="3174">
        <f t="shared" si="289"/>
        <v>0</v>
      </c>
      <c r="BQ431" s="3174">
        <f t="shared" si="290"/>
        <v>0</v>
      </c>
      <c r="BR431" s="3174">
        <f t="shared" si="291"/>
        <v>0</v>
      </c>
      <c r="BS431" s="3174">
        <f t="shared" si="292"/>
        <v>0</v>
      </c>
      <c r="BT431" s="3249">
        <f t="shared" si="293"/>
        <v>0</v>
      </c>
    </row>
    <row r="432" spans="1:72">
      <c r="A432" s="489"/>
      <c r="B432" s="356"/>
      <c r="C432" s="356"/>
      <c r="D432" s="3182"/>
      <c r="E432" s="3174">
        <f t="shared" si="265"/>
        <v>0</v>
      </c>
      <c r="F432" s="3175"/>
      <c r="G432" s="3176">
        <f t="shared" si="266"/>
        <v>0</v>
      </c>
      <c r="H432" s="3177">
        <f t="shared" si="267"/>
        <v>0</v>
      </c>
      <c r="I432" s="3200"/>
      <c r="J432" s="3200"/>
      <c r="K432" s="3200"/>
      <c r="L432" s="3200"/>
      <c r="M432" s="3200"/>
      <c r="N432" s="3200"/>
      <c r="O432" s="3200"/>
      <c r="P432" s="3200"/>
      <c r="Q432" s="3200"/>
      <c r="R432" s="3200"/>
      <c r="S432" s="3200"/>
      <c r="T432" s="3200"/>
      <c r="U432" s="3200"/>
      <c r="V432" s="3200"/>
      <c r="W432" s="3200"/>
      <c r="X432" s="3200"/>
      <c r="Y432" s="3200"/>
      <c r="Z432" s="3200"/>
      <c r="AA432" s="3200"/>
      <c r="AB432" s="3200"/>
      <c r="AC432" s="3174">
        <f t="shared" si="268"/>
        <v>0</v>
      </c>
      <c r="AD432" s="3212"/>
      <c r="AE432" s="3212"/>
      <c r="AF432" s="3212"/>
      <c r="AG432" s="3212"/>
      <c r="AH432" s="3212"/>
      <c r="AI432" s="3212"/>
      <c r="AJ432" s="3212"/>
      <c r="AK432" s="3212"/>
      <c r="AL432" s="3212"/>
      <c r="AM432" s="3212"/>
      <c r="AN432" s="3212"/>
      <c r="AO432" s="3212"/>
      <c r="AP432" s="3212"/>
      <c r="AQ432" s="3212"/>
      <c r="AR432" s="3212"/>
      <c r="AS432" s="3212"/>
      <c r="AT432" s="3175"/>
      <c r="AU432" s="3232"/>
      <c r="AV432" s="466">
        <f t="shared" si="269"/>
        <v>0</v>
      </c>
      <c r="AW432" s="466">
        <f t="shared" si="270"/>
        <v>0</v>
      </c>
      <c r="AX432" s="466">
        <f t="shared" si="271"/>
        <v>0</v>
      </c>
      <c r="AY432" s="385">
        <f t="shared" si="272"/>
        <v>0</v>
      </c>
      <c r="AZ432" s="3174">
        <f t="shared" si="273"/>
        <v>0</v>
      </c>
      <c r="BA432" s="3174">
        <f t="shared" si="274"/>
        <v>0</v>
      </c>
      <c r="BB432" s="3174">
        <f t="shared" si="275"/>
        <v>0</v>
      </c>
      <c r="BC432" s="3174">
        <f t="shared" si="276"/>
        <v>0</v>
      </c>
      <c r="BD432" s="3174">
        <f t="shared" si="277"/>
        <v>0</v>
      </c>
      <c r="BE432" s="3174">
        <f t="shared" si="278"/>
        <v>0</v>
      </c>
      <c r="BF432" s="3174">
        <f t="shared" si="279"/>
        <v>0</v>
      </c>
      <c r="BG432" s="3174">
        <f t="shared" si="280"/>
        <v>0</v>
      </c>
      <c r="BH432" s="3174">
        <f t="shared" si="281"/>
        <v>0</v>
      </c>
      <c r="BI432" s="3174">
        <f t="shared" si="282"/>
        <v>0</v>
      </c>
      <c r="BJ432" s="3174">
        <f t="shared" si="283"/>
        <v>0</v>
      </c>
      <c r="BK432" s="3174">
        <f t="shared" si="284"/>
        <v>0</v>
      </c>
      <c r="BL432" s="3174">
        <f t="shared" si="285"/>
        <v>0</v>
      </c>
      <c r="BM432" s="3174">
        <f t="shared" si="286"/>
        <v>0</v>
      </c>
      <c r="BN432" s="3174">
        <f t="shared" si="287"/>
        <v>0</v>
      </c>
      <c r="BO432" s="3174">
        <f t="shared" si="288"/>
        <v>0</v>
      </c>
      <c r="BP432" s="3174">
        <f t="shared" si="289"/>
        <v>0</v>
      </c>
      <c r="BQ432" s="3174">
        <f t="shared" si="290"/>
        <v>0</v>
      </c>
      <c r="BR432" s="3174">
        <f t="shared" si="291"/>
        <v>0</v>
      </c>
      <c r="BS432" s="3174">
        <f t="shared" si="292"/>
        <v>0</v>
      </c>
      <c r="BT432" s="3249">
        <f t="shared" si="293"/>
        <v>0</v>
      </c>
    </row>
    <row r="433" spans="1:72">
      <c r="A433" s="489"/>
      <c r="B433" s="356"/>
      <c r="C433" s="356"/>
      <c r="D433" s="3182"/>
      <c r="E433" s="3174">
        <f t="shared" si="265"/>
        <v>0</v>
      </c>
      <c r="F433" s="3175"/>
      <c r="G433" s="3176">
        <f t="shared" si="266"/>
        <v>0</v>
      </c>
      <c r="H433" s="3177">
        <f t="shared" si="267"/>
        <v>0</v>
      </c>
      <c r="I433" s="3200"/>
      <c r="J433" s="3200"/>
      <c r="K433" s="3200"/>
      <c r="L433" s="3200"/>
      <c r="M433" s="3200"/>
      <c r="N433" s="3200"/>
      <c r="O433" s="3200"/>
      <c r="P433" s="3200"/>
      <c r="Q433" s="3200"/>
      <c r="R433" s="3200"/>
      <c r="S433" s="3200"/>
      <c r="T433" s="3200"/>
      <c r="U433" s="3200"/>
      <c r="V433" s="3200"/>
      <c r="W433" s="3200"/>
      <c r="X433" s="3200"/>
      <c r="Y433" s="3200"/>
      <c r="Z433" s="3200"/>
      <c r="AA433" s="3200"/>
      <c r="AB433" s="3200"/>
      <c r="AC433" s="3174">
        <f t="shared" si="268"/>
        <v>0</v>
      </c>
      <c r="AD433" s="3212"/>
      <c r="AE433" s="3212"/>
      <c r="AF433" s="3212"/>
      <c r="AG433" s="3212"/>
      <c r="AH433" s="3212"/>
      <c r="AI433" s="3212"/>
      <c r="AJ433" s="3212"/>
      <c r="AK433" s="3212"/>
      <c r="AL433" s="3212"/>
      <c r="AM433" s="3212"/>
      <c r="AN433" s="3212"/>
      <c r="AO433" s="3212"/>
      <c r="AP433" s="3212"/>
      <c r="AQ433" s="3212"/>
      <c r="AR433" s="3212"/>
      <c r="AS433" s="3212"/>
      <c r="AT433" s="3175"/>
      <c r="AU433" s="3232"/>
      <c r="AV433" s="466">
        <f t="shared" si="269"/>
        <v>0</v>
      </c>
      <c r="AW433" s="466">
        <f t="shared" si="270"/>
        <v>0</v>
      </c>
      <c r="AX433" s="466">
        <f t="shared" si="271"/>
        <v>0</v>
      </c>
      <c r="AY433" s="385">
        <f t="shared" si="272"/>
        <v>0</v>
      </c>
      <c r="AZ433" s="3174">
        <f t="shared" si="273"/>
        <v>0</v>
      </c>
      <c r="BA433" s="3174">
        <f t="shared" si="274"/>
        <v>0</v>
      </c>
      <c r="BB433" s="3174">
        <f t="shared" si="275"/>
        <v>0</v>
      </c>
      <c r="BC433" s="3174">
        <f t="shared" si="276"/>
        <v>0</v>
      </c>
      <c r="BD433" s="3174">
        <f t="shared" si="277"/>
        <v>0</v>
      </c>
      <c r="BE433" s="3174">
        <f t="shared" si="278"/>
        <v>0</v>
      </c>
      <c r="BF433" s="3174">
        <f t="shared" si="279"/>
        <v>0</v>
      </c>
      <c r="BG433" s="3174">
        <f t="shared" si="280"/>
        <v>0</v>
      </c>
      <c r="BH433" s="3174">
        <f t="shared" si="281"/>
        <v>0</v>
      </c>
      <c r="BI433" s="3174">
        <f t="shared" si="282"/>
        <v>0</v>
      </c>
      <c r="BJ433" s="3174">
        <f t="shared" si="283"/>
        <v>0</v>
      </c>
      <c r="BK433" s="3174">
        <f t="shared" si="284"/>
        <v>0</v>
      </c>
      <c r="BL433" s="3174">
        <f t="shared" si="285"/>
        <v>0</v>
      </c>
      <c r="BM433" s="3174">
        <f t="shared" si="286"/>
        <v>0</v>
      </c>
      <c r="BN433" s="3174">
        <f t="shared" si="287"/>
        <v>0</v>
      </c>
      <c r="BO433" s="3174">
        <f t="shared" si="288"/>
        <v>0</v>
      </c>
      <c r="BP433" s="3174">
        <f t="shared" si="289"/>
        <v>0</v>
      </c>
      <c r="BQ433" s="3174">
        <f t="shared" si="290"/>
        <v>0</v>
      </c>
      <c r="BR433" s="3174">
        <f t="shared" si="291"/>
        <v>0</v>
      </c>
      <c r="BS433" s="3174">
        <f t="shared" si="292"/>
        <v>0</v>
      </c>
      <c r="BT433" s="3249">
        <f t="shared" si="293"/>
        <v>0</v>
      </c>
    </row>
    <row r="434" spans="1:72">
      <c r="A434" s="489"/>
      <c r="B434" s="356"/>
      <c r="C434" s="356"/>
      <c r="D434" s="3182"/>
      <c r="E434" s="3174">
        <f t="shared" si="265"/>
        <v>0</v>
      </c>
      <c r="F434" s="3175"/>
      <c r="G434" s="3176">
        <f t="shared" si="266"/>
        <v>0</v>
      </c>
      <c r="H434" s="3177">
        <f t="shared" si="267"/>
        <v>0</v>
      </c>
      <c r="I434" s="3200"/>
      <c r="J434" s="3200"/>
      <c r="K434" s="3200"/>
      <c r="L434" s="3200"/>
      <c r="M434" s="3200"/>
      <c r="N434" s="3200"/>
      <c r="O434" s="3200"/>
      <c r="P434" s="3200"/>
      <c r="Q434" s="3200"/>
      <c r="R434" s="3200"/>
      <c r="S434" s="3200"/>
      <c r="T434" s="3200"/>
      <c r="U434" s="3200"/>
      <c r="V434" s="3200"/>
      <c r="W434" s="3200"/>
      <c r="X434" s="3200"/>
      <c r="Y434" s="3200"/>
      <c r="Z434" s="3200"/>
      <c r="AA434" s="3200"/>
      <c r="AB434" s="3200"/>
      <c r="AC434" s="3174">
        <f t="shared" si="268"/>
        <v>0</v>
      </c>
      <c r="AD434" s="3212"/>
      <c r="AE434" s="3212"/>
      <c r="AF434" s="3212"/>
      <c r="AG434" s="3212"/>
      <c r="AH434" s="3212"/>
      <c r="AI434" s="3212"/>
      <c r="AJ434" s="3212"/>
      <c r="AK434" s="3212"/>
      <c r="AL434" s="3212"/>
      <c r="AM434" s="3212"/>
      <c r="AN434" s="3212"/>
      <c r="AO434" s="3212"/>
      <c r="AP434" s="3212"/>
      <c r="AQ434" s="3212"/>
      <c r="AR434" s="3212"/>
      <c r="AS434" s="3212"/>
      <c r="AT434" s="3175"/>
      <c r="AU434" s="3232"/>
      <c r="AV434" s="466">
        <f t="shared" si="269"/>
        <v>0</v>
      </c>
      <c r="AW434" s="466">
        <f t="shared" si="270"/>
        <v>0</v>
      </c>
      <c r="AX434" s="466">
        <f t="shared" si="271"/>
        <v>0</v>
      </c>
      <c r="AY434" s="385">
        <f t="shared" si="272"/>
        <v>0</v>
      </c>
      <c r="AZ434" s="3174">
        <f t="shared" si="273"/>
        <v>0</v>
      </c>
      <c r="BA434" s="3174">
        <f t="shared" si="274"/>
        <v>0</v>
      </c>
      <c r="BB434" s="3174">
        <f t="shared" si="275"/>
        <v>0</v>
      </c>
      <c r="BC434" s="3174">
        <f t="shared" si="276"/>
        <v>0</v>
      </c>
      <c r="BD434" s="3174">
        <f t="shared" si="277"/>
        <v>0</v>
      </c>
      <c r="BE434" s="3174">
        <f t="shared" si="278"/>
        <v>0</v>
      </c>
      <c r="BF434" s="3174">
        <f t="shared" si="279"/>
        <v>0</v>
      </c>
      <c r="BG434" s="3174">
        <f t="shared" si="280"/>
        <v>0</v>
      </c>
      <c r="BH434" s="3174">
        <f t="shared" si="281"/>
        <v>0</v>
      </c>
      <c r="BI434" s="3174">
        <f t="shared" si="282"/>
        <v>0</v>
      </c>
      <c r="BJ434" s="3174">
        <f t="shared" si="283"/>
        <v>0</v>
      </c>
      <c r="BK434" s="3174">
        <f t="shared" si="284"/>
        <v>0</v>
      </c>
      <c r="BL434" s="3174">
        <f t="shared" si="285"/>
        <v>0</v>
      </c>
      <c r="BM434" s="3174">
        <f t="shared" si="286"/>
        <v>0</v>
      </c>
      <c r="BN434" s="3174">
        <f t="shared" si="287"/>
        <v>0</v>
      </c>
      <c r="BO434" s="3174">
        <f t="shared" si="288"/>
        <v>0</v>
      </c>
      <c r="BP434" s="3174">
        <f t="shared" si="289"/>
        <v>0</v>
      </c>
      <c r="BQ434" s="3174">
        <f t="shared" si="290"/>
        <v>0</v>
      </c>
      <c r="BR434" s="3174">
        <f t="shared" si="291"/>
        <v>0</v>
      </c>
      <c r="BS434" s="3174">
        <f t="shared" si="292"/>
        <v>0</v>
      </c>
      <c r="BT434" s="3249">
        <f t="shared" si="293"/>
        <v>0</v>
      </c>
    </row>
    <row r="435" spans="1:72">
      <c r="A435" s="489"/>
      <c r="B435" s="356"/>
      <c r="C435" s="356"/>
      <c r="D435" s="3182"/>
      <c r="E435" s="3174">
        <f t="shared" si="265"/>
        <v>0</v>
      </c>
      <c r="F435" s="3175"/>
      <c r="G435" s="3176">
        <f t="shared" si="266"/>
        <v>0</v>
      </c>
      <c r="H435" s="3177">
        <f t="shared" si="267"/>
        <v>0</v>
      </c>
      <c r="I435" s="3200"/>
      <c r="J435" s="3200"/>
      <c r="K435" s="3200"/>
      <c r="L435" s="3200"/>
      <c r="M435" s="3200"/>
      <c r="N435" s="3200"/>
      <c r="O435" s="3200"/>
      <c r="P435" s="3200"/>
      <c r="Q435" s="3200"/>
      <c r="R435" s="3200"/>
      <c r="S435" s="3200"/>
      <c r="T435" s="3200"/>
      <c r="U435" s="3200"/>
      <c r="V435" s="3200"/>
      <c r="W435" s="3200"/>
      <c r="X435" s="3200"/>
      <c r="Y435" s="3200"/>
      <c r="Z435" s="3200"/>
      <c r="AA435" s="3200"/>
      <c r="AB435" s="3200"/>
      <c r="AC435" s="3174">
        <f t="shared" si="268"/>
        <v>0</v>
      </c>
      <c r="AD435" s="3212"/>
      <c r="AE435" s="3212"/>
      <c r="AF435" s="3212"/>
      <c r="AG435" s="3212"/>
      <c r="AH435" s="3212"/>
      <c r="AI435" s="3212"/>
      <c r="AJ435" s="3212"/>
      <c r="AK435" s="3212"/>
      <c r="AL435" s="3212"/>
      <c r="AM435" s="3212"/>
      <c r="AN435" s="3212"/>
      <c r="AO435" s="3212"/>
      <c r="AP435" s="3212"/>
      <c r="AQ435" s="3212"/>
      <c r="AR435" s="3212"/>
      <c r="AS435" s="3212"/>
      <c r="AT435" s="3175"/>
      <c r="AU435" s="3232"/>
      <c r="AV435" s="466">
        <f t="shared" si="269"/>
        <v>0</v>
      </c>
      <c r="AW435" s="466">
        <f t="shared" si="270"/>
        <v>0</v>
      </c>
      <c r="AX435" s="466">
        <f t="shared" si="271"/>
        <v>0</v>
      </c>
      <c r="AY435" s="385">
        <f t="shared" si="272"/>
        <v>0</v>
      </c>
      <c r="AZ435" s="3174">
        <f t="shared" si="273"/>
        <v>0</v>
      </c>
      <c r="BA435" s="3174">
        <f t="shared" si="274"/>
        <v>0</v>
      </c>
      <c r="BB435" s="3174">
        <f t="shared" si="275"/>
        <v>0</v>
      </c>
      <c r="BC435" s="3174">
        <f t="shared" si="276"/>
        <v>0</v>
      </c>
      <c r="BD435" s="3174">
        <f t="shared" si="277"/>
        <v>0</v>
      </c>
      <c r="BE435" s="3174">
        <f t="shared" si="278"/>
        <v>0</v>
      </c>
      <c r="BF435" s="3174">
        <f t="shared" si="279"/>
        <v>0</v>
      </c>
      <c r="BG435" s="3174">
        <f t="shared" si="280"/>
        <v>0</v>
      </c>
      <c r="BH435" s="3174">
        <f t="shared" si="281"/>
        <v>0</v>
      </c>
      <c r="BI435" s="3174">
        <f t="shared" si="282"/>
        <v>0</v>
      </c>
      <c r="BJ435" s="3174">
        <f t="shared" si="283"/>
        <v>0</v>
      </c>
      <c r="BK435" s="3174">
        <f t="shared" si="284"/>
        <v>0</v>
      </c>
      <c r="BL435" s="3174">
        <f t="shared" si="285"/>
        <v>0</v>
      </c>
      <c r="BM435" s="3174">
        <f t="shared" si="286"/>
        <v>0</v>
      </c>
      <c r="BN435" s="3174">
        <f t="shared" si="287"/>
        <v>0</v>
      </c>
      <c r="BO435" s="3174">
        <f t="shared" si="288"/>
        <v>0</v>
      </c>
      <c r="BP435" s="3174">
        <f t="shared" si="289"/>
        <v>0</v>
      </c>
      <c r="BQ435" s="3174">
        <f t="shared" si="290"/>
        <v>0</v>
      </c>
      <c r="BR435" s="3174">
        <f t="shared" si="291"/>
        <v>0</v>
      </c>
      <c r="BS435" s="3174">
        <f t="shared" si="292"/>
        <v>0</v>
      </c>
      <c r="BT435" s="3249">
        <f t="shared" si="293"/>
        <v>0</v>
      </c>
    </row>
    <row r="436" spans="1:72">
      <c r="A436" s="489"/>
      <c r="B436" s="356"/>
      <c r="C436" s="356"/>
      <c r="D436" s="3182"/>
      <c r="E436" s="3174">
        <f t="shared" si="265"/>
        <v>0</v>
      </c>
      <c r="F436" s="3175"/>
      <c r="G436" s="3176">
        <f t="shared" si="266"/>
        <v>0</v>
      </c>
      <c r="H436" s="3177">
        <f t="shared" si="267"/>
        <v>0</v>
      </c>
      <c r="I436" s="3200"/>
      <c r="J436" s="3200"/>
      <c r="K436" s="3200"/>
      <c r="L436" s="3200"/>
      <c r="M436" s="3200"/>
      <c r="N436" s="3200"/>
      <c r="O436" s="3200"/>
      <c r="P436" s="3200"/>
      <c r="Q436" s="3200"/>
      <c r="R436" s="3200"/>
      <c r="S436" s="3200"/>
      <c r="T436" s="3200"/>
      <c r="U436" s="3200"/>
      <c r="V436" s="3200"/>
      <c r="W436" s="3200"/>
      <c r="X436" s="3200"/>
      <c r="Y436" s="3200"/>
      <c r="Z436" s="3200"/>
      <c r="AA436" s="3200"/>
      <c r="AB436" s="3200"/>
      <c r="AC436" s="3174">
        <f t="shared" si="268"/>
        <v>0</v>
      </c>
      <c r="AD436" s="3212"/>
      <c r="AE436" s="3212"/>
      <c r="AF436" s="3212"/>
      <c r="AG436" s="3212"/>
      <c r="AH436" s="3212"/>
      <c r="AI436" s="3212"/>
      <c r="AJ436" s="3212"/>
      <c r="AK436" s="3212"/>
      <c r="AL436" s="3212"/>
      <c r="AM436" s="3212"/>
      <c r="AN436" s="3212"/>
      <c r="AO436" s="3212"/>
      <c r="AP436" s="3212"/>
      <c r="AQ436" s="3212"/>
      <c r="AR436" s="3212"/>
      <c r="AS436" s="3212"/>
      <c r="AT436" s="3175"/>
      <c r="AU436" s="3232"/>
      <c r="AV436" s="466">
        <f t="shared" si="269"/>
        <v>0</v>
      </c>
      <c r="AW436" s="466">
        <f t="shared" si="270"/>
        <v>0</v>
      </c>
      <c r="AX436" s="466">
        <f t="shared" si="271"/>
        <v>0</v>
      </c>
      <c r="AY436" s="385">
        <f t="shared" si="272"/>
        <v>0</v>
      </c>
      <c r="AZ436" s="3174">
        <f t="shared" si="273"/>
        <v>0</v>
      </c>
      <c r="BA436" s="3174">
        <f t="shared" si="274"/>
        <v>0</v>
      </c>
      <c r="BB436" s="3174">
        <f t="shared" si="275"/>
        <v>0</v>
      </c>
      <c r="BC436" s="3174">
        <f t="shared" si="276"/>
        <v>0</v>
      </c>
      <c r="BD436" s="3174">
        <f t="shared" si="277"/>
        <v>0</v>
      </c>
      <c r="BE436" s="3174">
        <f t="shared" si="278"/>
        <v>0</v>
      </c>
      <c r="BF436" s="3174">
        <f t="shared" si="279"/>
        <v>0</v>
      </c>
      <c r="BG436" s="3174">
        <f t="shared" si="280"/>
        <v>0</v>
      </c>
      <c r="BH436" s="3174">
        <f t="shared" si="281"/>
        <v>0</v>
      </c>
      <c r="BI436" s="3174">
        <f t="shared" si="282"/>
        <v>0</v>
      </c>
      <c r="BJ436" s="3174">
        <f t="shared" si="283"/>
        <v>0</v>
      </c>
      <c r="BK436" s="3174">
        <f t="shared" si="284"/>
        <v>0</v>
      </c>
      <c r="BL436" s="3174">
        <f t="shared" si="285"/>
        <v>0</v>
      </c>
      <c r="BM436" s="3174">
        <f t="shared" si="286"/>
        <v>0</v>
      </c>
      <c r="BN436" s="3174">
        <f t="shared" si="287"/>
        <v>0</v>
      </c>
      <c r="BO436" s="3174">
        <f t="shared" si="288"/>
        <v>0</v>
      </c>
      <c r="BP436" s="3174">
        <f t="shared" si="289"/>
        <v>0</v>
      </c>
      <c r="BQ436" s="3174">
        <f t="shared" si="290"/>
        <v>0</v>
      </c>
      <c r="BR436" s="3174">
        <f t="shared" si="291"/>
        <v>0</v>
      </c>
      <c r="BS436" s="3174">
        <f t="shared" si="292"/>
        <v>0</v>
      </c>
      <c r="BT436" s="3249">
        <f t="shared" si="293"/>
        <v>0</v>
      </c>
    </row>
    <row r="437" spans="1:72">
      <c r="A437" s="489"/>
      <c r="B437" s="356"/>
      <c r="C437" s="356"/>
      <c r="D437" s="3182"/>
      <c r="E437" s="3174">
        <f t="shared" si="265"/>
        <v>0</v>
      </c>
      <c r="F437" s="3175"/>
      <c r="G437" s="3176">
        <f t="shared" si="266"/>
        <v>0</v>
      </c>
      <c r="H437" s="3177">
        <f t="shared" si="267"/>
        <v>0</v>
      </c>
      <c r="I437" s="3200"/>
      <c r="J437" s="3200"/>
      <c r="K437" s="3200"/>
      <c r="L437" s="3200"/>
      <c r="M437" s="3200"/>
      <c r="N437" s="3200"/>
      <c r="O437" s="3200"/>
      <c r="P437" s="3200"/>
      <c r="Q437" s="3200"/>
      <c r="R437" s="3200"/>
      <c r="S437" s="3200"/>
      <c r="T437" s="3200"/>
      <c r="U437" s="3200"/>
      <c r="V437" s="3200"/>
      <c r="W437" s="3200"/>
      <c r="X437" s="3200"/>
      <c r="Y437" s="3200"/>
      <c r="Z437" s="3200"/>
      <c r="AA437" s="3200"/>
      <c r="AB437" s="3200"/>
      <c r="AC437" s="3174">
        <f t="shared" si="268"/>
        <v>0</v>
      </c>
      <c r="AD437" s="3212"/>
      <c r="AE437" s="3212"/>
      <c r="AF437" s="3212"/>
      <c r="AG437" s="3212"/>
      <c r="AH437" s="3212"/>
      <c r="AI437" s="3212"/>
      <c r="AJ437" s="3212"/>
      <c r="AK437" s="3212"/>
      <c r="AL437" s="3212"/>
      <c r="AM437" s="3212"/>
      <c r="AN437" s="3212"/>
      <c r="AO437" s="3212"/>
      <c r="AP437" s="3212"/>
      <c r="AQ437" s="3212"/>
      <c r="AR437" s="3212"/>
      <c r="AS437" s="3212"/>
      <c r="AT437" s="3175"/>
      <c r="AU437" s="3232"/>
      <c r="AV437" s="466">
        <f t="shared" si="269"/>
        <v>0</v>
      </c>
      <c r="AW437" s="466">
        <f t="shared" si="270"/>
        <v>0</v>
      </c>
      <c r="AX437" s="466">
        <f t="shared" si="271"/>
        <v>0</v>
      </c>
      <c r="AY437" s="385">
        <f t="shared" si="272"/>
        <v>0</v>
      </c>
      <c r="AZ437" s="3174">
        <f t="shared" si="273"/>
        <v>0</v>
      </c>
      <c r="BA437" s="3174">
        <f t="shared" si="274"/>
        <v>0</v>
      </c>
      <c r="BB437" s="3174">
        <f t="shared" si="275"/>
        <v>0</v>
      </c>
      <c r="BC437" s="3174">
        <f t="shared" si="276"/>
        <v>0</v>
      </c>
      <c r="BD437" s="3174">
        <f t="shared" si="277"/>
        <v>0</v>
      </c>
      <c r="BE437" s="3174">
        <f t="shared" si="278"/>
        <v>0</v>
      </c>
      <c r="BF437" s="3174">
        <f t="shared" si="279"/>
        <v>0</v>
      </c>
      <c r="BG437" s="3174">
        <f t="shared" si="280"/>
        <v>0</v>
      </c>
      <c r="BH437" s="3174">
        <f t="shared" si="281"/>
        <v>0</v>
      </c>
      <c r="BI437" s="3174">
        <f t="shared" si="282"/>
        <v>0</v>
      </c>
      <c r="BJ437" s="3174">
        <f t="shared" si="283"/>
        <v>0</v>
      </c>
      <c r="BK437" s="3174">
        <f t="shared" si="284"/>
        <v>0</v>
      </c>
      <c r="BL437" s="3174">
        <f t="shared" si="285"/>
        <v>0</v>
      </c>
      <c r="BM437" s="3174">
        <f t="shared" si="286"/>
        <v>0</v>
      </c>
      <c r="BN437" s="3174">
        <f t="shared" si="287"/>
        <v>0</v>
      </c>
      <c r="BO437" s="3174">
        <f t="shared" si="288"/>
        <v>0</v>
      </c>
      <c r="BP437" s="3174">
        <f t="shared" si="289"/>
        <v>0</v>
      </c>
      <c r="BQ437" s="3174">
        <f t="shared" si="290"/>
        <v>0</v>
      </c>
      <c r="BR437" s="3174">
        <f t="shared" si="291"/>
        <v>0</v>
      </c>
      <c r="BS437" s="3174">
        <f t="shared" si="292"/>
        <v>0</v>
      </c>
      <c r="BT437" s="3249">
        <f t="shared" si="293"/>
        <v>0</v>
      </c>
    </row>
    <row r="438" spans="1:72">
      <c r="A438" s="489"/>
      <c r="B438" s="356"/>
      <c r="C438" s="356"/>
      <c r="D438" s="3182"/>
      <c r="E438" s="3174">
        <f t="shared" si="265"/>
        <v>0</v>
      </c>
      <c r="F438" s="3175"/>
      <c r="G438" s="3176">
        <f t="shared" si="266"/>
        <v>0</v>
      </c>
      <c r="H438" s="3177">
        <f t="shared" si="267"/>
        <v>0</v>
      </c>
      <c r="I438" s="3200"/>
      <c r="J438" s="3200"/>
      <c r="K438" s="3200"/>
      <c r="L438" s="3200"/>
      <c r="M438" s="3200"/>
      <c r="N438" s="3200"/>
      <c r="O438" s="3200"/>
      <c r="P438" s="3200"/>
      <c r="Q438" s="3200"/>
      <c r="R438" s="3200"/>
      <c r="S438" s="3200"/>
      <c r="T438" s="3200"/>
      <c r="U438" s="3200"/>
      <c r="V438" s="3200"/>
      <c r="W438" s="3200"/>
      <c r="X438" s="3200"/>
      <c r="Y438" s="3200"/>
      <c r="Z438" s="3200"/>
      <c r="AA438" s="3200"/>
      <c r="AB438" s="3200"/>
      <c r="AC438" s="3174">
        <f t="shared" si="268"/>
        <v>0</v>
      </c>
      <c r="AD438" s="3212"/>
      <c r="AE438" s="3212"/>
      <c r="AF438" s="3212"/>
      <c r="AG438" s="3212"/>
      <c r="AH438" s="3212"/>
      <c r="AI438" s="3212"/>
      <c r="AJ438" s="3212"/>
      <c r="AK438" s="3212"/>
      <c r="AL438" s="3212"/>
      <c r="AM438" s="3212"/>
      <c r="AN438" s="3212"/>
      <c r="AO438" s="3212"/>
      <c r="AP438" s="3212"/>
      <c r="AQ438" s="3212"/>
      <c r="AR438" s="3212"/>
      <c r="AS438" s="3212"/>
      <c r="AT438" s="3175"/>
      <c r="AU438" s="3232"/>
      <c r="AV438" s="466">
        <f t="shared" si="269"/>
        <v>0</v>
      </c>
      <c r="AW438" s="466">
        <f t="shared" si="270"/>
        <v>0</v>
      </c>
      <c r="AX438" s="466">
        <f t="shared" si="271"/>
        <v>0</v>
      </c>
      <c r="AY438" s="385">
        <f t="shared" si="272"/>
        <v>0</v>
      </c>
      <c r="AZ438" s="3174">
        <f t="shared" si="273"/>
        <v>0</v>
      </c>
      <c r="BA438" s="3174">
        <f t="shared" si="274"/>
        <v>0</v>
      </c>
      <c r="BB438" s="3174">
        <f t="shared" si="275"/>
        <v>0</v>
      </c>
      <c r="BC438" s="3174">
        <f t="shared" si="276"/>
        <v>0</v>
      </c>
      <c r="BD438" s="3174">
        <f t="shared" si="277"/>
        <v>0</v>
      </c>
      <c r="BE438" s="3174">
        <f t="shared" si="278"/>
        <v>0</v>
      </c>
      <c r="BF438" s="3174">
        <f t="shared" si="279"/>
        <v>0</v>
      </c>
      <c r="BG438" s="3174">
        <f t="shared" si="280"/>
        <v>0</v>
      </c>
      <c r="BH438" s="3174">
        <f t="shared" si="281"/>
        <v>0</v>
      </c>
      <c r="BI438" s="3174">
        <f t="shared" si="282"/>
        <v>0</v>
      </c>
      <c r="BJ438" s="3174">
        <f t="shared" si="283"/>
        <v>0</v>
      </c>
      <c r="BK438" s="3174">
        <f t="shared" si="284"/>
        <v>0</v>
      </c>
      <c r="BL438" s="3174">
        <f t="shared" si="285"/>
        <v>0</v>
      </c>
      <c r="BM438" s="3174">
        <f t="shared" si="286"/>
        <v>0</v>
      </c>
      <c r="BN438" s="3174">
        <f t="shared" si="287"/>
        <v>0</v>
      </c>
      <c r="BO438" s="3174">
        <f t="shared" si="288"/>
        <v>0</v>
      </c>
      <c r="BP438" s="3174">
        <f t="shared" si="289"/>
        <v>0</v>
      </c>
      <c r="BQ438" s="3174">
        <f t="shared" si="290"/>
        <v>0</v>
      </c>
      <c r="BR438" s="3174">
        <f t="shared" si="291"/>
        <v>0</v>
      </c>
      <c r="BS438" s="3174">
        <f t="shared" si="292"/>
        <v>0</v>
      </c>
      <c r="BT438" s="3249">
        <f t="shared" si="293"/>
        <v>0</v>
      </c>
    </row>
    <row r="439" spans="1:72">
      <c r="A439" s="489"/>
      <c r="B439" s="356"/>
      <c r="C439" s="356"/>
      <c r="D439" s="3182"/>
      <c r="E439" s="3174">
        <f t="shared" si="265"/>
        <v>0</v>
      </c>
      <c r="F439" s="3175"/>
      <c r="G439" s="3176">
        <f t="shared" si="266"/>
        <v>0</v>
      </c>
      <c r="H439" s="3177">
        <f t="shared" si="267"/>
        <v>0</v>
      </c>
      <c r="I439" s="3200"/>
      <c r="J439" s="3200"/>
      <c r="K439" s="3200"/>
      <c r="L439" s="3200"/>
      <c r="M439" s="3200"/>
      <c r="N439" s="3200"/>
      <c r="O439" s="3200"/>
      <c r="P439" s="3200"/>
      <c r="Q439" s="3200"/>
      <c r="R439" s="3200"/>
      <c r="S439" s="3200"/>
      <c r="T439" s="3200"/>
      <c r="U439" s="3200"/>
      <c r="V439" s="3200"/>
      <c r="W439" s="3200"/>
      <c r="X439" s="3200"/>
      <c r="Y439" s="3200"/>
      <c r="Z439" s="3200"/>
      <c r="AA439" s="3200"/>
      <c r="AB439" s="3200"/>
      <c r="AC439" s="3174">
        <f t="shared" si="268"/>
        <v>0</v>
      </c>
      <c r="AD439" s="3212"/>
      <c r="AE439" s="3212"/>
      <c r="AF439" s="3212"/>
      <c r="AG439" s="3212"/>
      <c r="AH439" s="3212"/>
      <c r="AI439" s="3212"/>
      <c r="AJ439" s="3212"/>
      <c r="AK439" s="3212"/>
      <c r="AL439" s="3212"/>
      <c r="AM439" s="3212"/>
      <c r="AN439" s="3212"/>
      <c r="AO439" s="3212"/>
      <c r="AP439" s="3212"/>
      <c r="AQ439" s="3212"/>
      <c r="AR439" s="3212"/>
      <c r="AS439" s="3212"/>
      <c r="AT439" s="3175"/>
      <c r="AU439" s="3232"/>
      <c r="AV439" s="466">
        <f t="shared" si="269"/>
        <v>0</v>
      </c>
      <c r="AW439" s="466">
        <f t="shared" si="270"/>
        <v>0</v>
      </c>
      <c r="AX439" s="466">
        <f t="shared" si="271"/>
        <v>0</v>
      </c>
      <c r="AY439" s="385">
        <f t="shared" si="272"/>
        <v>0</v>
      </c>
      <c r="AZ439" s="3174">
        <f t="shared" si="273"/>
        <v>0</v>
      </c>
      <c r="BA439" s="3174">
        <f t="shared" si="274"/>
        <v>0</v>
      </c>
      <c r="BB439" s="3174">
        <f t="shared" si="275"/>
        <v>0</v>
      </c>
      <c r="BC439" s="3174">
        <f t="shared" si="276"/>
        <v>0</v>
      </c>
      <c r="BD439" s="3174">
        <f t="shared" si="277"/>
        <v>0</v>
      </c>
      <c r="BE439" s="3174">
        <f t="shared" si="278"/>
        <v>0</v>
      </c>
      <c r="BF439" s="3174">
        <f t="shared" si="279"/>
        <v>0</v>
      </c>
      <c r="BG439" s="3174">
        <f t="shared" si="280"/>
        <v>0</v>
      </c>
      <c r="BH439" s="3174">
        <f t="shared" si="281"/>
        <v>0</v>
      </c>
      <c r="BI439" s="3174">
        <f t="shared" si="282"/>
        <v>0</v>
      </c>
      <c r="BJ439" s="3174">
        <f t="shared" si="283"/>
        <v>0</v>
      </c>
      <c r="BK439" s="3174">
        <f t="shared" si="284"/>
        <v>0</v>
      </c>
      <c r="BL439" s="3174">
        <f t="shared" si="285"/>
        <v>0</v>
      </c>
      <c r="BM439" s="3174">
        <f t="shared" si="286"/>
        <v>0</v>
      </c>
      <c r="BN439" s="3174">
        <f t="shared" si="287"/>
        <v>0</v>
      </c>
      <c r="BO439" s="3174">
        <f t="shared" si="288"/>
        <v>0</v>
      </c>
      <c r="BP439" s="3174">
        <f t="shared" si="289"/>
        <v>0</v>
      </c>
      <c r="BQ439" s="3174">
        <f t="shared" si="290"/>
        <v>0</v>
      </c>
      <c r="BR439" s="3174">
        <f t="shared" si="291"/>
        <v>0</v>
      </c>
      <c r="BS439" s="3174">
        <f t="shared" si="292"/>
        <v>0</v>
      </c>
      <c r="BT439" s="3249">
        <f t="shared" si="293"/>
        <v>0</v>
      </c>
    </row>
    <row r="440" spans="1:72">
      <c r="A440" s="489"/>
      <c r="B440" s="356"/>
      <c r="C440" s="356"/>
      <c r="D440" s="3182"/>
      <c r="E440" s="3174">
        <f t="shared" si="265"/>
        <v>0</v>
      </c>
      <c r="F440" s="3175"/>
      <c r="G440" s="3176">
        <f t="shared" si="266"/>
        <v>0</v>
      </c>
      <c r="H440" s="3177">
        <f t="shared" si="267"/>
        <v>0</v>
      </c>
      <c r="I440" s="3200"/>
      <c r="J440" s="3200"/>
      <c r="K440" s="3200"/>
      <c r="L440" s="3200"/>
      <c r="M440" s="3200"/>
      <c r="N440" s="3200"/>
      <c r="O440" s="3200"/>
      <c r="P440" s="3200"/>
      <c r="Q440" s="3200"/>
      <c r="R440" s="3200"/>
      <c r="S440" s="3200"/>
      <c r="T440" s="3200"/>
      <c r="U440" s="3200"/>
      <c r="V440" s="3200"/>
      <c r="W440" s="3200"/>
      <c r="X440" s="3200"/>
      <c r="Y440" s="3200"/>
      <c r="Z440" s="3200"/>
      <c r="AA440" s="3200"/>
      <c r="AB440" s="3200"/>
      <c r="AC440" s="3174">
        <f t="shared" si="268"/>
        <v>0</v>
      </c>
      <c r="AD440" s="3212"/>
      <c r="AE440" s="3212"/>
      <c r="AF440" s="3212"/>
      <c r="AG440" s="3212"/>
      <c r="AH440" s="3212"/>
      <c r="AI440" s="3212"/>
      <c r="AJ440" s="3212"/>
      <c r="AK440" s="3212"/>
      <c r="AL440" s="3212"/>
      <c r="AM440" s="3212"/>
      <c r="AN440" s="3212"/>
      <c r="AO440" s="3212"/>
      <c r="AP440" s="3212"/>
      <c r="AQ440" s="3212"/>
      <c r="AR440" s="3212"/>
      <c r="AS440" s="3212"/>
      <c r="AT440" s="3175"/>
      <c r="AU440" s="3232"/>
      <c r="AV440" s="466">
        <f t="shared" si="269"/>
        <v>0</v>
      </c>
      <c r="AW440" s="466">
        <f t="shared" si="270"/>
        <v>0</v>
      </c>
      <c r="AX440" s="466">
        <f t="shared" si="271"/>
        <v>0</v>
      </c>
      <c r="AY440" s="385">
        <f t="shared" si="272"/>
        <v>0</v>
      </c>
      <c r="AZ440" s="3174">
        <f t="shared" si="273"/>
        <v>0</v>
      </c>
      <c r="BA440" s="3174">
        <f t="shared" si="274"/>
        <v>0</v>
      </c>
      <c r="BB440" s="3174">
        <f t="shared" si="275"/>
        <v>0</v>
      </c>
      <c r="BC440" s="3174">
        <f t="shared" si="276"/>
        <v>0</v>
      </c>
      <c r="BD440" s="3174">
        <f t="shared" si="277"/>
        <v>0</v>
      </c>
      <c r="BE440" s="3174">
        <f t="shared" si="278"/>
        <v>0</v>
      </c>
      <c r="BF440" s="3174">
        <f t="shared" si="279"/>
        <v>0</v>
      </c>
      <c r="BG440" s="3174">
        <f t="shared" si="280"/>
        <v>0</v>
      </c>
      <c r="BH440" s="3174">
        <f t="shared" si="281"/>
        <v>0</v>
      </c>
      <c r="BI440" s="3174">
        <f t="shared" si="282"/>
        <v>0</v>
      </c>
      <c r="BJ440" s="3174">
        <f t="shared" si="283"/>
        <v>0</v>
      </c>
      <c r="BK440" s="3174">
        <f t="shared" si="284"/>
        <v>0</v>
      </c>
      <c r="BL440" s="3174">
        <f t="shared" si="285"/>
        <v>0</v>
      </c>
      <c r="BM440" s="3174">
        <f t="shared" si="286"/>
        <v>0</v>
      </c>
      <c r="BN440" s="3174">
        <f t="shared" si="287"/>
        <v>0</v>
      </c>
      <c r="BO440" s="3174">
        <f t="shared" si="288"/>
        <v>0</v>
      </c>
      <c r="BP440" s="3174">
        <f t="shared" si="289"/>
        <v>0</v>
      </c>
      <c r="BQ440" s="3174">
        <f t="shared" si="290"/>
        <v>0</v>
      </c>
      <c r="BR440" s="3174">
        <f t="shared" si="291"/>
        <v>0</v>
      </c>
      <c r="BS440" s="3174">
        <f t="shared" si="292"/>
        <v>0</v>
      </c>
      <c r="BT440" s="3249">
        <f t="shared" si="293"/>
        <v>0</v>
      </c>
    </row>
    <row r="441" spans="1:72">
      <c r="A441" s="489"/>
      <c r="B441" s="356"/>
      <c r="C441" s="356"/>
      <c r="D441" s="3182"/>
      <c r="E441" s="3174">
        <f t="shared" si="265"/>
        <v>0</v>
      </c>
      <c r="F441" s="3175"/>
      <c r="G441" s="3176">
        <f t="shared" si="266"/>
        <v>0</v>
      </c>
      <c r="H441" s="3177">
        <f t="shared" si="267"/>
        <v>0</v>
      </c>
      <c r="I441" s="3200"/>
      <c r="J441" s="3200"/>
      <c r="K441" s="3200"/>
      <c r="L441" s="3200"/>
      <c r="M441" s="3200"/>
      <c r="N441" s="3200"/>
      <c r="O441" s="3200"/>
      <c r="P441" s="3200"/>
      <c r="Q441" s="3200"/>
      <c r="R441" s="3200"/>
      <c r="S441" s="3200"/>
      <c r="T441" s="3200"/>
      <c r="U441" s="3200"/>
      <c r="V441" s="3200"/>
      <c r="W441" s="3200"/>
      <c r="X441" s="3200"/>
      <c r="Y441" s="3200"/>
      <c r="Z441" s="3200"/>
      <c r="AA441" s="3200"/>
      <c r="AB441" s="3200"/>
      <c r="AC441" s="3174">
        <f t="shared" si="268"/>
        <v>0</v>
      </c>
      <c r="AD441" s="3212"/>
      <c r="AE441" s="3212"/>
      <c r="AF441" s="3212"/>
      <c r="AG441" s="3212"/>
      <c r="AH441" s="3212"/>
      <c r="AI441" s="3212"/>
      <c r="AJ441" s="3212"/>
      <c r="AK441" s="3212"/>
      <c r="AL441" s="3212"/>
      <c r="AM441" s="3212"/>
      <c r="AN441" s="3212"/>
      <c r="AO441" s="3212"/>
      <c r="AP441" s="3212"/>
      <c r="AQ441" s="3212"/>
      <c r="AR441" s="3212"/>
      <c r="AS441" s="3212"/>
      <c r="AT441" s="3175"/>
      <c r="AU441" s="3232"/>
      <c r="AV441" s="466">
        <f t="shared" si="269"/>
        <v>0</v>
      </c>
      <c r="AW441" s="466">
        <f t="shared" si="270"/>
        <v>0</v>
      </c>
      <c r="AX441" s="466">
        <f t="shared" si="271"/>
        <v>0</v>
      </c>
      <c r="AY441" s="385">
        <f t="shared" si="272"/>
        <v>0</v>
      </c>
      <c r="AZ441" s="3174">
        <f t="shared" si="273"/>
        <v>0</v>
      </c>
      <c r="BA441" s="3174">
        <f t="shared" si="274"/>
        <v>0</v>
      </c>
      <c r="BB441" s="3174">
        <f t="shared" si="275"/>
        <v>0</v>
      </c>
      <c r="BC441" s="3174">
        <f t="shared" si="276"/>
        <v>0</v>
      </c>
      <c r="BD441" s="3174">
        <f t="shared" si="277"/>
        <v>0</v>
      </c>
      <c r="BE441" s="3174">
        <f t="shared" si="278"/>
        <v>0</v>
      </c>
      <c r="BF441" s="3174">
        <f t="shared" si="279"/>
        <v>0</v>
      </c>
      <c r="BG441" s="3174">
        <f t="shared" si="280"/>
        <v>0</v>
      </c>
      <c r="BH441" s="3174">
        <f t="shared" si="281"/>
        <v>0</v>
      </c>
      <c r="BI441" s="3174">
        <f t="shared" si="282"/>
        <v>0</v>
      </c>
      <c r="BJ441" s="3174">
        <f t="shared" si="283"/>
        <v>0</v>
      </c>
      <c r="BK441" s="3174">
        <f t="shared" si="284"/>
        <v>0</v>
      </c>
      <c r="BL441" s="3174">
        <f t="shared" si="285"/>
        <v>0</v>
      </c>
      <c r="BM441" s="3174">
        <f t="shared" si="286"/>
        <v>0</v>
      </c>
      <c r="BN441" s="3174">
        <f t="shared" si="287"/>
        <v>0</v>
      </c>
      <c r="BO441" s="3174">
        <f t="shared" si="288"/>
        <v>0</v>
      </c>
      <c r="BP441" s="3174">
        <f t="shared" si="289"/>
        <v>0</v>
      </c>
      <c r="BQ441" s="3174">
        <f t="shared" si="290"/>
        <v>0</v>
      </c>
      <c r="BR441" s="3174">
        <f t="shared" si="291"/>
        <v>0</v>
      </c>
      <c r="BS441" s="3174">
        <f t="shared" si="292"/>
        <v>0</v>
      </c>
      <c r="BT441" s="3249">
        <f t="shared" si="293"/>
        <v>0</v>
      </c>
    </row>
    <row r="442" spans="1:72">
      <c r="A442" s="489"/>
      <c r="B442" s="356"/>
      <c r="C442" s="356"/>
      <c r="D442" s="3182"/>
      <c r="E442" s="3174">
        <f t="shared" si="265"/>
        <v>0</v>
      </c>
      <c r="F442" s="3175"/>
      <c r="G442" s="3176">
        <f t="shared" si="266"/>
        <v>0</v>
      </c>
      <c r="H442" s="3177">
        <f t="shared" si="267"/>
        <v>0</v>
      </c>
      <c r="I442" s="3200"/>
      <c r="J442" s="3200"/>
      <c r="K442" s="3200"/>
      <c r="L442" s="3200"/>
      <c r="M442" s="3200"/>
      <c r="N442" s="3200"/>
      <c r="O442" s="3200"/>
      <c r="P442" s="3200"/>
      <c r="Q442" s="3200"/>
      <c r="R442" s="3200"/>
      <c r="S442" s="3200"/>
      <c r="T442" s="3200"/>
      <c r="U442" s="3200"/>
      <c r="V442" s="3200"/>
      <c r="W442" s="3200"/>
      <c r="X442" s="3200"/>
      <c r="Y442" s="3200"/>
      <c r="Z442" s="3200"/>
      <c r="AA442" s="3200"/>
      <c r="AB442" s="3200"/>
      <c r="AC442" s="3174">
        <f t="shared" si="268"/>
        <v>0</v>
      </c>
      <c r="AD442" s="3212"/>
      <c r="AE442" s="3212"/>
      <c r="AF442" s="3212"/>
      <c r="AG442" s="3212"/>
      <c r="AH442" s="3212"/>
      <c r="AI442" s="3212"/>
      <c r="AJ442" s="3212"/>
      <c r="AK442" s="3212"/>
      <c r="AL442" s="3212"/>
      <c r="AM442" s="3212"/>
      <c r="AN442" s="3212"/>
      <c r="AO442" s="3212"/>
      <c r="AP442" s="3212"/>
      <c r="AQ442" s="3212"/>
      <c r="AR442" s="3212"/>
      <c r="AS442" s="3212"/>
      <c r="AT442" s="3175"/>
      <c r="AU442" s="3232"/>
      <c r="AV442" s="466">
        <f t="shared" si="269"/>
        <v>0</v>
      </c>
      <c r="AW442" s="466">
        <f t="shared" si="270"/>
        <v>0</v>
      </c>
      <c r="AX442" s="466">
        <f t="shared" si="271"/>
        <v>0</v>
      </c>
      <c r="AY442" s="385">
        <f t="shared" si="272"/>
        <v>0</v>
      </c>
      <c r="AZ442" s="3174">
        <f t="shared" si="273"/>
        <v>0</v>
      </c>
      <c r="BA442" s="3174">
        <f t="shared" si="274"/>
        <v>0</v>
      </c>
      <c r="BB442" s="3174">
        <f t="shared" si="275"/>
        <v>0</v>
      </c>
      <c r="BC442" s="3174">
        <f t="shared" si="276"/>
        <v>0</v>
      </c>
      <c r="BD442" s="3174">
        <f t="shared" si="277"/>
        <v>0</v>
      </c>
      <c r="BE442" s="3174">
        <f t="shared" si="278"/>
        <v>0</v>
      </c>
      <c r="BF442" s="3174">
        <f t="shared" si="279"/>
        <v>0</v>
      </c>
      <c r="BG442" s="3174">
        <f t="shared" si="280"/>
        <v>0</v>
      </c>
      <c r="BH442" s="3174">
        <f t="shared" si="281"/>
        <v>0</v>
      </c>
      <c r="BI442" s="3174">
        <f t="shared" si="282"/>
        <v>0</v>
      </c>
      <c r="BJ442" s="3174">
        <f t="shared" si="283"/>
        <v>0</v>
      </c>
      <c r="BK442" s="3174">
        <f t="shared" si="284"/>
        <v>0</v>
      </c>
      <c r="BL442" s="3174">
        <f t="shared" si="285"/>
        <v>0</v>
      </c>
      <c r="BM442" s="3174">
        <f t="shared" si="286"/>
        <v>0</v>
      </c>
      <c r="BN442" s="3174">
        <f t="shared" si="287"/>
        <v>0</v>
      </c>
      <c r="BO442" s="3174">
        <f t="shared" si="288"/>
        <v>0</v>
      </c>
      <c r="BP442" s="3174">
        <f t="shared" si="289"/>
        <v>0</v>
      </c>
      <c r="BQ442" s="3174">
        <f t="shared" si="290"/>
        <v>0</v>
      </c>
      <c r="BR442" s="3174">
        <f t="shared" si="291"/>
        <v>0</v>
      </c>
      <c r="BS442" s="3174">
        <f t="shared" si="292"/>
        <v>0</v>
      </c>
      <c r="BT442" s="3249">
        <f t="shared" si="293"/>
        <v>0</v>
      </c>
    </row>
    <row r="443" spans="1:72">
      <c r="A443" s="489"/>
      <c r="B443" s="356"/>
      <c r="C443" s="356"/>
      <c r="D443" s="3182"/>
      <c r="E443" s="3174">
        <f t="shared" si="265"/>
        <v>0</v>
      </c>
      <c r="F443" s="3175"/>
      <c r="G443" s="3176">
        <f t="shared" si="266"/>
        <v>0</v>
      </c>
      <c r="H443" s="3177">
        <f t="shared" si="267"/>
        <v>0</v>
      </c>
      <c r="I443" s="3200"/>
      <c r="J443" s="3200"/>
      <c r="K443" s="3200"/>
      <c r="L443" s="3200"/>
      <c r="M443" s="3200"/>
      <c r="N443" s="3200"/>
      <c r="O443" s="3200"/>
      <c r="P443" s="3200"/>
      <c r="Q443" s="3200"/>
      <c r="R443" s="3200"/>
      <c r="S443" s="3200"/>
      <c r="T443" s="3200"/>
      <c r="U443" s="3200"/>
      <c r="V443" s="3200"/>
      <c r="W443" s="3200"/>
      <c r="X443" s="3200"/>
      <c r="Y443" s="3200"/>
      <c r="Z443" s="3200"/>
      <c r="AA443" s="3200"/>
      <c r="AB443" s="3200"/>
      <c r="AC443" s="3174">
        <f t="shared" si="268"/>
        <v>0</v>
      </c>
      <c r="AD443" s="3212"/>
      <c r="AE443" s="3212"/>
      <c r="AF443" s="3212"/>
      <c r="AG443" s="3212"/>
      <c r="AH443" s="3212"/>
      <c r="AI443" s="3212"/>
      <c r="AJ443" s="3212"/>
      <c r="AK443" s="3212"/>
      <c r="AL443" s="3212"/>
      <c r="AM443" s="3212"/>
      <c r="AN443" s="3212"/>
      <c r="AO443" s="3212"/>
      <c r="AP443" s="3212"/>
      <c r="AQ443" s="3212"/>
      <c r="AR443" s="3212"/>
      <c r="AS443" s="3212"/>
      <c r="AT443" s="3175"/>
      <c r="AU443" s="3232"/>
      <c r="AV443" s="466">
        <f t="shared" si="269"/>
        <v>0</v>
      </c>
      <c r="AW443" s="466">
        <f t="shared" si="270"/>
        <v>0</v>
      </c>
      <c r="AX443" s="466">
        <f t="shared" si="271"/>
        <v>0</v>
      </c>
      <c r="AY443" s="385">
        <f t="shared" si="272"/>
        <v>0</v>
      </c>
      <c r="AZ443" s="3174">
        <f t="shared" si="273"/>
        <v>0</v>
      </c>
      <c r="BA443" s="3174">
        <f t="shared" si="274"/>
        <v>0</v>
      </c>
      <c r="BB443" s="3174">
        <f t="shared" si="275"/>
        <v>0</v>
      </c>
      <c r="BC443" s="3174">
        <f t="shared" si="276"/>
        <v>0</v>
      </c>
      <c r="BD443" s="3174">
        <f t="shared" si="277"/>
        <v>0</v>
      </c>
      <c r="BE443" s="3174">
        <f t="shared" si="278"/>
        <v>0</v>
      </c>
      <c r="BF443" s="3174">
        <f t="shared" si="279"/>
        <v>0</v>
      </c>
      <c r="BG443" s="3174">
        <f t="shared" si="280"/>
        <v>0</v>
      </c>
      <c r="BH443" s="3174">
        <f t="shared" si="281"/>
        <v>0</v>
      </c>
      <c r="BI443" s="3174">
        <f t="shared" si="282"/>
        <v>0</v>
      </c>
      <c r="BJ443" s="3174">
        <f t="shared" si="283"/>
        <v>0</v>
      </c>
      <c r="BK443" s="3174">
        <f t="shared" si="284"/>
        <v>0</v>
      </c>
      <c r="BL443" s="3174">
        <f t="shared" si="285"/>
        <v>0</v>
      </c>
      <c r="BM443" s="3174">
        <f t="shared" si="286"/>
        <v>0</v>
      </c>
      <c r="BN443" s="3174">
        <f t="shared" si="287"/>
        <v>0</v>
      </c>
      <c r="BO443" s="3174">
        <f t="shared" si="288"/>
        <v>0</v>
      </c>
      <c r="BP443" s="3174">
        <f t="shared" si="289"/>
        <v>0</v>
      </c>
      <c r="BQ443" s="3174">
        <f t="shared" si="290"/>
        <v>0</v>
      </c>
      <c r="BR443" s="3174">
        <f t="shared" si="291"/>
        <v>0</v>
      </c>
      <c r="BS443" s="3174">
        <f t="shared" si="292"/>
        <v>0</v>
      </c>
      <c r="BT443" s="3249">
        <f t="shared" si="293"/>
        <v>0</v>
      </c>
    </row>
    <row r="444" spans="1:72">
      <c r="A444" s="489"/>
      <c r="B444" s="356"/>
      <c r="C444" s="356"/>
      <c r="D444" s="3182"/>
      <c r="E444" s="3174">
        <f t="shared" si="265"/>
        <v>0</v>
      </c>
      <c r="F444" s="3175"/>
      <c r="G444" s="3176">
        <f t="shared" si="266"/>
        <v>0</v>
      </c>
      <c r="H444" s="3177">
        <f t="shared" si="267"/>
        <v>0</v>
      </c>
      <c r="I444" s="3200"/>
      <c r="J444" s="3200"/>
      <c r="K444" s="3200"/>
      <c r="L444" s="3200"/>
      <c r="M444" s="3200"/>
      <c r="N444" s="3200"/>
      <c r="O444" s="3200"/>
      <c r="P444" s="3200"/>
      <c r="Q444" s="3200"/>
      <c r="R444" s="3200"/>
      <c r="S444" s="3200"/>
      <c r="T444" s="3200"/>
      <c r="U444" s="3200"/>
      <c r="V444" s="3200"/>
      <c r="W444" s="3200"/>
      <c r="X444" s="3200"/>
      <c r="Y444" s="3200"/>
      <c r="Z444" s="3200"/>
      <c r="AA444" s="3200"/>
      <c r="AB444" s="3200"/>
      <c r="AC444" s="3174">
        <f t="shared" si="268"/>
        <v>0</v>
      </c>
      <c r="AD444" s="3212"/>
      <c r="AE444" s="3212"/>
      <c r="AF444" s="3212"/>
      <c r="AG444" s="3212"/>
      <c r="AH444" s="3212"/>
      <c r="AI444" s="3212"/>
      <c r="AJ444" s="3212"/>
      <c r="AK444" s="3212"/>
      <c r="AL444" s="3212"/>
      <c r="AM444" s="3212"/>
      <c r="AN444" s="3212"/>
      <c r="AO444" s="3212"/>
      <c r="AP444" s="3212"/>
      <c r="AQ444" s="3212"/>
      <c r="AR444" s="3212"/>
      <c r="AS444" s="3212"/>
      <c r="AT444" s="3175"/>
      <c r="AU444" s="3232"/>
      <c r="AV444" s="466">
        <f t="shared" si="269"/>
        <v>0</v>
      </c>
      <c r="AW444" s="466">
        <f t="shared" si="270"/>
        <v>0</v>
      </c>
      <c r="AX444" s="466">
        <f t="shared" si="271"/>
        <v>0</v>
      </c>
      <c r="AY444" s="385">
        <f t="shared" si="272"/>
        <v>0</v>
      </c>
      <c r="AZ444" s="3174">
        <f t="shared" si="273"/>
        <v>0</v>
      </c>
      <c r="BA444" s="3174">
        <f t="shared" si="274"/>
        <v>0</v>
      </c>
      <c r="BB444" s="3174">
        <f t="shared" si="275"/>
        <v>0</v>
      </c>
      <c r="BC444" s="3174">
        <f t="shared" si="276"/>
        <v>0</v>
      </c>
      <c r="BD444" s="3174">
        <f t="shared" si="277"/>
        <v>0</v>
      </c>
      <c r="BE444" s="3174">
        <f t="shared" si="278"/>
        <v>0</v>
      </c>
      <c r="BF444" s="3174">
        <f t="shared" si="279"/>
        <v>0</v>
      </c>
      <c r="BG444" s="3174">
        <f t="shared" si="280"/>
        <v>0</v>
      </c>
      <c r="BH444" s="3174">
        <f t="shared" si="281"/>
        <v>0</v>
      </c>
      <c r="BI444" s="3174">
        <f t="shared" si="282"/>
        <v>0</v>
      </c>
      <c r="BJ444" s="3174">
        <f t="shared" si="283"/>
        <v>0</v>
      </c>
      <c r="BK444" s="3174">
        <f t="shared" si="284"/>
        <v>0</v>
      </c>
      <c r="BL444" s="3174">
        <f t="shared" si="285"/>
        <v>0</v>
      </c>
      <c r="BM444" s="3174">
        <f t="shared" si="286"/>
        <v>0</v>
      </c>
      <c r="BN444" s="3174">
        <f t="shared" si="287"/>
        <v>0</v>
      </c>
      <c r="BO444" s="3174">
        <f t="shared" si="288"/>
        <v>0</v>
      </c>
      <c r="BP444" s="3174">
        <f t="shared" si="289"/>
        <v>0</v>
      </c>
      <c r="BQ444" s="3174">
        <f t="shared" si="290"/>
        <v>0</v>
      </c>
      <c r="BR444" s="3174">
        <f t="shared" si="291"/>
        <v>0</v>
      </c>
      <c r="BS444" s="3174">
        <f t="shared" si="292"/>
        <v>0</v>
      </c>
      <c r="BT444" s="3249">
        <f t="shared" si="293"/>
        <v>0</v>
      </c>
    </row>
    <row r="445" spans="1:72">
      <c r="A445" s="489"/>
      <c r="B445" s="356"/>
      <c r="C445" s="356"/>
      <c r="D445" s="3182"/>
      <c r="E445" s="3174">
        <f t="shared" si="265"/>
        <v>0</v>
      </c>
      <c r="F445" s="3175"/>
      <c r="G445" s="3176">
        <f t="shared" si="266"/>
        <v>0</v>
      </c>
      <c r="H445" s="3177">
        <f t="shared" si="267"/>
        <v>0</v>
      </c>
      <c r="I445" s="3200"/>
      <c r="J445" s="3200"/>
      <c r="K445" s="3200"/>
      <c r="L445" s="3200"/>
      <c r="M445" s="3200"/>
      <c r="N445" s="3200"/>
      <c r="O445" s="3200"/>
      <c r="P445" s="3200"/>
      <c r="Q445" s="3200"/>
      <c r="R445" s="3200"/>
      <c r="S445" s="3200"/>
      <c r="T445" s="3200"/>
      <c r="U445" s="3200"/>
      <c r="V445" s="3200"/>
      <c r="W445" s="3200"/>
      <c r="X445" s="3200"/>
      <c r="Y445" s="3200"/>
      <c r="Z445" s="3200"/>
      <c r="AA445" s="3200"/>
      <c r="AB445" s="3200"/>
      <c r="AC445" s="3174">
        <f t="shared" si="268"/>
        <v>0</v>
      </c>
      <c r="AD445" s="3212"/>
      <c r="AE445" s="3212"/>
      <c r="AF445" s="3212"/>
      <c r="AG445" s="3212"/>
      <c r="AH445" s="3212"/>
      <c r="AI445" s="3212"/>
      <c r="AJ445" s="3212"/>
      <c r="AK445" s="3212"/>
      <c r="AL445" s="3212"/>
      <c r="AM445" s="3212"/>
      <c r="AN445" s="3212"/>
      <c r="AO445" s="3212"/>
      <c r="AP445" s="3212"/>
      <c r="AQ445" s="3212"/>
      <c r="AR445" s="3212"/>
      <c r="AS445" s="3212"/>
      <c r="AT445" s="3175"/>
      <c r="AU445" s="3232"/>
      <c r="AV445" s="466">
        <f t="shared" si="269"/>
        <v>0</v>
      </c>
      <c r="AW445" s="466">
        <f t="shared" si="270"/>
        <v>0</v>
      </c>
      <c r="AX445" s="466">
        <f t="shared" si="271"/>
        <v>0</v>
      </c>
      <c r="AY445" s="385">
        <f t="shared" si="272"/>
        <v>0</v>
      </c>
      <c r="AZ445" s="3174">
        <f t="shared" si="273"/>
        <v>0</v>
      </c>
      <c r="BA445" s="3174">
        <f t="shared" si="274"/>
        <v>0</v>
      </c>
      <c r="BB445" s="3174">
        <f t="shared" si="275"/>
        <v>0</v>
      </c>
      <c r="BC445" s="3174">
        <f t="shared" si="276"/>
        <v>0</v>
      </c>
      <c r="BD445" s="3174">
        <f t="shared" si="277"/>
        <v>0</v>
      </c>
      <c r="BE445" s="3174">
        <f t="shared" si="278"/>
        <v>0</v>
      </c>
      <c r="BF445" s="3174">
        <f t="shared" si="279"/>
        <v>0</v>
      </c>
      <c r="BG445" s="3174">
        <f t="shared" si="280"/>
        <v>0</v>
      </c>
      <c r="BH445" s="3174">
        <f t="shared" si="281"/>
        <v>0</v>
      </c>
      <c r="BI445" s="3174">
        <f t="shared" si="282"/>
        <v>0</v>
      </c>
      <c r="BJ445" s="3174">
        <f t="shared" si="283"/>
        <v>0</v>
      </c>
      <c r="BK445" s="3174">
        <f t="shared" si="284"/>
        <v>0</v>
      </c>
      <c r="BL445" s="3174">
        <f t="shared" si="285"/>
        <v>0</v>
      </c>
      <c r="BM445" s="3174">
        <f t="shared" si="286"/>
        <v>0</v>
      </c>
      <c r="BN445" s="3174">
        <f t="shared" si="287"/>
        <v>0</v>
      </c>
      <c r="BO445" s="3174">
        <f t="shared" si="288"/>
        <v>0</v>
      </c>
      <c r="BP445" s="3174">
        <f t="shared" si="289"/>
        <v>0</v>
      </c>
      <c r="BQ445" s="3174">
        <f t="shared" si="290"/>
        <v>0</v>
      </c>
      <c r="BR445" s="3174">
        <f t="shared" si="291"/>
        <v>0</v>
      </c>
      <c r="BS445" s="3174">
        <f t="shared" si="292"/>
        <v>0</v>
      </c>
      <c r="BT445" s="3249">
        <f t="shared" si="293"/>
        <v>0</v>
      </c>
    </row>
    <row r="446" spans="1:72">
      <c r="A446" s="489"/>
      <c r="B446" s="356"/>
      <c r="C446" s="356"/>
      <c r="D446" s="3182"/>
      <c r="E446" s="3174">
        <f t="shared" si="265"/>
        <v>0</v>
      </c>
      <c r="F446" s="3175"/>
      <c r="G446" s="3176">
        <f t="shared" si="266"/>
        <v>0</v>
      </c>
      <c r="H446" s="3177">
        <f t="shared" si="267"/>
        <v>0</v>
      </c>
      <c r="I446" s="3200"/>
      <c r="J446" s="3200"/>
      <c r="K446" s="3200"/>
      <c r="L446" s="3200"/>
      <c r="M446" s="3200"/>
      <c r="N446" s="3200"/>
      <c r="O446" s="3200"/>
      <c r="P446" s="3200"/>
      <c r="Q446" s="3200"/>
      <c r="R446" s="3200"/>
      <c r="S446" s="3200"/>
      <c r="T446" s="3200"/>
      <c r="U446" s="3200"/>
      <c r="V446" s="3200"/>
      <c r="W446" s="3200"/>
      <c r="X446" s="3200"/>
      <c r="Y446" s="3200"/>
      <c r="Z446" s="3200"/>
      <c r="AA446" s="3200"/>
      <c r="AB446" s="3200"/>
      <c r="AC446" s="3174">
        <f t="shared" si="268"/>
        <v>0</v>
      </c>
      <c r="AD446" s="3212"/>
      <c r="AE446" s="3212"/>
      <c r="AF446" s="3212"/>
      <c r="AG446" s="3212"/>
      <c r="AH446" s="3212"/>
      <c r="AI446" s="3212"/>
      <c r="AJ446" s="3212"/>
      <c r="AK446" s="3212"/>
      <c r="AL446" s="3212"/>
      <c r="AM446" s="3212"/>
      <c r="AN446" s="3212"/>
      <c r="AO446" s="3212"/>
      <c r="AP446" s="3212"/>
      <c r="AQ446" s="3212"/>
      <c r="AR446" s="3212"/>
      <c r="AS446" s="3212"/>
      <c r="AT446" s="3175"/>
      <c r="AU446" s="3232"/>
      <c r="AV446" s="466">
        <f t="shared" si="269"/>
        <v>0</v>
      </c>
      <c r="AW446" s="466">
        <f t="shared" si="270"/>
        <v>0</v>
      </c>
      <c r="AX446" s="466">
        <f t="shared" si="271"/>
        <v>0</v>
      </c>
      <c r="AY446" s="385">
        <f t="shared" si="272"/>
        <v>0</v>
      </c>
      <c r="AZ446" s="3174">
        <f t="shared" si="273"/>
        <v>0</v>
      </c>
      <c r="BA446" s="3174">
        <f t="shared" si="274"/>
        <v>0</v>
      </c>
      <c r="BB446" s="3174">
        <f t="shared" si="275"/>
        <v>0</v>
      </c>
      <c r="BC446" s="3174">
        <f t="shared" si="276"/>
        <v>0</v>
      </c>
      <c r="BD446" s="3174">
        <f t="shared" si="277"/>
        <v>0</v>
      </c>
      <c r="BE446" s="3174">
        <f t="shared" si="278"/>
        <v>0</v>
      </c>
      <c r="BF446" s="3174">
        <f t="shared" si="279"/>
        <v>0</v>
      </c>
      <c r="BG446" s="3174">
        <f t="shared" si="280"/>
        <v>0</v>
      </c>
      <c r="BH446" s="3174">
        <f t="shared" si="281"/>
        <v>0</v>
      </c>
      <c r="BI446" s="3174">
        <f t="shared" si="282"/>
        <v>0</v>
      </c>
      <c r="BJ446" s="3174">
        <f t="shared" si="283"/>
        <v>0</v>
      </c>
      <c r="BK446" s="3174">
        <f t="shared" si="284"/>
        <v>0</v>
      </c>
      <c r="BL446" s="3174">
        <f t="shared" si="285"/>
        <v>0</v>
      </c>
      <c r="BM446" s="3174">
        <f t="shared" si="286"/>
        <v>0</v>
      </c>
      <c r="BN446" s="3174">
        <f t="shared" si="287"/>
        <v>0</v>
      </c>
      <c r="BO446" s="3174">
        <f t="shared" si="288"/>
        <v>0</v>
      </c>
      <c r="BP446" s="3174">
        <f t="shared" si="289"/>
        <v>0</v>
      </c>
      <c r="BQ446" s="3174">
        <f t="shared" si="290"/>
        <v>0</v>
      </c>
      <c r="BR446" s="3174">
        <f t="shared" si="291"/>
        <v>0</v>
      </c>
      <c r="BS446" s="3174">
        <f t="shared" si="292"/>
        <v>0</v>
      </c>
      <c r="BT446" s="3249">
        <f t="shared" si="293"/>
        <v>0</v>
      </c>
    </row>
    <row r="447" spans="1:72">
      <c r="A447" s="489"/>
      <c r="B447" s="356"/>
      <c r="C447" s="356"/>
      <c r="D447" s="3182"/>
      <c r="E447" s="3174">
        <f t="shared" si="265"/>
        <v>0</v>
      </c>
      <c r="F447" s="3175"/>
      <c r="G447" s="3176">
        <f t="shared" si="266"/>
        <v>0</v>
      </c>
      <c r="H447" s="3177">
        <f t="shared" si="267"/>
        <v>0</v>
      </c>
      <c r="I447" s="3200"/>
      <c r="J447" s="3200"/>
      <c r="K447" s="3200"/>
      <c r="L447" s="3200"/>
      <c r="M447" s="3200"/>
      <c r="N447" s="3200"/>
      <c r="O447" s="3200"/>
      <c r="P447" s="3200"/>
      <c r="Q447" s="3200"/>
      <c r="R447" s="3200"/>
      <c r="S447" s="3200"/>
      <c r="T447" s="3200"/>
      <c r="U447" s="3200"/>
      <c r="V447" s="3200"/>
      <c r="W447" s="3200"/>
      <c r="X447" s="3200"/>
      <c r="Y447" s="3200"/>
      <c r="Z447" s="3200"/>
      <c r="AA447" s="3200"/>
      <c r="AB447" s="3200"/>
      <c r="AC447" s="3174">
        <f t="shared" si="268"/>
        <v>0</v>
      </c>
      <c r="AD447" s="3212"/>
      <c r="AE447" s="3212"/>
      <c r="AF447" s="3212"/>
      <c r="AG447" s="3212"/>
      <c r="AH447" s="3212"/>
      <c r="AI447" s="3212"/>
      <c r="AJ447" s="3212"/>
      <c r="AK447" s="3212"/>
      <c r="AL447" s="3212"/>
      <c r="AM447" s="3212"/>
      <c r="AN447" s="3212"/>
      <c r="AO447" s="3212"/>
      <c r="AP447" s="3212"/>
      <c r="AQ447" s="3212"/>
      <c r="AR447" s="3212"/>
      <c r="AS447" s="3212"/>
      <c r="AT447" s="3175"/>
      <c r="AU447" s="3232"/>
      <c r="AV447" s="466">
        <f t="shared" si="269"/>
        <v>0</v>
      </c>
      <c r="AW447" s="466">
        <f t="shared" si="270"/>
        <v>0</v>
      </c>
      <c r="AX447" s="466">
        <f t="shared" si="271"/>
        <v>0</v>
      </c>
      <c r="AY447" s="385">
        <f t="shared" si="272"/>
        <v>0</v>
      </c>
      <c r="AZ447" s="3174">
        <f t="shared" si="273"/>
        <v>0</v>
      </c>
      <c r="BA447" s="3174">
        <f t="shared" si="274"/>
        <v>0</v>
      </c>
      <c r="BB447" s="3174">
        <f t="shared" si="275"/>
        <v>0</v>
      </c>
      <c r="BC447" s="3174">
        <f t="shared" si="276"/>
        <v>0</v>
      </c>
      <c r="BD447" s="3174">
        <f t="shared" si="277"/>
        <v>0</v>
      </c>
      <c r="BE447" s="3174">
        <f t="shared" si="278"/>
        <v>0</v>
      </c>
      <c r="BF447" s="3174">
        <f t="shared" si="279"/>
        <v>0</v>
      </c>
      <c r="BG447" s="3174">
        <f t="shared" si="280"/>
        <v>0</v>
      </c>
      <c r="BH447" s="3174">
        <f t="shared" si="281"/>
        <v>0</v>
      </c>
      <c r="BI447" s="3174">
        <f t="shared" si="282"/>
        <v>0</v>
      </c>
      <c r="BJ447" s="3174">
        <f t="shared" si="283"/>
        <v>0</v>
      </c>
      <c r="BK447" s="3174">
        <f t="shared" si="284"/>
        <v>0</v>
      </c>
      <c r="BL447" s="3174">
        <f t="shared" si="285"/>
        <v>0</v>
      </c>
      <c r="BM447" s="3174">
        <f t="shared" si="286"/>
        <v>0</v>
      </c>
      <c r="BN447" s="3174">
        <f t="shared" si="287"/>
        <v>0</v>
      </c>
      <c r="BO447" s="3174">
        <f t="shared" si="288"/>
        <v>0</v>
      </c>
      <c r="BP447" s="3174">
        <f t="shared" si="289"/>
        <v>0</v>
      </c>
      <c r="BQ447" s="3174">
        <f t="shared" si="290"/>
        <v>0</v>
      </c>
      <c r="BR447" s="3174">
        <f t="shared" si="291"/>
        <v>0</v>
      </c>
      <c r="BS447" s="3174">
        <f t="shared" si="292"/>
        <v>0</v>
      </c>
      <c r="BT447" s="3249">
        <f t="shared" si="293"/>
        <v>0</v>
      </c>
    </row>
    <row r="448" spans="1:72">
      <c r="A448" s="489"/>
      <c r="B448" s="356"/>
      <c r="C448" s="356"/>
      <c r="D448" s="3182"/>
      <c r="E448" s="3174">
        <f t="shared" si="265"/>
        <v>0</v>
      </c>
      <c r="F448" s="3175"/>
      <c r="G448" s="3176">
        <f t="shared" si="266"/>
        <v>0</v>
      </c>
      <c r="H448" s="3177">
        <f t="shared" si="267"/>
        <v>0</v>
      </c>
      <c r="I448" s="3200"/>
      <c r="J448" s="3200"/>
      <c r="K448" s="3200"/>
      <c r="L448" s="3200"/>
      <c r="M448" s="3200"/>
      <c r="N448" s="3200"/>
      <c r="O448" s="3200"/>
      <c r="P448" s="3200"/>
      <c r="Q448" s="3200"/>
      <c r="R448" s="3200"/>
      <c r="S448" s="3200"/>
      <c r="T448" s="3200"/>
      <c r="U448" s="3200"/>
      <c r="V448" s="3200"/>
      <c r="W448" s="3200"/>
      <c r="X448" s="3200"/>
      <c r="Y448" s="3200"/>
      <c r="Z448" s="3200"/>
      <c r="AA448" s="3200"/>
      <c r="AB448" s="3200"/>
      <c r="AC448" s="3174">
        <f t="shared" si="268"/>
        <v>0</v>
      </c>
      <c r="AD448" s="3212"/>
      <c r="AE448" s="3212"/>
      <c r="AF448" s="3212"/>
      <c r="AG448" s="3212"/>
      <c r="AH448" s="3212"/>
      <c r="AI448" s="3212"/>
      <c r="AJ448" s="3212"/>
      <c r="AK448" s="3212"/>
      <c r="AL448" s="3212"/>
      <c r="AM448" s="3212"/>
      <c r="AN448" s="3212"/>
      <c r="AO448" s="3212"/>
      <c r="AP448" s="3212"/>
      <c r="AQ448" s="3212"/>
      <c r="AR448" s="3212"/>
      <c r="AS448" s="3212"/>
      <c r="AT448" s="3175"/>
      <c r="AU448" s="3232"/>
      <c r="AV448" s="466">
        <f t="shared" si="269"/>
        <v>0</v>
      </c>
      <c r="AW448" s="466">
        <f t="shared" si="270"/>
        <v>0</v>
      </c>
      <c r="AX448" s="466">
        <f t="shared" si="271"/>
        <v>0</v>
      </c>
      <c r="AY448" s="385">
        <f t="shared" si="272"/>
        <v>0</v>
      </c>
      <c r="AZ448" s="3174">
        <f t="shared" si="273"/>
        <v>0</v>
      </c>
      <c r="BA448" s="3174">
        <f t="shared" si="274"/>
        <v>0</v>
      </c>
      <c r="BB448" s="3174">
        <f t="shared" si="275"/>
        <v>0</v>
      </c>
      <c r="BC448" s="3174">
        <f t="shared" si="276"/>
        <v>0</v>
      </c>
      <c r="BD448" s="3174">
        <f t="shared" si="277"/>
        <v>0</v>
      </c>
      <c r="BE448" s="3174">
        <f t="shared" si="278"/>
        <v>0</v>
      </c>
      <c r="BF448" s="3174">
        <f t="shared" si="279"/>
        <v>0</v>
      </c>
      <c r="BG448" s="3174">
        <f t="shared" si="280"/>
        <v>0</v>
      </c>
      <c r="BH448" s="3174">
        <f t="shared" si="281"/>
        <v>0</v>
      </c>
      <c r="BI448" s="3174">
        <f t="shared" si="282"/>
        <v>0</v>
      </c>
      <c r="BJ448" s="3174">
        <f t="shared" si="283"/>
        <v>0</v>
      </c>
      <c r="BK448" s="3174">
        <f t="shared" si="284"/>
        <v>0</v>
      </c>
      <c r="BL448" s="3174">
        <f t="shared" si="285"/>
        <v>0</v>
      </c>
      <c r="BM448" s="3174">
        <f t="shared" si="286"/>
        <v>0</v>
      </c>
      <c r="BN448" s="3174">
        <f t="shared" si="287"/>
        <v>0</v>
      </c>
      <c r="BO448" s="3174">
        <f t="shared" si="288"/>
        <v>0</v>
      </c>
      <c r="BP448" s="3174">
        <f t="shared" si="289"/>
        <v>0</v>
      </c>
      <c r="BQ448" s="3174">
        <f t="shared" si="290"/>
        <v>0</v>
      </c>
      <c r="BR448" s="3174">
        <f t="shared" si="291"/>
        <v>0</v>
      </c>
      <c r="BS448" s="3174">
        <f t="shared" si="292"/>
        <v>0</v>
      </c>
      <c r="BT448" s="3249">
        <f t="shared" si="293"/>
        <v>0</v>
      </c>
    </row>
    <row r="449" spans="1:72">
      <c r="A449" s="489"/>
      <c r="B449" s="356"/>
      <c r="C449" s="356"/>
      <c r="D449" s="3182"/>
      <c r="E449" s="3174">
        <f t="shared" si="265"/>
        <v>0</v>
      </c>
      <c r="F449" s="3175"/>
      <c r="G449" s="3176">
        <f t="shared" si="266"/>
        <v>0</v>
      </c>
      <c r="H449" s="3177">
        <f t="shared" si="267"/>
        <v>0</v>
      </c>
      <c r="I449" s="3200"/>
      <c r="J449" s="3200"/>
      <c r="K449" s="3200"/>
      <c r="L449" s="3200"/>
      <c r="M449" s="3200"/>
      <c r="N449" s="3200"/>
      <c r="O449" s="3200"/>
      <c r="P449" s="3200"/>
      <c r="Q449" s="3200"/>
      <c r="R449" s="3200"/>
      <c r="S449" s="3200"/>
      <c r="T449" s="3200"/>
      <c r="U449" s="3200"/>
      <c r="V449" s="3200"/>
      <c r="W449" s="3200"/>
      <c r="X449" s="3200"/>
      <c r="Y449" s="3200"/>
      <c r="Z449" s="3200"/>
      <c r="AA449" s="3200"/>
      <c r="AB449" s="3200"/>
      <c r="AC449" s="3174">
        <f t="shared" si="268"/>
        <v>0</v>
      </c>
      <c r="AD449" s="3212"/>
      <c r="AE449" s="3212"/>
      <c r="AF449" s="3212"/>
      <c r="AG449" s="3212"/>
      <c r="AH449" s="3212"/>
      <c r="AI449" s="3212"/>
      <c r="AJ449" s="3212"/>
      <c r="AK449" s="3212"/>
      <c r="AL449" s="3212"/>
      <c r="AM449" s="3212"/>
      <c r="AN449" s="3212"/>
      <c r="AO449" s="3212"/>
      <c r="AP449" s="3212"/>
      <c r="AQ449" s="3212"/>
      <c r="AR449" s="3212"/>
      <c r="AS449" s="3212"/>
      <c r="AT449" s="3175"/>
      <c r="AU449" s="3232"/>
      <c r="AV449" s="466">
        <f t="shared" si="269"/>
        <v>0</v>
      </c>
      <c r="AW449" s="466">
        <f t="shared" si="270"/>
        <v>0</v>
      </c>
      <c r="AX449" s="466">
        <f t="shared" si="271"/>
        <v>0</v>
      </c>
      <c r="AY449" s="385">
        <f t="shared" si="272"/>
        <v>0</v>
      </c>
      <c r="AZ449" s="3174">
        <f t="shared" si="273"/>
        <v>0</v>
      </c>
      <c r="BA449" s="3174">
        <f t="shared" si="274"/>
        <v>0</v>
      </c>
      <c r="BB449" s="3174">
        <f t="shared" si="275"/>
        <v>0</v>
      </c>
      <c r="BC449" s="3174">
        <f t="shared" si="276"/>
        <v>0</v>
      </c>
      <c r="BD449" s="3174">
        <f t="shared" si="277"/>
        <v>0</v>
      </c>
      <c r="BE449" s="3174">
        <f t="shared" si="278"/>
        <v>0</v>
      </c>
      <c r="BF449" s="3174">
        <f t="shared" si="279"/>
        <v>0</v>
      </c>
      <c r="BG449" s="3174">
        <f t="shared" si="280"/>
        <v>0</v>
      </c>
      <c r="BH449" s="3174">
        <f t="shared" si="281"/>
        <v>0</v>
      </c>
      <c r="BI449" s="3174">
        <f t="shared" si="282"/>
        <v>0</v>
      </c>
      <c r="BJ449" s="3174">
        <f t="shared" si="283"/>
        <v>0</v>
      </c>
      <c r="BK449" s="3174">
        <f t="shared" si="284"/>
        <v>0</v>
      </c>
      <c r="BL449" s="3174">
        <f t="shared" si="285"/>
        <v>0</v>
      </c>
      <c r="BM449" s="3174">
        <f t="shared" si="286"/>
        <v>0</v>
      </c>
      <c r="BN449" s="3174">
        <f t="shared" si="287"/>
        <v>0</v>
      </c>
      <c r="BO449" s="3174">
        <f t="shared" si="288"/>
        <v>0</v>
      </c>
      <c r="BP449" s="3174">
        <f t="shared" si="289"/>
        <v>0</v>
      </c>
      <c r="BQ449" s="3174">
        <f t="shared" si="290"/>
        <v>0</v>
      </c>
      <c r="BR449" s="3174">
        <f t="shared" si="291"/>
        <v>0</v>
      </c>
      <c r="BS449" s="3174">
        <f t="shared" si="292"/>
        <v>0</v>
      </c>
      <c r="BT449" s="3249">
        <f t="shared" si="293"/>
        <v>0</v>
      </c>
    </row>
    <row r="450" spans="1:72">
      <c r="A450" s="489"/>
      <c r="B450" s="356"/>
      <c r="C450" s="356"/>
      <c r="D450" s="3182"/>
      <c r="E450" s="3174">
        <f t="shared" si="265"/>
        <v>0</v>
      </c>
      <c r="F450" s="3175"/>
      <c r="G450" s="3176">
        <f t="shared" si="266"/>
        <v>0</v>
      </c>
      <c r="H450" s="3177">
        <f t="shared" si="267"/>
        <v>0</v>
      </c>
      <c r="I450" s="3200"/>
      <c r="J450" s="3200"/>
      <c r="K450" s="3200"/>
      <c r="L450" s="3200"/>
      <c r="M450" s="3200"/>
      <c r="N450" s="3200"/>
      <c r="O450" s="3200"/>
      <c r="P450" s="3200"/>
      <c r="Q450" s="3200"/>
      <c r="R450" s="3200"/>
      <c r="S450" s="3200"/>
      <c r="T450" s="3200"/>
      <c r="U450" s="3200"/>
      <c r="V450" s="3200"/>
      <c r="W450" s="3200"/>
      <c r="X450" s="3200"/>
      <c r="Y450" s="3200"/>
      <c r="Z450" s="3200"/>
      <c r="AA450" s="3200"/>
      <c r="AB450" s="3200"/>
      <c r="AC450" s="3174">
        <f t="shared" si="268"/>
        <v>0</v>
      </c>
      <c r="AD450" s="3212"/>
      <c r="AE450" s="3212"/>
      <c r="AF450" s="3212"/>
      <c r="AG450" s="3212"/>
      <c r="AH450" s="3212"/>
      <c r="AI450" s="3212"/>
      <c r="AJ450" s="3212"/>
      <c r="AK450" s="3212"/>
      <c r="AL450" s="3212"/>
      <c r="AM450" s="3212"/>
      <c r="AN450" s="3212"/>
      <c r="AO450" s="3212"/>
      <c r="AP450" s="3212"/>
      <c r="AQ450" s="3212"/>
      <c r="AR450" s="3212"/>
      <c r="AS450" s="3212"/>
      <c r="AT450" s="3175"/>
      <c r="AU450" s="3232"/>
      <c r="AV450" s="466">
        <f t="shared" si="269"/>
        <v>0</v>
      </c>
      <c r="AW450" s="466">
        <f t="shared" si="270"/>
        <v>0</v>
      </c>
      <c r="AX450" s="466">
        <f t="shared" si="271"/>
        <v>0</v>
      </c>
      <c r="AY450" s="385">
        <f t="shared" si="272"/>
        <v>0</v>
      </c>
      <c r="AZ450" s="3174">
        <f t="shared" si="273"/>
        <v>0</v>
      </c>
      <c r="BA450" s="3174">
        <f t="shared" si="274"/>
        <v>0</v>
      </c>
      <c r="BB450" s="3174">
        <f t="shared" si="275"/>
        <v>0</v>
      </c>
      <c r="BC450" s="3174">
        <f t="shared" si="276"/>
        <v>0</v>
      </c>
      <c r="BD450" s="3174">
        <f t="shared" si="277"/>
        <v>0</v>
      </c>
      <c r="BE450" s="3174">
        <f t="shared" si="278"/>
        <v>0</v>
      </c>
      <c r="BF450" s="3174">
        <f t="shared" si="279"/>
        <v>0</v>
      </c>
      <c r="BG450" s="3174">
        <f t="shared" si="280"/>
        <v>0</v>
      </c>
      <c r="BH450" s="3174">
        <f t="shared" si="281"/>
        <v>0</v>
      </c>
      <c r="BI450" s="3174">
        <f t="shared" si="282"/>
        <v>0</v>
      </c>
      <c r="BJ450" s="3174">
        <f t="shared" si="283"/>
        <v>0</v>
      </c>
      <c r="BK450" s="3174">
        <f t="shared" si="284"/>
        <v>0</v>
      </c>
      <c r="BL450" s="3174">
        <f t="shared" si="285"/>
        <v>0</v>
      </c>
      <c r="BM450" s="3174">
        <f t="shared" si="286"/>
        <v>0</v>
      </c>
      <c r="BN450" s="3174">
        <f t="shared" si="287"/>
        <v>0</v>
      </c>
      <c r="BO450" s="3174">
        <f t="shared" si="288"/>
        <v>0</v>
      </c>
      <c r="BP450" s="3174">
        <f t="shared" si="289"/>
        <v>0</v>
      </c>
      <c r="BQ450" s="3174">
        <f t="shared" si="290"/>
        <v>0</v>
      </c>
      <c r="BR450" s="3174">
        <f t="shared" si="291"/>
        <v>0</v>
      </c>
      <c r="BS450" s="3174">
        <f t="shared" si="292"/>
        <v>0</v>
      </c>
      <c r="BT450" s="3249">
        <f t="shared" si="293"/>
        <v>0</v>
      </c>
    </row>
    <row r="451" spans="1:72">
      <c r="A451" s="489"/>
      <c r="B451" s="356"/>
      <c r="C451" s="356"/>
      <c r="D451" s="3182"/>
      <c r="E451" s="3174">
        <f t="shared" si="265"/>
        <v>0</v>
      </c>
      <c r="F451" s="3175"/>
      <c r="G451" s="3176">
        <f t="shared" si="266"/>
        <v>0</v>
      </c>
      <c r="H451" s="3177">
        <f t="shared" si="267"/>
        <v>0</v>
      </c>
      <c r="I451" s="3200"/>
      <c r="J451" s="3200"/>
      <c r="K451" s="3200"/>
      <c r="L451" s="3200"/>
      <c r="M451" s="3200"/>
      <c r="N451" s="3200"/>
      <c r="O451" s="3200"/>
      <c r="P451" s="3200"/>
      <c r="Q451" s="3200"/>
      <c r="R451" s="3200"/>
      <c r="S451" s="3200"/>
      <c r="T451" s="3200"/>
      <c r="U451" s="3200"/>
      <c r="V451" s="3200"/>
      <c r="W451" s="3200"/>
      <c r="X451" s="3200"/>
      <c r="Y451" s="3200"/>
      <c r="Z451" s="3200"/>
      <c r="AA451" s="3200"/>
      <c r="AB451" s="3200"/>
      <c r="AC451" s="3174">
        <f t="shared" si="268"/>
        <v>0</v>
      </c>
      <c r="AD451" s="3212"/>
      <c r="AE451" s="3212"/>
      <c r="AF451" s="3212"/>
      <c r="AG451" s="3212"/>
      <c r="AH451" s="3212"/>
      <c r="AI451" s="3212"/>
      <c r="AJ451" s="3212"/>
      <c r="AK451" s="3212"/>
      <c r="AL451" s="3212"/>
      <c r="AM451" s="3212"/>
      <c r="AN451" s="3212"/>
      <c r="AO451" s="3212"/>
      <c r="AP451" s="3212"/>
      <c r="AQ451" s="3212"/>
      <c r="AR451" s="3212"/>
      <c r="AS451" s="3212"/>
      <c r="AT451" s="3175"/>
      <c r="AU451" s="3232"/>
      <c r="AV451" s="466">
        <f t="shared" si="269"/>
        <v>0</v>
      </c>
      <c r="AW451" s="466">
        <f t="shared" si="270"/>
        <v>0</v>
      </c>
      <c r="AX451" s="466">
        <f t="shared" si="271"/>
        <v>0</v>
      </c>
      <c r="AY451" s="385">
        <f t="shared" si="272"/>
        <v>0</v>
      </c>
      <c r="AZ451" s="3174">
        <f t="shared" si="273"/>
        <v>0</v>
      </c>
      <c r="BA451" s="3174">
        <f t="shared" si="274"/>
        <v>0</v>
      </c>
      <c r="BB451" s="3174">
        <f t="shared" si="275"/>
        <v>0</v>
      </c>
      <c r="BC451" s="3174">
        <f t="shared" si="276"/>
        <v>0</v>
      </c>
      <c r="BD451" s="3174">
        <f t="shared" si="277"/>
        <v>0</v>
      </c>
      <c r="BE451" s="3174">
        <f t="shared" si="278"/>
        <v>0</v>
      </c>
      <c r="BF451" s="3174">
        <f t="shared" si="279"/>
        <v>0</v>
      </c>
      <c r="BG451" s="3174">
        <f t="shared" si="280"/>
        <v>0</v>
      </c>
      <c r="BH451" s="3174">
        <f t="shared" si="281"/>
        <v>0</v>
      </c>
      <c r="BI451" s="3174">
        <f t="shared" si="282"/>
        <v>0</v>
      </c>
      <c r="BJ451" s="3174">
        <f t="shared" si="283"/>
        <v>0</v>
      </c>
      <c r="BK451" s="3174">
        <f t="shared" si="284"/>
        <v>0</v>
      </c>
      <c r="BL451" s="3174">
        <f t="shared" si="285"/>
        <v>0</v>
      </c>
      <c r="BM451" s="3174">
        <f t="shared" si="286"/>
        <v>0</v>
      </c>
      <c r="BN451" s="3174">
        <f t="shared" si="287"/>
        <v>0</v>
      </c>
      <c r="BO451" s="3174">
        <f t="shared" si="288"/>
        <v>0</v>
      </c>
      <c r="BP451" s="3174">
        <f t="shared" si="289"/>
        <v>0</v>
      </c>
      <c r="BQ451" s="3174">
        <f t="shared" si="290"/>
        <v>0</v>
      </c>
      <c r="BR451" s="3174">
        <f t="shared" si="291"/>
        <v>0</v>
      </c>
      <c r="BS451" s="3174">
        <f t="shared" si="292"/>
        <v>0</v>
      </c>
      <c r="BT451" s="3249">
        <f t="shared" si="293"/>
        <v>0</v>
      </c>
    </row>
    <row r="452" spans="1:72">
      <c r="A452" s="489"/>
      <c r="B452" s="356"/>
      <c r="C452" s="356"/>
      <c r="D452" s="3182"/>
      <c r="E452" s="3174">
        <f t="shared" si="265"/>
        <v>0</v>
      </c>
      <c r="F452" s="3175"/>
      <c r="G452" s="3176">
        <f t="shared" si="266"/>
        <v>0</v>
      </c>
      <c r="H452" s="3177">
        <f t="shared" si="267"/>
        <v>0</v>
      </c>
      <c r="I452" s="3200"/>
      <c r="J452" s="3200"/>
      <c r="K452" s="3200"/>
      <c r="L452" s="3200"/>
      <c r="M452" s="3200"/>
      <c r="N452" s="3200"/>
      <c r="O452" s="3200"/>
      <c r="P452" s="3200"/>
      <c r="Q452" s="3200"/>
      <c r="R452" s="3200"/>
      <c r="S452" s="3200"/>
      <c r="T452" s="3200"/>
      <c r="U452" s="3200"/>
      <c r="V452" s="3200"/>
      <c r="W452" s="3200"/>
      <c r="X452" s="3200"/>
      <c r="Y452" s="3200"/>
      <c r="Z452" s="3200"/>
      <c r="AA452" s="3200"/>
      <c r="AB452" s="3200"/>
      <c r="AC452" s="3174">
        <f t="shared" si="268"/>
        <v>0</v>
      </c>
      <c r="AD452" s="3212"/>
      <c r="AE452" s="3212"/>
      <c r="AF452" s="3212"/>
      <c r="AG452" s="3212"/>
      <c r="AH452" s="3212"/>
      <c r="AI452" s="3212"/>
      <c r="AJ452" s="3212"/>
      <c r="AK452" s="3212"/>
      <c r="AL452" s="3212"/>
      <c r="AM452" s="3212"/>
      <c r="AN452" s="3212"/>
      <c r="AO452" s="3212"/>
      <c r="AP452" s="3212"/>
      <c r="AQ452" s="3212"/>
      <c r="AR452" s="3212"/>
      <c r="AS452" s="3212"/>
      <c r="AT452" s="3175"/>
      <c r="AU452" s="3232"/>
      <c r="AV452" s="466">
        <f t="shared" si="269"/>
        <v>0</v>
      </c>
      <c r="AW452" s="466">
        <f t="shared" si="270"/>
        <v>0</v>
      </c>
      <c r="AX452" s="466">
        <f t="shared" si="271"/>
        <v>0</v>
      </c>
      <c r="AY452" s="385">
        <f t="shared" si="272"/>
        <v>0</v>
      </c>
      <c r="AZ452" s="3174">
        <f t="shared" si="273"/>
        <v>0</v>
      </c>
      <c r="BA452" s="3174">
        <f t="shared" si="274"/>
        <v>0</v>
      </c>
      <c r="BB452" s="3174">
        <f t="shared" si="275"/>
        <v>0</v>
      </c>
      <c r="BC452" s="3174">
        <f t="shared" si="276"/>
        <v>0</v>
      </c>
      <c r="BD452" s="3174">
        <f t="shared" si="277"/>
        <v>0</v>
      </c>
      <c r="BE452" s="3174">
        <f t="shared" si="278"/>
        <v>0</v>
      </c>
      <c r="BF452" s="3174">
        <f t="shared" si="279"/>
        <v>0</v>
      </c>
      <c r="BG452" s="3174">
        <f t="shared" si="280"/>
        <v>0</v>
      </c>
      <c r="BH452" s="3174">
        <f t="shared" si="281"/>
        <v>0</v>
      </c>
      <c r="BI452" s="3174">
        <f t="shared" si="282"/>
        <v>0</v>
      </c>
      <c r="BJ452" s="3174">
        <f t="shared" si="283"/>
        <v>0</v>
      </c>
      <c r="BK452" s="3174">
        <f t="shared" si="284"/>
        <v>0</v>
      </c>
      <c r="BL452" s="3174">
        <f t="shared" si="285"/>
        <v>0</v>
      </c>
      <c r="BM452" s="3174">
        <f t="shared" si="286"/>
        <v>0</v>
      </c>
      <c r="BN452" s="3174">
        <f t="shared" si="287"/>
        <v>0</v>
      </c>
      <c r="BO452" s="3174">
        <f t="shared" si="288"/>
        <v>0</v>
      </c>
      <c r="BP452" s="3174">
        <f t="shared" si="289"/>
        <v>0</v>
      </c>
      <c r="BQ452" s="3174">
        <f t="shared" si="290"/>
        <v>0</v>
      </c>
      <c r="BR452" s="3174">
        <f t="shared" si="291"/>
        <v>0</v>
      </c>
      <c r="BS452" s="3174">
        <f t="shared" si="292"/>
        <v>0</v>
      </c>
      <c r="BT452" s="3249">
        <f t="shared" si="293"/>
        <v>0</v>
      </c>
    </row>
    <row r="453" spans="1:72">
      <c r="A453" s="489"/>
      <c r="B453" s="356"/>
      <c r="C453" s="356"/>
      <c r="D453" s="3182"/>
      <c r="E453" s="3174">
        <f t="shared" si="265"/>
        <v>0</v>
      </c>
      <c r="F453" s="3175"/>
      <c r="G453" s="3176">
        <f t="shared" si="266"/>
        <v>0</v>
      </c>
      <c r="H453" s="3177">
        <f t="shared" si="267"/>
        <v>0</v>
      </c>
      <c r="I453" s="3200"/>
      <c r="J453" s="3200"/>
      <c r="K453" s="3200"/>
      <c r="L453" s="3200"/>
      <c r="M453" s="3200"/>
      <c r="N453" s="3200"/>
      <c r="O453" s="3200"/>
      <c r="P453" s="3200"/>
      <c r="Q453" s="3200"/>
      <c r="R453" s="3200"/>
      <c r="S453" s="3200"/>
      <c r="T453" s="3200"/>
      <c r="U453" s="3200"/>
      <c r="V453" s="3200"/>
      <c r="W453" s="3200"/>
      <c r="X453" s="3200"/>
      <c r="Y453" s="3200"/>
      <c r="Z453" s="3200"/>
      <c r="AA453" s="3200"/>
      <c r="AB453" s="3200"/>
      <c r="AC453" s="3174">
        <f t="shared" si="268"/>
        <v>0</v>
      </c>
      <c r="AD453" s="3212"/>
      <c r="AE453" s="3212"/>
      <c r="AF453" s="3212"/>
      <c r="AG453" s="3212"/>
      <c r="AH453" s="3212"/>
      <c r="AI453" s="3212"/>
      <c r="AJ453" s="3212"/>
      <c r="AK453" s="3212"/>
      <c r="AL453" s="3212"/>
      <c r="AM453" s="3212"/>
      <c r="AN453" s="3212"/>
      <c r="AO453" s="3212"/>
      <c r="AP453" s="3212"/>
      <c r="AQ453" s="3212"/>
      <c r="AR453" s="3212"/>
      <c r="AS453" s="3212"/>
      <c r="AT453" s="3175"/>
      <c r="AU453" s="3232"/>
      <c r="AV453" s="466">
        <f t="shared" si="269"/>
        <v>0</v>
      </c>
      <c r="AW453" s="466">
        <f t="shared" si="270"/>
        <v>0</v>
      </c>
      <c r="AX453" s="466">
        <f t="shared" si="271"/>
        <v>0</v>
      </c>
      <c r="AY453" s="385">
        <f t="shared" si="272"/>
        <v>0</v>
      </c>
      <c r="AZ453" s="3174">
        <f t="shared" si="273"/>
        <v>0</v>
      </c>
      <c r="BA453" s="3174">
        <f t="shared" si="274"/>
        <v>0</v>
      </c>
      <c r="BB453" s="3174">
        <f t="shared" si="275"/>
        <v>0</v>
      </c>
      <c r="BC453" s="3174">
        <f t="shared" si="276"/>
        <v>0</v>
      </c>
      <c r="BD453" s="3174">
        <f t="shared" si="277"/>
        <v>0</v>
      </c>
      <c r="BE453" s="3174">
        <f t="shared" si="278"/>
        <v>0</v>
      </c>
      <c r="BF453" s="3174">
        <f t="shared" si="279"/>
        <v>0</v>
      </c>
      <c r="BG453" s="3174">
        <f t="shared" si="280"/>
        <v>0</v>
      </c>
      <c r="BH453" s="3174">
        <f t="shared" si="281"/>
        <v>0</v>
      </c>
      <c r="BI453" s="3174">
        <f t="shared" si="282"/>
        <v>0</v>
      </c>
      <c r="BJ453" s="3174">
        <f t="shared" si="283"/>
        <v>0</v>
      </c>
      <c r="BK453" s="3174">
        <f t="shared" si="284"/>
        <v>0</v>
      </c>
      <c r="BL453" s="3174">
        <f t="shared" si="285"/>
        <v>0</v>
      </c>
      <c r="BM453" s="3174">
        <f t="shared" si="286"/>
        <v>0</v>
      </c>
      <c r="BN453" s="3174">
        <f t="shared" si="287"/>
        <v>0</v>
      </c>
      <c r="BO453" s="3174">
        <f t="shared" si="288"/>
        <v>0</v>
      </c>
      <c r="BP453" s="3174">
        <f t="shared" si="289"/>
        <v>0</v>
      </c>
      <c r="BQ453" s="3174">
        <f t="shared" si="290"/>
        <v>0</v>
      </c>
      <c r="BR453" s="3174">
        <f t="shared" si="291"/>
        <v>0</v>
      </c>
      <c r="BS453" s="3174">
        <f t="shared" si="292"/>
        <v>0</v>
      </c>
      <c r="BT453" s="3249">
        <f t="shared" si="293"/>
        <v>0</v>
      </c>
    </row>
    <row r="454" spans="1:72">
      <c r="A454" s="489"/>
      <c r="B454" s="356"/>
      <c r="C454" s="356"/>
      <c r="D454" s="3182"/>
      <c r="E454" s="3174">
        <f t="shared" si="265"/>
        <v>0</v>
      </c>
      <c r="F454" s="3175"/>
      <c r="G454" s="3176">
        <f t="shared" si="266"/>
        <v>0</v>
      </c>
      <c r="H454" s="3177">
        <f t="shared" si="267"/>
        <v>0</v>
      </c>
      <c r="I454" s="3200"/>
      <c r="J454" s="3200"/>
      <c r="K454" s="3200"/>
      <c r="L454" s="3200"/>
      <c r="M454" s="3200"/>
      <c r="N454" s="3200"/>
      <c r="O454" s="3200"/>
      <c r="P454" s="3200"/>
      <c r="Q454" s="3200"/>
      <c r="R454" s="3200"/>
      <c r="S454" s="3200"/>
      <c r="T454" s="3200"/>
      <c r="U454" s="3200"/>
      <c r="V454" s="3200"/>
      <c r="W454" s="3200"/>
      <c r="X454" s="3200"/>
      <c r="Y454" s="3200"/>
      <c r="Z454" s="3200"/>
      <c r="AA454" s="3200"/>
      <c r="AB454" s="3200"/>
      <c r="AC454" s="3174">
        <f t="shared" si="268"/>
        <v>0</v>
      </c>
      <c r="AD454" s="3212"/>
      <c r="AE454" s="3212"/>
      <c r="AF454" s="3212"/>
      <c r="AG454" s="3212"/>
      <c r="AH454" s="3212"/>
      <c r="AI454" s="3212"/>
      <c r="AJ454" s="3212"/>
      <c r="AK454" s="3212"/>
      <c r="AL454" s="3212"/>
      <c r="AM454" s="3212"/>
      <c r="AN454" s="3212"/>
      <c r="AO454" s="3212"/>
      <c r="AP454" s="3212"/>
      <c r="AQ454" s="3212"/>
      <c r="AR454" s="3212"/>
      <c r="AS454" s="3212"/>
      <c r="AT454" s="3175"/>
      <c r="AU454" s="3232"/>
      <c r="AV454" s="466">
        <f t="shared" si="269"/>
        <v>0</v>
      </c>
      <c r="AW454" s="466">
        <f t="shared" si="270"/>
        <v>0</v>
      </c>
      <c r="AX454" s="466">
        <f t="shared" si="271"/>
        <v>0</v>
      </c>
      <c r="AY454" s="385">
        <f t="shared" si="272"/>
        <v>0</v>
      </c>
      <c r="AZ454" s="3174">
        <f t="shared" si="273"/>
        <v>0</v>
      </c>
      <c r="BA454" s="3174">
        <f t="shared" si="274"/>
        <v>0</v>
      </c>
      <c r="BB454" s="3174">
        <f t="shared" si="275"/>
        <v>0</v>
      </c>
      <c r="BC454" s="3174">
        <f t="shared" si="276"/>
        <v>0</v>
      </c>
      <c r="BD454" s="3174">
        <f t="shared" si="277"/>
        <v>0</v>
      </c>
      <c r="BE454" s="3174">
        <f t="shared" si="278"/>
        <v>0</v>
      </c>
      <c r="BF454" s="3174">
        <f t="shared" si="279"/>
        <v>0</v>
      </c>
      <c r="BG454" s="3174">
        <f t="shared" si="280"/>
        <v>0</v>
      </c>
      <c r="BH454" s="3174">
        <f t="shared" si="281"/>
        <v>0</v>
      </c>
      <c r="BI454" s="3174">
        <f t="shared" si="282"/>
        <v>0</v>
      </c>
      <c r="BJ454" s="3174">
        <f t="shared" si="283"/>
        <v>0</v>
      </c>
      <c r="BK454" s="3174">
        <f t="shared" si="284"/>
        <v>0</v>
      </c>
      <c r="BL454" s="3174">
        <f t="shared" si="285"/>
        <v>0</v>
      </c>
      <c r="BM454" s="3174">
        <f t="shared" si="286"/>
        <v>0</v>
      </c>
      <c r="BN454" s="3174">
        <f t="shared" si="287"/>
        <v>0</v>
      </c>
      <c r="BO454" s="3174">
        <f t="shared" si="288"/>
        <v>0</v>
      </c>
      <c r="BP454" s="3174">
        <f t="shared" si="289"/>
        <v>0</v>
      </c>
      <c r="BQ454" s="3174">
        <f t="shared" si="290"/>
        <v>0</v>
      </c>
      <c r="BR454" s="3174">
        <f t="shared" si="291"/>
        <v>0</v>
      </c>
      <c r="BS454" s="3174">
        <f t="shared" si="292"/>
        <v>0</v>
      </c>
      <c r="BT454" s="3249">
        <f t="shared" si="293"/>
        <v>0</v>
      </c>
    </row>
    <row r="455" spans="1:72">
      <c r="A455" s="489"/>
      <c r="B455" s="356"/>
      <c r="C455" s="356"/>
      <c r="D455" s="3182"/>
      <c r="E455" s="3174">
        <f t="shared" si="265"/>
        <v>0</v>
      </c>
      <c r="F455" s="3175"/>
      <c r="G455" s="3176">
        <f t="shared" si="266"/>
        <v>0</v>
      </c>
      <c r="H455" s="3177">
        <f t="shared" si="267"/>
        <v>0</v>
      </c>
      <c r="I455" s="3200"/>
      <c r="J455" s="3200"/>
      <c r="K455" s="3200"/>
      <c r="L455" s="3200"/>
      <c r="M455" s="3200"/>
      <c r="N455" s="3200"/>
      <c r="O455" s="3200"/>
      <c r="P455" s="3200"/>
      <c r="Q455" s="3200"/>
      <c r="R455" s="3200"/>
      <c r="S455" s="3200"/>
      <c r="T455" s="3200"/>
      <c r="U455" s="3200"/>
      <c r="V455" s="3200"/>
      <c r="W455" s="3200"/>
      <c r="X455" s="3200"/>
      <c r="Y455" s="3200"/>
      <c r="Z455" s="3200"/>
      <c r="AA455" s="3200"/>
      <c r="AB455" s="3200"/>
      <c r="AC455" s="3174">
        <f t="shared" si="268"/>
        <v>0</v>
      </c>
      <c r="AD455" s="3212"/>
      <c r="AE455" s="3212"/>
      <c r="AF455" s="3212"/>
      <c r="AG455" s="3212"/>
      <c r="AH455" s="3212"/>
      <c r="AI455" s="3212"/>
      <c r="AJ455" s="3212"/>
      <c r="AK455" s="3212"/>
      <c r="AL455" s="3212"/>
      <c r="AM455" s="3212"/>
      <c r="AN455" s="3212"/>
      <c r="AO455" s="3212"/>
      <c r="AP455" s="3212"/>
      <c r="AQ455" s="3212"/>
      <c r="AR455" s="3212"/>
      <c r="AS455" s="3212"/>
      <c r="AT455" s="3175"/>
      <c r="AU455" s="3232"/>
      <c r="AV455" s="466">
        <f t="shared" si="269"/>
        <v>0</v>
      </c>
      <c r="AW455" s="466">
        <f t="shared" si="270"/>
        <v>0</v>
      </c>
      <c r="AX455" s="466">
        <f t="shared" si="271"/>
        <v>0</v>
      </c>
      <c r="AY455" s="385">
        <f t="shared" si="272"/>
        <v>0</v>
      </c>
      <c r="AZ455" s="3174">
        <f t="shared" si="273"/>
        <v>0</v>
      </c>
      <c r="BA455" s="3174">
        <f t="shared" si="274"/>
        <v>0</v>
      </c>
      <c r="BB455" s="3174">
        <f t="shared" si="275"/>
        <v>0</v>
      </c>
      <c r="BC455" s="3174">
        <f t="shared" si="276"/>
        <v>0</v>
      </c>
      <c r="BD455" s="3174">
        <f t="shared" si="277"/>
        <v>0</v>
      </c>
      <c r="BE455" s="3174">
        <f t="shared" si="278"/>
        <v>0</v>
      </c>
      <c r="BF455" s="3174">
        <f t="shared" si="279"/>
        <v>0</v>
      </c>
      <c r="BG455" s="3174">
        <f t="shared" si="280"/>
        <v>0</v>
      </c>
      <c r="BH455" s="3174">
        <f t="shared" si="281"/>
        <v>0</v>
      </c>
      <c r="BI455" s="3174">
        <f t="shared" si="282"/>
        <v>0</v>
      </c>
      <c r="BJ455" s="3174">
        <f t="shared" si="283"/>
        <v>0</v>
      </c>
      <c r="BK455" s="3174">
        <f t="shared" si="284"/>
        <v>0</v>
      </c>
      <c r="BL455" s="3174">
        <f t="shared" si="285"/>
        <v>0</v>
      </c>
      <c r="BM455" s="3174">
        <f t="shared" si="286"/>
        <v>0</v>
      </c>
      <c r="BN455" s="3174">
        <f t="shared" si="287"/>
        <v>0</v>
      </c>
      <c r="BO455" s="3174">
        <f t="shared" si="288"/>
        <v>0</v>
      </c>
      <c r="BP455" s="3174">
        <f t="shared" si="289"/>
        <v>0</v>
      </c>
      <c r="BQ455" s="3174">
        <f t="shared" si="290"/>
        <v>0</v>
      </c>
      <c r="BR455" s="3174">
        <f t="shared" si="291"/>
        <v>0</v>
      </c>
      <c r="BS455" s="3174">
        <f t="shared" si="292"/>
        <v>0</v>
      </c>
      <c r="BT455" s="3249">
        <f t="shared" si="293"/>
        <v>0</v>
      </c>
    </row>
    <row r="456" spans="1:72">
      <c r="A456" s="489"/>
      <c r="B456" s="356"/>
      <c r="C456" s="356"/>
      <c r="D456" s="3182"/>
      <c r="E456" s="3174">
        <f t="shared" si="265"/>
        <v>0</v>
      </c>
      <c r="F456" s="3175"/>
      <c r="G456" s="3176">
        <f t="shared" si="266"/>
        <v>0</v>
      </c>
      <c r="H456" s="3177">
        <f t="shared" si="267"/>
        <v>0</v>
      </c>
      <c r="I456" s="3200"/>
      <c r="J456" s="3200"/>
      <c r="K456" s="3200"/>
      <c r="L456" s="3200"/>
      <c r="M456" s="3200"/>
      <c r="N456" s="3200"/>
      <c r="O456" s="3200"/>
      <c r="P456" s="3200"/>
      <c r="Q456" s="3200"/>
      <c r="R456" s="3200"/>
      <c r="S456" s="3200"/>
      <c r="T456" s="3200"/>
      <c r="U456" s="3200"/>
      <c r="V456" s="3200"/>
      <c r="W456" s="3200"/>
      <c r="X456" s="3200"/>
      <c r="Y456" s="3200"/>
      <c r="Z456" s="3200"/>
      <c r="AA456" s="3200"/>
      <c r="AB456" s="3200"/>
      <c r="AC456" s="3174">
        <f t="shared" si="268"/>
        <v>0</v>
      </c>
      <c r="AD456" s="3212"/>
      <c r="AE456" s="3212"/>
      <c r="AF456" s="3212"/>
      <c r="AG456" s="3212"/>
      <c r="AH456" s="3212"/>
      <c r="AI456" s="3212"/>
      <c r="AJ456" s="3212"/>
      <c r="AK456" s="3212"/>
      <c r="AL456" s="3212"/>
      <c r="AM456" s="3212"/>
      <c r="AN456" s="3212"/>
      <c r="AO456" s="3212"/>
      <c r="AP456" s="3212"/>
      <c r="AQ456" s="3212"/>
      <c r="AR456" s="3212"/>
      <c r="AS456" s="3212"/>
      <c r="AT456" s="3175"/>
      <c r="AU456" s="3232"/>
      <c r="AV456" s="466">
        <f t="shared" si="269"/>
        <v>0</v>
      </c>
      <c r="AW456" s="466">
        <f t="shared" si="270"/>
        <v>0</v>
      </c>
      <c r="AX456" s="466">
        <f t="shared" si="271"/>
        <v>0</v>
      </c>
      <c r="AY456" s="385">
        <f t="shared" si="272"/>
        <v>0</v>
      </c>
      <c r="AZ456" s="3174">
        <f t="shared" si="273"/>
        <v>0</v>
      </c>
      <c r="BA456" s="3174">
        <f t="shared" si="274"/>
        <v>0</v>
      </c>
      <c r="BB456" s="3174">
        <f t="shared" si="275"/>
        <v>0</v>
      </c>
      <c r="BC456" s="3174">
        <f t="shared" si="276"/>
        <v>0</v>
      </c>
      <c r="BD456" s="3174">
        <f t="shared" si="277"/>
        <v>0</v>
      </c>
      <c r="BE456" s="3174">
        <f t="shared" si="278"/>
        <v>0</v>
      </c>
      <c r="BF456" s="3174">
        <f t="shared" si="279"/>
        <v>0</v>
      </c>
      <c r="BG456" s="3174">
        <f t="shared" si="280"/>
        <v>0</v>
      </c>
      <c r="BH456" s="3174">
        <f t="shared" si="281"/>
        <v>0</v>
      </c>
      <c r="BI456" s="3174">
        <f t="shared" si="282"/>
        <v>0</v>
      </c>
      <c r="BJ456" s="3174">
        <f t="shared" si="283"/>
        <v>0</v>
      </c>
      <c r="BK456" s="3174">
        <f t="shared" si="284"/>
        <v>0</v>
      </c>
      <c r="BL456" s="3174">
        <f t="shared" si="285"/>
        <v>0</v>
      </c>
      <c r="BM456" s="3174">
        <f t="shared" si="286"/>
        <v>0</v>
      </c>
      <c r="BN456" s="3174">
        <f t="shared" si="287"/>
        <v>0</v>
      </c>
      <c r="BO456" s="3174">
        <f t="shared" si="288"/>
        <v>0</v>
      </c>
      <c r="BP456" s="3174">
        <f t="shared" si="289"/>
        <v>0</v>
      </c>
      <c r="BQ456" s="3174">
        <f t="shared" si="290"/>
        <v>0</v>
      </c>
      <c r="BR456" s="3174">
        <f t="shared" si="291"/>
        <v>0</v>
      </c>
      <c r="BS456" s="3174">
        <f t="shared" si="292"/>
        <v>0</v>
      </c>
      <c r="BT456" s="3249">
        <f t="shared" si="293"/>
        <v>0</v>
      </c>
    </row>
    <row r="457" spans="1:72">
      <c r="A457" s="489"/>
      <c r="B457" s="356"/>
      <c r="C457" s="356"/>
      <c r="D457" s="3182"/>
      <c r="E457" s="3174">
        <f t="shared" si="265"/>
        <v>0</v>
      </c>
      <c r="F457" s="3175"/>
      <c r="G457" s="3176">
        <f t="shared" si="266"/>
        <v>0</v>
      </c>
      <c r="H457" s="3177">
        <f t="shared" si="267"/>
        <v>0</v>
      </c>
      <c r="I457" s="3200"/>
      <c r="J457" s="3200"/>
      <c r="K457" s="3200"/>
      <c r="L457" s="3200"/>
      <c r="M457" s="3200"/>
      <c r="N457" s="3200"/>
      <c r="O457" s="3200"/>
      <c r="P457" s="3200"/>
      <c r="Q457" s="3200"/>
      <c r="R457" s="3200"/>
      <c r="S457" s="3200"/>
      <c r="T457" s="3200"/>
      <c r="U457" s="3200"/>
      <c r="V457" s="3200"/>
      <c r="W457" s="3200"/>
      <c r="X457" s="3200"/>
      <c r="Y457" s="3200"/>
      <c r="Z457" s="3200"/>
      <c r="AA457" s="3200"/>
      <c r="AB457" s="3200"/>
      <c r="AC457" s="3174">
        <f t="shared" si="268"/>
        <v>0</v>
      </c>
      <c r="AD457" s="3212"/>
      <c r="AE457" s="3212"/>
      <c r="AF457" s="3212"/>
      <c r="AG457" s="3212"/>
      <c r="AH457" s="3212"/>
      <c r="AI457" s="3212"/>
      <c r="AJ457" s="3212"/>
      <c r="AK457" s="3212"/>
      <c r="AL457" s="3212"/>
      <c r="AM457" s="3212"/>
      <c r="AN457" s="3212"/>
      <c r="AO457" s="3212"/>
      <c r="AP457" s="3212"/>
      <c r="AQ457" s="3212"/>
      <c r="AR457" s="3212"/>
      <c r="AS457" s="3212"/>
      <c r="AT457" s="3175"/>
      <c r="AU457" s="3232"/>
      <c r="AV457" s="466">
        <f t="shared" si="269"/>
        <v>0</v>
      </c>
      <c r="AW457" s="466">
        <f t="shared" si="270"/>
        <v>0</v>
      </c>
      <c r="AX457" s="466">
        <f t="shared" si="271"/>
        <v>0</v>
      </c>
      <c r="AY457" s="385">
        <f t="shared" si="272"/>
        <v>0</v>
      </c>
      <c r="AZ457" s="3174">
        <f t="shared" si="273"/>
        <v>0</v>
      </c>
      <c r="BA457" s="3174">
        <f t="shared" si="274"/>
        <v>0</v>
      </c>
      <c r="BB457" s="3174">
        <f t="shared" si="275"/>
        <v>0</v>
      </c>
      <c r="BC457" s="3174">
        <f t="shared" si="276"/>
        <v>0</v>
      </c>
      <c r="BD457" s="3174">
        <f t="shared" si="277"/>
        <v>0</v>
      </c>
      <c r="BE457" s="3174">
        <f t="shared" si="278"/>
        <v>0</v>
      </c>
      <c r="BF457" s="3174">
        <f t="shared" si="279"/>
        <v>0</v>
      </c>
      <c r="BG457" s="3174">
        <f t="shared" si="280"/>
        <v>0</v>
      </c>
      <c r="BH457" s="3174">
        <f t="shared" si="281"/>
        <v>0</v>
      </c>
      <c r="BI457" s="3174">
        <f t="shared" si="282"/>
        <v>0</v>
      </c>
      <c r="BJ457" s="3174">
        <f t="shared" si="283"/>
        <v>0</v>
      </c>
      <c r="BK457" s="3174">
        <f t="shared" si="284"/>
        <v>0</v>
      </c>
      <c r="BL457" s="3174">
        <f t="shared" si="285"/>
        <v>0</v>
      </c>
      <c r="BM457" s="3174">
        <f t="shared" si="286"/>
        <v>0</v>
      </c>
      <c r="BN457" s="3174">
        <f t="shared" si="287"/>
        <v>0</v>
      </c>
      <c r="BO457" s="3174">
        <f t="shared" si="288"/>
        <v>0</v>
      </c>
      <c r="BP457" s="3174">
        <f t="shared" si="289"/>
        <v>0</v>
      </c>
      <c r="BQ457" s="3174">
        <f t="shared" si="290"/>
        <v>0</v>
      </c>
      <c r="BR457" s="3174">
        <f t="shared" si="291"/>
        <v>0</v>
      </c>
      <c r="BS457" s="3174">
        <f t="shared" si="292"/>
        <v>0</v>
      </c>
      <c r="BT457" s="3249">
        <f t="shared" si="293"/>
        <v>0</v>
      </c>
    </row>
    <row r="458" spans="1:72">
      <c r="A458" s="489"/>
      <c r="B458" s="356"/>
      <c r="C458" s="356"/>
      <c r="D458" s="3182"/>
      <c r="E458" s="3174">
        <f t="shared" si="265"/>
        <v>0</v>
      </c>
      <c r="F458" s="3175"/>
      <c r="G458" s="3176">
        <f t="shared" si="266"/>
        <v>0</v>
      </c>
      <c r="H458" s="3177">
        <f t="shared" si="267"/>
        <v>0</v>
      </c>
      <c r="I458" s="3200"/>
      <c r="J458" s="3200"/>
      <c r="K458" s="3200"/>
      <c r="L458" s="3200"/>
      <c r="M458" s="3200"/>
      <c r="N458" s="3200"/>
      <c r="O458" s="3200"/>
      <c r="P458" s="3200"/>
      <c r="Q458" s="3200"/>
      <c r="R458" s="3200"/>
      <c r="S458" s="3200"/>
      <c r="T458" s="3200"/>
      <c r="U458" s="3200"/>
      <c r="V458" s="3200"/>
      <c r="W458" s="3200"/>
      <c r="X458" s="3200"/>
      <c r="Y458" s="3200"/>
      <c r="Z458" s="3200"/>
      <c r="AA458" s="3200"/>
      <c r="AB458" s="3200"/>
      <c r="AC458" s="3174">
        <f t="shared" si="268"/>
        <v>0</v>
      </c>
      <c r="AD458" s="3212"/>
      <c r="AE458" s="3212"/>
      <c r="AF458" s="3212"/>
      <c r="AG458" s="3212"/>
      <c r="AH458" s="3212"/>
      <c r="AI458" s="3212"/>
      <c r="AJ458" s="3212"/>
      <c r="AK458" s="3212"/>
      <c r="AL458" s="3212"/>
      <c r="AM458" s="3212"/>
      <c r="AN458" s="3212"/>
      <c r="AO458" s="3212"/>
      <c r="AP458" s="3212"/>
      <c r="AQ458" s="3212"/>
      <c r="AR458" s="3212"/>
      <c r="AS458" s="3212"/>
      <c r="AT458" s="3175"/>
      <c r="AU458" s="3232"/>
      <c r="AV458" s="466">
        <f t="shared" si="269"/>
        <v>0</v>
      </c>
      <c r="AW458" s="466">
        <f t="shared" si="270"/>
        <v>0</v>
      </c>
      <c r="AX458" s="466">
        <f t="shared" si="271"/>
        <v>0</v>
      </c>
      <c r="AY458" s="385">
        <f t="shared" si="272"/>
        <v>0</v>
      </c>
      <c r="AZ458" s="3174">
        <f t="shared" si="273"/>
        <v>0</v>
      </c>
      <c r="BA458" s="3174">
        <f t="shared" si="274"/>
        <v>0</v>
      </c>
      <c r="BB458" s="3174">
        <f t="shared" si="275"/>
        <v>0</v>
      </c>
      <c r="BC458" s="3174">
        <f t="shared" si="276"/>
        <v>0</v>
      </c>
      <c r="BD458" s="3174">
        <f t="shared" si="277"/>
        <v>0</v>
      </c>
      <c r="BE458" s="3174">
        <f t="shared" si="278"/>
        <v>0</v>
      </c>
      <c r="BF458" s="3174">
        <f t="shared" si="279"/>
        <v>0</v>
      </c>
      <c r="BG458" s="3174">
        <f t="shared" si="280"/>
        <v>0</v>
      </c>
      <c r="BH458" s="3174">
        <f t="shared" si="281"/>
        <v>0</v>
      </c>
      <c r="BI458" s="3174">
        <f t="shared" si="282"/>
        <v>0</v>
      </c>
      <c r="BJ458" s="3174">
        <f t="shared" si="283"/>
        <v>0</v>
      </c>
      <c r="BK458" s="3174">
        <f t="shared" si="284"/>
        <v>0</v>
      </c>
      <c r="BL458" s="3174">
        <f t="shared" si="285"/>
        <v>0</v>
      </c>
      <c r="BM458" s="3174">
        <f t="shared" si="286"/>
        <v>0</v>
      </c>
      <c r="BN458" s="3174">
        <f t="shared" si="287"/>
        <v>0</v>
      </c>
      <c r="BO458" s="3174">
        <f t="shared" si="288"/>
        <v>0</v>
      </c>
      <c r="BP458" s="3174">
        <f t="shared" si="289"/>
        <v>0</v>
      </c>
      <c r="BQ458" s="3174">
        <f t="shared" si="290"/>
        <v>0</v>
      </c>
      <c r="BR458" s="3174">
        <f t="shared" si="291"/>
        <v>0</v>
      </c>
      <c r="BS458" s="3174">
        <f t="shared" si="292"/>
        <v>0</v>
      </c>
      <c r="BT458" s="3249">
        <f t="shared" si="293"/>
        <v>0</v>
      </c>
    </row>
    <row r="459" spans="1:72">
      <c r="A459" s="489"/>
      <c r="B459" s="356"/>
      <c r="C459" s="356"/>
      <c r="D459" s="3182"/>
      <c r="E459" s="3174">
        <f t="shared" si="265"/>
        <v>0</v>
      </c>
      <c r="F459" s="3175"/>
      <c r="G459" s="3176">
        <f t="shared" si="266"/>
        <v>0</v>
      </c>
      <c r="H459" s="3177">
        <f t="shared" si="267"/>
        <v>0</v>
      </c>
      <c r="I459" s="3200"/>
      <c r="J459" s="3200"/>
      <c r="K459" s="3200"/>
      <c r="L459" s="3200"/>
      <c r="M459" s="3200"/>
      <c r="N459" s="3200"/>
      <c r="O459" s="3200"/>
      <c r="P459" s="3200"/>
      <c r="Q459" s="3200"/>
      <c r="R459" s="3200"/>
      <c r="S459" s="3200"/>
      <c r="T459" s="3200"/>
      <c r="U459" s="3200"/>
      <c r="V459" s="3200"/>
      <c r="W459" s="3200"/>
      <c r="X459" s="3200"/>
      <c r="Y459" s="3200"/>
      <c r="Z459" s="3200"/>
      <c r="AA459" s="3200"/>
      <c r="AB459" s="3200"/>
      <c r="AC459" s="3174">
        <f t="shared" si="268"/>
        <v>0</v>
      </c>
      <c r="AD459" s="3212"/>
      <c r="AE459" s="3212"/>
      <c r="AF459" s="3212"/>
      <c r="AG459" s="3212"/>
      <c r="AH459" s="3212"/>
      <c r="AI459" s="3212"/>
      <c r="AJ459" s="3212"/>
      <c r="AK459" s="3212"/>
      <c r="AL459" s="3212"/>
      <c r="AM459" s="3212"/>
      <c r="AN459" s="3212"/>
      <c r="AO459" s="3212"/>
      <c r="AP459" s="3212"/>
      <c r="AQ459" s="3212"/>
      <c r="AR459" s="3212"/>
      <c r="AS459" s="3212"/>
      <c r="AT459" s="3175"/>
      <c r="AU459" s="3232"/>
      <c r="AV459" s="466">
        <f t="shared" si="269"/>
        <v>0</v>
      </c>
      <c r="AW459" s="466">
        <f t="shared" si="270"/>
        <v>0</v>
      </c>
      <c r="AX459" s="466">
        <f t="shared" si="271"/>
        <v>0</v>
      </c>
      <c r="AY459" s="385">
        <f t="shared" si="272"/>
        <v>0</v>
      </c>
      <c r="AZ459" s="3174">
        <f t="shared" si="273"/>
        <v>0</v>
      </c>
      <c r="BA459" s="3174">
        <f t="shared" si="274"/>
        <v>0</v>
      </c>
      <c r="BB459" s="3174">
        <f t="shared" si="275"/>
        <v>0</v>
      </c>
      <c r="BC459" s="3174">
        <f t="shared" si="276"/>
        <v>0</v>
      </c>
      <c r="BD459" s="3174">
        <f t="shared" si="277"/>
        <v>0</v>
      </c>
      <c r="BE459" s="3174">
        <f t="shared" si="278"/>
        <v>0</v>
      </c>
      <c r="BF459" s="3174">
        <f t="shared" si="279"/>
        <v>0</v>
      </c>
      <c r="BG459" s="3174">
        <f t="shared" si="280"/>
        <v>0</v>
      </c>
      <c r="BH459" s="3174">
        <f t="shared" si="281"/>
        <v>0</v>
      </c>
      <c r="BI459" s="3174">
        <f t="shared" si="282"/>
        <v>0</v>
      </c>
      <c r="BJ459" s="3174">
        <f t="shared" si="283"/>
        <v>0</v>
      </c>
      <c r="BK459" s="3174">
        <f t="shared" si="284"/>
        <v>0</v>
      </c>
      <c r="BL459" s="3174">
        <f t="shared" si="285"/>
        <v>0</v>
      </c>
      <c r="BM459" s="3174">
        <f t="shared" si="286"/>
        <v>0</v>
      </c>
      <c r="BN459" s="3174">
        <f t="shared" si="287"/>
        <v>0</v>
      </c>
      <c r="BO459" s="3174">
        <f t="shared" si="288"/>
        <v>0</v>
      </c>
      <c r="BP459" s="3174">
        <f t="shared" si="289"/>
        <v>0</v>
      </c>
      <c r="BQ459" s="3174">
        <f t="shared" si="290"/>
        <v>0</v>
      </c>
      <c r="BR459" s="3174">
        <f t="shared" si="291"/>
        <v>0</v>
      </c>
      <c r="BS459" s="3174">
        <f t="shared" si="292"/>
        <v>0</v>
      </c>
      <c r="BT459" s="3249">
        <f t="shared" si="293"/>
        <v>0</v>
      </c>
    </row>
    <row r="460" spans="1:72">
      <c r="A460" s="489"/>
      <c r="B460" s="356"/>
      <c r="C460" s="356"/>
      <c r="D460" s="3182"/>
      <c r="E460" s="3174">
        <f t="shared" si="265"/>
        <v>0</v>
      </c>
      <c r="F460" s="3175"/>
      <c r="G460" s="3176">
        <f t="shared" si="266"/>
        <v>0</v>
      </c>
      <c r="H460" s="3177">
        <f t="shared" si="267"/>
        <v>0</v>
      </c>
      <c r="I460" s="3200"/>
      <c r="J460" s="3200"/>
      <c r="K460" s="3200"/>
      <c r="L460" s="3200"/>
      <c r="M460" s="3200"/>
      <c r="N460" s="3200"/>
      <c r="O460" s="3200"/>
      <c r="P460" s="3200"/>
      <c r="Q460" s="3200"/>
      <c r="R460" s="3200"/>
      <c r="S460" s="3200"/>
      <c r="T460" s="3200"/>
      <c r="U460" s="3200"/>
      <c r="V460" s="3200"/>
      <c r="W460" s="3200"/>
      <c r="X460" s="3200"/>
      <c r="Y460" s="3200"/>
      <c r="Z460" s="3200"/>
      <c r="AA460" s="3200"/>
      <c r="AB460" s="3200"/>
      <c r="AC460" s="3174">
        <f t="shared" si="268"/>
        <v>0</v>
      </c>
      <c r="AD460" s="3212"/>
      <c r="AE460" s="3212"/>
      <c r="AF460" s="3212"/>
      <c r="AG460" s="3212"/>
      <c r="AH460" s="3212"/>
      <c r="AI460" s="3212"/>
      <c r="AJ460" s="3212"/>
      <c r="AK460" s="3212"/>
      <c r="AL460" s="3212"/>
      <c r="AM460" s="3212"/>
      <c r="AN460" s="3212"/>
      <c r="AO460" s="3212"/>
      <c r="AP460" s="3212"/>
      <c r="AQ460" s="3212"/>
      <c r="AR460" s="3212"/>
      <c r="AS460" s="3212"/>
      <c r="AT460" s="3175"/>
      <c r="AU460" s="3232"/>
      <c r="AV460" s="466">
        <f t="shared" si="269"/>
        <v>0</v>
      </c>
      <c r="AW460" s="466">
        <f t="shared" si="270"/>
        <v>0</v>
      </c>
      <c r="AX460" s="466">
        <f t="shared" si="271"/>
        <v>0</v>
      </c>
      <c r="AY460" s="385">
        <f t="shared" si="272"/>
        <v>0</v>
      </c>
      <c r="AZ460" s="3174">
        <f t="shared" si="273"/>
        <v>0</v>
      </c>
      <c r="BA460" s="3174">
        <f t="shared" si="274"/>
        <v>0</v>
      </c>
      <c r="BB460" s="3174">
        <f t="shared" si="275"/>
        <v>0</v>
      </c>
      <c r="BC460" s="3174">
        <f t="shared" si="276"/>
        <v>0</v>
      </c>
      <c r="BD460" s="3174">
        <f t="shared" si="277"/>
        <v>0</v>
      </c>
      <c r="BE460" s="3174">
        <f t="shared" si="278"/>
        <v>0</v>
      </c>
      <c r="BF460" s="3174">
        <f t="shared" si="279"/>
        <v>0</v>
      </c>
      <c r="BG460" s="3174">
        <f t="shared" si="280"/>
        <v>0</v>
      </c>
      <c r="BH460" s="3174">
        <f t="shared" si="281"/>
        <v>0</v>
      </c>
      <c r="BI460" s="3174">
        <f t="shared" si="282"/>
        <v>0</v>
      </c>
      <c r="BJ460" s="3174">
        <f t="shared" si="283"/>
        <v>0</v>
      </c>
      <c r="BK460" s="3174">
        <f t="shared" si="284"/>
        <v>0</v>
      </c>
      <c r="BL460" s="3174">
        <f t="shared" si="285"/>
        <v>0</v>
      </c>
      <c r="BM460" s="3174">
        <f t="shared" si="286"/>
        <v>0</v>
      </c>
      <c r="BN460" s="3174">
        <f t="shared" si="287"/>
        <v>0</v>
      </c>
      <c r="BO460" s="3174">
        <f t="shared" si="288"/>
        <v>0</v>
      </c>
      <c r="BP460" s="3174">
        <f t="shared" si="289"/>
        <v>0</v>
      </c>
      <c r="BQ460" s="3174">
        <f t="shared" si="290"/>
        <v>0</v>
      </c>
      <c r="BR460" s="3174">
        <f t="shared" si="291"/>
        <v>0</v>
      </c>
      <c r="BS460" s="3174">
        <f t="shared" si="292"/>
        <v>0</v>
      </c>
      <c r="BT460" s="3249">
        <f t="shared" si="293"/>
        <v>0</v>
      </c>
    </row>
    <row r="461" spans="1:72">
      <c r="A461" s="489"/>
      <c r="B461" s="356"/>
      <c r="C461" s="356"/>
      <c r="D461" s="3182"/>
      <c r="E461" s="3174">
        <f t="shared" si="265"/>
        <v>0</v>
      </c>
      <c r="F461" s="3175"/>
      <c r="G461" s="3176">
        <f t="shared" si="266"/>
        <v>0</v>
      </c>
      <c r="H461" s="3177">
        <f t="shared" si="267"/>
        <v>0</v>
      </c>
      <c r="I461" s="3200"/>
      <c r="J461" s="3200"/>
      <c r="K461" s="3200"/>
      <c r="L461" s="3200"/>
      <c r="M461" s="3200"/>
      <c r="N461" s="3200"/>
      <c r="O461" s="3200"/>
      <c r="P461" s="3200"/>
      <c r="Q461" s="3200"/>
      <c r="R461" s="3200"/>
      <c r="S461" s="3200"/>
      <c r="T461" s="3200"/>
      <c r="U461" s="3200"/>
      <c r="V461" s="3200"/>
      <c r="W461" s="3200"/>
      <c r="X461" s="3200"/>
      <c r="Y461" s="3200"/>
      <c r="Z461" s="3200"/>
      <c r="AA461" s="3200"/>
      <c r="AB461" s="3200"/>
      <c r="AC461" s="3174">
        <f t="shared" si="268"/>
        <v>0</v>
      </c>
      <c r="AD461" s="3212"/>
      <c r="AE461" s="3212"/>
      <c r="AF461" s="3212"/>
      <c r="AG461" s="3212"/>
      <c r="AH461" s="3212"/>
      <c r="AI461" s="3212"/>
      <c r="AJ461" s="3212"/>
      <c r="AK461" s="3212"/>
      <c r="AL461" s="3212"/>
      <c r="AM461" s="3212"/>
      <c r="AN461" s="3212"/>
      <c r="AO461" s="3212"/>
      <c r="AP461" s="3212"/>
      <c r="AQ461" s="3212"/>
      <c r="AR461" s="3212"/>
      <c r="AS461" s="3212"/>
      <c r="AT461" s="3175"/>
      <c r="AU461" s="3232"/>
      <c r="AV461" s="466">
        <f t="shared" si="269"/>
        <v>0</v>
      </c>
      <c r="AW461" s="466">
        <f t="shared" si="270"/>
        <v>0</v>
      </c>
      <c r="AX461" s="466">
        <f t="shared" si="271"/>
        <v>0</v>
      </c>
      <c r="AY461" s="385">
        <f t="shared" si="272"/>
        <v>0</v>
      </c>
      <c r="AZ461" s="3174">
        <f t="shared" si="273"/>
        <v>0</v>
      </c>
      <c r="BA461" s="3174">
        <f t="shared" si="274"/>
        <v>0</v>
      </c>
      <c r="BB461" s="3174">
        <f t="shared" si="275"/>
        <v>0</v>
      </c>
      <c r="BC461" s="3174">
        <f t="shared" si="276"/>
        <v>0</v>
      </c>
      <c r="BD461" s="3174">
        <f t="shared" si="277"/>
        <v>0</v>
      </c>
      <c r="BE461" s="3174">
        <f t="shared" si="278"/>
        <v>0</v>
      </c>
      <c r="BF461" s="3174">
        <f t="shared" si="279"/>
        <v>0</v>
      </c>
      <c r="BG461" s="3174">
        <f t="shared" si="280"/>
        <v>0</v>
      </c>
      <c r="BH461" s="3174">
        <f t="shared" si="281"/>
        <v>0</v>
      </c>
      <c r="BI461" s="3174">
        <f t="shared" si="282"/>
        <v>0</v>
      </c>
      <c r="BJ461" s="3174">
        <f t="shared" si="283"/>
        <v>0</v>
      </c>
      <c r="BK461" s="3174">
        <f t="shared" si="284"/>
        <v>0</v>
      </c>
      <c r="BL461" s="3174">
        <f t="shared" si="285"/>
        <v>0</v>
      </c>
      <c r="BM461" s="3174">
        <f t="shared" si="286"/>
        <v>0</v>
      </c>
      <c r="BN461" s="3174">
        <f t="shared" si="287"/>
        <v>0</v>
      </c>
      <c r="BO461" s="3174">
        <f t="shared" si="288"/>
        <v>0</v>
      </c>
      <c r="BP461" s="3174">
        <f t="shared" si="289"/>
        <v>0</v>
      </c>
      <c r="BQ461" s="3174">
        <f t="shared" si="290"/>
        <v>0</v>
      </c>
      <c r="BR461" s="3174">
        <f t="shared" si="291"/>
        <v>0</v>
      </c>
      <c r="BS461" s="3174">
        <f t="shared" si="292"/>
        <v>0</v>
      </c>
      <c r="BT461" s="3249">
        <f t="shared" si="293"/>
        <v>0</v>
      </c>
    </row>
    <row r="462" spans="1:72">
      <c r="A462" s="489"/>
      <c r="B462" s="356"/>
      <c r="C462" s="356"/>
      <c r="D462" s="3182"/>
      <c r="E462" s="3174">
        <f t="shared" si="265"/>
        <v>0</v>
      </c>
      <c r="F462" s="3175"/>
      <c r="G462" s="3176">
        <f t="shared" si="266"/>
        <v>0</v>
      </c>
      <c r="H462" s="3177">
        <f t="shared" si="267"/>
        <v>0</v>
      </c>
      <c r="I462" s="3200"/>
      <c r="J462" s="3200"/>
      <c r="K462" s="3200"/>
      <c r="L462" s="3200"/>
      <c r="M462" s="3200"/>
      <c r="N462" s="3200"/>
      <c r="O462" s="3200"/>
      <c r="P462" s="3200"/>
      <c r="Q462" s="3200"/>
      <c r="R462" s="3200"/>
      <c r="S462" s="3200"/>
      <c r="T462" s="3200"/>
      <c r="U462" s="3200"/>
      <c r="V462" s="3200"/>
      <c r="W462" s="3200"/>
      <c r="X462" s="3200"/>
      <c r="Y462" s="3200"/>
      <c r="Z462" s="3200"/>
      <c r="AA462" s="3200"/>
      <c r="AB462" s="3200"/>
      <c r="AC462" s="3174">
        <f t="shared" si="268"/>
        <v>0</v>
      </c>
      <c r="AD462" s="3212"/>
      <c r="AE462" s="3212"/>
      <c r="AF462" s="3212"/>
      <c r="AG462" s="3212"/>
      <c r="AH462" s="3212"/>
      <c r="AI462" s="3212"/>
      <c r="AJ462" s="3212"/>
      <c r="AK462" s="3212"/>
      <c r="AL462" s="3212"/>
      <c r="AM462" s="3212"/>
      <c r="AN462" s="3212"/>
      <c r="AO462" s="3212"/>
      <c r="AP462" s="3212"/>
      <c r="AQ462" s="3212"/>
      <c r="AR462" s="3212"/>
      <c r="AS462" s="3212"/>
      <c r="AT462" s="3175"/>
      <c r="AU462" s="3232"/>
      <c r="AV462" s="466">
        <f t="shared" si="269"/>
        <v>0</v>
      </c>
      <c r="AW462" s="466">
        <f t="shared" si="270"/>
        <v>0</v>
      </c>
      <c r="AX462" s="466">
        <f t="shared" si="271"/>
        <v>0</v>
      </c>
      <c r="AY462" s="385">
        <f t="shared" si="272"/>
        <v>0</v>
      </c>
      <c r="AZ462" s="3174">
        <f t="shared" si="273"/>
        <v>0</v>
      </c>
      <c r="BA462" s="3174">
        <f t="shared" si="274"/>
        <v>0</v>
      </c>
      <c r="BB462" s="3174">
        <f t="shared" si="275"/>
        <v>0</v>
      </c>
      <c r="BC462" s="3174">
        <f t="shared" si="276"/>
        <v>0</v>
      </c>
      <c r="BD462" s="3174">
        <f t="shared" si="277"/>
        <v>0</v>
      </c>
      <c r="BE462" s="3174">
        <f t="shared" si="278"/>
        <v>0</v>
      </c>
      <c r="BF462" s="3174">
        <f t="shared" si="279"/>
        <v>0</v>
      </c>
      <c r="BG462" s="3174">
        <f t="shared" si="280"/>
        <v>0</v>
      </c>
      <c r="BH462" s="3174">
        <f t="shared" si="281"/>
        <v>0</v>
      </c>
      <c r="BI462" s="3174">
        <f t="shared" si="282"/>
        <v>0</v>
      </c>
      <c r="BJ462" s="3174">
        <f t="shared" si="283"/>
        <v>0</v>
      </c>
      <c r="BK462" s="3174">
        <f t="shared" si="284"/>
        <v>0</v>
      </c>
      <c r="BL462" s="3174">
        <f t="shared" si="285"/>
        <v>0</v>
      </c>
      <c r="BM462" s="3174">
        <f t="shared" si="286"/>
        <v>0</v>
      </c>
      <c r="BN462" s="3174">
        <f t="shared" si="287"/>
        <v>0</v>
      </c>
      <c r="BO462" s="3174">
        <f t="shared" si="288"/>
        <v>0</v>
      </c>
      <c r="BP462" s="3174">
        <f t="shared" si="289"/>
        <v>0</v>
      </c>
      <c r="BQ462" s="3174">
        <f t="shared" si="290"/>
        <v>0</v>
      </c>
      <c r="BR462" s="3174">
        <f t="shared" si="291"/>
        <v>0</v>
      </c>
      <c r="BS462" s="3174">
        <f t="shared" si="292"/>
        <v>0</v>
      </c>
      <c r="BT462" s="3249">
        <f t="shared" si="293"/>
        <v>0</v>
      </c>
    </row>
    <row r="463" spans="1:72">
      <c r="A463" s="489"/>
      <c r="B463" s="356"/>
      <c r="C463" s="356"/>
      <c r="D463" s="3182"/>
      <c r="E463" s="3174">
        <f t="shared" si="265"/>
        <v>0</v>
      </c>
      <c r="F463" s="3175"/>
      <c r="G463" s="3176">
        <f t="shared" si="266"/>
        <v>0</v>
      </c>
      <c r="H463" s="3177">
        <f t="shared" si="267"/>
        <v>0</v>
      </c>
      <c r="I463" s="3200"/>
      <c r="J463" s="3200"/>
      <c r="K463" s="3200"/>
      <c r="L463" s="3200"/>
      <c r="M463" s="3200"/>
      <c r="N463" s="3200"/>
      <c r="O463" s="3200"/>
      <c r="P463" s="3200"/>
      <c r="Q463" s="3200"/>
      <c r="R463" s="3200"/>
      <c r="S463" s="3200"/>
      <c r="T463" s="3200"/>
      <c r="U463" s="3200"/>
      <c r="V463" s="3200"/>
      <c r="W463" s="3200"/>
      <c r="X463" s="3200"/>
      <c r="Y463" s="3200"/>
      <c r="Z463" s="3200"/>
      <c r="AA463" s="3200"/>
      <c r="AB463" s="3200"/>
      <c r="AC463" s="3174">
        <f t="shared" si="268"/>
        <v>0</v>
      </c>
      <c r="AD463" s="3212"/>
      <c r="AE463" s="3212"/>
      <c r="AF463" s="3212"/>
      <c r="AG463" s="3212"/>
      <c r="AH463" s="3212"/>
      <c r="AI463" s="3212"/>
      <c r="AJ463" s="3212"/>
      <c r="AK463" s="3212"/>
      <c r="AL463" s="3212"/>
      <c r="AM463" s="3212"/>
      <c r="AN463" s="3212"/>
      <c r="AO463" s="3212"/>
      <c r="AP463" s="3212"/>
      <c r="AQ463" s="3212"/>
      <c r="AR463" s="3212"/>
      <c r="AS463" s="3212"/>
      <c r="AT463" s="3175"/>
      <c r="AU463" s="3232"/>
      <c r="AV463" s="466">
        <f t="shared" si="269"/>
        <v>0</v>
      </c>
      <c r="AW463" s="466">
        <f t="shared" si="270"/>
        <v>0</v>
      </c>
      <c r="AX463" s="466">
        <f t="shared" si="271"/>
        <v>0</v>
      </c>
      <c r="AY463" s="385">
        <f t="shared" si="272"/>
        <v>0</v>
      </c>
      <c r="AZ463" s="3174">
        <f t="shared" si="273"/>
        <v>0</v>
      </c>
      <c r="BA463" s="3174">
        <f t="shared" si="274"/>
        <v>0</v>
      </c>
      <c r="BB463" s="3174">
        <f t="shared" si="275"/>
        <v>0</v>
      </c>
      <c r="BC463" s="3174">
        <f t="shared" si="276"/>
        <v>0</v>
      </c>
      <c r="BD463" s="3174">
        <f t="shared" si="277"/>
        <v>0</v>
      </c>
      <c r="BE463" s="3174">
        <f t="shared" si="278"/>
        <v>0</v>
      </c>
      <c r="BF463" s="3174">
        <f t="shared" si="279"/>
        <v>0</v>
      </c>
      <c r="BG463" s="3174">
        <f t="shared" si="280"/>
        <v>0</v>
      </c>
      <c r="BH463" s="3174">
        <f t="shared" si="281"/>
        <v>0</v>
      </c>
      <c r="BI463" s="3174">
        <f t="shared" si="282"/>
        <v>0</v>
      </c>
      <c r="BJ463" s="3174">
        <f t="shared" si="283"/>
        <v>0</v>
      </c>
      <c r="BK463" s="3174">
        <f t="shared" si="284"/>
        <v>0</v>
      </c>
      <c r="BL463" s="3174">
        <f t="shared" si="285"/>
        <v>0</v>
      </c>
      <c r="BM463" s="3174">
        <f t="shared" si="286"/>
        <v>0</v>
      </c>
      <c r="BN463" s="3174">
        <f t="shared" si="287"/>
        <v>0</v>
      </c>
      <c r="BO463" s="3174">
        <f t="shared" si="288"/>
        <v>0</v>
      </c>
      <c r="BP463" s="3174">
        <f t="shared" si="289"/>
        <v>0</v>
      </c>
      <c r="BQ463" s="3174">
        <f t="shared" si="290"/>
        <v>0</v>
      </c>
      <c r="BR463" s="3174">
        <f t="shared" si="291"/>
        <v>0</v>
      </c>
      <c r="BS463" s="3174">
        <f t="shared" si="292"/>
        <v>0</v>
      </c>
      <c r="BT463" s="3249">
        <f t="shared" si="293"/>
        <v>0</v>
      </c>
    </row>
    <row r="464" spans="1:72">
      <c r="A464" s="489"/>
      <c r="B464" s="356"/>
      <c r="C464" s="356"/>
      <c r="D464" s="3182"/>
      <c r="E464" s="3174">
        <f t="shared" si="265"/>
        <v>0</v>
      </c>
      <c r="F464" s="3175"/>
      <c r="G464" s="3176">
        <f t="shared" si="266"/>
        <v>0</v>
      </c>
      <c r="H464" s="3177">
        <f t="shared" si="267"/>
        <v>0</v>
      </c>
      <c r="I464" s="3200"/>
      <c r="J464" s="3200"/>
      <c r="K464" s="3200"/>
      <c r="L464" s="3200"/>
      <c r="M464" s="3200"/>
      <c r="N464" s="3200"/>
      <c r="O464" s="3200"/>
      <c r="P464" s="3200"/>
      <c r="Q464" s="3200"/>
      <c r="R464" s="3200"/>
      <c r="S464" s="3200"/>
      <c r="T464" s="3200"/>
      <c r="U464" s="3200"/>
      <c r="V464" s="3200"/>
      <c r="W464" s="3200"/>
      <c r="X464" s="3200"/>
      <c r="Y464" s="3200"/>
      <c r="Z464" s="3200"/>
      <c r="AA464" s="3200"/>
      <c r="AB464" s="3200"/>
      <c r="AC464" s="3174">
        <f t="shared" si="268"/>
        <v>0</v>
      </c>
      <c r="AD464" s="3212"/>
      <c r="AE464" s="3212"/>
      <c r="AF464" s="3212"/>
      <c r="AG464" s="3212"/>
      <c r="AH464" s="3212"/>
      <c r="AI464" s="3212"/>
      <c r="AJ464" s="3212"/>
      <c r="AK464" s="3212"/>
      <c r="AL464" s="3212"/>
      <c r="AM464" s="3212"/>
      <c r="AN464" s="3212"/>
      <c r="AO464" s="3212"/>
      <c r="AP464" s="3212"/>
      <c r="AQ464" s="3212"/>
      <c r="AR464" s="3212"/>
      <c r="AS464" s="3212"/>
      <c r="AT464" s="3175"/>
      <c r="AU464" s="3232"/>
      <c r="AV464" s="466">
        <f t="shared" si="269"/>
        <v>0</v>
      </c>
      <c r="AW464" s="466">
        <f t="shared" si="270"/>
        <v>0</v>
      </c>
      <c r="AX464" s="466">
        <f t="shared" si="271"/>
        <v>0</v>
      </c>
      <c r="AY464" s="385">
        <f t="shared" si="272"/>
        <v>0</v>
      </c>
      <c r="AZ464" s="3174">
        <f t="shared" si="273"/>
        <v>0</v>
      </c>
      <c r="BA464" s="3174">
        <f t="shared" si="274"/>
        <v>0</v>
      </c>
      <c r="BB464" s="3174">
        <f t="shared" si="275"/>
        <v>0</v>
      </c>
      <c r="BC464" s="3174">
        <f t="shared" si="276"/>
        <v>0</v>
      </c>
      <c r="BD464" s="3174">
        <f t="shared" si="277"/>
        <v>0</v>
      </c>
      <c r="BE464" s="3174">
        <f t="shared" si="278"/>
        <v>0</v>
      </c>
      <c r="BF464" s="3174">
        <f t="shared" si="279"/>
        <v>0</v>
      </c>
      <c r="BG464" s="3174">
        <f t="shared" si="280"/>
        <v>0</v>
      </c>
      <c r="BH464" s="3174">
        <f t="shared" si="281"/>
        <v>0</v>
      </c>
      <c r="BI464" s="3174">
        <f t="shared" si="282"/>
        <v>0</v>
      </c>
      <c r="BJ464" s="3174">
        <f t="shared" si="283"/>
        <v>0</v>
      </c>
      <c r="BK464" s="3174">
        <f t="shared" si="284"/>
        <v>0</v>
      </c>
      <c r="BL464" s="3174">
        <f t="shared" si="285"/>
        <v>0</v>
      </c>
      <c r="BM464" s="3174">
        <f t="shared" si="286"/>
        <v>0</v>
      </c>
      <c r="BN464" s="3174">
        <f t="shared" si="287"/>
        <v>0</v>
      </c>
      <c r="BO464" s="3174">
        <f t="shared" si="288"/>
        <v>0</v>
      </c>
      <c r="BP464" s="3174">
        <f t="shared" si="289"/>
        <v>0</v>
      </c>
      <c r="BQ464" s="3174">
        <f t="shared" si="290"/>
        <v>0</v>
      </c>
      <c r="BR464" s="3174">
        <f t="shared" si="291"/>
        <v>0</v>
      </c>
      <c r="BS464" s="3174">
        <f t="shared" si="292"/>
        <v>0</v>
      </c>
      <c r="BT464" s="3249">
        <f t="shared" si="293"/>
        <v>0</v>
      </c>
    </row>
    <row r="465" spans="1:72">
      <c r="A465" s="489"/>
      <c r="B465" s="356"/>
      <c r="C465" s="356"/>
      <c r="D465" s="3182"/>
      <c r="E465" s="3174">
        <f t="shared" si="265"/>
        <v>0</v>
      </c>
      <c r="F465" s="3175"/>
      <c r="G465" s="3176">
        <f t="shared" si="266"/>
        <v>0</v>
      </c>
      <c r="H465" s="3177">
        <f t="shared" si="267"/>
        <v>0</v>
      </c>
      <c r="I465" s="3200"/>
      <c r="J465" s="3200"/>
      <c r="K465" s="3200"/>
      <c r="L465" s="3200"/>
      <c r="M465" s="3200"/>
      <c r="N465" s="3200"/>
      <c r="O465" s="3200"/>
      <c r="P465" s="3200"/>
      <c r="Q465" s="3200"/>
      <c r="R465" s="3200"/>
      <c r="S465" s="3200"/>
      <c r="T465" s="3200"/>
      <c r="U465" s="3200"/>
      <c r="V465" s="3200"/>
      <c r="W465" s="3200"/>
      <c r="X465" s="3200"/>
      <c r="Y465" s="3200"/>
      <c r="Z465" s="3200"/>
      <c r="AA465" s="3200"/>
      <c r="AB465" s="3200"/>
      <c r="AC465" s="3174">
        <f t="shared" si="268"/>
        <v>0</v>
      </c>
      <c r="AD465" s="3212"/>
      <c r="AE465" s="3212"/>
      <c r="AF465" s="3212"/>
      <c r="AG465" s="3212"/>
      <c r="AH465" s="3212"/>
      <c r="AI465" s="3212"/>
      <c r="AJ465" s="3212"/>
      <c r="AK465" s="3212"/>
      <c r="AL465" s="3212"/>
      <c r="AM465" s="3212"/>
      <c r="AN465" s="3212"/>
      <c r="AO465" s="3212"/>
      <c r="AP465" s="3212"/>
      <c r="AQ465" s="3212"/>
      <c r="AR465" s="3212"/>
      <c r="AS465" s="3212"/>
      <c r="AT465" s="3175"/>
      <c r="AU465" s="3232"/>
      <c r="AV465" s="466">
        <f t="shared" si="269"/>
        <v>0</v>
      </c>
      <c r="AW465" s="466">
        <f t="shared" si="270"/>
        <v>0</v>
      </c>
      <c r="AX465" s="466">
        <f t="shared" si="271"/>
        <v>0</v>
      </c>
      <c r="AY465" s="385">
        <f t="shared" si="272"/>
        <v>0</v>
      </c>
      <c r="AZ465" s="3174">
        <f t="shared" si="273"/>
        <v>0</v>
      </c>
      <c r="BA465" s="3174">
        <f t="shared" si="274"/>
        <v>0</v>
      </c>
      <c r="BB465" s="3174">
        <f t="shared" si="275"/>
        <v>0</v>
      </c>
      <c r="BC465" s="3174">
        <f t="shared" si="276"/>
        <v>0</v>
      </c>
      <c r="BD465" s="3174">
        <f t="shared" si="277"/>
        <v>0</v>
      </c>
      <c r="BE465" s="3174">
        <f t="shared" si="278"/>
        <v>0</v>
      </c>
      <c r="BF465" s="3174">
        <f t="shared" si="279"/>
        <v>0</v>
      </c>
      <c r="BG465" s="3174">
        <f t="shared" si="280"/>
        <v>0</v>
      </c>
      <c r="BH465" s="3174">
        <f t="shared" si="281"/>
        <v>0</v>
      </c>
      <c r="BI465" s="3174">
        <f t="shared" si="282"/>
        <v>0</v>
      </c>
      <c r="BJ465" s="3174">
        <f t="shared" si="283"/>
        <v>0</v>
      </c>
      <c r="BK465" s="3174">
        <f t="shared" si="284"/>
        <v>0</v>
      </c>
      <c r="BL465" s="3174">
        <f t="shared" si="285"/>
        <v>0</v>
      </c>
      <c r="BM465" s="3174">
        <f t="shared" si="286"/>
        <v>0</v>
      </c>
      <c r="BN465" s="3174">
        <f t="shared" si="287"/>
        <v>0</v>
      </c>
      <c r="BO465" s="3174">
        <f t="shared" si="288"/>
        <v>0</v>
      </c>
      <c r="BP465" s="3174">
        <f t="shared" si="289"/>
        <v>0</v>
      </c>
      <c r="BQ465" s="3174">
        <f t="shared" si="290"/>
        <v>0</v>
      </c>
      <c r="BR465" s="3174">
        <f t="shared" si="291"/>
        <v>0</v>
      </c>
      <c r="BS465" s="3174">
        <f t="shared" si="292"/>
        <v>0</v>
      </c>
      <c r="BT465" s="3249">
        <f t="shared" si="293"/>
        <v>0</v>
      </c>
    </row>
    <row r="466" spans="1:72">
      <c r="A466" s="489"/>
      <c r="B466" s="356"/>
      <c r="C466" s="356"/>
      <c r="D466" s="3182"/>
      <c r="E466" s="3174">
        <f t="shared" si="265"/>
        <v>0</v>
      </c>
      <c r="F466" s="3175"/>
      <c r="G466" s="3176">
        <f t="shared" si="266"/>
        <v>0</v>
      </c>
      <c r="H466" s="3177">
        <f t="shared" si="267"/>
        <v>0</v>
      </c>
      <c r="I466" s="3200"/>
      <c r="J466" s="3200"/>
      <c r="K466" s="3200"/>
      <c r="L466" s="3200"/>
      <c r="M466" s="3200"/>
      <c r="N466" s="3200"/>
      <c r="O466" s="3200"/>
      <c r="P466" s="3200"/>
      <c r="Q466" s="3200"/>
      <c r="R466" s="3200"/>
      <c r="S466" s="3200"/>
      <c r="T466" s="3200"/>
      <c r="U466" s="3200"/>
      <c r="V466" s="3200"/>
      <c r="W466" s="3200"/>
      <c r="X466" s="3200"/>
      <c r="Y466" s="3200"/>
      <c r="Z466" s="3200"/>
      <c r="AA466" s="3200"/>
      <c r="AB466" s="3200"/>
      <c r="AC466" s="3174">
        <f t="shared" si="268"/>
        <v>0</v>
      </c>
      <c r="AD466" s="3212"/>
      <c r="AE466" s="3212"/>
      <c r="AF466" s="3212"/>
      <c r="AG466" s="3212"/>
      <c r="AH466" s="3212"/>
      <c r="AI466" s="3212"/>
      <c r="AJ466" s="3212"/>
      <c r="AK466" s="3212"/>
      <c r="AL466" s="3212"/>
      <c r="AM466" s="3212"/>
      <c r="AN466" s="3212"/>
      <c r="AO466" s="3212"/>
      <c r="AP466" s="3212"/>
      <c r="AQ466" s="3212"/>
      <c r="AR466" s="3212"/>
      <c r="AS466" s="3212"/>
      <c r="AT466" s="3175"/>
      <c r="AU466" s="3232"/>
      <c r="AV466" s="466">
        <f t="shared" si="269"/>
        <v>0</v>
      </c>
      <c r="AW466" s="466">
        <f t="shared" si="270"/>
        <v>0</v>
      </c>
      <c r="AX466" s="466">
        <f t="shared" si="271"/>
        <v>0</v>
      </c>
      <c r="AY466" s="385">
        <f t="shared" si="272"/>
        <v>0</v>
      </c>
      <c r="AZ466" s="3174">
        <f t="shared" si="273"/>
        <v>0</v>
      </c>
      <c r="BA466" s="3174">
        <f t="shared" si="274"/>
        <v>0</v>
      </c>
      <c r="BB466" s="3174">
        <f t="shared" si="275"/>
        <v>0</v>
      </c>
      <c r="BC466" s="3174">
        <f t="shared" si="276"/>
        <v>0</v>
      </c>
      <c r="BD466" s="3174">
        <f t="shared" si="277"/>
        <v>0</v>
      </c>
      <c r="BE466" s="3174">
        <f t="shared" si="278"/>
        <v>0</v>
      </c>
      <c r="BF466" s="3174">
        <f t="shared" si="279"/>
        <v>0</v>
      </c>
      <c r="BG466" s="3174">
        <f t="shared" si="280"/>
        <v>0</v>
      </c>
      <c r="BH466" s="3174">
        <f t="shared" si="281"/>
        <v>0</v>
      </c>
      <c r="BI466" s="3174">
        <f t="shared" si="282"/>
        <v>0</v>
      </c>
      <c r="BJ466" s="3174">
        <f t="shared" si="283"/>
        <v>0</v>
      </c>
      <c r="BK466" s="3174">
        <f t="shared" si="284"/>
        <v>0</v>
      </c>
      <c r="BL466" s="3174">
        <f t="shared" si="285"/>
        <v>0</v>
      </c>
      <c r="BM466" s="3174">
        <f t="shared" si="286"/>
        <v>0</v>
      </c>
      <c r="BN466" s="3174">
        <f t="shared" si="287"/>
        <v>0</v>
      </c>
      <c r="BO466" s="3174">
        <f t="shared" si="288"/>
        <v>0</v>
      </c>
      <c r="BP466" s="3174">
        <f t="shared" si="289"/>
        <v>0</v>
      </c>
      <c r="BQ466" s="3174">
        <f t="shared" si="290"/>
        <v>0</v>
      </c>
      <c r="BR466" s="3174">
        <f t="shared" si="291"/>
        <v>0</v>
      </c>
      <c r="BS466" s="3174">
        <f t="shared" si="292"/>
        <v>0</v>
      </c>
      <c r="BT466" s="3249">
        <f t="shared" si="293"/>
        <v>0</v>
      </c>
    </row>
    <row r="467" spans="1:72">
      <c r="A467" s="489"/>
      <c r="B467" s="356"/>
      <c r="C467" s="356"/>
      <c r="D467" s="3182"/>
      <c r="E467" s="3174">
        <f t="shared" si="265"/>
        <v>0</v>
      </c>
      <c r="F467" s="3175"/>
      <c r="G467" s="3176">
        <f t="shared" si="266"/>
        <v>0</v>
      </c>
      <c r="H467" s="3177">
        <f t="shared" si="267"/>
        <v>0</v>
      </c>
      <c r="I467" s="3200"/>
      <c r="J467" s="3200"/>
      <c r="K467" s="3200"/>
      <c r="L467" s="3200"/>
      <c r="M467" s="3200"/>
      <c r="N467" s="3200"/>
      <c r="O467" s="3200"/>
      <c r="P467" s="3200"/>
      <c r="Q467" s="3200"/>
      <c r="R467" s="3200"/>
      <c r="S467" s="3200"/>
      <c r="T467" s="3200"/>
      <c r="U467" s="3200"/>
      <c r="V467" s="3200"/>
      <c r="W467" s="3200"/>
      <c r="X467" s="3200"/>
      <c r="Y467" s="3200"/>
      <c r="Z467" s="3200"/>
      <c r="AA467" s="3200"/>
      <c r="AB467" s="3200"/>
      <c r="AC467" s="3174">
        <f t="shared" si="268"/>
        <v>0</v>
      </c>
      <c r="AD467" s="3212"/>
      <c r="AE467" s="3212"/>
      <c r="AF467" s="3212"/>
      <c r="AG467" s="3212"/>
      <c r="AH467" s="3212"/>
      <c r="AI467" s="3212"/>
      <c r="AJ467" s="3212"/>
      <c r="AK467" s="3212"/>
      <c r="AL467" s="3212"/>
      <c r="AM467" s="3212"/>
      <c r="AN467" s="3212"/>
      <c r="AO467" s="3212"/>
      <c r="AP467" s="3212"/>
      <c r="AQ467" s="3212"/>
      <c r="AR467" s="3212"/>
      <c r="AS467" s="3212"/>
      <c r="AT467" s="3175"/>
      <c r="AU467" s="3232"/>
      <c r="AV467" s="466">
        <f t="shared" si="269"/>
        <v>0</v>
      </c>
      <c r="AW467" s="466">
        <f t="shared" si="270"/>
        <v>0</v>
      </c>
      <c r="AX467" s="466">
        <f t="shared" si="271"/>
        <v>0</v>
      </c>
      <c r="AY467" s="385">
        <f t="shared" si="272"/>
        <v>0</v>
      </c>
      <c r="AZ467" s="3174">
        <f t="shared" si="273"/>
        <v>0</v>
      </c>
      <c r="BA467" s="3174">
        <f t="shared" si="274"/>
        <v>0</v>
      </c>
      <c r="BB467" s="3174">
        <f t="shared" si="275"/>
        <v>0</v>
      </c>
      <c r="BC467" s="3174">
        <f t="shared" si="276"/>
        <v>0</v>
      </c>
      <c r="BD467" s="3174">
        <f t="shared" si="277"/>
        <v>0</v>
      </c>
      <c r="BE467" s="3174">
        <f t="shared" si="278"/>
        <v>0</v>
      </c>
      <c r="BF467" s="3174">
        <f t="shared" si="279"/>
        <v>0</v>
      </c>
      <c r="BG467" s="3174">
        <f t="shared" si="280"/>
        <v>0</v>
      </c>
      <c r="BH467" s="3174">
        <f t="shared" si="281"/>
        <v>0</v>
      </c>
      <c r="BI467" s="3174">
        <f t="shared" si="282"/>
        <v>0</v>
      </c>
      <c r="BJ467" s="3174">
        <f t="shared" si="283"/>
        <v>0</v>
      </c>
      <c r="BK467" s="3174">
        <f t="shared" si="284"/>
        <v>0</v>
      </c>
      <c r="BL467" s="3174">
        <f t="shared" si="285"/>
        <v>0</v>
      </c>
      <c r="BM467" s="3174">
        <f t="shared" si="286"/>
        <v>0</v>
      </c>
      <c r="BN467" s="3174">
        <f t="shared" si="287"/>
        <v>0</v>
      </c>
      <c r="BO467" s="3174">
        <f t="shared" si="288"/>
        <v>0</v>
      </c>
      <c r="BP467" s="3174">
        <f t="shared" si="289"/>
        <v>0</v>
      </c>
      <c r="BQ467" s="3174">
        <f t="shared" si="290"/>
        <v>0</v>
      </c>
      <c r="BR467" s="3174">
        <f t="shared" si="291"/>
        <v>0</v>
      </c>
      <c r="BS467" s="3174">
        <f t="shared" si="292"/>
        <v>0</v>
      </c>
      <c r="BT467" s="3249">
        <f t="shared" si="293"/>
        <v>0</v>
      </c>
    </row>
    <row r="468" spans="1:72">
      <c r="A468" s="489"/>
      <c r="B468" s="356"/>
      <c r="C468" s="356"/>
      <c r="D468" s="3182"/>
      <c r="E468" s="3174">
        <f t="shared" si="265"/>
        <v>0</v>
      </c>
      <c r="F468" s="3175"/>
      <c r="G468" s="3176">
        <f t="shared" si="266"/>
        <v>0</v>
      </c>
      <c r="H468" s="3177">
        <f t="shared" si="267"/>
        <v>0</v>
      </c>
      <c r="I468" s="3200"/>
      <c r="J468" s="3200"/>
      <c r="K468" s="3200"/>
      <c r="L468" s="3200"/>
      <c r="M468" s="3200"/>
      <c r="N468" s="3200"/>
      <c r="O468" s="3200"/>
      <c r="P468" s="3200"/>
      <c r="Q468" s="3200"/>
      <c r="R468" s="3200"/>
      <c r="S468" s="3200"/>
      <c r="T468" s="3200"/>
      <c r="U468" s="3200"/>
      <c r="V468" s="3200"/>
      <c r="W468" s="3200"/>
      <c r="X468" s="3200"/>
      <c r="Y468" s="3200"/>
      <c r="Z468" s="3200"/>
      <c r="AA468" s="3200"/>
      <c r="AB468" s="3200"/>
      <c r="AC468" s="3174">
        <f t="shared" si="268"/>
        <v>0</v>
      </c>
      <c r="AD468" s="3212"/>
      <c r="AE468" s="3212"/>
      <c r="AF468" s="3212"/>
      <c r="AG468" s="3212"/>
      <c r="AH468" s="3212"/>
      <c r="AI468" s="3212"/>
      <c r="AJ468" s="3212"/>
      <c r="AK468" s="3212"/>
      <c r="AL468" s="3212"/>
      <c r="AM468" s="3212"/>
      <c r="AN468" s="3212"/>
      <c r="AO468" s="3212"/>
      <c r="AP468" s="3212"/>
      <c r="AQ468" s="3212"/>
      <c r="AR468" s="3212"/>
      <c r="AS468" s="3212"/>
      <c r="AT468" s="3175"/>
      <c r="AU468" s="3232"/>
      <c r="AV468" s="466">
        <f t="shared" si="269"/>
        <v>0</v>
      </c>
      <c r="AW468" s="466">
        <f t="shared" si="270"/>
        <v>0</v>
      </c>
      <c r="AX468" s="466">
        <f t="shared" si="271"/>
        <v>0</v>
      </c>
      <c r="AY468" s="385">
        <f t="shared" si="272"/>
        <v>0</v>
      </c>
      <c r="AZ468" s="3174">
        <f t="shared" si="273"/>
        <v>0</v>
      </c>
      <c r="BA468" s="3174">
        <f t="shared" si="274"/>
        <v>0</v>
      </c>
      <c r="BB468" s="3174">
        <f t="shared" si="275"/>
        <v>0</v>
      </c>
      <c r="BC468" s="3174">
        <f t="shared" si="276"/>
        <v>0</v>
      </c>
      <c r="BD468" s="3174">
        <f t="shared" si="277"/>
        <v>0</v>
      </c>
      <c r="BE468" s="3174">
        <f t="shared" si="278"/>
        <v>0</v>
      </c>
      <c r="BF468" s="3174">
        <f t="shared" si="279"/>
        <v>0</v>
      </c>
      <c r="BG468" s="3174">
        <f t="shared" si="280"/>
        <v>0</v>
      </c>
      <c r="BH468" s="3174">
        <f t="shared" si="281"/>
        <v>0</v>
      </c>
      <c r="BI468" s="3174">
        <f t="shared" si="282"/>
        <v>0</v>
      </c>
      <c r="BJ468" s="3174">
        <f t="shared" si="283"/>
        <v>0</v>
      </c>
      <c r="BK468" s="3174">
        <f t="shared" si="284"/>
        <v>0</v>
      </c>
      <c r="BL468" s="3174">
        <f t="shared" si="285"/>
        <v>0</v>
      </c>
      <c r="BM468" s="3174">
        <f t="shared" si="286"/>
        <v>0</v>
      </c>
      <c r="BN468" s="3174">
        <f t="shared" si="287"/>
        <v>0</v>
      </c>
      <c r="BO468" s="3174">
        <f t="shared" si="288"/>
        <v>0</v>
      </c>
      <c r="BP468" s="3174">
        <f t="shared" si="289"/>
        <v>0</v>
      </c>
      <c r="BQ468" s="3174">
        <f t="shared" si="290"/>
        <v>0</v>
      </c>
      <c r="BR468" s="3174">
        <f t="shared" si="291"/>
        <v>0</v>
      </c>
      <c r="BS468" s="3174">
        <f t="shared" si="292"/>
        <v>0</v>
      </c>
      <c r="BT468" s="3249">
        <f t="shared" si="293"/>
        <v>0</v>
      </c>
    </row>
    <row r="469" spans="1:72">
      <c r="A469" s="489"/>
      <c r="B469" s="356"/>
      <c r="C469" s="356"/>
      <c r="D469" s="3182"/>
      <c r="E469" s="3174">
        <f t="shared" si="265"/>
        <v>0</v>
      </c>
      <c r="F469" s="3175"/>
      <c r="G469" s="3176">
        <f t="shared" si="266"/>
        <v>0</v>
      </c>
      <c r="H469" s="3177">
        <f t="shared" si="267"/>
        <v>0</v>
      </c>
      <c r="I469" s="3200"/>
      <c r="J469" s="3200"/>
      <c r="K469" s="3200"/>
      <c r="L469" s="3200"/>
      <c r="M469" s="3200"/>
      <c r="N469" s="3200"/>
      <c r="O469" s="3200"/>
      <c r="P469" s="3200"/>
      <c r="Q469" s="3200"/>
      <c r="R469" s="3200"/>
      <c r="S469" s="3200"/>
      <c r="T469" s="3200"/>
      <c r="U469" s="3200"/>
      <c r="V469" s="3200"/>
      <c r="W469" s="3200"/>
      <c r="X469" s="3200"/>
      <c r="Y469" s="3200"/>
      <c r="Z469" s="3200"/>
      <c r="AA469" s="3200"/>
      <c r="AB469" s="3200"/>
      <c r="AC469" s="3174">
        <f t="shared" si="268"/>
        <v>0</v>
      </c>
      <c r="AD469" s="3212"/>
      <c r="AE469" s="3212"/>
      <c r="AF469" s="3212"/>
      <c r="AG469" s="3212"/>
      <c r="AH469" s="3212"/>
      <c r="AI469" s="3212"/>
      <c r="AJ469" s="3212"/>
      <c r="AK469" s="3212"/>
      <c r="AL469" s="3212"/>
      <c r="AM469" s="3212"/>
      <c r="AN469" s="3212"/>
      <c r="AO469" s="3212"/>
      <c r="AP469" s="3212"/>
      <c r="AQ469" s="3212"/>
      <c r="AR469" s="3212"/>
      <c r="AS469" s="3212"/>
      <c r="AT469" s="3175"/>
      <c r="AU469" s="3232"/>
      <c r="AV469" s="466">
        <f t="shared" si="269"/>
        <v>0</v>
      </c>
      <c r="AW469" s="466">
        <f t="shared" si="270"/>
        <v>0</v>
      </c>
      <c r="AX469" s="466">
        <f t="shared" si="271"/>
        <v>0</v>
      </c>
      <c r="AY469" s="385">
        <f t="shared" si="272"/>
        <v>0</v>
      </c>
      <c r="AZ469" s="3174">
        <f t="shared" si="273"/>
        <v>0</v>
      </c>
      <c r="BA469" s="3174">
        <f t="shared" si="274"/>
        <v>0</v>
      </c>
      <c r="BB469" s="3174">
        <f t="shared" si="275"/>
        <v>0</v>
      </c>
      <c r="BC469" s="3174">
        <f t="shared" si="276"/>
        <v>0</v>
      </c>
      <c r="BD469" s="3174">
        <f t="shared" si="277"/>
        <v>0</v>
      </c>
      <c r="BE469" s="3174">
        <f t="shared" si="278"/>
        <v>0</v>
      </c>
      <c r="BF469" s="3174">
        <f t="shared" si="279"/>
        <v>0</v>
      </c>
      <c r="BG469" s="3174">
        <f t="shared" si="280"/>
        <v>0</v>
      </c>
      <c r="BH469" s="3174">
        <f t="shared" si="281"/>
        <v>0</v>
      </c>
      <c r="BI469" s="3174">
        <f t="shared" si="282"/>
        <v>0</v>
      </c>
      <c r="BJ469" s="3174">
        <f t="shared" si="283"/>
        <v>0</v>
      </c>
      <c r="BK469" s="3174">
        <f t="shared" si="284"/>
        <v>0</v>
      </c>
      <c r="BL469" s="3174">
        <f t="shared" si="285"/>
        <v>0</v>
      </c>
      <c r="BM469" s="3174">
        <f t="shared" si="286"/>
        <v>0</v>
      </c>
      <c r="BN469" s="3174">
        <f t="shared" si="287"/>
        <v>0</v>
      </c>
      <c r="BO469" s="3174">
        <f t="shared" si="288"/>
        <v>0</v>
      </c>
      <c r="BP469" s="3174">
        <f t="shared" si="289"/>
        <v>0</v>
      </c>
      <c r="BQ469" s="3174">
        <f t="shared" si="290"/>
        <v>0</v>
      </c>
      <c r="BR469" s="3174">
        <f t="shared" si="291"/>
        <v>0</v>
      </c>
      <c r="BS469" s="3174">
        <f t="shared" si="292"/>
        <v>0</v>
      </c>
      <c r="BT469" s="3249">
        <f t="shared" si="293"/>
        <v>0</v>
      </c>
    </row>
    <row r="470" spans="1:72">
      <c r="A470" s="489"/>
      <c r="B470" s="356"/>
      <c r="C470" s="356"/>
      <c r="D470" s="3182"/>
      <c r="E470" s="3174">
        <f t="shared" si="265"/>
        <v>0</v>
      </c>
      <c r="F470" s="3175"/>
      <c r="G470" s="3176">
        <f t="shared" si="266"/>
        <v>0</v>
      </c>
      <c r="H470" s="3177">
        <f t="shared" si="267"/>
        <v>0</v>
      </c>
      <c r="I470" s="3200"/>
      <c r="J470" s="3200"/>
      <c r="K470" s="3200"/>
      <c r="L470" s="3200"/>
      <c r="M470" s="3200"/>
      <c r="N470" s="3200"/>
      <c r="O470" s="3200"/>
      <c r="P470" s="3200"/>
      <c r="Q470" s="3200"/>
      <c r="R470" s="3200"/>
      <c r="S470" s="3200"/>
      <c r="T470" s="3200"/>
      <c r="U470" s="3200"/>
      <c r="V470" s="3200"/>
      <c r="W470" s="3200"/>
      <c r="X470" s="3200"/>
      <c r="Y470" s="3200"/>
      <c r="Z470" s="3200"/>
      <c r="AA470" s="3200"/>
      <c r="AB470" s="3200"/>
      <c r="AC470" s="3174">
        <f t="shared" si="268"/>
        <v>0</v>
      </c>
      <c r="AD470" s="3212"/>
      <c r="AE470" s="3212"/>
      <c r="AF470" s="3212"/>
      <c r="AG470" s="3212"/>
      <c r="AH470" s="3212"/>
      <c r="AI470" s="3212"/>
      <c r="AJ470" s="3212"/>
      <c r="AK470" s="3212"/>
      <c r="AL470" s="3212"/>
      <c r="AM470" s="3212"/>
      <c r="AN470" s="3212"/>
      <c r="AO470" s="3212"/>
      <c r="AP470" s="3212"/>
      <c r="AQ470" s="3212"/>
      <c r="AR470" s="3212"/>
      <c r="AS470" s="3212"/>
      <c r="AT470" s="3175"/>
      <c r="AU470" s="3232"/>
      <c r="AV470" s="466">
        <f t="shared" si="269"/>
        <v>0</v>
      </c>
      <c r="AW470" s="466">
        <f t="shared" si="270"/>
        <v>0</v>
      </c>
      <c r="AX470" s="466">
        <f t="shared" si="271"/>
        <v>0</v>
      </c>
      <c r="AY470" s="385">
        <f t="shared" si="272"/>
        <v>0</v>
      </c>
      <c r="AZ470" s="3174">
        <f t="shared" si="273"/>
        <v>0</v>
      </c>
      <c r="BA470" s="3174">
        <f t="shared" si="274"/>
        <v>0</v>
      </c>
      <c r="BB470" s="3174">
        <f t="shared" si="275"/>
        <v>0</v>
      </c>
      <c r="BC470" s="3174">
        <f t="shared" si="276"/>
        <v>0</v>
      </c>
      <c r="BD470" s="3174">
        <f t="shared" si="277"/>
        <v>0</v>
      </c>
      <c r="BE470" s="3174">
        <f t="shared" si="278"/>
        <v>0</v>
      </c>
      <c r="BF470" s="3174">
        <f t="shared" si="279"/>
        <v>0</v>
      </c>
      <c r="BG470" s="3174">
        <f t="shared" si="280"/>
        <v>0</v>
      </c>
      <c r="BH470" s="3174">
        <f t="shared" si="281"/>
        <v>0</v>
      </c>
      <c r="BI470" s="3174">
        <f t="shared" si="282"/>
        <v>0</v>
      </c>
      <c r="BJ470" s="3174">
        <f t="shared" si="283"/>
        <v>0</v>
      </c>
      <c r="BK470" s="3174">
        <f t="shared" si="284"/>
        <v>0</v>
      </c>
      <c r="BL470" s="3174">
        <f t="shared" si="285"/>
        <v>0</v>
      </c>
      <c r="BM470" s="3174">
        <f t="shared" si="286"/>
        <v>0</v>
      </c>
      <c r="BN470" s="3174">
        <f t="shared" si="287"/>
        <v>0</v>
      </c>
      <c r="BO470" s="3174">
        <f t="shared" si="288"/>
        <v>0</v>
      </c>
      <c r="BP470" s="3174">
        <f t="shared" si="289"/>
        <v>0</v>
      </c>
      <c r="BQ470" s="3174">
        <f t="shared" si="290"/>
        <v>0</v>
      </c>
      <c r="BR470" s="3174">
        <f t="shared" si="291"/>
        <v>0</v>
      </c>
      <c r="BS470" s="3174">
        <f t="shared" si="292"/>
        <v>0</v>
      </c>
      <c r="BT470" s="3249">
        <f t="shared" si="293"/>
        <v>0</v>
      </c>
    </row>
    <row r="471" spans="1:72">
      <c r="A471" s="489"/>
      <c r="B471" s="356"/>
      <c r="C471" s="356"/>
      <c r="D471" s="3182"/>
      <c r="E471" s="3174">
        <f t="shared" si="265"/>
        <v>0</v>
      </c>
      <c r="F471" s="3175"/>
      <c r="G471" s="3176">
        <f t="shared" si="266"/>
        <v>0</v>
      </c>
      <c r="H471" s="3177">
        <f t="shared" si="267"/>
        <v>0</v>
      </c>
      <c r="I471" s="3200"/>
      <c r="J471" s="3200"/>
      <c r="K471" s="3200"/>
      <c r="L471" s="3200"/>
      <c r="M471" s="3200"/>
      <c r="N471" s="3200"/>
      <c r="O471" s="3200"/>
      <c r="P471" s="3200"/>
      <c r="Q471" s="3200"/>
      <c r="R471" s="3200"/>
      <c r="S471" s="3200"/>
      <c r="T471" s="3200"/>
      <c r="U471" s="3200"/>
      <c r="V471" s="3200"/>
      <c r="W471" s="3200"/>
      <c r="X471" s="3200"/>
      <c r="Y471" s="3200"/>
      <c r="Z471" s="3200"/>
      <c r="AA471" s="3200"/>
      <c r="AB471" s="3200"/>
      <c r="AC471" s="3174">
        <f t="shared" si="268"/>
        <v>0</v>
      </c>
      <c r="AD471" s="3212"/>
      <c r="AE471" s="3212"/>
      <c r="AF471" s="3212"/>
      <c r="AG471" s="3212"/>
      <c r="AH471" s="3212"/>
      <c r="AI471" s="3212"/>
      <c r="AJ471" s="3212"/>
      <c r="AK471" s="3212"/>
      <c r="AL471" s="3212"/>
      <c r="AM471" s="3212"/>
      <c r="AN471" s="3212"/>
      <c r="AO471" s="3212"/>
      <c r="AP471" s="3212"/>
      <c r="AQ471" s="3212"/>
      <c r="AR471" s="3212"/>
      <c r="AS471" s="3212"/>
      <c r="AT471" s="3175"/>
      <c r="AU471" s="3232"/>
      <c r="AV471" s="466">
        <f t="shared" si="269"/>
        <v>0</v>
      </c>
      <c r="AW471" s="466">
        <f t="shared" si="270"/>
        <v>0</v>
      </c>
      <c r="AX471" s="466">
        <f t="shared" si="271"/>
        <v>0</v>
      </c>
      <c r="AY471" s="385">
        <f t="shared" si="272"/>
        <v>0</v>
      </c>
      <c r="AZ471" s="3174">
        <f t="shared" si="273"/>
        <v>0</v>
      </c>
      <c r="BA471" s="3174">
        <f t="shared" si="274"/>
        <v>0</v>
      </c>
      <c r="BB471" s="3174">
        <f t="shared" si="275"/>
        <v>0</v>
      </c>
      <c r="BC471" s="3174">
        <f t="shared" si="276"/>
        <v>0</v>
      </c>
      <c r="BD471" s="3174">
        <f t="shared" si="277"/>
        <v>0</v>
      </c>
      <c r="BE471" s="3174">
        <f t="shared" si="278"/>
        <v>0</v>
      </c>
      <c r="BF471" s="3174">
        <f t="shared" si="279"/>
        <v>0</v>
      </c>
      <c r="BG471" s="3174">
        <f t="shared" si="280"/>
        <v>0</v>
      </c>
      <c r="BH471" s="3174">
        <f t="shared" si="281"/>
        <v>0</v>
      </c>
      <c r="BI471" s="3174">
        <f t="shared" si="282"/>
        <v>0</v>
      </c>
      <c r="BJ471" s="3174">
        <f t="shared" si="283"/>
        <v>0</v>
      </c>
      <c r="BK471" s="3174">
        <f t="shared" si="284"/>
        <v>0</v>
      </c>
      <c r="BL471" s="3174">
        <f t="shared" si="285"/>
        <v>0</v>
      </c>
      <c r="BM471" s="3174">
        <f t="shared" si="286"/>
        <v>0</v>
      </c>
      <c r="BN471" s="3174">
        <f t="shared" si="287"/>
        <v>0</v>
      </c>
      <c r="BO471" s="3174">
        <f t="shared" si="288"/>
        <v>0</v>
      </c>
      <c r="BP471" s="3174">
        <f t="shared" si="289"/>
        <v>0</v>
      </c>
      <c r="BQ471" s="3174">
        <f t="shared" si="290"/>
        <v>0</v>
      </c>
      <c r="BR471" s="3174">
        <f t="shared" si="291"/>
        <v>0</v>
      </c>
      <c r="BS471" s="3174">
        <f t="shared" si="292"/>
        <v>0</v>
      </c>
      <c r="BT471" s="3249">
        <f t="shared" si="293"/>
        <v>0</v>
      </c>
    </row>
    <row r="472" spans="1:72">
      <c r="A472" s="489"/>
      <c r="B472" s="356"/>
      <c r="C472" s="356"/>
      <c r="D472" s="3182"/>
      <c r="E472" s="3174">
        <f t="shared" si="265"/>
        <v>0</v>
      </c>
      <c r="F472" s="3175"/>
      <c r="G472" s="3176">
        <f t="shared" si="266"/>
        <v>0</v>
      </c>
      <c r="H472" s="3177">
        <f t="shared" si="267"/>
        <v>0</v>
      </c>
      <c r="I472" s="3200"/>
      <c r="J472" s="3200"/>
      <c r="K472" s="3200"/>
      <c r="L472" s="3200"/>
      <c r="M472" s="3200"/>
      <c r="N472" s="3200"/>
      <c r="O472" s="3200"/>
      <c r="P472" s="3200"/>
      <c r="Q472" s="3200"/>
      <c r="R472" s="3200"/>
      <c r="S472" s="3200"/>
      <c r="T472" s="3200"/>
      <c r="U472" s="3200"/>
      <c r="V472" s="3200"/>
      <c r="W472" s="3200"/>
      <c r="X472" s="3200"/>
      <c r="Y472" s="3200"/>
      <c r="Z472" s="3200"/>
      <c r="AA472" s="3200"/>
      <c r="AB472" s="3200"/>
      <c r="AC472" s="3174">
        <f t="shared" si="268"/>
        <v>0</v>
      </c>
      <c r="AD472" s="3212"/>
      <c r="AE472" s="3212"/>
      <c r="AF472" s="3212"/>
      <c r="AG472" s="3212"/>
      <c r="AH472" s="3212"/>
      <c r="AI472" s="3212"/>
      <c r="AJ472" s="3212"/>
      <c r="AK472" s="3212"/>
      <c r="AL472" s="3212"/>
      <c r="AM472" s="3212"/>
      <c r="AN472" s="3212"/>
      <c r="AO472" s="3212"/>
      <c r="AP472" s="3212"/>
      <c r="AQ472" s="3212"/>
      <c r="AR472" s="3212"/>
      <c r="AS472" s="3212"/>
      <c r="AT472" s="3175"/>
      <c r="AU472" s="3232"/>
      <c r="AV472" s="466">
        <f t="shared" si="269"/>
        <v>0</v>
      </c>
      <c r="AW472" s="466">
        <f t="shared" si="270"/>
        <v>0</v>
      </c>
      <c r="AX472" s="466">
        <f t="shared" si="271"/>
        <v>0</v>
      </c>
      <c r="AY472" s="385">
        <f t="shared" si="272"/>
        <v>0</v>
      </c>
      <c r="AZ472" s="3174">
        <f t="shared" si="273"/>
        <v>0</v>
      </c>
      <c r="BA472" s="3174">
        <f t="shared" si="274"/>
        <v>0</v>
      </c>
      <c r="BB472" s="3174">
        <f t="shared" si="275"/>
        <v>0</v>
      </c>
      <c r="BC472" s="3174">
        <f t="shared" si="276"/>
        <v>0</v>
      </c>
      <c r="BD472" s="3174">
        <f t="shared" si="277"/>
        <v>0</v>
      </c>
      <c r="BE472" s="3174">
        <f t="shared" si="278"/>
        <v>0</v>
      </c>
      <c r="BF472" s="3174">
        <f t="shared" si="279"/>
        <v>0</v>
      </c>
      <c r="BG472" s="3174">
        <f t="shared" si="280"/>
        <v>0</v>
      </c>
      <c r="BH472" s="3174">
        <f t="shared" si="281"/>
        <v>0</v>
      </c>
      <c r="BI472" s="3174">
        <f t="shared" si="282"/>
        <v>0</v>
      </c>
      <c r="BJ472" s="3174">
        <f t="shared" si="283"/>
        <v>0</v>
      </c>
      <c r="BK472" s="3174">
        <f t="shared" si="284"/>
        <v>0</v>
      </c>
      <c r="BL472" s="3174">
        <f t="shared" si="285"/>
        <v>0</v>
      </c>
      <c r="BM472" s="3174">
        <f t="shared" si="286"/>
        <v>0</v>
      </c>
      <c r="BN472" s="3174">
        <f t="shared" si="287"/>
        <v>0</v>
      </c>
      <c r="BO472" s="3174">
        <f t="shared" si="288"/>
        <v>0</v>
      </c>
      <c r="BP472" s="3174">
        <f t="shared" si="289"/>
        <v>0</v>
      </c>
      <c r="BQ472" s="3174">
        <f t="shared" si="290"/>
        <v>0</v>
      </c>
      <c r="BR472" s="3174">
        <f t="shared" si="291"/>
        <v>0</v>
      </c>
      <c r="BS472" s="3174">
        <f t="shared" si="292"/>
        <v>0</v>
      </c>
      <c r="BT472" s="3249">
        <f t="shared" si="293"/>
        <v>0</v>
      </c>
    </row>
    <row r="473" spans="1:72">
      <c r="A473" s="489"/>
      <c r="B473" s="356"/>
      <c r="C473" s="356"/>
      <c r="D473" s="3182"/>
      <c r="E473" s="3174">
        <f t="shared" si="265"/>
        <v>0</v>
      </c>
      <c r="F473" s="3175"/>
      <c r="G473" s="3176">
        <f t="shared" si="266"/>
        <v>0</v>
      </c>
      <c r="H473" s="3177">
        <f t="shared" si="267"/>
        <v>0</v>
      </c>
      <c r="I473" s="3200"/>
      <c r="J473" s="3200"/>
      <c r="K473" s="3200"/>
      <c r="L473" s="3200"/>
      <c r="M473" s="3200"/>
      <c r="N473" s="3200"/>
      <c r="O473" s="3200"/>
      <c r="P473" s="3200"/>
      <c r="Q473" s="3200"/>
      <c r="R473" s="3200"/>
      <c r="S473" s="3200"/>
      <c r="T473" s="3200"/>
      <c r="U473" s="3200"/>
      <c r="V473" s="3200"/>
      <c r="W473" s="3200"/>
      <c r="X473" s="3200"/>
      <c r="Y473" s="3200"/>
      <c r="Z473" s="3200"/>
      <c r="AA473" s="3200"/>
      <c r="AB473" s="3200"/>
      <c r="AC473" s="3174">
        <f t="shared" si="268"/>
        <v>0</v>
      </c>
      <c r="AD473" s="3212"/>
      <c r="AE473" s="3212"/>
      <c r="AF473" s="3212"/>
      <c r="AG473" s="3212"/>
      <c r="AH473" s="3212"/>
      <c r="AI473" s="3212"/>
      <c r="AJ473" s="3212"/>
      <c r="AK473" s="3212"/>
      <c r="AL473" s="3212"/>
      <c r="AM473" s="3212"/>
      <c r="AN473" s="3212"/>
      <c r="AO473" s="3212"/>
      <c r="AP473" s="3212"/>
      <c r="AQ473" s="3212"/>
      <c r="AR473" s="3212"/>
      <c r="AS473" s="3212"/>
      <c r="AT473" s="3175"/>
      <c r="AU473" s="3232"/>
      <c r="AV473" s="466">
        <f t="shared" si="269"/>
        <v>0</v>
      </c>
      <c r="AW473" s="466">
        <f t="shared" si="270"/>
        <v>0</v>
      </c>
      <c r="AX473" s="466">
        <f t="shared" si="271"/>
        <v>0</v>
      </c>
      <c r="AY473" s="385">
        <f t="shared" si="272"/>
        <v>0</v>
      </c>
      <c r="AZ473" s="3174">
        <f t="shared" si="273"/>
        <v>0</v>
      </c>
      <c r="BA473" s="3174">
        <f t="shared" si="274"/>
        <v>0</v>
      </c>
      <c r="BB473" s="3174">
        <f t="shared" si="275"/>
        <v>0</v>
      </c>
      <c r="BC473" s="3174">
        <f t="shared" si="276"/>
        <v>0</v>
      </c>
      <c r="BD473" s="3174">
        <f t="shared" si="277"/>
        <v>0</v>
      </c>
      <c r="BE473" s="3174">
        <f t="shared" si="278"/>
        <v>0</v>
      </c>
      <c r="BF473" s="3174">
        <f t="shared" si="279"/>
        <v>0</v>
      </c>
      <c r="BG473" s="3174">
        <f t="shared" si="280"/>
        <v>0</v>
      </c>
      <c r="BH473" s="3174">
        <f t="shared" si="281"/>
        <v>0</v>
      </c>
      <c r="BI473" s="3174">
        <f t="shared" si="282"/>
        <v>0</v>
      </c>
      <c r="BJ473" s="3174">
        <f t="shared" si="283"/>
        <v>0</v>
      </c>
      <c r="BK473" s="3174">
        <f t="shared" si="284"/>
        <v>0</v>
      </c>
      <c r="BL473" s="3174">
        <f t="shared" si="285"/>
        <v>0</v>
      </c>
      <c r="BM473" s="3174">
        <f t="shared" si="286"/>
        <v>0</v>
      </c>
      <c r="BN473" s="3174">
        <f t="shared" si="287"/>
        <v>0</v>
      </c>
      <c r="BO473" s="3174">
        <f t="shared" si="288"/>
        <v>0</v>
      </c>
      <c r="BP473" s="3174">
        <f t="shared" si="289"/>
        <v>0</v>
      </c>
      <c r="BQ473" s="3174">
        <f t="shared" si="290"/>
        <v>0</v>
      </c>
      <c r="BR473" s="3174">
        <f t="shared" si="291"/>
        <v>0</v>
      </c>
      <c r="BS473" s="3174">
        <f t="shared" si="292"/>
        <v>0</v>
      </c>
      <c r="BT473" s="3249">
        <f t="shared" si="293"/>
        <v>0</v>
      </c>
    </row>
    <row r="474" spans="1:72">
      <c r="A474" s="489"/>
      <c r="B474" s="356"/>
      <c r="C474" s="356"/>
      <c r="D474" s="3182"/>
      <c r="E474" s="3174">
        <f t="shared" si="265"/>
        <v>0</v>
      </c>
      <c r="F474" s="3175"/>
      <c r="G474" s="3176">
        <f t="shared" si="266"/>
        <v>0</v>
      </c>
      <c r="H474" s="3177">
        <f t="shared" si="267"/>
        <v>0</v>
      </c>
      <c r="I474" s="3200"/>
      <c r="J474" s="3200"/>
      <c r="K474" s="3200"/>
      <c r="L474" s="3200"/>
      <c r="M474" s="3200"/>
      <c r="N474" s="3200"/>
      <c r="O474" s="3200"/>
      <c r="P474" s="3200"/>
      <c r="Q474" s="3200"/>
      <c r="R474" s="3200"/>
      <c r="S474" s="3200"/>
      <c r="T474" s="3200"/>
      <c r="U474" s="3200"/>
      <c r="V474" s="3200"/>
      <c r="W474" s="3200"/>
      <c r="X474" s="3200"/>
      <c r="Y474" s="3200"/>
      <c r="Z474" s="3200"/>
      <c r="AA474" s="3200"/>
      <c r="AB474" s="3200"/>
      <c r="AC474" s="3174">
        <f t="shared" si="268"/>
        <v>0</v>
      </c>
      <c r="AD474" s="3212"/>
      <c r="AE474" s="3212"/>
      <c r="AF474" s="3212"/>
      <c r="AG474" s="3212"/>
      <c r="AH474" s="3212"/>
      <c r="AI474" s="3212"/>
      <c r="AJ474" s="3212"/>
      <c r="AK474" s="3212"/>
      <c r="AL474" s="3212"/>
      <c r="AM474" s="3212"/>
      <c r="AN474" s="3212"/>
      <c r="AO474" s="3212"/>
      <c r="AP474" s="3212"/>
      <c r="AQ474" s="3212"/>
      <c r="AR474" s="3212"/>
      <c r="AS474" s="3212"/>
      <c r="AT474" s="3175"/>
      <c r="AU474" s="3232"/>
      <c r="AV474" s="466">
        <f t="shared" si="269"/>
        <v>0</v>
      </c>
      <c r="AW474" s="466">
        <f t="shared" si="270"/>
        <v>0</v>
      </c>
      <c r="AX474" s="466">
        <f t="shared" si="271"/>
        <v>0</v>
      </c>
      <c r="AY474" s="385">
        <f t="shared" si="272"/>
        <v>0</v>
      </c>
      <c r="AZ474" s="3174">
        <f t="shared" si="273"/>
        <v>0</v>
      </c>
      <c r="BA474" s="3174">
        <f t="shared" si="274"/>
        <v>0</v>
      </c>
      <c r="BB474" s="3174">
        <f t="shared" si="275"/>
        <v>0</v>
      </c>
      <c r="BC474" s="3174">
        <f t="shared" si="276"/>
        <v>0</v>
      </c>
      <c r="BD474" s="3174">
        <f t="shared" si="277"/>
        <v>0</v>
      </c>
      <c r="BE474" s="3174">
        <f t="shared" si="278"/>
        <v>0</v>
      </c>
      <c r="BF474" s="3174">
        <f t="shared" si="279"/>
        <v>0</v>
      </c>
      <c r="BG474" s="3174">
        <f t="shared" si="280"/>
        <v>0</v>
      </c>
      <c r="BH474" s="3174">
        <f t="shared" si="281"/>
        <v>0</v>
      </c>
      <c r="BI474" s="3174">
        <f t="shared" si="282"/>
        <v>0</v>
      </c>
      <c r="BJ474" s="3174">
        <f t="shared" si="283"/>
        <v>0</v>
      </c>
      <c r="BK474" s="3174">
        <f t="shared" si="284"/>
        <v>0</v>
      </c>
      <c r="BL474" s="3174">
        <f t="shared" si="285"/>
        <v>0</v>
      </c>
      <c r="BM474" s="3174">
        <f t="shared" si="286"/>
        <v>0</v>
      </c>
      <c r="BN474" s="3174">
        <f t="shared" si="287"/>
        <v>0</v>
      </c>
      <c r="BO474" s="3174">
        <f t="shared" si="288"/>
        <v>0</v>
      </c>
      <c r="BP474" s="3174">
        <f t="shared" si="289"/>
        <v>0</v>
      </c>
      <c r="BQ474" s="3174">
        <f t="shared" si="290"/>
        <v>0</v>
      </c>
      <c r="BR474" s="3174">
        <f t="shared" si="291"/>
        <v>0</v>
      </c>
      <c r="BS474" s="3174">
        <f t="shared" si="292"/>
        <v>0</v>
      </c>
      <c r="BT474" s="3249">
        <f t="shared" si="293"/>
        <v>0</v>
      </c>
    </row>
    <row r="475" spans="1:72">
      <c r="A475" s="489"/>
      <c r="B475" s="356"/>
      <c r="C475" s="356"/>
      <c r="D475" s="3182"/>
      <c r="E475" s="3174">
        <f t="shared" si="265"/>
        <v>0</v>
      </c>
      <c r="F475" s="3175"/>
      <c r="G475" s="3176">
        <f t="shared" si="266"/>
        <v>0</v>
      </c>
      <c r="H475" s="3177">
        <f t="shared" si="267"/>
        <v>0</v>
      </c>
      <c r="I475" s="3200"/>
      <c r="J475" s="3200"/>
      <c r="K475" s="3200"/>
      <c r="L475" s="3200"/>
      <c r="M475" s="3200"/>
      <c r="N475" s="3200"/>
      <c r="O475" s="3200"/>
      <c r="P475" s="3200"/>
      <c r="Q475" s="3200"/>
      <c r="R475" s="3200"/>
      <c r="S475" s="3200"/>
      <c r="T475" s="3200"/>
      <c r="U475" s="3200"/>
      <c r="V475" s="3200"/>
      <c r="W475" s="3200"/>
      <c r="X475" s="3200"/>
      <c r="Y475" s="3200"/>
      <c r="Z475" s="3200"/>
      <c r="AA475" s="3200"/>
      <c r="AB475" s="3200"/>
      <c r="AC475" s="3174">
        <f t="shared" si="268"/>
        <v>0</v>
      </c>
      <c r="AD475" s="3212"/>
      <c r="AE475" s="3212"/>
      <c r="AF475" s="3212"/>
      <c r="AG475" s="3212"/>
      <c r="AH475" s="3212"/>
      <c r="AI475" s="3212"/>
      <c r="AJ475" s="3212"/>
      <c r="AK475" s="3212"/>
      <c r="AL475" s="3212"/>
      <c r="AM475" s="3212"/>
      <c r="AN475" s="3212"/>
      <c r="AO475" s="3212"/>
      <c r="AP475" s="3212"/>
      <c r="AQ475" s="3212"/>
      <c r="AR475" s="3212"/>
      <c r="AS475" s="3212"/>
      <c r="AT475" s="3175"/>
      <c r="AU475" s="3232"/>
      <c r="AV475" s="466">
        <f t="shared" si="269"/>
        <v>0</v>
      </c>
      <c r="AW475" s="466">
        <f t="shared" si="270"/>
        <v>0</v>
      </c>
      <c r="AX475" s="466">
        <f t="shared" si="271"/>
        <v>0</v>
      </c>
      <c r="AY475" s="385">
        <f t="shared" si="272"/>
        <v>0</v>
      </c>
      <c r="AZ475" s="3174">
        <f t="shared" si="273"/>
        <v>0</v>
      </c>
      <c r="BA475" s="3174">
        <f t="shared" si="274"/>
        <v>0</v>
      </c>
      <c r="BB475" s="3174">
        <f t="shared" si="275"/>
        <v>0</v>
      </c>
      <c r="BC475" s="3174">
        <f t="shared" si="276"/>
        <v>0</v>
      </c>
      <c r="BD475" s="3174">
        <f t="shared" si="277"/>
        <v>0</v>
      </c>
      <c r="BE475" s="3174">
        <f t="shared" si="278"/>
        <v>0</v>
      </c>
      <c r="BF475" s="3174">
        <f t="shared" si="279"/>
        <v>0</v>
      </c>
      <c r="BG475" s="3174">
        <f t="shared" si="280"/>
        <v>0</v>
      </c>
      <c r="BH475" s="3174">
        <f t="shared" si="281"/>
        <v>0</v>
      </c>
      <c r="BI475" s="3174">
        <f t="shared" si="282"/>
        <v>0</v>
      </c>
      <c r="BJ475" s="3174">
        <f t="shared" si="283"/>
        <v>0</v>
      </c>
      <c r="BK475" s="3174">
        <f t="shared" si="284"/>
        <v>0</v>
      </c>
      <c r="BL475" s="3174">
        <f t="shared" si="285"/>
        <v>0</v>
      </c>
      <c r="BM475" s="3174">
        <f t="shared" si="286"/>
        <v>0</v>
      </c>
      <c r="BN475" s="3174">
        <f t="shared" si="287"/>
        <v>0</v>
      </c>
      <c r="BO475" s="3174">
        <f t="shared" si="288"/>
        <v>0</v>
      </c>
      <c r="BP475" s="3174">
        <f t="shared" si="289"/>
        <v>0</v>
      </c>
      <c r="BQ475" s="3174">
        <f t="shared" si="290"/>
        <v>0</v>
      </c>
      <c r="BR475" s="3174">
        <f t="shared" si="291"/>
        <v>0</v>
      </c>
      <c r="BS475" s="3174">
        <f t="shared" si="292"/>
        <v>0</v>
      </c>
      <c r="BT475" s="3249">
        <f t="shared" si="293"/>
        <v>0</v>
      </c>
    </row>
    <row r="476" spans="1:72">
      <c r="A476" s="489"/>
      <c r="B476" s="356"/>
      <c r="C476" s="356"/>
      <c r="D476" s="3182"/>
      <c r="E476" s="3174">
        <f t="shared" si="265"/>
        <v>0</v>
      </c>
      <c r="F476" s="3175"/>
      <c r="G476" s="3176">
        <f t="shared" si="266"/>
        <v>0</v>
      </c>
      <c r="H476" s="3177">
        <f t="shared" si="267"/>
        <v>0</v>
      </c>
      <c r="I476" s="3200"/>
      <c r="J476" s="3200"/>
      <c r="K476" s="3200"/>
      <c r="L476" s="3200"/>
      <c r="M476" s="3200"/>
      <c r="N476" s="3200"/>
      <c r="O476" s="3200"/>
      <c r="P476" s="3200"/>
      <c r="Q476" s="3200"/>
      <c r="R476" s="3200"/>
      <c r="S476" s="3200"/>
      <c r="T476" s="3200"/>
      <c r="U476" s="3200"/>
      <c r="V476" s="3200"/>
      <c r="W476" s="3200"/>
      <c r="X476" s="3200"/>
      <c r="Y476" s="3200"/>
      <c r="Z476" s="3200"/>
      <c r="AA476" s="3200"/>
      <c r="AB476" s="3200"/>
      <c r="AC476" s="3174">
        <f t="shared" si="268"/>
        <v>0</v>
      </c>
      <c r="AD476" s="3212"/>
      <c r="AE476" s="3212"/>
      <c r="AF476" s="3212"/>
      <c r="AG476" s="3212"/>
      <c r="AH476" s="3212"/>
      <c r="AI476" s="3212"/>
      <c r="AJ476" s="3212"/>
      <c r="AK476" s="3212"/>
      <c r="AL476" s="3212"/>
      <c r="AM476" s="3212"/>
      <c r="AN476" s="3212"/>
      <c r="AO476" s="3212"/>
      <c r="AP476" s="3212"/>
      <c r="AQ476" s="3212"/>
      <c r="AR476" s="3212"/>
      <c r="AS476" s="3212"/>
      <c r="AT476" s="3175"/>
      <c r="AU476" s="3232"/>
      <c r="AV476" s="466">
        <f t="shared" si="269"/>
        <v>0</v>
      </c>
      <c r="AW476" s="466">
        <f t="shared" si="270"/>
        <v>0</v>
      </c>
      <c r="AX476" s="466">
        <f t="shared" si="271"/>
        <v>0</v>
      </c>
      <c r="AY476" s="385">
        <f t="shared" si="272"/>
        <v>0</v>
      </c>
      <c r="AZ476" s="3174">
        <f t="shared" si="273"/>
        <v>0</v>
      </c>
      <c r="BA476" s="3174">
        <f t="shared" si="274"/>
        <v>0</v>
      </c>
      <c r="BB476" s="3174">
        <f t="shared" si="275"/>
        <v>0</v>
      </c>
      <c r="BC476" s="3174">
        <f t="shared" si="276"/>
        <v>0</v>
      </c>
      <c r="BD476" s="3174">
        <f t="shared" si="277"/>
        <v>0</v>
      </c>
      <c r="BE476" s="3174">
        <f t="shared" si="278"/>
        <v>0</v>
      </c>
      <c r="BF476" s="3174">
        <f t="shared" si="279"/>
        <v>0</v>
      </c>
      <c r="BG476" s="3174">
        <f t="shared" si="280"/>
        <v>0</v>
      </c>
      <c r="BH476" s="3174">
        <f t="shared" si="281"/>
        <v>0</v>
      </c>
      <c r="BI476" s="3174">
        <f t="shared" si="282"/>
        <v>0</v>
      </c>
      <c r="BJ476" s="3174">
        <f t="shared" si="283"/>
        <v>0</v>
      </c>
      <c r="BK476" s="3174">
        <f t="shared" si="284"/>
        <v>0</v>
      </c>
      <c r="BL476" s="3174">
        <f t="shared" si="285"/>
        <v>0</v>
      </c>
      <c r="BM476" s="3174">
        <f t="shared" si="286"/>
        <v>0</v>
      </c>
      <c r="BN476" s="3174">
        <f t="shared" si="287"/>
        <v>0</v>
      </c>
      <c r="BO476" s="3174">
        <f t="shared" si="288"/>
        <v>0</v>
      </c>
      <c r="BP476" s="3174">
        <f t="shared" si="289"/>
        <v>0</v>
      </c>
      <c r="BQ476" s="3174">
        <f t="shared" si="290"/>
        <v>0</v>
      </c>
      <c r="BR476" s="3174">
        <f t="shared" si="291"/>
        <v>0</v>
      </c>
      <c r="BS476" s="3174">
        <f t="shared" si="292"/>
        <v>0</v>
      </c>
      <c r="BT476" s="3249">
        <f t="shared" si="293"/>
        <v>0</v>
      </c>
    </row>
    <row r="477" spans="1:72">
      <c r="A477" s="489"/>
      <c r="B477" s="356"/>
      <c r="C477" s="356"/>
      <c r="D477" s="3182"/>
      <c r="E477" s="3174">
        <f t="shared" si="265"/>
        <v>0</v>
      </c>
      <c r="F477" s="3175"/>
      <c r="G477" s="3176">
        <f t="shared" si="266"/>
        <v>0</v>
      </c>
      <c r="H477" s="3177">
        <f t="shared" si="267"/>
        <v>0</v>
      </c>
      <c r="I477" s="3200"/>
      <c r="J477" s="3200"/>
      <c r="K477" s="3200"/>
      <c r="L477" s="3200"/>
      <c r="M477" s="3200"/>
      <c r="N477" s="3200"/>
      <c r="O477" s="3200"/>
      <c r="P477" s="3200"/>
      <c r="Q477" s="3200"/>
      <c r="R477" s="3200"/>
      <c r="S477" s="3200"/>
      <c r="T477" s="3200"/>
      <c r="U477" s="3200"/>
      <c r="V477" s="3200"/>
      <c r="W477" s="3200"/>
      <c r="X477" s="3200"/>
      <c r="Y477" s="3200"/>
      <c r="Z477" s="3200"/>
      <c r="AA477" s="3200"/>
      <c r="AB477" s="3200"/>
      <c r="AC477" s="3174">
        <f t="shared" si="268"/>
        <v>0</v>
      </c>
      <c r="AD477" s="3212"/>
      <c r="AE477" s="3212"/>
      <c r="AF477" s="3212"/>
      <c r="AG477" s="3212"/>
      <c r="AH477" s="3212"/>
      <c r="AI477" s="3212"/>
      <c r="AJ477" s="3212"/>
      <c r="AK477" s="3212"/>
      <c r="AL477" s="3212"/>
      <c r="AM477" s="3212"/>
      <c r="AN477" s="3212"/>
      <c r="AO477" s="3212"/>
      <c r="AP477" s="3212"/>
      <c r="AQ477" s="3212"/>
      <c r="AR477" s="3212"/>
      <c r="AS477" s="3212"/>
      <c r="AT477" s="3175"/>
      <c r="AU477" s="3232"/>
      <c r="AV477" s="466">
        <f t="shared" si="269"/>
        <v>0</v>
      </c>
      <c r="AW477" s="466">
        <f t="shared" si="270"/>
        <v>0</v>
      </c>
      <c r="AX477" s="466">
        <f t="shared" si="271"/>
        <v>0</v>
      </c>
      <c r="AY477" s="385">
        <f t="shared" si="272"/>
        <v>0</v>
      </c>
      <c r="AZ477" s="3174">
        <f t="shared" si="273"/>
        <v>0</v>
      </c>
      <c r="BA477" s="3174">
        <f t="shared" si="274"/>
        <v>0</v>
      </c>
      <c r="BB477" s="3174">
        <f t="shared" si="275"/>
        <v>0</v>
      </c>
      <c r="BC477" s="3174">
        <f t="shared" si="276"/>
        <v>0</v>
      </c>
      <c r="BD477" s="3174">
        <f t="shared" si="277"/>
        <v>0</v>
      </c>
      <c r="BE477" s="3174">
        <f t="shared" si="278"/>
        <v>0</v>
      </c>
      <c r="BF477" s="3174">
        <f t="shared" si="279"/>
        <v>0</v>
      </c>
      <c r="BG477" s="3174">
        <f t="shared" si="280"/>
        <v>0</v>
      </c>
      <c r="BH477" s="3174">
        <f t="shared" si="281"/>
        <v>0</v>
      </c>
      <c r="BI477" s="3174">
        <f t="shared" si="282"/>
        <v>0</v>
      </c>
      <c r="BJ477" s="3174">
        <f t="shared" si="283"/>
        <v>0</v>
      </c>
      <c r="BK477" s="3174">
        <f t="shared" si="284"/>
        <v>0</v>
      </c>
      <c r="BL477" s="3174">
        <f t="shared" si="285"/>
        <v>0</v>
      </c>
      <c r="BM477" s="3174">
        <f t="shared" si="286"/>
        <v>0</v>
      </c>
      <c r="BN477" s="3174">
        <f t="shared" si="287"/>
        <v>0</v>
      </c>
      <c r="BO477" s="3174">
        <f t="shared" si="288"/>
        <v>0</v>
      </c>
      <c r="BP477" s="3174">
        <f t="shared" si="289"/>
        <v>0</v>
      </c>
      <c r="BQ477" s="3174">
        <f t="shared" si="290"/>
        <v>0</v>
      </c>
      <c r="BR477" s="3174">
        <f t="shared" si="291"/>
        <v>0</v>
      </c>
      <c r="BS477" s="3174">
        <f t="shared" si="292"/>
        <v>0</v>
      </c>
      <c r="BT477" s="3249">
        <f t="shared" si="293"/>
        <v>0</v>
      </c>
    </row>
    <row r="478" spans="1:72">
      <c r="A478" s="489"/>
      <c r="B478" s="489"/>
      <c r="C478" s="489"/>
      <c r="D478" s="3182"/>
      <c r="E478" s="3174">
        <f t="shared" si="265"/>
        <v>0</v>
      </c>
      <c r="F478" s="3212"/>
      <c r="G478" s="3176">
        <f t="shared" ref="G478:G509" si="294">H478+AC478+AT478</f>
        <v>0</v>
      </c>
      <c r="H478" s="3177">
        <f t="shared" ref="H478:H509" si="295">SUMIF(I$12:AB$12,"总值",I478:AB478)</f>
        <v>0</v>
      </c>
      <c r="I478" s="3250"/>
      <c r="J478" s="3250"/>
      <c r="K478" s="3200"/>
      <c r="L478" s="3200"/>
      <c r="M478" s="3200"/>
      <c r="N478" s="3200"/>
      <c r="O478" s="3200"/>
      <c r="P478" s="3200"/>
      <c r="Q478" s="3200"/>
      <c r="R478" s="3200"/>
      <c r="S478" s="3200"/>
      <c r="T478" s="3200"/>
      <c r="U478" s="3200"/>
      <c r="V478" s="3200"/>
      <c r="W478" s="3200"/>
      <c r="X478" s="3200"/>
      <c r="Y478" s="3200"/>
      <c r="Z478" s="3200"/>
      <c r="AA478" s="3200"/>
      <c r="AB478" s="3200"/>
      <c r="AC478" s="3174">
        <f t="shared" ref="AC478:AC509" si="296">SUMIF(AD$12:AS$12,"总值",AD478:AS478)</f>
        <v>0</v>
      </c>
      <c r="AD478" s="3212"/>
      <c r="AE478" s="3212"/>
      <c r="AF478" s="3212"/>
      <c r="AG478" s="3212"/>
      <c r="AH478" s="3212"/>
      <c r="AI478" s="3212"/>
      <c r="AJ478" s="3212"/>
      <c r="AK478" s="3212"/>
      <c r="AL478" s="3212"/>
      <c r="AM478" s="3212"/>
      <c r="AN478" s="3212"/>
      <c r="AO478" s="3212"/>
      <c r="AP478" s="3212"/>
      <c r="AQ478" s="3212"/>
      <c r="AR478" s="3212"/>
      <c r="AS478" s="3212"/>
      <c r="AT478" s="3212"/>
      <c r="AU478" s="548"/>
      <c r="AV478" s="466">
        <f t="shared" si="269"/>
        <v>0</v>
      </c>
      <c r="AW478" s="466">
        <f t="shared" si="270"/>
        <v>0</v>
      </c>
      <c r="AX478" s="466">
        <f t="shared" si="271"/>
        <v>0</v>
      </c>
      <c r="AY478" s="385">
        <f t="shared" ref="AY478:AY509" si="297">ROUND($AY$6*AZ478/$AZ$5,2)</f>
        <v>0</v>
      </c>
      <c r="AZ478" s="3174">
        <f t="shared" ref="AZ478:AZ509" si="298">BA478+BL478</f>
        <v>0</v>
      </c>
      <c r="BA478" s="3174">
        <f t="shared" ref="BA478:BA509" si="299">SUM(BB478:BK478)</f>
        <v>0</v>
      </c>
      <c r="BB478" s="3174">
        <f t="shared" ref="BB478:BB509" si="300">IF($D478="是",I478-J478,0)</f>
        <v>0</v>
      </c>
      <c r="BC478" s="3174">
        <f t="shared" ref="BC478:BC509" si="301">IF($D478="是",K478-L478,0)</f>
        <v>0</v>
      </c>
      <c r="BD478" s="3174">
        <f t="shared" ref="BD478:BD509" si="302">IF($D478="是",M478-N478,0)</f>
        <v>0</v>
      </c>
      <c r="BE478" s="3174">
        <f t="shared" ref="BE478:BE509" si="303">IF($D478="是",O478-P478,0)</f>
        <v>0</v>
      </c>
      <c r="BF478" s="3174">
        <f t="shared" ref="BF478:BF509" si="304">IF($D478="是",Q478-R478,0)</f>
        <v>0</v>
      </c>
      <c r="BG478" s="3174">
        <f t="shared" ref="BG478:BG509" si="305">IF($D478="是",S478-T478,0)</f>
        <v>0</v>
      </c>
      <c r="BH478" s="3174">
        <f t="shared" ref="BH478:BH509" si="306">IF($D478="是",U478-V478,0)</f>
        <v>0</v>
      </c>
      <c r="BI478" s="3174">
        <f t="shared" ref="BI478:BI509" si="307">IF($D478="是",W478-X478,0)</f>
        <v>0</v>
      </c>
      <c r="BJ478" s="3174">
        <f t="shared" ref="BJ478:BJ509" si="308">IF($D478="是",Y478-Z478,0)</f>
        <v>0</v>
      </c>
      <c r="BK478" s="3174">
        <f t="shared" ref="BK478:BK509" si="309">IF($D478="是",AA478-AB478,0)</f>
        <v>0</v>
      </c>
      <c r="BL478" s="3174">
        <f t="shared" ref="BL478:BL509" si="310">SUM(BM478:BT478)</f>
        <v>0</v>
      </c>
      <c r="BM478" s="3174">
        <f t="shared" ref="BM478:BM509" si="311">IF($D478="是",AD478-AE478,0)</f>
        <v>0</v>
      </c>
      <c r="BN478" s="3174">
        <f t="shared" ref="BN478:BN509" si="312">IF($D478="是",AF478-AG478,0)</f>
        <v>0</v>
      </c>
      <c r="BO478" s="3174">
        <f t="shared" ref="BO478:BO509" si="313">IF($D478="是",AH478-AI478,0)</f>
        <v>0</v>
      </c>
      <c r="BP478" s="3174">
        <f t="shared" ref="BP478:BP509" si="314">IF($D478="是",AJ478-AK478,0)</f>
        <v>0</v>
      </c>
      <c r="BQ478" s="3174">
        <f t="shared" ref="BQ478:BQ509" si="315">IF($D478="是",AL478-AM478,0)</f>
        <v>0</v>
      </c>
      <c r="BR478" s="3174">
        <f t="shared" ref="BR478:BR509" si="316">IF($D478="是",AN478-AO478,0)</f>
        <v>0</v>
      </c>
      <c r="BS478" s="3174">
        <f t="shared" ref="BS478:BS509" si="317">IF($D478="是",AP478-AQ478,0)</f>
        <v>0</v>
      </c>
      <c r="BT478" s="3249">
        <f t="shared" ref="BT478:BT509" si="318">IF($D478="是",AR478-AS478,0)</f>
        <v>0</v>
      </c>
    </row>
    <row r="479" spans="1:72">
      <c r="A479" s="489"/>
      <c r="B479" s="489"/>
      <c r="C479" s="489"/>
      <c r="D479" s="3182"/>
      <c r="E479" s="3174">
        <f t="shared" si="265"/>
        <v>0</v>
      </c>
      <c r="F479" s="3212"/>
      <c r="G479" s="3176">
        <f t="shared" si="294"/>
        <v>0</v>
      </c>
      <c r="H479" s="3177">
        <f t="shared" si="295"/>
        <v>0</v>
      </c>
      <c r="I479" s="3200"/>
      <c r="J479" s="3200"/>
      <c r="K479" s="3200"/>
      <c r="L479" s="3200"/>
      <c r="M479" s="3200"/>
      <c r="N479" s="3200"/>
      <c r="O479" s="3200"/>
      <c r="P479" s="3200"/>
      <c r="Q479" s="3200"/>
      <c r="R479" s="3200"/>
      <c r="S479" s="3200"/>
      <c r="T479" s="3200"/>
      <c r="U479" s="3200"/>
      <c r="V479" s="3200"/>
      <c r="W479" s="3200"/>
      <c r="X479" s="3200"/>
      <c r="Y479" s="3200"/>
      <c r="Z479" s="3200"/>
      <c r="AA479" s="3200"/>
      <c r="AB479" s="3200"/>
      <c r="AC479" s="3174">
        <f t="shared" si="296"/>
        <v>0</v>
      </c>
      <c r="AD479" s="3212"/>
      <c r="AE479" s="3212"/>
      <c r="AF479" s="3212"/>
      <c r="AG479" s="3212"/>
      <c r="AH479" s="3212"/>
      <c r="AI479" s="3212"/>
      <c r="AJ479" s="3212"/>
      <c r="AK479" s="3212"/>
      <c r="AL479" s="3212"/>
      <c r="AM479" s="3212"/>
      <c r="AN479" s="3212"/>
      <c r="AO479" s="3212"/>
      <c r="AP479" s="3212"/>
      <c r="AQ479" s="3212"/>
      <c r="AR479" s="3212"/>
      <c r="AS479" s="3212"/>
      <c r="AT479" s="3212"/>
      <c r="AU479" s="548"/>
      <c r="AV479" s="466">
        <f t="shared" si="269"/>
        <v>0</v>
      </c>
      <c r="AW479" s="466">
        <f t="shared" si="270"/>
        <v>0</v>
      </c>
      <c r="AX479" s="466">
        <f t="shared" si="271"/>
        <v>0</v>
      </c>
      <c r="AY479" s="385">
        <f t="shared" si="297"/>
        <v>0</v>
      </c>
      <c r="AZ479" s="3174">
        <f t="shared" si="298"/>
        <v>0</v>
      </c>
      <c r="BA479" s="3174">
        <f t="shared" si="299"/>
        <v>0</v>
      </c>
      <c r="BB479" s="3174">
        <f t="shared" si="300"/>
        <v>0</v>
      </c>
      <c r="BC479" s="3174">
        <f t="shared" si="301"/>
        <v>0</v>
      </c>
      <c r="BD479" s="3174">
        <f t="shared" si="302"/>
        <v>0</v>
      </c>
      <c r="BE479" s="3174">
        <f t="shared" si="303"/>
        <v>0</v>
      </c>
      <c r="BF479" s="3174">
        <f t="shared" si="304"/>
        <v>0</v>
      </c>
      <c r="BG479" s="3174">
        <f t="shared" si="305"/>
        <v>0</v>
      </c>
      <c r="BH479" s="3174">
        <f t="shared" si="306"/>
        <v>0</v>
      </c>
      <c r="BI479" s="3174">
        <f t="shared" si="307"/>
        <v>0</v>
      </c>
      <c r="BJ479" s="3174">
        <f t="shared" si="308"/>
        <v>0</v>
      </c>
      <c r="BK479" s="3174">
        <f t="shared" si="309"/>
        <v>0</v>
      </c>
      <c r="BL479" s="3174">
        <f t="shared" si="310"/>
        <v>0</v>
      </c>
      <c r="BM479" s="3174">
        <f t="shared" si="311"/>
        <v>0</v>
      </c>
      <c r="BN479" s="3174">
        <f t="shared" si="312"/>
        <v>0</v>
      </c>
      <c r="BO479" s="3174">
        <f t="shared" si="313"/>
        <v>0</v>
      </c>
      <c r="BP479" s="3174">
        <f t="shared" si="314"/>
        <v>0</v>
      </c>
      <c r="BQ479" s="3174">
        <f t="shared" si="315"/>
        <v>0</v>
      </c>
      <c r="BR479" s="3174">
        <f t="shared" si="316"/>
        <v>0</v>
      </c>
      <c r="BS479" s="3174">
        <f t="shared" si="317"/>
        <v>0</v>
      </c>
      <c r="BT479" s="3249">
        <f t="shared" si="318"/>
        <v>0</v>
      </c>
    </row>
    <row r="480" spans="1:72">
      <c r="A480" s="489"/>
      <c r="B480" s="489"/>
      <c r="C480" s="489"/>
      <c r="D480" s="3182"/>
      <c r="E480" s="3174">
        <f t="shared" si="265"/>
        <v>0</v>
      </c>
      <c r="F480" s="3212"/>
      <c r="G480" s="3176">
        <f t="shared" si="294"/>
        <v>0</v>
      </c>
      <c r="H480" s="3177">
        <f t="shared" si="295"/>
        <v>0</v>
      </c>
      <c r="I480" s="3200"/>
      <c r="J480" s="3200"/>
      <c r="K480" s="3200"/>
      <c r="L480" s="3200"/>
      <c r="M480" s="3200"/>
      <c r="N480" s="3200"/>
      <c r="O480" s="3200"/>
      <c r="P480" s="3200"/>
      <c r="Q480" s="3200"/>
      <c r="R480" s="3200"/>
      <c r="S480" s="3200"/>
      <c r="T480" s="3200"/>
      <c r="U480" s="3200"/>
      <c r="V480" s="3200"/>
      <c r="W480" s="3200"/>
      <c r="X480" s="3200"/>
      <c r="Y480" s="3200"/>
      <c r="Z480" s="3200"/>
      <c r="AA480" s="3200"/>
      <c r="AB480" s="3200"/>
      <c r="AC480" s="3174">
        <f t="shared" si="296"/>
        <v>0</v>
      </c>
      <c r="AD480" s="3212"/>
      <c r="AE480" s="3212"/>
      <c r="AF480" s="3212"/>
      <c r="AG480" s="3212"/>
      <c r="AH480" s="3212"/>
      <c r="AI480" s="3212"/>
      <c r="AJ480" s="3212"/>
      <c r="AK480" s="3212"/>
      <c r="AL480" s="3212"/>
      <c r="AM480" s="3212"/>
      <c r="AN480" s="3212"/>
      <c r="AO480" s="3212"/>
      <c r="AP480" s="3212"/>
      <c r="AQ480" s="3212"/>
      <c r="AR480" s="3212"/>
      <c r="AS480" s="3212"/>
      <c r="AT480" s="3212"/>
      <c r="AU480" s="548"/>
      <c r="AV480" s="466">
        <f t="shared" si="269"/>
        <v>0</v>
      </c>
      <c r="AW480" s="466">
        <f t="shared" si="270"/>
        <v>0</v>
      </c>
      <c r="AX480" s="466">
        <f t="shared" si="271"/>
        <v>0</v>
      </c>
      <c r="AY480" s="385">
        <f t="shared" si="297"/>
        <v>0</v>
      </c>
      <c r="AZ480" s="3174">
        <f t="shared" si="298"/>
        <v>0</v>
      </c>
      <c r="BA480" s="3174">
        <f t="shared" si="299"/>
        <v>0</v>
      </c>
      <c r="BB480" s="3174">
        <f t="shared" si="300"/>
        <v>0</v>
      </c>
      <c r="BC480" s="3174">
        <f t="shared" si="301"/>
        <v>0</v>
      </c>
      <c r="BD480" s="3174">
        <f t="shared" si="302"/>
        <v>0</v>
      </c>
      <c r="BE480" s="3174">
        <f t="shared" si="303"/>
        <v>0</v>
      </c>
      <c r="BF480" s="3174">
        <f t="shared" si="304"/>
        <v>0</v>
      </c>
      <c r="BG480" s="3174">
        <f t="shared" si="305"/>
        <v>0</v>
      </c>
      <c r="BH480" s="3174">
        <f t="shared" si="306"/>
        <v>0</v>
      </c>
      <c r="BI480" s="3174">
        <f t="shared" si="307"/>
        <v>0</v>
      </c>
      <c r="BJ480" s="3174">
        <f t="shared" si="308"/>
        <v>0</v>
      </c>
      <c r="BK480" s="3174">
        <f t="shared" si="309"/>
        <v>0</v>
      </c>
      <c r="BL480" s="3174">
        <f t="shared" si="310"/>
        <v>0</v>
      </c>
      <c r="BM480" s="3174">
        <f t="shared" si="311"/>
        <v>0</v>
      </c>
      <c r="BN480" s="3174">
        <f t="shared" si="312"/>
        <v>0</v>
      </c>
      <c r="BO480" s="3174">
        <f t="shared" si="313"/>
        <v>0</v>
      </c>
      <c r="BP480" s="3174">
        <f t="shared" si="314"/>
        <v>0</v>
      </c>
      <c r="BQ480" s="3174">
        <f t="shared" si="315"/>
        <v>0</v>
      </c>
      <c r="BR480" s="3174">
        <f t="shared" si="316"/>
        <v>0</v>
      </c>
      <c r="BS480" s="3174">
        <f t="shared" si="317"/>
        <v>0</v>
      </c>
      <c r="BT480" s="3249">
        <f t="shared" si="318"/>
        <v>0</v>
      </c>
    </row>
    <row r="481" spans="1:72">
      <c r="A481" s="489"/>
      <c r="B481" s="3179"/>
      <c r="C481" s="3180"/>
      <c r="D481" s="3181"/>
      <c r="E481" s="3174">
        <f t="shared" ref="E481:E504" si="319">IF($C$3="是",ROUND($A$3*G481/$B$3,2),ROUND($A$3*(G481-AT481)/$B$3,2))</f>
        <v>0</v>
      </c>
      <c r="F481" s="3175"/>
      <c r="G481" s="3176">
        <f t="shared" si="294"/>
        <v>0</v>
      </c>
      <c r="H481" s="3177">
        <f t="shared" si="295"/>
        <v>0</v>
      </c>
      <c r="I481" s="3180"/>
      <c r="J481" s="3200"/>
      <c r="K481" s="3180"/>
      <c r="L481" s="3200"/>
      <c r="M481" s="3200"/>
      <c r="N481" s="3200"/>
      <c r="O481" s="3200"/>
      <c r="P481" s="3200"/>
      <c r="Q481" s="3200"/>
      <c r="R481" s="3200"/>
      <c r="S481" s="3200"/>
      <c r="T481" s="3200"/>
      <c r="U481" s="3200"/>
      <c r="V481" s="3200"/>
      <c r="W481" s="3200"/>
      <c r="X481" s="3200"/>
      <c r="Y481" s="3200"/>
      <c r="Z481" s="3200"/>
      <c r="AA481" s="3200"/>
      <c r="AB481" s="3200"/>
      <c r="AC481" s="3174">
        <f t="shared" si="296"/>
        <v>0</v>
      </c>
      <c r="AD481" s="3212"/>
      <c r="AE481" s="3212"/>
      <c r="AF481" s="3213"/>
      <c r="AG481" s="3212"/>
      <c r="AH481" s="3212"/>
      <c r="AI481" s="3212"/>
      <c r="AJ481" s="3212"/>
      <c r="AK481" s="3212"/>
      <c r="AL481" s="3212"/>
      <c r="AM481" s="3212"/>
      <c r="AN481" s="3202"/>
      <c r="AO481" s="3212"/>
      <c r="AP481" s="3212"/>
      <c r="AQ481" s="3212"/>
      <c r="AR481" s="3212"/>
      <c r="AS481" s="3212"/>
      <c r="AT481" s="3175"/>
      <c r="AU481" s="3232"/>
      <c r="AV481" s="466">
        <f t="shared" ref="AV481:AV505" si="320">A481</f>
        <v>0</v>
      </c>
      <c r="AW481" s="466">
        <f t="shared" ref="AW481:AW505" si="321">B481</f>
        <v>0</v>
      </c>
      <c r="AX481" s="466">
        <f t="shared" ref="AX481:AX505" si="322">C481</f>
        <v>0</v>
      </c>
      <c r="AY481" s="385">
        <f t="shared" si="297"/>
        <v>0</v>
      </c>
      <c r="AZ481" s="3174">
        <f t="shared" si="298"/>
        <v>0</v>
      </c>
      <c r="BA481" s="3174">
        <f t="shared" si="299"/>
        <v>0</v>
      </c>
      <c r="BB481" s="3174">
        <f t="shared" si="300"/>
        <v>0</v>
      </c>
      <c r="BC481" s="3174">
        <f t="shared" si="301"/>
        <v>0</v>
      </c>
      <c r="BD481" s="3174">
        <f t="shared" si="302"/>
        <v>0</v>
      </c>
      <c r="BE481" s="3174">
        <f t="shared" si="303"/>
        <v>0</v>
      </c>
      <c r="BF481" s="3174">
        <f t="shared" si="304"/>
        <v>0</v>
      </c>
      <c r="BG481" s="3174">
        <f t="shared" si="305"/>
        <v>0</v>
      </c>
      <c r="BH481" s="3174">
        <f t="shared" si="306"/>
        <v>0</v>
      </c>
      <c r="BI481" s="3174">
        <f t="shared" si="307"/>
        <v>0</v>
      </c>
      <c r="BJ481" s="3174">
        <f t="shared" si="308"/>
        <v>0</v>
      </c>
      <c r="BK481" s="3174">
        <f t="shared" si="309"/>
        <v>0</v>
      </c>
      <c r="BL481" s="3174">
        <f t="shared" si="310"/>
        <v>0</v>
      </c>
      <c r="BM481" s="3174">
        <f t="shared" si="311"/>
        <v>0</v>
      </c>
      <c r="BN481" s="3174">
        <f t="shared" si="312"/>
        <v>0</v>
      </c>
      <c r="BO481" s="3174">
        <f t="shared" si="313"/>
        <v>0</v>
      </c>
      <c r="BP481" s="3174">
        <f t="shared" si="314"/>
        <v>0</v>
      </c>
      <c r="BQ481" s="3174">
        <f t="shared" si="315"/>
        <v>0</v>
      </c>
      <c r="BR481" s="3174">
        <f t="shared" si="316"/>
        <v>0</v>
      </c>
      <c r="BS481" s="3174">
        <f t="shared" si="317"/>
        <v>0</v>
      </c>
      <c r="BT481" s="3249">
        <f t="shared" si="318"/>
        <v>0</v>
      </c>
    </row>
    <row r="482" spans="1:72">
      <c r="A482" s="489"/>
      <c r="B482" s="3179"/>
      <c r="C482" s="3180"/>
      <c r="D482" s="3181"/>
      <c r="E482" s="3174">
        <f t="shared" si="319"/>
        <v>0</v>
      </c>
      <c r="F482" s="3175"/>
      <c r="G482" s="3176">
        <f t="shared" si="294"/>
        <v>0</v>
      </c>
      <c r="H482" s="3177">
        <f t="shared" si="295"/>
        <v>0</v>
      </c>
      <c r="I482" s="3180"/>
      <c r="J482" s="3200"/>
      <c r="K482" s="3180"/>
      <c r="L482" s="3200"/>
      <c r="M482" s="3202"/>
      <c r="N482" s="3200"/>
      <c r="O482" s="3200"/>
      <c r="P482" s="3200"/>
      <c r="Q482" s="3200"/>
      <c r="R482" s="3200"/>
      <c r="S482" s="3200"/>
      <c r="T482" s="3200"/>
      <c r="U482" s="3200"/>
      <c r="V482" s="3200"/>
      <c r="W482" s="3200"/>
      <c r="X482" s="3200"/>
      <c r="Y482" s="3200"/>
      <c r="Z482" s="3200"/>
      <c r="AA482" s="3200"/>
      <c r="AB482" s="3200"/>
      <c r="AC482" s="3174">
        <f t="shared" si="296"/>
        <v>0</v>
      </c>
      <c r="AD482" s="3202"/>
      <c r="AE482" s="3212"/>
      <c r="AF482" s="3213"/>
      <c r="AG482" s="3212"/>
      <c r="AH482" s="3212"/>
      <c r="AI482" s="3212"/>
      <c r="AJ482" s="3212"/>
      <c r="AK482" s="3212"/>
      <c r="AL482" s="3202"/>
      <c r="AM482" s="3212"/>
      <c r="AN482" s="3202"/>
      <c r="AO482" s="3212"/>
      <c r="AP482" s="3212"/>
      <c r="AQ482" s="3212"/>
      <c r="AR482" s="3212"/>
      <c r="AS482" s="3212"/>
      <c r="AT482" s="3175"/>
      <c r="AU482" s="3232"/>
      <c r="AV482" s="466">
        <f t="shared" si="320"/>
        <v>0</v>
      </c>
      <c r="AW482" s="466">
        <f t="shared" si="321"/>
        <v>0</v>
      </c>
      <c r="AX482" s="466">
        <f t="shared" si="322"/>
        <v>0</v>
      </c>
      <c r="AY482" s="385">
        <f t="shared" si="297"/>
        <v>0</v>
      </c>
      <c r="AZ482" s="3174">
        <f t="shared" si="298"/>
        <v>0</v>
      </c>
      <c r="BA482" s="3174">
        <f t="shared" si="299"/>
        <v>0</v>
      </c>
      <c r="BB482" s="3174">
        <f t="shared" si="300"/>
        <v>0</v>
      </c>
      <c r="BC482" s="3174">
        <f t="shared" si="301"/>
        <v>0</v>
      </c>
      <c r="BD482" s="3174">
        <f t="shared" si="302"/>
        <v>0</v>
      </c>
      <c r="BE482" s="3174">
        <f t="shared" si="303"/>
        <v>0</v>
      </c>
      <c r="BF482" s="3174">
        <f t="shared" si="304"/>
        <v>0</v>
      </c>
      <c r="BG482" s="3174">
        <f t="shared" si="305"/>
        <v>0</v>
      </c>
      <c r="BH482" s="3174">
        <f t="shared" si="306"/>
        <v>0</v>
      </c>
      <c r="BI482" s="3174">
        <f t="shared" si="307"/>
        <v>0</v>
      </c>
      <c r="BJ482" s="3174">
        <f t="shared" si="308"/>
        <v>0</v>
      </c>
      <c r="BK482" s="3174">
        <f t="shared" si="309"/>
        <v>0</v>
      </c>
      <c r="BL482" s="3174">
        <f t="shared" si="310"/>
        <v>0</v>
      </c>
      <c r="BM482" s="3174">
        <f t="shared" si="311"/>
        <v>0</v>
      </c>
      <c r="BN482" s="3174">
        <f t="shared" si="312"/>
        <v>0</v>
      </c>
      <c r="BO482" s="3174">
        <f t="shared" si="313"/>
        <v>0</v>
      </c>
      <c r="BP482" s="3174">
        <f t="shared" si="314"/>
        <v>0</v>
      </c>
      <c r="BQ482" s="3174">
        <f t="shared" si="315"/>
        <v>0</v>
      </c>
      <c r="BR482" s="3174">
        <f t="shared" si="316"/>
        <v>0</v>
      </c>
      <c r="BS482" s="3174">
        <f t="shared" si="317"/>
        <v>0</v>
      </c>
      <c r="BT482" s="3249">
        <f t="shared" si="318"/>
        <v>0</v>
      </c>
    </row>
    <row r="483" spans="1:72">
      <c r="A483" s="489"/>
      <c r="B483" s="3179"/>
      <c r="C483" s="3180"/>
      <c r="D483" s="3181"/>
      <c r="E483" s="3174">
        <f t="shared" si="319"/>
        <v>0</v>
      </c>
      <c r="F483" s="3175"/>
      <c r="G483" s="3176">
        <f t="shared" si="294"/>
        <v>0</v>
      </c>
      <c r="H483" s="3177">
        <f t="shared" si="295"/>
        <v>0</v>
      </c>
      <c r="I483" s="3180"/>
      <c r="J483" s="3200"/>
      <c r="K483" s="3180"/>
      <c r="L483" s="3200"/>
      <c r="M483" s="3202"/>
      <c r="N483" s="3200"/>
      <c r="O483" s="3200"/>
      <c r="P483" s="3200"/>
      <c r="Q483" s="3200"/>
      <c r="R483" s="3200"/>
      <c r="S483" s="3200"/>
      <c r="T483" s="3200"/>
      <c r="U483" s="3200"/>
      <c r="V483" s="3200"/>
      <c r="W483" s="3200"/>
      <c r="X483" s="3200"/>
      <c r="Y483" s="3200"/>
      <c r="Z483" s="3200"/>
      <c r="AA483" s="3200"/>
      <c r="AB483" s="3200"/>
      <c r="AC483" s="3174">
        <f t="shared" si="296"/>
        <v>0</v>
      </c>
      <c r="AD483" s="3212"/>
      <c r="AE483" s="3212"/>
      <c r="AF483" s="3213"/>
      <c r="AG483" s="3212"/>
      <c r="AH483" s="3212"/>
      <c r="AI483" s="3212"/>
      <c r="AJ483" s="3212"/>
      <c r="AK483" s="3212"/>
      <c r="AL483" s="3202"/>
      <c r="AM483" s="3212"/>
      <c r="AN483" s="3202"/>
      <c r="AO483" s="3212"/>
      <c r="AP483" s="3212"/>
      <c r="AQ483" s="3212"/>
      <c r="AR483" s="3212"/>
      <c r="AS483" s="3212"/>
      <c r="AT483" s="3175"/>
      <c r="AU483" s="3232"/>
      <c r="AV483" s="466">
        <f t="shared" si="320"/>
        <v>0</v>
      </c>
      <c r="AW483" s="466">
        <f t="shared" si="321"/>
        <v>0</v>
      </c>
      <c r="AX483" s="466">
        <f t="shared" si="322"/>
        <v>0</v>
      </c>
      <c r="AY483" s="385">
        <f t="shared" si="297"/>
        <v>0</v>
      </c>
      <c r="AZ483" s="3174">
        <f t="shared" si="298"/>
        <v>0</v>
      </c>
      <c r="BA483" s="3174">
        <f t="shared" si="299"/>
        <v>0</v>
      </c>
      <c r="BB483" s="3174">
        <f t="shared" si="300"/>
        <v>0</v>
      </c>
      <c r="BC483" s="3174">
        <f t="shared" si="301"/>
        <v>0</v>
      </c>
      <c r="BD483" s="3174">
        <f t="shared" si="302"/>
        <v>0</v>
      </c>
      <c r="BE483" s="3174">
        <f t="shared" si="303"/>
        <v>0</v>
      </c>
      <c r="BF483" s="3174">
        <f t="shared" si="304"/>
        <v>0</v>
      </c>
      <c r="BG483" s="3174">
        <f t="shared" si="305"/>
        <v>0</v>
      </c>
      <c r="BH483" s="3174">
        <f t="shared" si="306"/>
        <v>0</v>
      </c>
      <c r="BI483" s="3174">
        <f t="shared" si="307"/>
        <v>0</v>
      </c>
      <c r="BJ483" s="3174">
        <f t="shared" si="308"/>
        <v>0</v>
      </c>
      <c r="BK483" s="3174">
        <f t="shared" si="309"/>
        <v>0</v>
      </c>
      <c r="BL483" s="3174">
        <f t="shared" si="310"/>
        <v>0</v>
      </c>
      <c r="BM483" s="3174">
        <f t="shared" si="311"/>
        <v>0</v>
      </c>
      <c r="BN483" s="3174">
        <f t="shared" si="312"/>
        <v>0</v>
      </c>
      <c r="BO483" s="3174">
        <f t="shared" si="313"/>
        <v>0</v>
      </c>
      <c r="BP483" s="3174">
        <f t="shared" si="314"/>
        <v>0</v>
      </c>
      <c r="BQ483" s="3174">
        <f t="shared" si="315"/>
        <v>0</v>
      </c>
      <c r="BR483" s="3174">
        <f t="shared" si="316"/>
        <v>0</v>
      </c>
      <c r="BS483" s="3174">
        <f t="shared" si="317"/>
        <v>0</v>
      </c>
      <c r="BT483" s="3249">
        <f t="shared" si="318"/>
        <v>0</v>
      </c>
    </row>
    <row r="484" spans="1:72">
      <c r="A484" s="489"/>
      <c r="B484" s="3179"/>
      <c r="C484" s="3180"/>
      <c r="D484" s="3181"/>
      <c r="E484" s="3174">
        <f t="shared" si="319"/>
        <v>0</v>
      </c>
      <c r="F484" s="3175"/>
      <c r="G484" s="3176">
        <f t="shared" si="294"/>
        <v>0</v>
      </c>
      <c r="H484" s="3177">
        <f t="shared" si="295"/>
        <v>0</v>
      </c>
      <c r="I484" s="3180"/>
      <c r="J484" s="3200"/>
      <c r="K484" s="3180"/>
      <c r="L484" s="3200"/>
      <c r="M484" s="3200"/>
      <c r="N484" s="3200"/>
      <c r="O484" s="3202"/>
      <c r="P484" s="3200"/>
      <c r="Q484" s="3200"/>
      <c r="R484" s="3200"/>
      <c r="S484" s="3200"/>
      <c r="T484" s="3200"/>
      <c r="U484" s="3200"/>
      <c r="V484" s="3200"/>
      <c r="W484" s="3200"/>
      <c r="X484" s="3200"/>
      <c r="Y484" s="3200"/>
      <c r="Z484" s="3200"/>
      <c r="AA484" s="3200"/>
      <c r="AB484" s="3200"/>
      <c r="AC484" s="3174">
        <f t="shared" si="296"/>
        <v>0</v>
      </c>
      <c r="AD484" s="3212"/>
      <c r="AE484" s="3212"/>
      <c r="AF484" s="3213"/>
      <c r="AG484" s="3212"/>
      <c r="AH484" s="3212"/>
      <c r="AI484" s="3212"/>
      <c r="AJ484" s="3212"/>
      <c r="AK484" s="3212"/>
      <c r="AL484" s="3212"/>
      <c r="AM484" s="3212"/>
      <c r="AN484" s="3202"/>
      <c r="AO484" s="3212"/>
      <c r="AP484" s="3212"/>
      <c r="AQ484" s="3212"/>
      <c r="AR484" s="3212"/>
      <c r="AS484" s="3212"/>
      <c r="AT484" s="3175"/>
      <c r="AU484" s="3232"/>
      <c r="AV484" s="466">
        <f t="shared" si="320"/>
        <v>0</v>
      </c>
      <c r="AW484" s="466">
        <f t="shared" si="321"/>
        <v>0</v>
      </c>
      <c r="AX484" s="466">
        <f t="shared" si="322"/>
        <v>0</v>
      </c>
      <c r="AY484" s="385">
        <f t="shared" si="297"/>
        <v>0</v>
      </c>
      <c r="AZ484" s="3174">
        <f t="shared" si="298"/>
        <v>0</v>
      </c>
      <c r="BA484" s="3174">
        <f t="shared" si="299"/>
        <v>0</v>
      </c>
      <c r="BB484" s="3174">
        <f t="shared" si="300"/>
        <v>0</v>
      </c>
      <c r="BC484" s="3174">
        <f t="shared" si="301"/>
        <v>0</v>
      </c>
      <c r="BD484" s="3174">
        <f t="shared" si="302"/>
        <v>0</v>
      </c>
      <c r="BE484" s="3174">
        <f t="shared" si="303"/>
        <v>0</v>
      </c>
      <c r="BF484" s="3174">
        <f t="shared" si="304"/>
        <v>0</v>
      </c>
      <c r="BG484" s="3174">
        <f t="shared" si="305"/>
        <v>0</v>
      </c>
      <c r="BH484" s="3174">
        <f t="shared" si="306"/>
        <v>0</v>
      </c>
      <c r="BI484" s="3174">
        <f t="shared" si="307"/>
        <v>0</v>
      </c>
      <c r="BJ484" s="3174">
        <f t="shared" si="308"/>
        <v>0</v>
      </c>
      <c r="BK484" s="3174">
        <f t="shared" si="309"/>
        <v>0</v>
      </c>
      <c r="BL484" s="3174">
        <f t="shared" si="310"/>
        <v>0</v>
      </c>
      <c r="BM484" s="3174">
        <f t="shared" si="311"/>
        <v>0</v>
      </c>
      <c r="BN484" s="3174">
        <f t="shared" si="312"/>
        <v>0</v>
      </c>
      <c r="BO484" s="3174">
        <f t="shared" si="313"/>
        <v>0</v>
      </c>
      <c r="BP484" s="3174">
        <f t="shared" si="314"/>
        <v>0</v>
      </c>
      <c r="BQ484" s="3174">
        <f t="shared" si="315"/>
        <v>0</v>
      </c>
      <c r="BR484" s="3174">
        <f t="shared" si="316"/>
        <v>0</v>
      </c>
      <c r="BS484" s="3174">
        <f t="shared" si="317"/>
        <v>0</v>
      </c>
      <c r="BT484" s="3249">
        <f t="shared" si="318"/>
        <v>0</v>
      </c>
    </row>
    <row r="485" spans="1:72">
      <c r="A485" s="489"/>
      <c r="B485" s="3179"/>
      <c r="C485" s="3180"/>
      <c r="D485" s="3181"/>
      <c r="E485" s="3174">
        <f t="shared" si="319"/>
        <v>0</v>
      </c>
      <c r="F485" s="3175"/>
      <c r="G485" s="3176">
        <f t="shared" si="294"/>
        <v>0</v>
      </c>
      <c r="H485" s="3177">
        <f t="shared" si="295"/>
        <v>0</v>
      </c>
      <c r="I485" s="3180"/>
      <c r="J485" s="3200"/>
      <c r="K485" s="3180"/>
      <c r="L485" s="3200"/>
      <c r="M485" s="3200"/>
      <c r="N485" s="3200"/>
      <c r="O485" s="3200"/>
      <c r="P485" s="3200"/>
      <c r="Q485" s="3200"/>
      <c r="R485" s="3200"/>
      <c r="S485" s="3200"/>
      <c r="T485" s="3200"/>
      <c r="U485" s="3200"/>
      <c r="V485" s="3200"/>
      <c r="W485" s="3200"/>
      <c r="X485" s="3200"/>
      <c r="Y485" s="3200"/>
      <c r="Z485" s="3200"/>
      <c r="AA485" s="3200"/>
      <c r="AB485" s="3200"/>
      <c r="AC485" s="3174">
        <f t="shared" si="296"/>
        <v>0</v>
      </c>
      <c r="AD485" s="3212"/>
      <c r="AE485" s="3212"/>
      <c r="AF485" s="3213"/>
      <c r="AG485" s="3212"/>
      <c r="AH485" s="3212"/>
      <c r="AI485" s="3212"/>
      <c r="AJ485" s="3212"/>
      <c r="AK485" s="3212"/>
      <c r="AL485" s="3212"/>
      <c r="AM485" s="3212"/>
      <c r="AN485" s="3212"/>
      <c r="AO485" s="3212"/>
      <c r="AP485" s="3212"/>
      <c r="AQ485" s="3212"/>
      <c r="AR485" s="3212"/>
      <c r="AS485" s="3212"/>
      <c r="AT485" s="3175"/>
      <c r="AU485" s="3232"/>
      <c r="AV485" s="466">
        <f t="shared" si="320"/>
        <v>0</v>
      </c>
      <c r="AW485" s="466">
        <f t="shared" si="321"/>
        <v>0</v>
      </c>
      <c r="AX485" s="466">
        <f t="shared" si="322"/>
        <v>0</v>
      </c>
      <c r="AY485" s="385">
        <f t="shared" si="297"/>
        <v>0</v>
      </c>
      <c r="AZ485" s="3174">
        <f t="shared" si="298"/>
        <v>0</v>
      </c>
      <c r="BA485" s="3174">
        <f t="shared" si="299"/>
        <v>0</v>
      </c>
      <c r="BB485" s="3174">
        <f t="shared" si="300"/>
        <v>0</v>
      </c>
      <c r="BC485" s="3174">
        <f t="shared" si="301"/>
        <v>0</v>
      </c>
      <c r="BD485" s="3174">
        <f t="shared" si="302"/>
        <v>0</v>
      </c>
      <c r="BE485" s="3174">
        <f t="shared" si="303"/>
        <v>0</v>
      </c>
      <c r="BF485" s="3174">
        <f t="shared" si="304"/>
        <v>0</v>
      </c>
      <c r="BG485" s="3174">
        <f t="shared" si="305"/>
        <v>0</v>
      </c>
      <c r="BH485" s="3174">
        <f t="shared" si="306"/>
        <v>0</v>
      </c>
      <c r="BI485" s="3174">
        <f t="shared" si="307"/>
        <v>0</v>
      </c>
      <c r="BJ485" s="3174">
        <f t="shared" si="308"/>
        <v>0</v>
      </c>
      <c r="BK485" s="3174">
        <f t="shared" si="309"/>
        <v>0</v>
      </c>
      <c r="BL485" s="3174">
        <f t="shared" si="310"/>
        <v>0</v>
      </c>
      <c r="BM485" s="3174">
        <f t="shared" si="311"/>
        <v>0</v>
      </c>
      <c r="BN485" s="3174">
        <f t="shared" si="312"/>
        <v>0</v>
      </c>
      <c r="BO485" s="3174">
        <f t="shared" si="313"/>
        <v>0</v>
      </c>
      <c r="BP485" s="3174">
        <f t="shared" si="314"/>
        <v>0</v>
      </c>
      <c r="BQ485" s="3174">
        <f t="shared" si="315"/>
        <v>0</v>
      </c>
      <c r="BR485" s="3174">
        <f t="shared" si="316"/>
        <v>0</v>
      </c>
      <c r="BS485" s="3174">
        <f t="shared" si="317"/>
        <v>0</v>
      </c>
      <c r="BT485" s="3249">
        <f t="shared" si="318"/>
        <v>0</v>
      </c>
    </row>
    <row r="486" spans="1:72">
      <c r="A486" s="489"/>
      <c r="B486" s="3179"/>
      <c r="C486" s="3180"/>
      <c r="D486" s="3181"/>
      <c r="E486" s="3174">
        <f t="shared" si="319"/>
        <v>0</v>
      </c>
      <c r="F486" s="3175"/>
      <c r="G486" s="3176">
        <f t="shared" si="294"/>
        <v>0</v>
      </c>
      <c r="H486" s="3177">
        <f t="shared" si="295"/>
        <v>0</v>
      </c>
      <c r="I486" s="3180"/>
      <c r="J486" s="3200"/>
      <c r="K486" s="3180"/>
      <c r="L486" s="3200"/>
      <c r="M486" s="3200"/>
      <c r="N486" s="3200"/>
      <c r="O486" s="3200"/>
      <c r="P486" s="3200"/>
      <c r="Q486" s="3200"/>
      <c r="R486" s="3200"/>
      <c r="S486" s="3200"/>
      <c r="T486" s="3200"/>
      <c r="U486" s="3200"/>
      <c r="V486" s="3200"/>
      <c r="W486" s="3200"/>
      <c r="X486" s="3200"/>
      <c r="Y486" s="3200"/>
      <c r="Z486" s="3200"/>
      <c r="AA486" s="3200"/>
      <c r="AB486" s="3200"/>
      <c r="AC486" s="3174">
        <f t="shared" si="296"/>
        <v>0</v>
      </c>
      <c r="AD486" s="3212"/>
      <c r="AE486" s="3212"/>
      <c r="AF486" s="3213"/>
      <c r="AG486" s="3212"/>
      <c r="AH486" s="3212"/>
      <c r="AI486" s="3212"/>
      <c r="AJ486" s="3212"/>
      <c r="AK486" s="3212"/>
      <c r="AL486" s="3212"/>
      <c r="AM486" s="3212"/>
      <c r="AN486" s="3212"/>
      <c r="AO486" s="3212"/>
      <c r="AP486" s="3212"/>
      <c r="AQ486" s="3212"/>
      <c r="AR486" s="3212"/>
      <c r="AS486" s="3212"/>
      <c r="AT486" s="3175"/>
      <c r="AU486" s="3232"/>
      <c r="AV486" s="466">
        <f t="shared" si="320"/>
        <v>0</v>
      </c>
      <c r="AW486" s="466">
        <f t="shared" si="321"/>
        <v>0</v>
      </c>
      <c r="AX486" s="466">
        <f t="shared" si="322"/>
        <v>0</v>
      </c>
      <c r="AY486" s="385">
        <f t="shared" si="297"/>
        <v>0</v>
      </c>
      <c r="AZ486" s="3174">
        <f t="shared" si="298"/>
        <v>0</v>
      </c>
      <c r="BA486" s="3174">
        <f t="shared" si="299"/>
        <v>0</v>
      </c>
      <c r="BB486" s="3174">
        <f t="shared" si="300"/>
        <v>0</v>
      </c>
      <c r="BC486" s="3174">
        <f t="shared" si="301"/>
        <v>0</v>
      </c>
      <c r="BD486" s="3174">
        <f t="shared" si="302"/>
        <v>0</v>
      </c>
      <c r="BE486" s="3174">
        <f t="shared" si="303"/>
        <v>0</v>
      </c>
      <c r="BF486" s="3174">
        <f t="shared" si="304"/>
        <v>0</v>
      </c>
      <c r="BG486" s="3174">
        <f t="shared" si="305"/>
        <v>0</v>
      </c>
      <c r="BH486" s="3174">
        <f t="shared" si="306"/>
        <v>0</v>
      </c>
      <c r="BI486" s="3174">
        <f t="shared" si="307"/>
        <v>0</v>
      </c>
      <c r="BJ486" s="3174">
        <f t="shared" si="308"/>
        <v>0</v>
      </c>
      <c r="BK486" s="3174">
        <f t="shared" si="309"/>
        <v>0</v>
      </c>
      <c r="BL486" s="3174">
        <f t="shared" si="310"/>
        <v>0</v>
      </c>
      <c r="BM486" s="3174">
        <f t="shared" si="311"/>
        <v>0</v>
      </c>
      <c r="BN486" s="3174">
        <f t="shared" si="312"/>
        <v>0</v>
      </c>
      <c r="BO486" s="3174">
        <f t="shared" si="313"/>
        <v>0</v>
      </c>
      <c r="BP486" s="3174">
        <f t="shared" si="314"/>
        <v>0</v>
      </c>
      <c r="BQ486" s="3174">
        <f t="shared" si="315"/>
        <v>0</v>
      </c>
      <c r="BR486" s="3174">
        <f t="shared" si="316"/>
        <v>0</v>
      </c>
      <c r="BS486" s="3174">
        <f t="shared" si="317"/>
        <v>0</v>
      </c>
      <c r="BT486" s="3249">
        <f t="shared" si="318"/>
        <v>0</v>
      </c>
    </row>
    <row r="487" spans="1:72">
      <c r="A487" s="489"/>
      <c r="B487" s="3179"/>
      <c r="C487" s="3180"/>
      <c r="D487" s="3181"/>
      <c r="E487" s="3174">
        <f t="shared" si="319"/>
        <v>0</v>
      </c>
      <c r="F487" s="3175"/>
      <c r="G487" s="3176">
        <f t="shared" si="294"/>
        <v>0</v>
      </c>
      <c r="H487" s="3177">
        <f t="shared" si="295"/>
        <v>0</v>
      </c>
      <c r="I487" s="3180"/>
      <c r="J487" s="3200"/>
      <c r="K487" s="3180"/>
      <c r="L487" s="3200"/>
      <c r="M487" s="3200"/>
      <c r="N487" s="3200"/>
      <c r="O487" s="3200"/>
      <c r="P487" s="3200"/>
      <c r="Q487" s="3200"/>
      <c r="R487" s="3200"/>
      <c r="S487" s="3200"/>
      <c r="T487" s="3200"/>
      <c r="U487" s="3200"/>
      <c r="V487" s="3200"/>
      <c r="W487" s="3200"/>
      <c r="X487" s="3200"/>
      <c r="Y487" s="3200"/>
      <c r="Z487" s="3200"/>
      <c r="AA487" s="3200"/>
      <c r="AB487" s="3200"/>
      <c r="AC487" s="3174">
        <f t="shared" si="296"/>
        <v>0</v>
      </c>
      <c r="AD487" s="3212"/>
      <c r="AE487" s="3212"/>
      <c r="AF487" s="3213"/>
      <c r="AG487" s="3212"/>
      <c r="AH487" s="3212"/>
      <c r="AI487" s="3212"/>
      <c r="AJ487" s="3212"/>
      <c r="AK487" s="3212"/>
      <c r="AL487" s="3212"/>
      <c r="AM487" s="3212"/>
      <c r="AN487" s="3212"/>
      <c r="AO487" s="3212"/>
      <c r="AP487" s="3212"/>
      <c r="AQ487" s="3212"/>
      <c r="AR487" s="3212"/>
      <c r="AS487" s="3212"/>
      <c r="AT487" s="3175"/>
      <c r="AU487" s="3232"/>
      <c r="AV487" s="466">
        <f t="shared" si="320"/>
        <v>0</v>
      </c>
      <c r="AW487" s="466">
        <f t="shared" si="321"/>
        <v>0</v>
      </c>
      <c r="AX487" s="466">
        <f t="shared" si="322"/>
        <v>0</v>
      </c>
      <c r="AY487" s="385">
        <f t="shared" si="297"/>
        <v>0</v>
      </c>
      <c r="AZ487" s="3174">
        <f t="shared" si="298"/>
        <v>0</v>
      </c>
      <c r="BA487" s="3174">
        <f t="shared" si="299"/>
        <v>0</v>
      </c>
      <c r="BB487" s="3174">
        <f t="shared" si="300"/>
        <v>0</v>
      </c>
      <c r="BC487" s="3174">
        <f t="shared" si="301"/>
        <v>0</v>
      </c>
      <c r="BD487" s="3174">
        <f t="shared" si="302"/>
        <v>0</v>
      </c>
      <c r="BE487" s="3174">
        <f t="shared" si="303"/>
        <v>0</v>
      </c>
      <c r="BF487" s="3174">
        <f t="shared" si="304"/>
        <v>0</v>
      </c>
      <c r="BG487" s="3174">
        <f t="shared" si="305"/>
        <v>0</v>
      </c>
      <c r="BH487" s="3174">
        <f t="shared" si="306"/>
        <v>0</v>
      </c>
      <c r="BI487" s="3174">
        <f t="shared" si="307"/>
        <v>0</v>
      </c>
      <c r="BJ487" s="3174">
        <f t="shared" si="308"/>
        <v>0</v>
      </c>
      <c r="BK487" s="3174">
        <f t="shared" si="309"/>
        <v>0</v>
      </c>
      <c r="BL487" s="3174">
        <f t="shared" si="310"/>
        <v>0</v>
      </c>
      <c r="BM487" s="3174">
        <f t="shared" si="311"/>
        <v>0</v>
      </c>
      <c r="BN487" s="3174">
        <f t="shared" si="312"/>
        <v>0</v>
      </c>
      <c r="BO487" s="3174">
        <f t="shared" si="313"/>
        <v>0</v>
      </c>
      <c r="BP487" s="3174">
        <f t="shared" si="314"/>
        <v>0</v>
      </c>
      <c r="BQ487" s="3174">
        <f t="shared" si="315"/>
        <v>0</v>
      </c>
      <c r="BR487" s="3174">
        <f t="shared" si="316"/>
        <v>0</v>
      </c>
      <c r="BS487" s="3174">
        <f t="shared" si="317"/>
        <v>0</v>
      </c>
      <c r="BT487" s="3249">
        <f t="shared" si="318"/>
        <v>0</v>
      </c>
    </row>
    <row r="488" spans="1:72">
      <c r="A488" s="489"/>
      <c r="B488" s="3179"/>
      <c r="C488" s="3180"/>
      <c r="D488" s="3181"/>
      <c r="E488" s="3174">
        <f t="shared" si="319"/>
        <v>0</v>
      </c>
      <c r="F488" s="3175"/>
      <c r="G488" s="3176">
        <f t="shared" si="294"/>
        <v>0</v>
      </c>
      <c r="H488" s="3177">
        <f t="shared" si="295"/>
        <v>0</v>
      </c>
      <c r="I488" s="3180"/>
      <c r="J488" s="3200"/>
      <c r="K488" s="3180"/>
      <c r="L488" s="3200"/>
      <c r="M488" s="3200"/>
      <c r="N488" s="3200"/>
      <c r="O488" s="3200"/>
      <c r="P488" s="3200"/>
      <c r="Q488" s="3200"/>
      <c r="R488" s="3200"/>
      <c r="S488" s="3200"/>
      <c r="T488" s="3200"/>
      <c r="U488" s="3200"/>
      <c r="V488" s="3200"/>
      <c r="W488" s="3200"/>
      <c r="X488" s="3200"/>
      <c r="Y488" s="3200"/>
      <c r="Z488" s="3200"/>
      <c r="AA488" s="3200"/>
      <c r="AB488" s="3200"/>
      <c r="AC488" s="3174">
        <f t="shared" si="296"/>
        <v>0</v>
      </c>
      <c r="AD488" s="3212"/>
      <c r="AE488" s="3212"/>
      <c r="AF488" s="3180"/>
      <c r="AG488" s="3212"/>
      <c r="AH488" s="3212"/>
      <c r="AI488" s="3212"/>
      <c r="AJ488" s="3212"/>
      <c r="AK488" s="3212"/>
      <c r="AL488" s="3212"/>
      <c r="AM488" s="3212"/>
      <c r="AN488" s="3212"/>
      <c r="AO488" s="3212"/>
      <c r="AP488" s="3212"/>
      <c r="AQ488" s="3212"/>
      <c r="AR488" s="3212"/>
      <c r="AS488" s="3212"/>
      <c r="AT488" s="3175"/>
      <c r="AU488" s="3232"/>
      <c r="AV488" s="466">
        <f t="shared" si="320"/>
        <v>0</v>
      </c>
      <c r="AW488" s="466">
        <f t="shared" si="321"/>
        <v>0</v>
      </c>
      <c r="AX488" s="466">
        <f t="shared" si="322"/>
        <v>0</v>
      </c>
      <c r="AY488" s="385">
        <f t="shared" si="297"/>
        <v>0</v>
      </c>
      <c r="AZ488" s="3174">
        <f t="shared" si="298"/>
        <v>0</v>
      </c>
      <c r="BA488" s="3174">
        <f t="shared" si="299"/>
        <v>0</v>
      </c>
      <c r="BB488" s="3174">
        <f t="shared" si="300"/>
        <v>0</v>
      </c>
      <c r="BC488" s="3174">
        <f t="shared" si="301"/>
        <v>0</v>
      </c>
      <c r="BD488" s="3174">
        <f t="shared" si="302"/>
        <v>0</v>
      </c>
      <c r="BE488" s="3174">
        <f t="shared" si="303"/>
        <v>0</v>
      </c>
      <c r="BF488" s="3174">
        <f t="shared" si="304"/>
        <v>0</v>
      </c>
      <c r="BG488" s="3174">
        <f t="shared" si="305"/>
        <v>0</v>
      </c>
      <c r="BH488" s="3174">
        <f t="shared" si="306"/>
        <v>0</v>
      </c>
      <c r="BI488" s="3174">
        <f t="shared" si="307"/>
        <v>0</v>
      </c>
      <c r="BJ488" s="3174">
        <f t="shared" si="308"/>
        <v>0</v>
      </c>
      <c r="BK488" s="3174">
        <f t="shared" si="309"/>
        <v>0</v>
      </c>
      <c r="BL488" s="3174">
        <f t="shared" si="310"/>
        <v>0</v>
      </c>
      <c r="BM488" s="3174">
        <f t="shared" si="311"/>
        <v>0</v>
      </c>
      <c r="BN488" s="3174">
        <f t="shared" si="312"/>
        <v>0</v>
      </c>
      <c r="BO488" s="3174">
        <f t="shared" si="313"/>
        <v>0</v>
      </c>
      <c r="BP488" s="3174">
        <f t="shared" si="314"/>
        <v>0</v>
      </c>
      <c r="BQ488" s="3174">
        <f t="shared" si="315"/>
        <v>0</v>
      </c>
      <c r="BR488" s="3174">
        <f t="shared" si="316"/>
        <v>0</v>
      </c>
      <c r="BS488" s="3174">
        <f t="shared" si="317"/>
        <v>0</v>
      </c>
      <c r="BT488" s="3249">
        <f t="shared" si="318"/>
        <v>0</v>
      </c>
    </row>
    <row r="489" spans="1:72">
      <c r="A489" s="489"/>
      <c r="B489" s="3179"/>
      <c r="C489" s="3180"/>
      <c r="D489" s="3181"/>
      <c r="E489" s="3174">
        <f t="shared" si="319"/>
        <v>0</v>
      </c>
      <c r="F489" s="3175"/>
      <c r="G489" s="3176">
        <f t="shared" si="294"/>
        <v>0</v>
      </c>
      <c r="H489" s="3177">
        <f t="shared" si="295"/>
        <v>0</v>
      </c>
      <c r="I489" s="3180"/>
      <c r="J489" s="3200"/>
      <c r="K489" s="3180"/>
      <c r="L489" s="3200"/>
      <c r="M489" s="3200"/>
      <c r="N489" s="3200"/>
      <c r="O489" s="3200"/>
      <c r="P489" s="3200"/>
      <c r="Q489" s="3200"/>
      <c r="R489" s="3200"/>
      <c r="S489" s="3200"/>
      <c r="T489" s="3200"/>
      <c r="U489" s="3200"/>
      <c r="V489" s="3200"/>
      <c r="W489" s="3200"/>
      <c r="X489" s="3200"/>
      <c r="Y489" s="3200"/>
      <c r="Z489" s="3200"/>
      <c r="AA489" s="3200"/>
      <c r="AB489" s="3200"/>
      <c r="AC489" s="3174">
        <f t="shared" si="296"/>
        <v>0</v>
      </c>
      <c r="AD489" s="3212"/>
      <c r="AE489" s="3212"/>
      <c r="AF489" s="3180"/>
      <c r="AG489" s="3212"/>
      <c r="AH489" s="3212"/>
      <c r="AI489" s="3212"/>
      <c r="AJ489" s="3212"/>
      <c r="AK489" s="3212"/>
      <c r="AL489" s="3212"/>
      <c r="AM489" s="3212"/>
      <c r="AN489" s="3212"/>
      <c r="AO489" s="3212"/>
      <c r="AP489" s="3212"/>
      <c r="AQ489" s="3212"/>
      <c r="AR489" s="3212"/>
      <c r="AS489" s="3212"/>
      <c r="AT489" s="3175"/>
      <c r="AU489" s="3232"/>
      <c r="AV489" s="466">
        <f t="shared" si="320"/>
        <v>0</v>
      </c>
      <c r="AW489" s="466">
        <f t="shared" si="321"/>
        <v>0</v>
      </c>
      <c r="AX489" s="466">
        <f t="shared" si="322"/>
        <v>0</v>
      </c>
      <c r="AY489" s="385">
        <f t="shared" si="297"/>
        <v>0</v>
      </c>
      <c r="AZ489" s="3174">
        <f t="shared" si="298"/>
        <v>0</v>
      </c>
      <c r="BA489" s="3174">
        <f t="shared" si="299"/>
        <v>0</v>
      </c>
      <c r="BB489" s="3174">
        <f t="shared" si="300"/>
        <v>0</v>
      </c>
      <c r="BC489" s="3174">
        <f t="shared" si="301"/>
        <v>0</v>
      </c>
      <c r="BD489" s="3174">
        <f t="shared" si="302"/>
        <v>0</v>
      </c>
      <c r="BE489" s="3174">
        <f t="shared" si="303"/>
        <v>0</v>
      </c>
      <c r="BF489" s="3174">
        <f t="shared" si="304"/>
        <v>0</v>
      </c>
      <c r="BG489" s="3174">
        <f t="shared" si="305"/>
        <v>0</v>
      </c>
      <c r="BH489" s="3174">
        <f t="shared" si="306"/>
        <v>0</v>
      </c>
      <c r="BI489" s="3174">
        <f t="shared" si="307"/>
        <v>0</v>
      </c>
      <c r="BJ489" s="3174">
        <f t="shared" si="308"/>
        <v>0</v>
      </c>
      <c r="BK489" s="3174">
        <f t="shared" si="309"/>
        <v>0</v>
      </c>
      <c r="BL489" s="3174">
        <f t="shared" si="310"/>
        <v>0</v>
      </c>
      <c r="BM489" s="3174">
        <f t="shared" si="311"/>
        <v>0</v>
      </c>
      <c r="BN489" s="3174">
        <f t="shared" si="312"/>
        <v>0</v>
      </c>
      <c r="BO489" s="3174">
        <f t="shared" si="313"/>
        <v>0</v>
      </c>
      <c r="BP489" s="3174">
        <f t="shared" si="314"/>
        <v>0</v>
      </c>
      <c r="BQ489" s="3174">
        <f t="shared" si="315"/>
        <v>0</v>
      </c>
      <c r="BR489" s="3174">
        <f t="shared" si="316"/>
        <v>0</v>
      </c>
      <c r="BS489" s="3174">
        <f t="shared" si="317"/>
        <v>0</v>
      </c>
      <c r="BT489" s="3249">
        <f t="shared" si="318"/>
        <v>0</v>
      </c>
    </row>
    <row r="490" spans="1:72">
      <c r="A490" s="489"/>
      <c r="B490" s="3179"/>
      <c r="C490" s="3180"/>
      <c r="D490" s="3181"/>
      <c r="E490" s="3174">
        <f t="shared" si="319"/>
        <v>0</v>
      </c>
      <c r="F490" s="3175"/>
      <c r="G490" s="3176">
        <f t="shared" si="294"/>
        <v>0</v>
      </c>
      <c r="H490" s="3177">
        <f t="shared" si="295"/>
        <v>0</v>
      </c>
      <c r="I490" s="3180"/>
      <c r="J490" s="3200"/>
      <c r="K490" s="3180"/>
      <c r="L490" s="3200"/>
      <c r="M490" s="3200"/>
      <c r="N490" s="3200"/>
      <c r="O490" s="3200"/>
      <c r="P490" s="3200"/>
      <c r="Q490" s="3200"/>
      <c r="R490" s="3200"/>
      <c r="S490" s="3200"/>
      <c r="T490" s="3200"/>
      <c r="U490" s="3200"/>
      <c r="V490" s="3200"/>
      <c r="W490" s="3200"/>
      <c r="X490" s="3200"/>
      <c r="Y490" s="3200"/>
      <c r="Z490" s="3200"/>
      <c r="AA490" s="3200"/>
      <c r="AB490" s="3200"/>
      <c r="AC490" s="3174">
        <f t="shared" si="296"/>
        <v>0</v>
      </c>
      <c r="AD490" s="3212"/>
      <c r="AE490" s="3212"/>
      <c r="AF490" s="3180"/>
      <c r="AG490" s="3212"/>
      <c r="AH490" s="3212"/>
      <c r="AI490" s="3212"/>
      <c r="AJ490" s="3212"/>
      <c r="AK490" s="3212"/>
      <c r="AL490" s="3212"/>
      <c r="AM490" s="3212"/>
      <c r="AN490" s="3212"/>
      <c r="AO490" s="3212"/>
      <c r="AP490" s="3212"/>
      <c r="AQ490" s="3212"/>
      <c r="AR490" s="3212"/>
      <c r="AS490" s="3212"/>
      <c r="AT490" s="3175"/>
      <c r="AU490" s="3232"/>
      <c r="AV490" s="466">
        <f t="shared" si="320"/>
        <v>0</v>
      </c>
      <c r="AW490" s="466">
        <f t="shared" si="321"/>
        <v>0</v>
      </c>
      <c r="AX490" s="466">
        <f t="shared" si="322"/>
        <v>0</v>
      </c>
      <c r="AY490" s="385">
        <f t="shared" si="297"/>
        <v>0</v>
      </c>
      <c r="AZ490" s="3174">
        <f t="shared" si="298"/>
        <v>0</v>
      </c>
      <c r="BA490" s="3174">
        <f t="shared" si="299"/>
        <v>0</v>
      </c>
      <c r="BB490" s="3174">
        <f t="shared" si="300"/>
        <v>0</v>
      </c>
      <c r="BC490" s="3174">
        <f t="shared" si="301"/>
        <v>0</v>
      </c>
      <c r="BD490" s="3174">
        <f t="shared" si="302"/>
        <v>0</v>
      </c>
      <c r="BE490" s="3174">
        <f t="shared" si="303"/>
        <v>0</v>
      </c>
      <c r="BF490" s="3174">
        <f t="shared" si="304"/>
        <v>0</v>
      </c>
      <c r="BG490" s="3174">
        <f t="shared" si="305"/>
        <v>0</v>
      </c>
      <c r="BH490" s="3174">
        <f t="shared" si="306"/>
        <v>0</v>
      </c>
      <c r="BI490" s="3174">
        <f t="shared" si="307"/>
        <v>0</v>
      </c>
      <c r="BJ490" s="3174">
        <f t="shared" si="308"/>
        <v>0</v>
      </c>
      <c r="BK490" s="3174">
        <f t="shared" si="309"/>
        <v>0</v>
      </c>
      <c r="BL490" s="3174">
        <f t="shared" si="310"/>
        <v>0</v>
      </c>
      <c r="BM490" s="3174">
        <f t="shared" si="311"/>
        <v>0</v>
      </c>
      <c r="BN490" s="3174">
        <f t="shared" si="312"/>
        <v>0</v>
      </c>
      <c r="BO490" s="3174">
        <f t="shared" si="313"/>
        <v>0</v>
      </c>
      <c r="BP490" s="3174">
        <f t="shared" si="314"/>
        <v>0</v>
      </c>
      <c r="BQ490" s="3174">
        <f t="shared" si="315"/>
        <v>0</v>
      </c>
      <c r="BR490" s="3174">
        <f t="shared" si="316"/>
        <v>0</v>
      </c>
      <c r="BS490" s="3174">
        <f t="shared" si="317"/>
        <v>0</v>
      </c>
      <c r="BT490" s="3249">
        <f t="shared" si="318"/>
        <v>0</v>
      </c>
    </row>
    <row r="491" spans="1:72">
      <c r="A491" s="489"/>
      <c r="B491" s="3179"/>
      <c r="C491" s="3180"/>
      <c r="D491" s="3181"/>
      <c r="E491" s="3174">
        <f t="shared" si="319"/>
        <v>0</v>
      </c>
      <c r="F491" s="3175"/>
      <c r="G491" s="3176">
        <f t="shared" si="294"/>
        <v>0</v>
      </c>
      <c r="H491" s="3177">
        <f t="shared" si="295"/>
        <v>0</v>
      </c>
      <c r="I491" s="3180"/>
      <c r="J491" s="3200"/>
      <c r="K491" s="3180"/>
      <c r="L491" s="3200"/>
      <c r="M491" s="3200"/>
      <c r="N491" s="3200"/>
      <c r="O491" s="3200"/>
      <c r="P491" s="3200"/>
      <c r="Q491" s="3200"/>
      <c r="R491" s="3200"/>
      <c r="S491" s="3200"/>
      <c r="T491" s="3200"/>
      <c r="U491" s="3200"/>
      <c r="V491" s="3200"/>
      <c r="W491" s="3200"/>
      <c r="X491" s="3200"/>
      <c r="Y491" s="3200"/>
      <c r="Z491" s="3200"/>
      <c r="AA491" s="3200"/>
      <c r="AB491" s="3200"/>
      <c r="AC491" s="3174">
        <f t="shared" si="296"/>
        <v>0</v>
      </c>
      <c r="AD491" s="3212"/>
      <c r="AE491" s="3212"/>
      <c r="AF491" s="3180"/>
      <c r="AG491" s="3212"/>
      <c r="AH491" s="3212"/>
      <c r="AI491" s="3212"/>
      <c r="AJ491" s="3212"/>
      <c r="AK491" s="3212"/>
      <c r="AL491" s="3212"/>
      <c r="AM491" s="3212"/>
      <c r="AN491" s="3212"/>
      <c r="AO491" s="3212"/>
      <c r="AP491" s="3212"/>
      <c r="AQ491" s="3212"/>
      <c r="AR491" s="3212"/>
      <c r="AS491" s="3212"/>
      <c r="AT491" s="3175"/>
      <c r="AU491" s="3232"/>
      <c r="AV491" s="466">
        <f t="shared" si="320"/>
        <v>0</v>
      </c>
      <c r="AW491" s="466">
        <f t="shared" si="321"/>
        <v>0</v>
      </c>
      <c r="AX491" s="466">
        <f t="shared" si="322"/>
        <v>0</v>
      </c>
      <c r="AY491" s="385">
        <f t="shared" si="297"/>
        <v>0</v>
      </c>
      <c r="AZ491" s="3174">
        <f t="shared" si="298"/>
        <v>0</v>
      </c>
      <c r="BA491" s="3174">
        <f t="shared" si="299"/>
        <v>0</v>
      </c>
      <c r="BB491" s="3174">
        <f t="shared" si="300"/>
        <v>0</v>
      </c>
      <c r="BC491" s="3174">
        <f t="shared" si="301"/>
        <v>0</v>
      </c>
      <c r="BD491" s="3174">
        <f t="shared" si="302"/>
        <v>0</v>
      </c>
      <c r="BE491" s="3174">
        <f t="shared" si="303"/>
        <v>0</v>
      </c>
      <c r="BF491" s="3174">
        <f t="shared" si="304"/>
        <v>0</v>
      </c>
      <c r="BG491" s="3174">
        <f t="shared" si="305"/>
        <v>0</v>
      </c>
      <c r="BH491" s="3174">
        <f t="shared" si="306"/>
        <v>0</v>
      </c>
      <c r="BI491" s="3174">
        <f t="shared" si="307"/>
        <v>0</v>
      </c>
      <c r="BJ491" s="3174">
        <f t="shared" si="308"/>
        <v>0</v>
      </c>
      <c r="BK491" s="3174">
        <f t="shared" si="309"/>
        <v>0</v>
      </c>
      <c r="BL491" s="3174">
        <f t="shared" si="310"/>
        <v>0</v>
      </c>
      <c r="BM491" s="3174">
        <f t="shared" si="311"/>
        <v>0</v>
      </c>
      <c r="BN491" s="3174">
        <f t="shared" si="312"/>
        <v>0</v>
      </c>
      <c r="BO491" s="3174">
        <f t="shared" si="313"/>
        <v>0</v>
      </c>
      <c r="BP491" s="3174">
        <f t="shared" si="314"/>
        <v>0</v>
      </c>
      <c r="BQ491" s="3174">
        <f t="shared" si="315"/>
        <v>0</v>
      </c>
      <c r="BR491" s="3174">
        <f t="shared" si="316"/>
        <v>0</v>
      </c>
      <c r="BS491" s="3174">
        <f t="shared" si="317"/>
        <v>0</v>
      </c>
      <c r="BT491" s="3249">
        <f t="shared" si="318"/>
        <v>0</v>
      </c>
    </row>
    <row r="492" spans="1:72">
      <c r="A492" s="489"/>
      <c r="B492" s="3179"/>
      <c r="C492" s="3180"/>
      <c r="D492" s="3181"/>
      <c r="E492" s="3174">
        <f t="shared" si="319"/>
        <v>0</v>
      </c>
      <c r="F492" s="3175"/>
      <c r="G492" s="3176">
        <f t="shared" si="294"/>
        <v>0</v>
      </c>
      <c r="H492" s="3177">
        <f t="shared" si="295"/>
        <v>0</v>
      </c>
      <c r="I492" s="3180"/>
      <c r="J492" s="3200"/>
      <c r="K492" s="3180"/>
      <c r="L492" s="3200"/>
      <c r="M492" s="3200"/>
      <c r="N492" s="3200"/>
      <c r="O492" s="3200"/>
      <c r="P492" s="3200"/>
      <c r="Q492" s="3200"/>
      <c r="R492" s="3200"/>
      <c r="S492" s="3200"/>
      <c r="T492" s="3200"/>
      <c r="U492" s="3200"/>
      <c r="V492" s="3200"/>
      <c r="W492" s="3200"/>
      <c r="X492" s="3200"/>
      <c r="Y492" s="3200"/>
      <c r="Z492" s="3200"/>
      <c r="AA492" s="3200"/>
      <c r="AB492" s="3200"/>
      <c r="AC492" s="3174">
        <f t="shared" si="296"/>
        <v>0</v>
      </c>
      <c r="AD492" s="3212"/>
      <c r="AE492" s="3212"/>
      <c r="AF492" s="3180"/>
      <c r="AG492" s="3212"/>
      <c r="AH492" s="3212"/>
      <c r="AI492" s="3212"/>
      <c r="AJ492" s="3212"/>
      <c r="AK492" s="3212"/>
      <c r="AL492" s="3212"/>
      <c r="AM492" s="3212"/>
      <c r="AN492" s="3212"/>
      <c r="AO492" s="3212"/>
      <c r="AP492" s="3212"/>
      <c r="AQ492" s="3212"/>
      <c r="AR492" s="3212"/>
      <c r="AS492" s="3212"/>
      <c r="AT492" s="3175"/>
      <c r="AU492" s="3232"/>
      <c r="AV492" s="466">
        <f t="shared" si="320"/>
        <v>0</v>
      </c>
      <c r="AW492" s="466">
        <f t="shared" si="321"/>
        <v>0</v>
      </c>
      <c r="AX492" s="466">
        <f t="shared" si="322"/>
        <v>0</v>
      </c>
      <c r="AY492" s="385">
        <f t="shared" si="297"/>
        <v>0</v>
      </c>
      <c r="AZ492" s="3174">
        <f t="shared" si="298"/>
        <v>0</v>
      </c>
      <c r="BA492" s="3174">
        <f t="shared" si="299"/>
        <v>0</v>
      </c>
      <c r="BB492" s="3174">
        <f t="shared" si="300"/>
        <v>0</v>
      </c>
      <c r="BC492" s="3174">
        <f t="shared" si="301"/>
        <v>0</v>
      </c>
      <c r="BD492" s="3174">
        <f t="shared" si="302"/>
        <v>0</v>
      </c>
      <c r="BE492" s="3174">
        <f t="shared" si="303"/>
        <v>0</v>
      </c>
      <c r="BF492" s="3174">
        <f t="shared" si="304"/>
        <v>0</v>
      </c>
      <c r="BG492" s="3174">
        <f t="shared" si="305"/>
        <v>0</v>
      </c>
      <c r="BH492" s="3174">
        <f t="shared" si="306"/>
        <v>0</v>
      </c>
      <c r="BI492" s="3174">
        <f t="shared" si="307"/>
        <v>0</v>
      </c>
      <c r="BJ492" s="3174">
        <f t="shared" si="308"/>
        <v>0</v>
      </c>
      <c r="BK492" s="3174">
        <f t="shared" si="309"/>
        <v>0</v>
      </c>
      <c r="BL492" s="3174">
        <f t="shared" si="310"/>
        <v>0</v>
      </c>
      <c r="BM492" s="3174">
        <f t="shared" si="311"/>
        <v>0</v>
      </c>
      <c r="BN492" s="3174">
        <f t="shared" si="312"/>
        <v>0</v>
      </c>
      <c r="BO492" s="3174">
        <f t="shared" si="313"/>
        <v>0</v>
      </c>
      <c r="BP492" s="3174">
        <f t="shared" si="314"/>
        <v>0</v>
      </c>
      <c r="BQ492" s="3174">
        <f t="shared" si="315"/>
        <v>0</v>
      </c>
      <c r="BR492" s="3174">
        <f t="shared" si="316"/>
        <v>0</v>
      </c>
      <c r="BS492" s="3174">
        <f t="shared" si="317"/>
        <v>0</v>
      </c>
      <c r="BT492" s="3249">
        <f t="shared" si="318"/>
        <v>0</v>
      </c>
    </row>
    <row r="493" spans="1:72">
      <c r="A493" s="489"/>
      <c r="B493" s="3179"/>
      <c r="C493" s="3180"/>
      <c r="D493" s="3181"/>
      <c r="E493" s="3174">
        <f t="shared" si="319"/>
        <v>0</v>
      </c>
      <c r="F493" s="3175"/>
      <c r="G493" s="3176">
        <f t="shared" si="294"/>
        <v>0</v>
      </c>
      <c r="H493" s="3177">
        <f t="shared" si="295"/>
        <v>0</v>
      </c>
      <c r="I493" s="3180"/>
      <c r="J493" s="3200"/>
      <c r="K493" s="3180"/>
      <c r="L493" s="3200"/>
      <c r="M493" s="3200"/>
      <c r="N493" s="3200"/>
      <c r="O493" s="3200"/>
      <c r="P493" s="3200"/>
      <c r="Q493" s="3200"/>
      <c r="R493" s="3200"/>
      <c r="S493" s="3200"/>
      <c r="T493" s="3200"/>
      <c r="U493" s="3200"/>
      <c r="V493" s="3200"/>
      <c r="W493" s="3200"/>
      <c r="X493" s="3200"/>
      <c r="Y493" s="3200"/>
      <c r="Z493" s="3200"/>
      <c r="AA493" s="3200"/>
      <c r="AB493" s="3200"/>
      <c r="AC493" s="3174">
        <f t="shared" si="296"/>
        <v>0</v>
      </c>
      <c r="AD493" s="3212"/>
      <c r="AE493" s="3212"/>
      <c r="AF493" s="3180"/>
      <c r="AG493" s="3212"/>
      <c r="AH493" s="3212"/>
      <c r="AI493" s="3212"/>
      <c r="AJ493" s="3212"/>
      <c r="AK493" s="3212"/>
      <c r="AL493" s="3212"/>
      <c r="AM493" s="3212"/>
      <c r="AN493" s="3212"/>
      <c r="AO493" s="3212"/>
      <c r="AP493" s="3212"/>
      <c r="AQ493" s="3212"/>
      <c r="AR493" s="3212"/>
      <c r="AS493" s="3212"/>
      <c r="AT493" s="3175"/>
      <c r="AU493" s="3232"/>
      <c r="AV493" s="466">
        <f t="shared" si="320"/>
        <v>0</v>
      </c>
      <c r="AW493" s="466">
        <f t="shared" si="321"/>
        <v>0</v>
      </c>
      <c r="AX493" s="466">
        <f t="shared" si="322"/>
        <v>0</v>
      </c>
      <c r="AY493" s="385">
        <f t="shared" si="297"/>
        <v>0</v>
      </c>
      <c r="AZ493" s="3174">
        <f t="shared" si="298"/>
        <v>0</v>
      </c>
      <c r="BA493" s="3174">
        <f t="shared" si="299"/>
        <v>0</v>
      </c>
      <c r="BB493" s="3174">
        <f t="shared" si="300"/>
        <v>0</v>
      </c>
      <c r="BC493" s="3174">
        <f t="shared" si="301"/>
        <v>0</v>
      </c>
      <c r="BD493" s="3174">
        <f t="shared" si="302"/>
        <v>0</v>
      </c>
      <c r="BE493" s="3174">
        <f t="shared" si="303"/>
        <v>0</v>
      </c>
      <c r="BF493" s="3174">
        <f t="shared" si="304"/>
        <v>0</v>
      </c>
      <c r="BG493" s="3174">
        <f t="shared" si="305"/>
        <v>0</v>
      </c>
      <c r="BH493" s="3174">
        <f t="shared" si="306"/>
        <v>0</v>
      </c>
      <c r="BI493" s="3174">
        <f t="shared" si="307"/>
        <v>0</v>
      </c>
      <c r="BJ493" s="3174">
        <f t="shared" si="308"/>
        <v>0</v>
      </c>
      <c r="BK493" s="3174">
        <f t="shared" si="309"/>
        <v>0</v>
      </c>
      <c r="BL493" s="3174">
        <f t="shared" si="310"/>
        <v>0</v>
      </c>
      <c r="BM493" s="3174">
        <f t="shared" si="311"/>
        <v>0</v>
      </c>
      <c r="BN493" s="3174">
        <f t="shared" si="312"/>
        <v>0</v>
      </c>
      <c r="BO493" s="3174">
        <f t="shared" si="313"/>
        <v>0</v>
      </c>
      <c r="BP493" s="3174">
        <f t="shared" si="314"/>
        <v>0</v>
      </c>
      <c r="BQ493" s="3174">
        <f t="shared" si="315"/>
        <v>0</v>
      </c>
      <c r="BR493" s="3174">
        <f t="shared" si="316"/>
        <v>0</v>
      </c>
      <c r="BS493" s="3174">
        <f t="shared" si="317"/>
        <v>0</v>
      </c>
      <c r="BT493" s="3249">
        <f t="shared" si="318"/>
        <v>0</v>
      </c>
    </row>
    <row r="494" spans="1:72">
      <c r="A494" s="489"/>
      <c r="B494" s="3179"/>
      <c r="C494" s="3180"/>
      <c r="D494" s="3181"/>
      <c r="E494" s="3174">
        <f t="shared" si="319"/>
        <v>0</v>
      </c>
      <c r="F494" s="3175"/>
      <c r="G494" s="3176">
        <f t="shared" si="294"/>
        <v>0</v>
      </c>
      <c r="H494" s="3177">
        <f t="shared" si="295"/>
        <v>0</v>
      </c>
      <c r="I494" s="3180"/>
      <c r="J494" s="3200"/>
      <c r="K494" s="3180"/>
      <c r="L494" s="3200"/>
      <c r="M494" s="3200"/>
      <c r="N494" s="3200"/>
      <c r="O494" s="3200"/>
      <c r="P494" s="3200"/>
      <c r="Q494" s="3200"/>
      <c r="R494" s="3200"/>
      <c r="S494" s="3200"/>
      <c r="T494" s="3200"/>
      <c r="U494" s="3200"/>
      <c r="V494" s="3200"/>
      <c r="W494" s="3200"/>
      <c r="X494" s="3200"/>
      <c r="Y494" s="3200"/>
      <c r="Z494" s="3200"/>
      <c r="AA494" s="3200"/>
      <c r="AB494" s="3200"/>
      <c r="AC494" s="3174">
        <f t="shared" si="296"/>
        <v>0</v>
      </c>
      <c r="AD494" s="3212"/>
      <c r="AE494" s="3212"/>
      <c r="AF494" s="3180"/>
      <c r="AG494" s="3212"/>
      <c r="AH494" s="3212"/>
      <c r="AI494" s="3212"/>
      <c r="AJ494" s="3212"/>
      <c r="AK494" s="3212"/>
      <c r="AL494" s="3212"/>
      <c r="AM494" s="3212"/>
      <c r="AN494" s="3212"/>
      <c r="AO494" s="3212"/>
      <c r="AP494" s="3212"/>
      <c r="AQ494" s="3212"/>
      <c r="AR494" s="3212"/>
      <c r="AS494" s="3212"/>
      <c r="AT494" s="3175"/>
      <c r="AU494" s="3232"/>
      <c r="AV494" s="466">
        <f t="shared" si="320"/>
        <v>0</v>
      </c>
      <c r="AW494" s="466">
        <f t="shared" si="321"/>
        <v>0</v>
      </c>
      <c r="AX494" s="466">
        <f t="shared" si="322"/>
        <v>0</v>
      </c>
      <c r="AY494" s="385">
        <f t="shared" si="297"/>
        <v>0</v>
      </c>
      <c r="AZ494" s="3174">
        <f t="shared" si="298"/>
        <v>0</v>
      </c>
      <c r="BA494" s="3174">
        <f t="shared" si="299"/>
        <v>0</v>
      </c>
      <c r="BB494" s="3174">
        <f t="shared" si="300"/>
        <v>0</v>
      </c>
      <c r="BC494" s="3174">
        <f t="shared" si="301"/>
        <v>0</v>
      </c>
      <c r="BD494" s="3174">
        <f t="shared" si="302"/>
        <v>0</v>
      </c>
      <c r="BE494" s="3174">
        <f t="shared" si="303"/>
        <v>0</v>
      </c>
      <c r="BF494" s="3174">
        <f t="shared" si="304"/>
        <v>0</v>
      </c>
      <c r="BG494" s="3174">
        <f t="shared" si="305"/>
        <v>0</v>
      </c>
      <c r="BH494" s="3174">
        <f t="shared" si="306"/>
        <v>0</v>
      </c>
      <c r="BI494" s="3174">
        <f t="shared" si="307"/>
        <v>0</v>
      </c>
      <c r="BJ494" s="3174">
        <f t="shared" si="308"/>
        <v>0</v>
      </c>
      <c r="BK494" s="3174">
        <f t="shared" si="309"/>
        <v>0</v>
      </c>
      <c r="BL494" s="3174">
        <f t="shared" si="310"/>
        <v>0</v>
      </c>
      <c r="BM494" s="3174">
        <f t="shared" si="311"/>
        <v>0</v>
      </c>
      <c r="BN494" s="3174">
        <f t="shared" si="312"/>
        <v>0</v>
      </c>
      <c r="BO494" s="3174">
        <f t="shared" si="313"/>
        <v>0</v>
      </c>
      <c r="BP494" s="3174">
        <f t="shared" si="314"/>
        <v>0</v>
      </c>
      <c r="BQ494" s="3174">
        <f t="shared" si="315"/>
        <v>0</v>
      </c>
      <c r="BR494" s="3174">
        <f t="shared" si="316"/>
        <v>0</v>
      </c>
      <c r="BS494" s="3174">
        <f t="shared" si="317"/>
        <v>0</v>
      </c>
      <c r="BT494" s="3249">
        <f t="shared" si="318"/>
        <v>0</v>
      </c>
    </row>
    <row r="495" spans="1:72">
      <c r="A495" s="489"/>
      <c r="B495" s="3179"/>
      <c r="C495" s="3180"/>
      <c r="D495" s="3181"/>
      <c r="E495" s="3174">
        <f t="shared" si="319"/>
        <v>0</v>
      </c>
      <c r="F495" s="3175"/>
      <c r="G495" s="3176">
        <f t="shared" si="294"/>
        <v>0</v>
      </c>
      <c r="H495" s="3177">
        <f t="shared" si="295"/>
        <v>0</v>
      </c>
      <c r="I495" s="3180"/>
      <c r="J495" s="3200"/>
      <c r="K495" s="3180"/>
      <c r="L495" s="3200"/>
      <c r="M495" s="3200"/>
      <c r="N495" s="3200"/>
      <c r="O495" s="3200"/>
      <c r="P495" s="3200"/>
      <c r="Q495" s="3200"/>
      <c r="R495" s="3200"/>
      <c r="S495" s="3200"/>
      <c r="T495" s="3200"/>
      <c r="U495" s="3200"/>
      <c r="V495" s="3200"/>
      <c r="W495" s="3200"/>
      <c r="X495" s="3200"/>
      <c r="Y495" s="3200"/>
      <c r="Z495" s="3200"/>
      <c r="AA495" s="3200"/>
      <c r="AB495" s="3200"/>
      <c r="AC495" s="3174">
        <f t="shared" si="296"/>
        <v>0</v>
      </c>
      <c r="AD495" s="3212"/>
      <c r="AE495" s="3212"/>
      <c r="AF495" s="3180"/>
      <c r="AG495" s="3212"/>
      <c r="AH495" s="3212"/>
      <c r="AI495" s="3212"/>
      <c r="AJ495" s="3212"/>
      <c r="AK495" s="3212"/>
      <c r="AL495" s="3212"/>
      <c r="AM495" s="3212"/>
      <c r="AN495" s="3212"/>
      <c r="AO495" s="3212"/>
      <c r="AP495" s="3212"/>
      <c r="AQ495" s="3212"/>
      <c r="AR495" s="3212"/>
      <c r="AS495" s="3212"/>
      <c r="AT495" s="3175"/>
      <c r="AU495" s="3232"/>
      <c r="AV495" s="466">
        <f t="shared" si="320"/>
        <v>0</v>
      </c>
      <c r="AW495" s="466">
        <f t="shared" si="321"/>
        <v>0</v>
      </c>
      <c r="AX495" s="466">
        <f t="shared" si="322"/>
        <v>0</v>
      </c>
      <c r="AY495" s="385">
        <f t="shared" si="297"/>
        <v>0</v>
      </c>
      <c r="AZ495" s="3174">
        <f t="shared" si="298"/>
        <v>0</v>
      </c>
      <c r="BA495" s="3174">
        <f t="shared" si="299"/>
        <v>0</v>
      </c>
      <c r="BB495" s="3174">
        <f t="shared" si="300"/>
        <v>0</v>
      </c>
      <c r="BC495" s="3174">
        <f t="shared" si="301"/>
        <v>0</v>
      </c>
      <c r="BD495" s="3174">
        <f t="shared" si="302"/>
        <v>0</v>
      </c>
      <c r="BE495" s="3174">
        <f t="shared" si="303"/>
        <v>0</v>
      </c>
      <c r="BF495" s="3174">
        <f t="shared" si="304"/>
        <v>0</v>
      </c>
      <c r="BG495" s="3174">
        <f t="shared" si="305"/>
        <v>0</v>
      </c>
      <c r="BH495" s="3174">
        <f t="shared" si="306"/>
        <v>0</v>
      </c>
      <c r="BI495" s="3174">
        <f t="shared" si="307"/>
        <v>0</v>
      </c>
      <c r="BJ495" s="3174">
        <f t="shared" si="308"/>
        <v>0</v>
      </c>
      <c r="BK495" s="3174">
        <f t="shared" si="309"/>
        <v>0</v>
      </c>
      <c r="BL495" s="3174">
        <f t="shared" si="310"/>
        <v>0</v>
      </c>
      <c r="BM495" s="3174">
        <f t="shared" si="311"/>
        <v>0</v>
      </c>
      <c r="BN495" s="3174">
        <f t="shared" si="312"/>
        <v>0</v>
      </c>
      <c r="BO495" s="3174">
        <f t="shared" si="313"/>
        <v>0</v>
      </c>
      <c r="BP495" s="3174">
        <f t="shared" si="314"/>
        <v>0</v>
      </c>
      <c r="BQ495" s="3174">
        <f t="shared" si="315"/>
        <v>0</v>
      </c>
      <c r="BR495" s="3174">
        <f t="shared" si="316"/>
        <v>0</v>
      </c>
      <c r="BS495" s="3174">
        <f t="shared" si="317"/>
        <v>0</v>
      </c>
      <c r="BT495" s="3249">
        <f t="shared" si="318"/>
        <v>0</v>
      </c>
    </row>
    <row r="496" spans="1:72">
      <c r="A496" s="489"/>
      <c r="B496" s="3179"/>
      <c r="C496" s="3180"/>
      <c r="D496" s="3181"/>
      <c r="E496" s="3174">
        <f t="shared" si="319"/>
        <v>0</v>
      </c>
      <c r="F496" s="3175"/>
      <c r="G496" s="3176">
        <f t="shared" si="294"/>
        <v>0</v>
      </c>
      <c r="H496" s="3177">
        <f t="shared" si="295"/>
        <v>0</v>
      </c>
      <c r="I496" s="3180"/>
      <c r="J496" s="3200"/>
      <c r="K496" s="3180"/>
      <c r="L496" s="3200"/>
      <c r="M496" s="3200"/>
      <c r="N496" s="3200"/>
      <c r="O496" s="3200"/>
      <c r="P496" s="3200"/>
      <c r="Q496" s="3200"/>
      <c r="R496" s="3200"/>
      <c r="S496" s="3200"/>
      <c r="T496" s="3200"/>
      <c r="U496" s="3200"/>
      <c r="V496" s="3200"/>
      <c r="W496" s="3200"/>
      <c r="X496" s="3200"/>
      <c r="Y496" s="3200"/>
      <c r="Z496" s="3200"/>
      <c r="AA496" s="3200"/>
      <c r="AB496" s="3200"/>
      <c r="AC496" s="3174">
        <f t="shared" si="296"/>
        <v>0</v>
      </c>
      <c r="AD496" s="3212"/>
      <c r="AE496" s="3212"/>
      <c r="AF496" s="3180"/>
      <c r="AG496" s="3212"/>
      <c r="AH496" s="3212"/>
      <c r="AI496" s="3212"/>
      <c r="AJ496" s="3212"/>
      <c r="AK496" s="3212"/>
      <c r="AL496" s="3212"/>
      <c r="AM496" s="3212"/>
      <c r="AN496" s="3212"/>
      <c r="AO496" s="3212"/>
      <c r="AP496" s="3212"/>
      <c r="AQ496" s="3212"/>
      <c r="AR496" s="3212"/>
      <c r="AS496" s="3212"/>
      <c r="AT496" s="3175"/>
      <c r="AU496" s="3232"/>
      <c r="AV496" s="466">
        <f t="shared" si="320"/>
        <v>0</v>
      </c>
      <c r="AW496" s="466">
        <f t="shared" si="321"/>
        <v>0</v>
      </c>
      <c r="AX496" s="466">
        <f t="shared" si="322"/>
        <v>0</v>
      </c>
      <c r="AY496" s="385">
        <f t="shared" si="297"/>
        <v>0</v>
      </c>
      <c r="AZ496" s="3174">
        <f t="shared" si="298"/>
        <v>0</v>
      </c>
      <c r="BA496" s="3174">
        <f t="shared" si="299"/>
        <v>0</v>
      </c>
      <c r="BB496" s="3174">
        <f t="shared" si="300"/>
        <v>0</v>
      </c>
      <c r="BC496" s="3174">
        <f t="shared" si="301"/>
        <v>0</v>
      </c>
      <c r="BD496" s="3174">
        <f t="shared" si="302"/>
        <v>0</v>
      </c>
      <c r="BE496" s="3174">
        <f t="shared" si="303"/>
        <v>0</v>
      </c>
      <c r="BF496" s="3174">
        <f t="shared" si="304"/>
        <v>0</v>
      </c>
      <c r="BG496" s="3174">
        <f t="shared" si="305"/>
        <v>0</v>
      </c>
      <c r="BH496" s="3174">
        <f t="shared" si="306"/>
        <v>0</v>
      </c>
      <c r="BI496" s="3174">
        <f t="shared" si="307"/>
        <v>0</v>
      </c>
      <c r="BJ496" s="3174">
        <f t="shared" si="308"/>
        <v>0</v>
      </c>
      <c r="BK496" s="3174">
        <f t="shared" si="309"/>
        <v>0</v>
      </c>
      <c r="BL496" s="3174">
        <f t="shared" si="310"/>
        <v>0</v>
      </c>
      <c r="BM496" s="3174">
        <f t="shared" si="311"/>
        <v>0</v>
      </c>
      <c r="BN496" s="3174">
        <f t="shared" si="312"/>
        <v>0</v>
      </c>
      <c r="BO496" s="3174">
        <f t="shared" si="313"/>
        <v>0</v>
      </c>
      <c r="BP496" s="3174">
        <f t="shared" si="314"/>
        <v>0</v>
      </c>
      <c r="BQ496" s="3174">
        <f t="shared" si="315"/>
        <v>0</v>
      </c>
      <c r="BR496" s="3174">
        <f t="shared" si="316"/>
        <v>0</v>
      </c>
      <c r="BS496" s="3174">
        <f t="shared" si="317"/>
        <v>0</v>
      </c>
      <c r="BT496" s="3249">
        <f t="shared" si="318"/>
        <v>0</v>
      </c>
    </row>
    <row r="497" spans="1:72">
      <c r="A497" s="489"/>
      <c r="B497" s="3179"/>
      <c r="C497" s="3180"/>
      <c r="D497" s="3181"/>
      <c r="E497" s="3174">
        <f t="shared" si="319"/>
        <v>0</v>
      </c>
      <c r="F497" s="3175"/>
      <c r="G497" s="3176">
        <f t="shared" si="294"/>
        <v>0</v>
      </c>
      <c r="H497" s="3177">
        <f t="shared" si="295"/>
        <v>0</v>
      </c>
      <c r="I497" s="3180"/>
      <c r="J497" s="3200"/>
      <c r="K497" s="3180"/>
      <c r="L497" s="3200"/>
      <c r="M497" s="3200"/>
      <c r="N497" s="3200"/>
      <c r="O497" s="3200"/>
      <c r="P497" s="3200"/>
      <c r="Q497" s="3200"/>
      <c r="R497" s="3200"/>
      <c r="S497" s="3200"/>
      <c r="T497" s="3200"/>
      <c r="U497" s="3200"/>
      <c r="V497" s="3200"/>
      <c r="W497" s="3200"/>
      <c r="X497" s="3200"/>
      <c r="Y497" s="3200"/>
      <c r="Z497" s="3200"/>
      <c r="AA497" s="3200"/>
      <c r="AB497" s="3200"/>
      <c r="AC497" s="3174">
        <f t="shared" si="296"/>
        <v>0</v>
      </c>
      <c r="AD497" s="3212"/>
      <c r="AE497" s="3212"/>
      <c r="AF497" s="3180"/>
      <c r="AG497" s="3212"/>
      <c r="AH497" s="3212"/>
      <c r="AI497" s="3212"/>
      <c r="AJ497" s="3212"/>
      <c r="AK497" s="3212"/>
      <c r="AL497" s="3212"/>
      <c r="AM497" s="3212"/>
      <c r="AN497" s="3212"/>
      <c r="AO497" s="3212"/>
      <c r="AP497" s="3212"/>
      <c r="AQ497" s="3212"/>
      <c r="AR497" s="3212"/>
      <c r="AS497" s="3212"/>
      <c r="AT497" s="3175"/>
      <c r="AU497" s="3232"/>
      <c r="AV497" s="466">
        <f t="shared" si="320"/>
        <v>0</v>
      </c>
      <c r="AW497" s="466">
        <f t="shared" si="321"/>
        <v>0</v>
      </c>
      <c r="AX497" s="466">
        <f t="shared" si="322"/>
        <v>0</v>
      </c>
      <c r="AY497" s="385">
        <f t="shared" si="297"/>
        <v>0</v>
      </c>
      <c r="AZ497" s="3174">
        <f t="shared" si="298"/>
        <v>0</v>
      </c>
      <c r="BA497" s="3174">
        <f t="shared" si="299"/>
        <v>0</v>
      </c>
      <c r="BB497" s="3174">
        <f t="shared" si="300"/>
        <v>0</v>
      </c>
      <c r="BC497" s="3174">
        <f t="shared" si="301"/>
        <v>0</v>
      </c>
      <c r="BD497" s="3174">
        <f t="shared" si="302"/>
        <v>0</v>
      </c>
      <c r="BE497" s="3174">
        <f t="shared" si="303"/>
        <v>0</v>
      </c>
      <c r="BF497" s="3174">
        <f t="shared" si="304"/>
        <v>0</v>
      </c>
      <c r="BG497" s="3174">
        <f t="shared" si="305"/>
        <v>0</v>
      </c>
      <c r="BH497" s="3174">
        <f t="shared" si="306"/>
        <v>0</v>
      </c>
      <c r="BI497" s="3174">
        <f t="shared" si="307"/>
        <v>0</v>
      </c>
      <c r="BJ497" s="3174">
        <f t="shared" si="308"/>
        <v>0</v>
      </c>
      <c r="BK497" s="3174">
        <f t="shared" si="309"/>
        <v>0</v>
      </c>
      <c r="BL497" s="3174">
        <f t="shared" si="310"/>
        <v>0</v>
      </c>
      <c r="BM497" s="3174">
        <f t="shared" si="311"/>
        <v>0</v>
      </c>
      <c r="BN497" s="3174">
        <f t="shared" si="312"/>
        <v>0</v>
      </c>
      <c r="BO497" s="3174">
        <f t="shared" si="313"/>
        <v>0</v>
      </c>
      <c r="BP497" s="3174">
        <f t="shared" si="314"/>
        <v>0</v>
      </c>
      <c r="BQ497" s="3174">
        <f t="shared" si="315"/>
        <v>0</v>
      </c>
      <c r="BR497" s="3174">
        <f t="shared" si="316"/>
        <v>0</v>
      </c>
      <c r="BS497" s="3174">
        <f t="shared" si="317"/>
        <v>0</v>
      </c>
      <c r="BT497" s="3249">
        <f t="shared" si="318"/>
        <v>0</v>
      </c>
    </row>
    <row r="498" spans="1:72">
      <c r="A498" s="489"/>
      <c r="B498" s="3179"/>
      <c r="C498" s="3180"/>
      <c r="D498" s="3181"/>
      <c r="E498" s="3174">
        <f t="shared" si="319"/>
        <v>0</v>
      </c>
      <c r="F498" s="3175"/>
      <c r="G498" s="3176">
        <f t="shared" si="294"/>
        <v>0</v>
      </c>
      <c r="H498" s="3177">
        <f t="shared" si="295"/>
        <v>0</v>
      </c>
      <c r="I498" s="3180"/>
      <c r="J498" s="3200"/>
      <c r="K498" s="3180"/>
      <c r="L498" s="3200"/>
      <c r="M498" s="3200"/>
      <c r="N498" s="3200"/>
      <c r="O498" s="3200"/>
      <c r="P498" s="3200"/>
      <c r="Q498" s="3200"/>
      <c r="R498" s="3200"/>
      <c r="S498" s="3200"/>
      <c r="T498" s="3200"/>
      <c r="U498" s="3200"/>
      <c r="V498" s="3200"/>
      <c r="W498" s="3200"/>
      <c r="X498" s="3200"/>
      <c r="Y498" s="3200"/>
      <c r="Z498" s="3200"/>
      <c r="AA498" s="3200"/>
      <c r="AB498" s="3200"/>
      <c r="AC498" s="3174">
        <f t="shared" si="296"/>
        <v>0</v>
      </c>
      <c r="AD498" s="3212"/>
      <c r="AE498" s="3212"/>
      <c r="AF498" s="3180"/>
      <c r="AG498" s="3212"/>
      <c r="AH498" s="3212"/>
      <c r="AI498" s="3212"/>
      <c r="AJ498" s="3212"/>
      <c r="AK498" s="3212"/>
      <c r="AL498" s="3212"/>
      <c r="AM498" s="3212"/>
      <c r="AN498" s="3212"/>
      <c r="AO498" s="3212"/>
      <c r="AP498" s="3212"/>
      <c r="AQ498" s="3212"/>
      <c r="AR498" s="3212"/>
      <c r="AS498" s="3212"/>
      <c r="AT498" s="3175"/>
      <c r="AU498" s="3232"/>
      <c r="AV498" s="466">
        <f t="shared" si="320"/>
        <v>0</v>
      </c>
      <c r="AW498" s="466">
        <f t="shared" si="321"/>
        <v>0</v>
      </c>
      <c r="AX498" s="466">
        <f t="shared" si="322"/>
        <v>0</v>
      </c>
      <c r="AY498" s="385">
        <f t="shared" si="297"/>
        <v>0</v>
      </c>
      <c r="AZ498" s="3174">
        <f t="shared" si="298"/>
        <v>0</v>
      </c>
      <c r="BA498" s="3174">
        <f t="shared" si="299"/>
        <v>0</v>
      </c>
      <c r="BB498" s="3174">
        <f t="shared" si="300"/>
        <v>0</v>
      </c>
      <c r="BC498" s="3174">
        <f t="shared" si="301"/>
        <v>0</v>
      </c>
      <c r="BD498" s="3174">
        <f t="shared" si="302"/>
        <v>0</v>
      </c>
      <c r="BE498" s="3174">
        <f t="shared" si="303"/>
        <v>0</v>
      </c>
      <c r="BF498" s="3174">
        <f t="shared" si="304"/>
        <v>0</v>
      </c>
      <c r="BG498" s="3174">
        <f t="shared" si="305"/>
        <v>0</v>
      </c>
      <c r="BH498" s="3174">
        <f t="shared" si="306"/>
        <v>0</v>
      </c>
      <c r="BI498" s="3174">
        <f t="shared" si="307"/>
        <v>0</v>
      </c>
      <c r="BJ498" s="3174">
        <f t="shared" si="308"/>
        <v>0</v>
      </c>
      <c r="BK498" s="3174">
        <f t="shared" si="309"/>
        <v>0</v>
      </c>
      <c r="BL498" s="3174">
        <f t="shared" si="310"/>
        <v>0</v>
      </c>
      <c r="BM498" s="3174">
        <f t="shared" si="311"/>
        <v>0</v>
      </c>
      <c r="BN498" s="3174">
        <f t="shared" si="312"/>
        <v>0</v>
      </c>
      <c r="BO498" s="3174">
        <f t="shared" si="313"/>
        <v>0</v>
      </c>
      <c r="BP498" s="3174">
        <f t="shared" si="314"/>
        <v>0</v>
      </c>
      <c r="BQ498" s="3174">
        <f t="shared" si="315"/>
        <v>0</v>
      </c>
      <c r="BR498" s="3174">
        <f t="shared" si="316"/>
        <v>0</v>
      </c>
      <c r="BS498" s="3174">
        <f t="shared" si="317"/>
        <v>0</v>
      </c>
      <c r="BT498" s="3249">
        <f t="shared" si="318"/>
        <v>0</v>
      </c>
    </row>
    <row r="499" spans="1:72">
      <c r="A499" s="489"/>
      <c r="B499" s="3179"/>
      <c r="C499" s="3180"/>
      <c r="D499" s="3181"/>
      <c r="E499" s="3174">
        <f t="shared" si="319"/>
        <v>0</v>
      </c>
      <c r="F499" s="3175"/>
      <c r="G499" s="3176">
        <f t="shared" si="294"/>
        <v>0</v>
      </c>
      <c r="H499" s="3177">
        <f t="shared" si="295"/>
        <v>0</v>
      </c>
      <c r="I499" s="3180"/>
      <c r="J499" s="3200"/>
      <c r="K499" s="3180"/>
      <c r="L499" s="3200"/>
      <c r="M499" s="3200"/>
      <c r="N499" s="3200"/>
      <c r="O499" s="3200"/>
      <c r="P499" s="3200"/>
      <c r="Q499" s="3200"/>
      <c r="R499" s="3200"/>
      <c r="S499" s="3200"/>
      <c r="T499" s="3200"/>
      <c r="U499" s="3200"/>
      <c r="V499" s="3200"/>
      <c r="W499" s="3200"/>
      <c r="X499" s="3200"/>
      <c r="Y499" s="3200"/>
      <c r="Z499" s="3200"/>
      <c r="AA499" s="3200"/>
      <c r="AB499" s="3200"/>
      <c r="AC499" s="3174">
        <f t="shared" si="296"/>
        <v>0</v>
      </c>
      <c r="AD499" s="3212"/>
      <c r="AE499" s="3212"/>
      <c r="AF499" s="3180"/>
      <c r="AG499" s="3212"/>
      <c r="AH499" s="3212"/>
      <c r="AI499" s="3212"/>
      <c r="AJ499" s="3212"/>
      <c r="AK499" s="3212"/>
      <c r="AL499" s="3212"/>
      <c r="AM499" s="3212"/>
      <c r="AN499" s="3212"/>
      <c r="AO499" s="3212"/>
      <c r="AP499" s="3212"/>
      <c r="AQ499" s="3212"/>
      <c r="AR499" s="3212"/>
      <c r="AS499" s="3212"/>
      <c r="AT499" s="3175"/>
      <c r="AU499" s="3232"/>
      <c r="AV499" s="466">
        <f t="shared" si="320"/>
        <v>0</v>
      </c>
      <c r="AW499" s="466">
        <f t="shared" si="321"/>
        <v>0</v>
      </c>
      <c r="AX499" s="466">
        <f t="shared" si="322"/>
        <v>0</v>
      </c>
      <c r="AY499" s="385">
        <f t="shared" si="297"/>
        <v>0</v>
      </c>
      <c r="AZ499" s="3174">
        <f t="shared" si="298"/>
        <v>0</v>
      </c>
      <c r="BA499" s="3174">
        <f t="shared" si="299"/>
        <v>0</v>
      </c>
      <c r="BB499" s="3174">
        <f t="shared" si="300"/>
        <v>0</v>
      </c>
      <c r="BC499" s="3174">
        <f t="shared" si="301"/>
        <v>0</v>
      </c>
      <c r="BD499" s="3174">
        <f t="shared" si="302"/>
        <v>0</v>
      </c>
      <c r="BE499" s="3174">
        <f t="shared" si="303"/>
        <v>0</v>
      </c>
      <c r="BF499" s="3174">
        <f t="shared" si="304"/>
        <v>0</v>
      </c>
      <c r="BG499" s="3174">
        <f t="shared" si="305"/>
        <v>0</v>
      </c>
      <c r="BH499" s="3174">
        <f t="shared" si="306"/>
        <v>0</v>
      </c>
      <c r="BI499" s="3174">
        <f t="shared" si="307"/>
        <v>0</v>
      </c>
      <c r="BJ499" s="3174">
        <f t="shared" si="308"/>
        <v>0</v>
      </c>
      <c r="BK499" s="3174">
        <f t="shared" si="309"/>
        <v>0</v>
      </c>
      <c r="BL499" s="3174">
        <f t="shared" si="310"/>
        <v>0</v>
      </c>
      <c r="BM499" s="3174">
        <f t="shared" si="311"/>
        <v>0</v>
      </c>
      <c r="BN499" s="3174">
        <f t="shared" si="312"/>
        <v>0</v>
      </c>
      <c r="BO499" s="3174">
        <f t="shared" si="313"/>
        <v>0</v>
      </c>
      <c r="BP499" s="3174">
        <f t="shared" si="314"/>
        <v>0</v>
      </c>
      <c r="BQ499" s="3174">
        <f t="shared" si="315"/>
        <v>0</v>
      </c>
      <c r="BR499" s="3174">
        <f t="shared" si="316"/>
        <v>0</v>
      </c>
      <c r="BS499" s="3174">
        <f t="shared" si="317"/>
        <v>0</v>
      </c>
      <c r="BT499" s="3249">
        <f t="shared" si="318"/>
        <v>0</v>
      </c>
    </row>
    <row r="500" spans="1:72">
      <c r="A500" s="489"/>
      <c r="B500" s="3179"/>
      <c r="C500" s="3180"/>
      <c r="D500" s="3181"/>
      <c r="E500" s="3174">
        <f t="shared" si="319"/>
        <v>0</v>
      </c>
      <c r="F500" s="3175"/>
      <c r="G500" s="3176">
        <f t="shared" si="294"/>
        <v>0</v>
      </c>
      <c r="H500" s="3177">
        <f t="shared" si="295"/>
        <v>0</v>
      </c>
      <c r="I500" s="3180"/>
      <c r="J500" s="3200"/>
      <c r="K500" s="3180"/>
      <c r="L500" s="3200"/>
      <c r="M500" s="3200"/>
      <c r="N500" s="3200"/>
      <c r="O500" s="3200"/>
      <c r="P500" s="3200"/>
      <c r="Q500" s="3200"/>
      <c r="R500" s="3200"/>
      <c r="S500" s="3200"/>
      <c r="T500" s="3200"/>
      <c r="U500" s="3200"/>
      <c r="V500" s="3200"/>
      <c r="W500" s="3200"/>
      <c r="X500" s="3200"/>
      <c r="Y500" s="3200"/>
      <c r="Z500" s="3200"/>
      <c r="AA500" s="3200"/>
      <c r="AB500" s="3200"/>
      <c r="AC500" s="3174">
        <f t="shared" si="296"/>
        <v>0</v>
      </c>
      <c r="AD500" s="3212"/>
      <c r="AE500" s="3212"/>
      <c r="AF500" s="3180"/>
      <c r="AG500" s="3212"/>
      <c r="AH500" s="3212"/>
      <c r="AI500" s="3212"/>
      <c r="AJ500" s="3212"/>
      <c r="AK500" s="3212"/>
      <c r="AL500" s="3212"/>
      <c r="AM500" s="3212"/>
      <c r="AN500" s="3212"/>
      <c r="AO500" s="3212"/>
      <c r="AP500" s="3212"/>
      <c r="AQ500" s="3212"/>
      <c r="AR500" s="3212"/>
      <c r="AS500" s="3212"/>
      <c r="AT500" s="3175"/>
      <c r="AU500" s="3232"/>
      <c r="AV500" s="466">
        <f t="shared" si="320"/>
        <v>0</v>
      </c>
      <c r="AW500" s="466">
        <f t="shared" si="321"/>
        <v>0</v>
      </c>
      <c r="AX500" s="466">
        <f t="shared" si="322"/>
        <v>0</v>
      </c>
      <c r="AY500" s="385">
        <f t="shared" si="297"/>
        <v>0</v>
      </c>
      <c r="AZ500" s="3174">
        <f t="shared" si="298"/>
        <v>0</v>
      </c>
      <c r="BA500" s="3174">
        <f t="shared" si="299"/>
        <v>0</v>
      </c>
      <c r="BB500" s="3174">
        <f t="shared" si="300"/>
        <v>0</v>
      </c>
      <c r="BC500" s="3174">
        <f t="shared" si="301"/>
        <v>0</v>
      </c>
      <c r="BD500" s="3174">
        <f t="shared" si="302"/>
        <v>0</v>
      </c>
      <c r="BE500" s="3174">
        <f t="shared" si="303"/>
        <v>0</v>
      </c>
      <c r="BF500" s="3174">
        <f t="shared" si="304"/>
        <v>0</v>
      </c>
      <c r="BG500" s="3174">
        <f t="shared" si="305"/>
        <v>0</v>
      </c>
      <c r="BH500" s="3174">
        <f t="shared" si="306"/>
        <v>0</v>
      </c>
      <c r="BI500" s="3174">
        <f t="shared" si="307"/>
        <v>0</v>
      </c>
      <c r="BJ500" s="3174">
        <f t="shared" si="308"/>
        <v>0</v>
      </c>
      <c r="BK500" s="3174">
        <f t="shared" si="309"/>
        <v>0</v>
      </c>
      <c r="BL500" s="3174">
        <f t="shared" si="310"/>
        <v>0</v>
      </c>
      <c r="BM500" s="3174">
        <f t="shared" si="311"/>
        <v>0</v>
      </c>
      <c r="BN500" s="3174">
        <f t="shared" si="312"/>
        <v>0</v>
      </c>
      <c r="BO500" s="3174">
        <f t="shared" si="313"/>
        <v>0</v>
      </c>
      <c r="BP500" s="3174">
        <f t="shared" si="314"/>
        <v>0</v>
      </c>
      <c r="BQ500" s="3174">
        <f t="shared" si="315"/>
        <v>0</v>
      </c>
      <c r="BR500" s="3174">
        <f t="shared" si="316"/>
        <v>0</v>
      </c>
      <c r="BS500" s="3174">
        <f t="shared" si="317"/>
        <v>0</v>
      </c>
      <c r="BT500" s="3249">
        <f t="shared" si="318"/>
        <v>0</v>
      </c>
    </row>
    <row r="501" spans="1:72">
      <c r="A501" s="489"/>
      <c r="B501" s="3179"/>
      <c r="C501" s="3180"/>
      <c r="D501" s="3181"/>
      <c r="E501" s="3174">
        <f t="shared" si="319"/>
        <v>0</v>
      </c>
      <c r="F501" s="3175"/>
      <c r="G501" s="3176">
        <f t="shared" si="294"/>
        <v>0</v>
      </c>
      <c r="H501" s="3177">
        <f t="shared" si="295"/>
        <v>0</v>
      </c>
      <c r="I501" s="3180"/>
      <c r="J501" s="3200"/>
      <c r="K501" s="3180"/>
      <c r="L501" s="3200"/>
      <c r="M501" s="3200"/>
      <c r="N501" s="3200"/>
      <c r="O501" s="3200"/>
      <c r="P501" s="3200"/>
      <c r="Q501" s="3200"/>
      <c r="R501" s="3200"/>
      <c r="S501" s="3200"/>
      <c r="T501" s="3200"/>
      <c r="U501" s="3200"/>
      <c r="V501" s="3200"/>
      <c r="W501" s="3200"/>
      <c r="X501" s="3200"/>
      <c r="Y501" s="3200"/>
      <c r="Z501" s="3200"/>
      <c r="AA501" s="3200"/>
      <c r="AB501" s="3200"/>
      <c r="AC501" s="3174">
        <f t="shared" si="296"/>
        <v>0</v>
      </c>
      <c r="AD501" s="3212"/>
      <c r="AE501" s="3212"/>
      <c r="AF501" s="3180"/>
      <c r="AG501" s="3212"/>
      <c r="AH501" s="3212"/>
      <c r="AI501" s="3212"/>
      <c r="AJ501" s="3212"/>
      <c r="AK501" s="3212"/>
      <c r="AL501" s="3212"/>
      <c r="AM501" s="3212"/>
      <c r="AN501" s="3212"/>
      <c r="AO501" s="3212"/>
      <c r="AP501" s="3212"/>
      <c r="AQ501" s="3212"/>
      <c r="AR501" s="3212"/>
      <c r="AS501" s="3212"/>
      <c r="AT501" s="3175"/>
      <c r="AU501" s="3232"/>
      <c r="AV501" s="466">
        <f t="shared" si="320"/>
        <v>0</v>
      </c>
      <c r="AW501" s="466">
        <f t="shared" si="321"/>
        <v>0</v>
      </c>
      <c r="AX501" s="466">
        <f t="shared" si="322"/>
        <v>0</v>
      </c>
      <c r="AY501" s="385">
        <f t="shared" si="297"/>
        <v>0</v>
      </c>
      <c r="AZ501" s="3174">
        <f t="shared" si="298"/>
        <v>0</v>
      </c>
      <c r="BA501" s="3174">
        <f t="shared" si="299"/>
        <v>0</v>
      </c>
      <c r="BB501" s="3174">
        <f t="shared" si="300"/>
        <v>0</v>
      </c>
      <c r="BC501" s="3174">
        <f t="shared" si="301"/>
        <v>0</v>
      </c>
      <c r="BD501" s="3174">
        <f t="shared" si="302"/>
        <v>0</v>
      </c>
      <c r="BE501" s="3174">
        <f t="shared" si="303"/>
        <v>0</v>
      </c>
      <c r="BF501" s="3174">
        <f t="shared" si="304"/>
        <v>0</v>
      </c>
      <c r="BG501" s="3174">
        <f t="shared" si="305"/>
        <v>0</v>
      </c>
      <c r="BH501" s="3174">
        <f t="shared" si="306"/>
        <v>0</v>
      </c>
      <c r="BI501" s="3174">
        <f t="shared" si="307"/>
        <v>0</v>
      </c>
      <c r="BJ501" s="3174">
        <f t="shared" si="308"/>
        <v>0</v>
      </c>
      <c r="BK501" s="3174">
        <f t="shared" si="309"/>
        <v>0</v>
      </c>
      <c r="BL501" s="3174">
        <f t="shared" si="310"/>
        <v>0</v>
      </c>
      <c r="BM501" s="3174">
        <f t="shared" si="311"/>
        <v>0</v>
      </c>
      <c r="BN501" s="3174">
        <f t="shared" si="312"/>
        <v>0</v>
      </c>
      <c r="BO501" s="3174">
        <f t="shared" si="313"/>
        <v>0</v>
      </c>
      <c r="BP501" s="3174">
        <f t="shared" si="314"/>
        <v>0</v>
      </c>
      <c r="BQ501" s="3174">
        <f t="shared" si="315"/>
        <v>0</v>
      </c>
      <c r="BR501" s="3174">
        <f t="shared" si="316"/>
        <v>0</v>
      </c>
      <c r="BS501" s="3174">
        <f t="shared" si="317"/>
        <v>0</v>
      </c>
      <c r="BT501" s="3249">
        <f t="shared" si="318"/>
        <v>0</v>
      </c>
    </row>
    <row r="502" spans="1:72">
      <c r="A502" s="489"/>
      <c r="B502" s="3179"/>
      <c r="C502" s="3180"/>
      <c r="D502" s="3181"/>
      <c r="E502" s="3174">
        <f t="shared" si="319"/>
        <v>0</v>
      </c>
      <c r="F502" s="3175"/>
      <c r="G502" s="3176">
        <f t="shared" si="294"/>
        <v>0</v>
      </c>
      <c r="H502" s="3177">
        <f t="shared" si="295"/>
        <v>0</v>
      </c>
      <c r="I502" s="3180"/>
      <c r="J502" s="3200"/>
      <c r="K502" s="3180"/>
      <c r="L502" s="3200"/>
      <c r="M502" s="3200"/>
      <c r="N502" s="3200"/>
      <c r="O502" s="3200"/>
      <c r="P502" s="3200"/>
      <c r="Q502" s="3200"/>
      <c r="R502" s="3200"/>
      <c r="S502" s="3200"/>
      <c r="T502" s="3200"/>
      <c r="U502" s="3200"/>
      <c r="V502" s="3200"/>
      <c r="W502" s="3200"/>
      <c r="X502" s="3200"/>
      <c r="Y502" s="3200"/>
      <c r="Z502" s="3200"/>
      <c r="AA502" s="3200"/>
      <c r="AB502" s="3200"/>
      <c r="AC502" s="3174">
        <f t="shared" si="296"/>
        <v>0</v>
      </c>
      <c r="AD502" s="3212"/>
      <c r="AE502" s="3212"/>
      <c r="AF502" s="3180"/>
      <c r="AG502" s="3212"/>
      <c r="AH502" s="3212"/>
      <c r="AI502" s="3212"/>
      <c r="AJ502" s="3212"/>
      <c r="AK502" s="3212"/>
      <c r="AL502" s="3212"/>
      <c r="AM502" s="3212"/>
      <c r="AN502" s="3212"/>
      <c r="AO502" s="3212"/>
      <c r="AP502" s="3212"/>
      <c r="AQ502" s="3212"/>
      <c r="AR502" s="3212"/>
      <c r="AS502" s="3212"/>
      <c r="AT502" s="3175"/>
      <c r="AU502" s="3232"/>
      <c r="AV502" s="466">
        <f t="shared" si="320"/>
        <v>0</v>
      </c>
      <c r="AW502" s="466">
        <f t="shared" si="321"/>
        <v>0</v>
      </c>
      <c r="AX502" s="466">
        <f t="shared" si="322"/>
        <v>0</v>
      </c>
      <c r="AY502" s="385">
        <f t="shared" si="297"/>
        <v>0</v>
      </c>
      <c r="AZ502" s="3174">
        <f t="shared" si="298"/>
        <v>0</v>
      </c>
      <c r="BA502" s="3174">
        <f t="shared" si="299"/>
        <v>0</v>
      </c>
      <c r="BB502" s="3174">
        <f t="shared" si="300"/>
        <v>0</v>
      </c>
      <c r="BC502" s="3174">
        <f t="shared" si="301"/>
        <v>0</v>
      </c>
      <c r="BD502" s="3174">
        <f t="shared" si="302"/>
        <v>0</v>
      </c>
      <c r="BE502" s="3174">
        <f t="shared" si="303"/>
        <v>0</v>
      </c>
      <c r="BF502" s="3174">
        <f t="shared" si="304"/>
        <v>0</v>
      </c>
      <c r="BG502" s="3174">
        <f t="shared" si="305"/>
        <v>0</v>
      </c>
      <c r="BH502" s="3174">
        <f t="shared" si="306"/>
        <v>0</v>
      </c>
      <c r="BI502" s="3174">
        <f t="shared" si="307"/>
        <v>0</v>
      </c>
      <c r="BJ502" s="3174">
        <f t="shared" si="308"/>
        <v>0</v>
      </c>
      <c r="BK502" s="3174">
        <f t="shared" si="309"/>
        <v>0</v>
      </c>
      <c r="BL502" s="3174">
        <f t="shared" si="310"/>
        <v>0</v>
      </c>
      <c r="BM502" s="3174">
        <f t="shared" si="311"/>
        <v>0</v>
      </c>
      <c r="BN502" s="3174">
        <f t="shared" si="312"/>
        <v>0</v>
      </c>
      <c r="BO502" s="3174">
        <f t="shared" si="313"/>
        <v>0</v>
      </c>
      <c r="BP502" s="3174">
        <f t="shared" si="314"/>
        <v>0</v>
      </c>
      <c r="BQ502" s="3174">
        <f t="shared" si="315"/>
        <v>0</v>
      </c>
      <c r="BR502" s="3174">
        <f t="shared" si="316"/>
        <v>0</v>
      </c>
      <c r="BS502" s="3174">
        <f t="shared" si="317"/>
        <v>0</v>
      </c>
      <c r="BT502" s="3249">
        <f t="shared" si="318"/>
        <v>0</v>
      </c>
    </row>
    <row r="503" spans="1:72">
      <c r="A503" s="489"/>
      <c r="B503" s="3179"/>
      <c r="C503" s="3180"/>
      <c r="D503" s="3181"/>
      <c r="E503" s="3174">
        <f t="shared" si="319"/>
        <v>0</v>
      </c>
      <c r="F503" s="3175"/>
      <c r="G503" s="3176">
        <f t="shared" si="294"/>
        <v>0</v>
      </c>
      <c r="H503" s="3177">
        <f t="shared" si="295"/>
        <v>0</v>
      </c>
      <c r="I503" s="3180"/>
      <c r="J503" s="3200"/>
      <c r="K503" s="3180"/>
      <c r="L503" s="3200"/>
      <c r="M503" s="3200"/>
      <c r="N503" s="3200"/>
      <c r="O503" s="3200"/>
      <c r="P503" s="3200"/>
      <c r="Q503" s="3200"/>
      <c r="R503" s="3200"/>
      <c r="S503" s="3200"/>
      <c r="T503" s="3200"/>
      <c r="U503" s="3200"/>
      <c r="V503" s="3200"/>
      <c r="W503" s="3200"/>
      <c r="X503" s="3200"/>
      <c r="Y503" s="3200"/>
      <c r="Z503" s="3200"/>
      <c r="AA503" s="3200"/>
      <c r="AB503" s="3200"/>
      <c r="AC503" s="3174">
        <f t="shared" si="296"/>
        <v>0</v>
      </c>
      <c r="AD503" s="3212"/>
      <c r="AE503" s="3212"/>
      <c r="AF503" s="3180"/>
      <c r="AG503" s="3212"/>
      <c r="AH503" s="3212"/>
      <c r="AI503" s="3212"/>
      <c r="AJ503" s="3212"/>
      <c r="AK503" s="3212"/>
      <c r="AL503" s="3212"/>
      <c r="AM503" s="3212"/>
      <c r="AN503" s="3212"/>
      <c r="AO503" s="3212"/>
      <c r="AP503" s="3212"/>
      <c r="AQ503" s="3212"/>
      <c r="AR503" s="3212"/>
      <c r="AS503" s="3212"/>
      <c r="AT503" s="3175"/>
      <c r="AU503" s="3232"/>
      <c r="AV503" s="466">
        <f t="shared" si="320"/>
        <v>0</v>
      </c>
      <c r="AW503" s="466">
        <f t="shared" si="321"/>
        <v>0</v>
      </c>
      <c r="AX503" s="466">
        <f t="shared" si="322"/>
        <v>0</v>
      </c>
      <c r="AY503" s="385">
        <f t="shared" si="297"/>
        <v>0</v>
      </c>
      <c r="AZ503" s="3174">
        <f t="shared" si="298"/>
        <v>0</v>
      </c>
      <c r="BA503" s="3174">
        <f t="shared" si="299"/>
        <v>0</v>
      </c>
      <c r="BB503" s="3174">
        <f t="shared" si="300"/>
        <v>0</v>
      </c>
      <c r="BC503" s="3174">
        <f t="shared" si="301"/>
        <v>0</v>
      </c>
      <c r="BD503" s="3174">
        <f t="shared" si="302"/>
        <v>0</v>
      </c>
      <c r="BE503" s="3174">
        <f t="shared" si="303"/>
        <v>0</v>
      </c>
      <c r="BF503" s="3174">
        <f t="shared" si="304"/>
        <v>0</v>
      </c>
      <c r="BG503" s="3174">
        <f t="shared" si="305"/>
        <v>0</v>
      </c>
      <c r="BH503" s="3174">
        <f t="shared" si="306"/>
        <v>0</v>
      </c>
      <c r="BI503" s="3174">
        <f t="shared" si="307"/>
        <v>0</v>
      </c>
      <c r="BJ503" s="3174">
        <f t="shared" si="308"/>
        <v>0</v>
      </c>
      <c r="BK503" s="3174">
        <f t="shared" si="309"/>
        <v>0</v>
      </c>
      <c r="BL503" s="3174">
        <f t="shared" si="310"/>
        <v>0</v>
      </c>
      <c r="BM503" s="3174">
        <f t="shared" si="311"/>
        <v>0</v>
      </c>
      <c r="BN503" s="3174">
        <f t="shared" si="312"/>
        <v>0</v>
      </c>
      <c r="BO503" s="3174">
        <f t="shared" si="313"/>
        <v>0</v>
      </c>
      <c r="BP503" s="3174">
        <f t="shared" si="314"/>
        <v>0</v>
      </c>
      <c r="BQ503" s="3174">
        <f t="shared" si="315"/>
        <v>0</v>
      </c>
      <c r="BR503" s="3174">
        <f t="shared" si="316"/>
        <v>0</v>
      </c>
      <c r="BS503" s="3174">
        <f t="shared" si="317"/>
        <v>0</v>
      </c>
      <c r="BT503" s="3249">
        <f t="shared" si="318"/>
        <v>0</v>
      </c>
    </row>
    <row r="504" spans="1:72">
      <c r="A504" s="489"/>
      <c r="B504" s="3179"/>
      <c r="C504" s="3180"/>
      <c r="D504" s="3181"/>
      <c r="E504" s="3174">
        <f t="shared" si="319"/>
        <v>0</v>
      </c>
      <c r="F504" s="3175"/>
      <c r="G504" s="3176">
        <f t="shared" si="294"/>
        <v>0</v>
      </c>
      <c r="H504" s="3177">
        <f t="shared" si="295"/>
        <v>0</v>
      </c>
      <c r="I504" s="3180"/>
      <c r="J504" s="3200"/>
      <c r="K504" s="3180"/>
      <c r="L504" s="3200"/>
      <c r="M504" s="3200"/>
      <c r="N504" s="3200"/>
      <c r="O504" s="3200"/>
      <c r="P504" s="3200"/>
      <c r="Q504" s="3200"/>
      <c r="R504" s="3200"/>
      <c r="S504" s="3200"/>
      <c r="T504" s="3200"/>
      <c r="U504" s="3200"/>
      <c r="V504" s="3200"/>
      <c r="W504" s="3200"/>
      <c r="X504" s="3200"/>
      <c r="Y504" s="3200"/>
      <c r="Z504" s="3200"/>
      <c r="AA504" s="3200"/>
      <c r="AB504" s="3200"/>
      <c r="AC504" s="3174">
        <f t="shared" si="296"/>
        <v>0</v>
      </c>
      <c r="AD504" s="3212"/>
      <c r="AE504" s="3212"/>
      <c r="AF504" s="3180"/>
      <c r="AG504" s="3212"/>
      <c r="AH504" s="3212"/>
      <c r="AI504" s="3212"/>
      <c r="AJ504" s="3212"/>
      <c r="AK504" s="3212"/>
      <c r="AL504" s="3212"/>
      <c r="AM504" s="3212"/>
      <c r="AN504" s="3212"/>
      <c r="AO504" s="3212"/>
      <c r="AP504" s="3212"/>
      <c r="AQ504" s="3212"/>
      <c r="AR504" s="3212"/>
      <c r="AS504" s="3212"/>
      <c r="AT504" s="3175"/>
      <c r="AU504" s="3232"/>
      <c r="AV504" s="466">
        <f t="shared" si="320"/>
        <v>0</v>
      </c>
      <c r="AW504" s="466">
        <f t="shared" si="321"/>
        <v>0</v>
      </c>
      <c r="AX504" s="466">
        <f t="shared" si="322"/>
        <v>0</v>
      </c>
      <c r="AY504" s="385">
        <f t="shared" si="297"/>
        <v>0</v>
      </c>
      <c r="AZ504" s="3174">
        <f t="shared" si="298"/>
        <v>0</v>
      </c>
      <c r="BA504" s="3174">
        <f t="shared" si="299"/>
        <v>0</v>
      </c>
      <c r="BB504" s="3174">
        <f t="shared" si="300"/>
        <v>0</v>
      </c>
      <c r="BC504" s="3174">
        <f t="shared" si="301"/>
        <v>0</v>
      </c>
      <c r="BD504" s="3174">
        <f t="shared" si="302"/>
        <v>0</v>
      </c>
      <c r="BE504" s="3174">
        <f t="shared" si="303"/>
        <v>0</v>
      </c>
      <c r="BF504" s="3174">
        <f t="shared" si="304"/>
        <v>0</v>
      </c>
      <c r="BG504" s="3174">
        <f t="shared" si="305"/>
        <v>0</v>
      </c>
      <c r="BH504" s="3174">
        <f t="shared" si="306"/>
        <v>0</v>
      </c>
      <c r="BI504" s="3174">
        <f t="shared" si="307"/>
        <v>0</v>
      </c>
      <c r="BJ504" s="3174">
        <f t="shared" si="308"/>
        <v>0</v>
      </c>
      <c r="BK504" s="3174">
        <f t="shared" si="309"/>
        <v>0</v>
      </c>
      <c r="BL504" s="3174">
        <f t="shared" si="310"/>
        <v>0</v>
      </c>
      <c r="BM504" s="3174">
        <f t="shared" si="311"/>
        <v>0</v>
      </c>
      <c r="BN504" s="3174">
        <f t="shared" si="312"/>
        <v>0</v>
      </c>
      <c r="BO504" s="3174">
        <f t="shared" si="313"/>
        <v>0</v>
      </c>
      <c r="BP504" s="3174">
        <f t="shared" si="314"/>
        <v>0</v>
      </c>
      <c r="BQ504" s="3174">
        <f t="shared" si="315"/>
        <v>0</v>
      </c>
      <c r="BR504" s="3174">
        <f t="shared" si="316"/>
        <v>0</v>
      </c>
      <c r="BS504" s="3174">
        <f t="shared" si="317"/>
        <v>0</v>
      </c>
      <c r="BT504" s="3249">
        <f t="shared" si="318"/>
        <v>0</v>
      </c>
    </row>
    <row r="505" spans="1:72">
      <c r="A505" s="489"/>
      <c r="B505" s="3179"/>
      <c r="C505" s="3180"/>
      <c r="D505" s="3181"/>
      <c r="E505" s="3174">
        <f t="shared" ref="E505:E536" si="323">IF($C$3="是",ROUND($A$3*G505/$B$3,2),ROUND($A$3*(G505-AT505)/$B$3,2))</f>
        <v>0</v>
      </c>
      <c r="F505" s="3175"/>
      <c r="G505" s="3176">
        <f t="shared" si="294"/>
        <v>0</v>
      </c>
      <c r="H505" s="3177">
        <f t="shared" si="295"/>
        <v>0</v>
      </c>
      <c r="I505" s="3180"/>
      <c r="J505" s="3200"/>
      <c r="K505" s="3180"/>
      <c r="L505" s="3200"/>
      <c r="M505" s="3200"/>
      <c r="N505" s="3200"/>
      <c r="O505" s="3200"/>
      <c r="P505" s="3200"/>
      <c r="Q505" s="3200"/>
      <c r="R505" s="3200"/>
      <c r="S505" s="3200"/>
      <c r="T505" s="3200"/>
      <c r="U505" s="3200"/>
      <c r="V505" s="3200"/>
      <c r="W505" s="3200"/>
      <c r="X505" s="3200"/>
      <c r="Y505" s="3200"/>
      <c r="Z505" s="3200"/>
      <c r="AA505" s="3200"/>
      <c r="AB505" s="3200"/>
      <c r="AC505" s="3174">
        <f t="shared" si="296"/>
        <v>0</v>
      </c>
      <c r="AD505" s="3212"/>
      <c r="AE505" s="3212"/>
      <c r="AF505" s="3180"/>
      <c r="AG505" s="3212"/>
      <c r="AH505" s="3212"/>
      <c r="AI505" s="3212"/>
      <c r="AJ505" s="3212"/>
      <c r="AK505" s="3212"/>
      <c r="AL505" s="3212"/>
      <c r="AM505" s="3212"/>
      <c r="AN505" s="3212"/>
      <c r="AO505" s="3212"/>
      <c r="AP505" s="3212"/>
      <c r="AQ505" s="3212"/>
      <c r="AR505" s="3212"/>
      <c r="AS505" s="3212"/>
      <c r="AT505" s="3175"/>
      <c r="AU505" s="3232"/>
      <c r="AV505" s="466">
        <f t="shared" si="320"/>
        <v>0</v>
      </c>
      <c r="AW505" s="466">
        <f t="shared" si="321"/>
        <v>0</v>
      </c>
      <c r="AX505" s="466">
        <f t="shared" si="322"/>
        <v>0</v>
      </c>
      <c r="AY505" s="385">
        <f t="shared" si="297"/>
        <v>0</v>
      </c>
      <c r="AZ505" s="3174">
        <f t="shared" si="298"/>
        <v>0</v>
      </c>
      <c r="BA505" s="3174">
        <f t="shared" si="299"/>
        <v>0</v>
      </c>
      <c r="BB505" s="3174">
        <f t="shared" si="300"/>
        <v>0</v>
      </c>
      <c r="BC505" s="3174">
        <f t="shared" si="301"/>
        <v>0</v>
      </c>
      <c r="BD505" s="3174">
        <f t="shared" si="302"/>
        <v>0</v>
      </c>
      <c r="BE505" s="3174">
        <f t="shared" si="303"/>
        <v>0</v>
      </c>
      <c r="BF505" s="3174">
        <f t="shared" si="304"/>
        <v>0</v>
      </c>
      <c r="BG505" s="3174">
        <f t="shared" si="305"/>
        <v>0</v>
      </c>
      <c r="BH505" s="3174">
        <f t="shared" si="306"/>
        <v>0</v>
      </c>
      <c r="BI505" s="3174">
        <f t="shared" si="307"/>
        <v>0</v>
      </c>
      <c r="BJ505" s="3174">
        <f t="shared" si="308"/>
        <v>0</v>
      </c>
      <c r="BK505" s="3174">
        <f t="shared" si="309"/>
        <v>0</v>
      </c>
      <c r="BL505" s="3174">
        <f t="shared" si="310"/>
        <v>0</v>
      </c>
      <c r="BM505" s="3174">
        <f t="shared" si="311"/>
        <v>0</v>
      </c>
      <c r="BN505" s="3174">
        <f t="shared" si="312"/>
        <v>0</v>
      </c>
      <c r="BO505" s="3174">
        <f t="shared" si="313"/>
        <v>0</v>
      </c>
      <c r="BP505" s="3174">
        <f t="shared" si="314"/>
        <v>0</v>
      </c>
      <c r="BQ505" s="3174">
        <f t="shared" si="315"/>
        <v>0</v>
      </c>
      <c r="BR505" s="3174">
        <f t="shared" si="316"/>
        <v>0</v>
      </c>
      <c r="BS505" s="3174">
        <f t="shared" si="317"/>
        <v>0</v>
      </c>
      <c r="BT505" s="3249">
        <f t="shared" si="318"/>
        <v>0</v>
      </c>
    </row>
    <row r="506" spans="1:72">
      <c r="A506" s="489"/>
      <c r="B506" s="3179"/>
      <c r="C506" s="3180"/>
      <c r="D506" s="3181"/>
      <c r="E506" s="3174">
        <f t="shared" si="323"/>
        <v>0</v>
      </c>
      <c r="F506" s="3175"/>
      <c r="G506" s="3176">
        <f t="shared" si="294"/>
        <v>0</v>
      </c>
      <c r="H506" s="3177">
        <f t="shared" si="295"/>
        <v>0</v>
      </c>
      <c r="I506" s="3180"/>
      <c r="J506" s="3200"/>
      <c r="K506" s="3180"/>
      <c r="L506" s="3200"/>
      <c r="M506" s="3200"/>
      <c r="N506" s="3200"/>
      <c r="O506" s="3200"/>
      <c r="P506" s="3200"/>
      <c r="Q506" s="3200"/>
      <c r="R506" s="3200"/>
      <c r="S506" s="3200"/>
      <c r="T506" s="3200"/>
      <c r="U506" s="3200"/>
      <c r="V506" s="3200"/>
      <c r="W506" s="3200"/>
      <c r="X506" s="3200"/>
      <c r="Y506" s="3200"/>
      <c r="Z506" s="3200"/>
      <c r="AA506" s="3200"/>
      <c r="AB506" s="3200"/>
      <c r="AC506" s="3174">
        <f t="shared" si="296"/>
        <v>0</v>
      </c>
      <c r="AD506" s="3212"/>
      <c r="AE506" s="3212"/>
      <c r="AF506" s="3180"/>
      <c r="AG506" s="3212"/>
      <c r="AH506" s="3212"/>
      <c r="AI506" s="3212"/>
      <c r="AJ506" s="3212"/>
      <c r="AK506" s="3212"/>
      <c r="AL506" s="3212"/>
      <c r="AM506" s="3212"/>
      <c r="AN506" s="3212"/>
      <c r="AO506" s="3212"/>
      <c r="AP506" s="3212"/>
      <c r="AQ506" s="3212"/>
      <c r="AR506" s="3212"/>
      <c r="AS506" s="3212"/>
      <c r="AT506" s="3175"/>
      <c r="AU506" s="3232"/>
      <c r="AV506" s="466">
        <f t="shared" ref="AV506:AV537" si="324">A506</f>
        <v>0</v>
      </c>
      <c r="AW506" s="466">
        <f t="shared" ref="AW506:AW537" si="325">B506</f>
        <v>0</v>
      </c>
      <c r="AX506" s="466">
        <f t="shared" ref="AX506:AX537" si="326">C506</f>
        <v>0</v>
      </c>
      <c r="AY506" s="385">
        <f t="shared" si="297"/>
        <v>0</v>
      </c>
      <c r="AZ506" s="3174">
        <f t="shared" si="298"/>
        <v>0</v>
      </c>
      <c r="BA506" s="3174">
        <f t="shared" si="299"/>
        <v>0</v>
      </c>
      <c r="BB506" s="3174">
        <f t="shared" si="300"/>
        <v>0</v>
      </c>
      <c r="BC506" s="3174">
        <f t="shared" si="301"/>
        <v>0</v>
      </c>
      <c r="BD506" s="3174">
        <f t="shared" si="302"/>
        <v>0</v>
      </c>
      <c r="BE506" s="3174">
        <f t="shared" si="303"/>
        <v>0</v>
      </c>
      <c r="BF506" s="3174">
        <f t="shared" si="304"/>
        <v>0</v>
      </c>
      <c r="BG506" s="3174">
        <f t="shared" si="305"/>
        <v>0</v>
      </c>
      <c r="BH506" s="3174">
        <f t="shared" si="306"/>
        <v>0</v>
      </c>
      <c r="BI506" s="3174">
        <f t="shared" si="307"/>
        <v>0</v>
      </c>
      <c r="BJ506" s="3174">
        <f t="shared" si="308"/>
        <v>0</v>
      </c>
      <c r="BK506" s="3174">
        <f t="shared" si="309"/>
        <v>0</v>
      </c>
      <c r="BL506" s="3174">
        <f t="shared" si="310"/>
        <v>0</v>
      </c>
      <c r="BM506" s="3174">
        <f t="shared" si="311"/>
        <v>0</v>
      </c>
      <c r="BN506" s="3174">
        <f t="shared" si="312"/>
        <v>0</v>
      </c>
      <c r="BO506" s="3174">
        <f t="shared" si="313"/>
        <v>0</v>
      </c>
      <c r="BP506" s="3174">
        <f t="shared" si="314"/>
        <v>0</v>
      </c>
      <c r="BQ506" s="3174">
        <f t="shared" si="315"/>
        <v>0</v>
      </c>
      <c r="BR506" s="3174">
        <f t="shared" si="316"/>
        <v>0</v>
      </c>
      <c r="BS506" s="3174">
        <f t="shared" si="317"/>
        <v>0</v>
      </c>
      <c r="BT506" s="3249">
        <f t="shared" si="318"/>
        <v>0</v>
      </c>
    </row>
    <row r="507" spans="1:72">
      <c r="A507" s="489"/>
      <c r="B507" s="3179"/>
      <c r="C507" s="3180"/>
      <c r="D507" s="3181"/>
      <c r="E507" s="3174">
        <f t="shared" si="323"/>
        <v>0</v>
      </c>
      <c r="F507" s="3175"/>
      <c r="G507" s="3176">
        <f t="shared" si="294"/>
        <v>0</v>
      </c>
      <c r="H507" s="3177">
        <f t="shared" si="295"/>
        <v>0</v>
      </c>
      <c r="I507" s="3180"/>
      <c r="J507" s="3200"/>
      <c r="K507" s="3180"/>
      <c r="L507" s="3200"/>
      <c r="M507" s="3200"/>
      <c r="N507" s="3200"/>
      <c r="O507" s="3200"/>
      <c r="P507" s="3200"/>
      <c r="Q507" s="3200"/>
      <c r="R507" s="3200"/>
      <c r="S507" s="3200"/>
      <c r="T507" s="3200"/>
      <c r="U507" s="3200"/>
      <c r="V507" s="3200"/>
      <c r="W507" s="3200"/>
      <c r="X507" s="3200"/>
      <c r="Y507" s="3200"/>
      <c r="Z507" s="3200"/>
      <c r="AA507" s="3200"/>
      <c r="AB507" s="3200"/>
      <c r="AC507" s="3174">
        <f t="shared" si="296"/>
        <v>0</v>
      </c>
      <c r="AD507" s="3212"/>
      <c r="AE507" s="3212"/>
      <c r="AF507" s="3180"/>
      <c r="AG507" s="3212"/>
      <c r="AH507" s="3212"/>
      <c r="AI507" s="3212"/>
      <c r="AJ507" s="3212"/>
      <c r="AK507" s="3212"/>
      <c r="AL507" s="3212"/>
      <c r="AM507" s="3212"/>
      <c r="AN507" s="3212"/>
      <c r="AO507" s="3212"/>
      <c r="AP507" s="3212"/>
      <c r="AQ507" s="3212"/>
      <c r="AR507" s="3212"/>
      <c r="AS507" s="3212"/>
      <c r="AT507" s="3175"/>
      <c r="AU507" s="3232"/>
      <c r="AV507" s="466">
        <f t="shared" si="324"/>
        <v>0</v>
      </c>
      <c r="AW507" s="466">
        <f t="shared" si="325"/>
        <v>0</v>
      </c>
      <c r="AX507" s="466">
        <f t="shared" si="326"/>
        <v>0</v>
      </c>
      <c r="AY507" s="385">
        <f t="shared" si="297"/>
        <v>0</v>
      </c>
      <c r="AZ507" s="3174">
        <f t="shared" si="298"/>
        <v>0</v>
      </c>
      <c r="BA507" s="3174">
        <f t="shared" si="299"/>
        <v>0</v>
      </c>
      <c r="BB507" s="3174">
        <f t="shared" si="300"/>
        <v>0</v>
      </c>
      <c r="BC507" s="3174">
        <f t="shared" si="301"/>
        <v>0</v>
      </c>
      <c r="BD507" s="3174">
        <f t="shared" si="302"/>
        <v>0</v>
      </c>
      <c r="BE507" s="3174">
        <f t="shared" si="303"/>
        <v>0</v>
      </c>
      <c r="BF507" s="3174">
        <f t="shared" si="304"/>
        <v>0</v>
      </c>
      <c r="BG507" s="3174">
        <f t="shared" si="305"/>
        <v>0</v>
      </c>
      <c r="BH507" s="3174">
        <f t="shared" si="306"/>
        <v>0</v>
      </c>
      <c r="BI507" s="3174">
        <f t="shared" si="307"/>
        <v>0</v>
      </c>
      <c r="BJ507" s="3174">
        <f t="shared" si="308"/>
        <v>0</v>
      </c>
      <c r="BK507" s="3174">
        <f t="shared" si="309"/>
        <v>0</v>
      </c>
      <c r="BL507" s="3174">
        <f t="shared" si="310"/>
        <v>0</v>
      </c>
      <c r="BM507" s="3174">
        <f t="shared" si="311"/>
        <v>0</v>
      </c>
      <c r="BN507" s="3174">
        <f t="shared" si="312"/>
        <v>0</v>
      </c>
      <c r="BO507" s="3174">
        <f t="shared" si="313"/>
        <v>0</v>
      </c>
      <c r="BP507" s="3174">
        <f t="shared" si="314"/>
        <v>0</v>
      </c>
      <c r="BQ507" s="3174">
        <f t="shared" si="315"/>
        <v>0</v>
      </c>
      <c r="BR507" s="3174">
        <f t="shared" si="316"/>
        <v>0</v>
      </c>
      <c r="BS507" s="3174">
        <f t="shared" si="317"/>
        <v>0</v>
      </c>
      <c r="BT507" s="3249">
        <f t="shared" si="318"/>
        <v>0</v>
      </c>
    </row>
    <row r="508" spans="1:72">
      <c r="A508" s="489"/>
      <c r="B508" s="3179"/>
      <c r="C508" s="3180"/>
      <c r="D508" s="3181"/>
      <c r="E508" s="3174">
        <f t="shared" si="323"/>
        <v>0</v>
      </c>
      <c r="F508" s="3175"/>
      <c r="G508" s="3176">
        <f t="shared" si="294"/>
        <v>0</v>
      </c>
      <c r="H508" s="3177">
        <f t="shared" si="295"/>
        <v>0</v>
      </c>
      <c r="I508" s="3180"/>
      <c r="J508" s="3200"/>
      <c r="K508" s="3180"/>
      <c r="L508" s="3200"/>
      <c r="M508" s="3200"/>
      <c r="N508" s="3200"/>
      <c r="O508" s="3200"/>
      <c r="P508" s="3200"/>
      <c r="Q508" s="3200"/>
      <c r="R508" s="3200"/>
      <c r="S508" s="3200"/>
      <c r="T508" s="3200"/>
      <c r="U508" s="3200"/>
      <c r="V508" s="3200"/>
      <c r="W508" s="3200"/>
      <c r="X508" s="3200"/>
      <c r="Y508" s="3200"/>
      <c r="Z508" s="3200"/>
      <c r="AA508" s="3200"/>
      <c r="AB508" s="3200"/>
      <c r="AC508" s="3174">
        <f t="shared" si="296"/>
        <v>0</v>
      </c>
      <c r="AD508" s="3212"/>
      <c r="AE508" s="3212"/>
      <c r="AF508" s="3180"/>
      <c r="AG508" s="3212"/>
      <c r="AH508" s="3212"/>
      <c r="AI508" s="3212"/>
      <c r="AJ508" s="3212"/>
      <c r="AK508" s="3212"/>
      <c r="AL508" s="3212"/>
      <c r="AM508" s="3212"/>
      <c r="AN508" s="3212"/>
      <c r="AO508" s="3212"/>
      <c r="AP508" s="3212"/>
      <c r="AQ508" s="3212"/>
      <c r="AR508" s="3212"/>
      <c r="AS508" s="3212"/>
      <c r="AT508" s="3175"/>
      <c r="AU508" s="3232"/>
      <c r="AV508" s="466">
        <f t="shared" si="324"/>
        <v>0</v>
      </c>
      <c r="AW508" s="466">
        <f t="shared" si="325"/>
        <v>0</v>
      </c>
      <c r="AX508" s="466">
        <f t="shared" si="326"/>
        <v>0</v>
      </c>
      <c r="AY508" s="385">
        <f t="shared" si="297"/>
        <v>0</v>
      </c>
      <c r="AZ508" s="3174">
        <f t="shared" si="298"/>
        <v>0</v>
      </c>
      <c r="BA508" s="3174">
        <f t="shared" si="299"/>
        <v>0</v>
      </c>
      <c r="BB508" s="3174">
        <f t="shared" si="300"/>
        <v>0</v>
      </c>
      <c r="BC508" s="3174">
        <f t="shared" si="301"/>
        <v>0</v>
      </c>
      <c r="BD508" s="3174">
        <f t="shared" si="302"/>
        <v>0</v>
      </c>
      <c r="BE508" s="3174">
        <f t="shared" si="303"/>
        <v>0</v>
      </c>
      <c r="BF508" s="3174">
        <f t="shared" si="304"/>
        <v>0</v>
      </c>
      <c r="BG508" s="3174">
        <f t="shared" si="305"/>
        <v>0</v>
      </c>
      <c r="BH508" s="3174">
        <f t="shared" si="306"/>
        <v>0</v>
      </c>
      <c r="BI508" s="3174">
        <f t="shared" si="307"/>
        <v>0</v>
      </c>
      <c r="BJ508" s="3174">
        <f t="shared" si="308"/>
        <v>0</v>
      </c>
      <c r="BK508" s="3174">
        <f t="shared" si="309"/>
        <v>0</v>
      </c>
      <c r="BL508" s="3174">
        <f t="shared" si="310"/>
        <v>0</v>
      </c>
      <c r="BM508" s="3174">
        <f t="shared" si="311"/>
        <v>0</v>
      </c>
      <c r="BN508" s="3174">
        <f t="shared" si="312"/>
        <v>0</v>
      </c>
      <c r="BO508" s="3174">
        <f t="shared" si="313"/>
        <v>0</v>
      </c>
      <c r="BP508" s="3174">
        <f t="shared" si="314"/>
        <v>0</v>
      </c>
      <c r="BQ508" s="3174">
        <f t="shared" si="315"/>
        <v>0</v>
      </c>
      <c r="BR508" s="3174">
        <f t="shared" si="316"/>
        <v>0</v>
      </c>
      <c r="BS508" s="3174">
        <f t="shared" si="317"/>
        <v>0</v>
      </c>
      <c r="BT508" s="3249">
        <f t="shared" si="318"/>
        <v>0</v>
      </c>
    </row>
    <row r="509" spans="1:72">
      <c r="A509" s="489"/>
      <c r="B509" s="3179"/>
      <c r="C509" s="3180"/>
      <c r="D509" s="3181"/>
      <c r="E509" s="3174">
        <f t="shared" si="323"/>
        <v>0</v>
      </c>
      <c r="F509" s="3175"/>
      <c r="G509" s="3176">
        <f t="shared" si="294"/>
        <v>0</v>
      </c>
      <c r="H509" s="3177">
        <f t="shared" si="295"/>
        <v>0</v>
      </c>
      <c r="I509" s="3180"/>
      <c r="J509" s="3200"/>
      <c r="K509" s="3180"/>
      <c r="L509" s="3200"/>
      <c r="M509" s="3200"/>
      <c r="N509" s="3200"/>
      <c r="O509" s="3200"/>
      <c r="P509" s="3200"/>
      <c r="Q509" s="3200"/>
      <c r="R509" s="3200"/>
      <c r="S509" s="3200"/>
      <c r="T509" s="3200"/>
      <c r="U509" s="3200"/>
      <c r="V509" s="3200"/>
      <c r="W509" s="3200"/>
      <c r="X509" s="3200"/>
      <c r="Y509" s="3200"/>
      <c r="Z509" s="3200"/>
      <c r="AA509" s="3200"/>
      <c r="AB509" s="3200"/>
      <c r="AC509" s="3174">
        <f t="shared" si="296"/>
        <v>0</v>
      </c>
      <c r="AD509" s="3212"/>
      <c r="AE509" s="3212"/>
      <c r="AF509" s="3180"/>
      <c r="AG509" s="3212"/>
      <c r="AH509" s="3212"/>
      <c r="AI509" s="3212"/>
      <c r="AJ509" s="3212"/>
      <c r="AK509" s="3212"/>
      <c r="AL509" s="3212"/>
      <c r="AM509" s="3212"/>
      <c r="AN509" s="3212"/>
      <c r="AO509" s="3212"/>
      <c r="AP509" s="3212"/>
      <c r="AQ509" s="3212"/>
      <c r="AR509" s="3212"/>
      <c r="AS509" s="3212"/>
      <c r="AT509" s="3175"/>
      <c r="AU509" s="3232"/>
      <c r="AV509" s="466">
        <f t="shared" si="324"/>
        <v>0</v>
      </c>
      <c r="AW509" s="466">
        <f t="shared" si="325"/>
        <v>0</v>
      </c>
      <c r="AX509" s="466">
        <f t="shared" si="326"/>
        <v>0</v>
      </c>
      <c r="AY509" s="385">
        <f t="shared" si="297"/>
        <v>0</v>
      </c>
      <c r="AZ509" s="3174">
        <f t="shared" si="298"/>
        <v>0</v>
      </c>
      <c r="BA509" s="3174">
        <f t="shared" si="299"/>
        <v>0</v>
      </c>
      <c r="BB509" s="3174">
        <f t="shared" si="300"/>
        <v>0</v>
      </c>
      <c r="BC509" s="3174">
        <f t="shared" si="301"/>
        <v>0</v>
      </c>
      <c r="BD509" s="3174">
        <f t="shared" si="302"/>
        <v>0</v>
      </c>
      <c r="BE509" s="3174">
        <f t="shared" si="303"/>
        <v>0</v>
      </c>
      <c r="BF509" s="3174">
        <f t="shared" si="304"/>
        <v>0</v>
      </c>
      <c r="BG509" s="3174">
        <f t="shared" si="305"/>
        <v>0</v>
      </c>
      <c r="BH509" s="3174">
        <f t="shared" si="306"/>
        <v>0</v>
      </c>
      <c r="BI509" s="3174">
        <f t="shared" si="307"/>
        <v>0</v>
      </c>
      <c r="BJ509" s="3174">
        <f t="shared" si="308"/>
        <v>0</v>
      </c>
      <c r="BK509" s="3174">
        <f t="shared" si="309"/>
        <v>0</v>
      </c>
      <c r="BL509" s="3174">
        <f t="shared" si="310"/>
        <v>0</v>
      </c>
      <c r="BM509" s="3174">
        <f t="shared" si="311"/>
        <v>0</v>
      </c>
      <c r="BN509" s="3174">
        <f t="shared" si="312"/>
        <v>0</v>
      </c>
      <c r="BO509" s="3174">
        <f t="shared" si="313"/>
        <v>0</v>
      </c>
      <c r="BP509" s="3174">
        <f t="shared" si="314"/>
        <v>0</v>
      </c>
      <c r="BQ509" s="3174">
        <f t="shared" si="315"/>
        <v>0</v>
      </c>
      <c r="BR509" s="3174">
        <f t="shared" si="316"/>
        <v>0</v>
      </c>
      <c r="BS509" s="3174">
        <f t="shared" si="317"/>
        <v>0</v>
      </c>
      <c r="BT509" s="3249">
        <f t="shared" si="318"/>
        <v>0</v>
      </c>
    </row>
    <row r="510" spans="1:72">
      <c r="A510" s="489"/>
      <c r="B510" s="3179"/>
      <c r="C510" s="3180"/>
      <c r="D510" s="3181"/>
      <c r="E510" s="3174">
        <f t="shared" si="323"/>
        <v>0</v>
      </c>
      <c r="F510" s="3175"/>
      <c r="G510" s="3176">
        <f t="shared" ref="G510:G537" si="327">H510+AC510+AT510</f>
        <v>0</v>
      </c>
      <c r="H510" s="3177">
        <f t="shared" ref="H510:H537" si="328">SUMIF(I$12:AB$12,"总值",I510:AB510)</f>
        <v>0</v>
      </c>
      <c r="I510" s="3180"/>
      <c r="J510" s="3200"/>
      <c r="K510" s="3180"/>
      <c r="L510" s="3200"/>
      <c r="M510" s="3200"/>
      <c r="N510" s="3200"/>
      <c r="O510" s="3200"/>
      <c r="P510" s="3200"/>
      <c r="Q510" s="3200"/>
      <c r="R510" s="3200"/>
      <c r="S510" s="3200"/>
      <c r="T510" s="3200"/>
      <c r="U510" s="3200"/>
      <c r="V510" s="3200"/>
      <c r="W510" s="3200"/>
      <c r="X510" s="3200"/>
      <c r="Y510" s="3200"/>
      <c r="Z510" s="3200"/>
      <c r="AA510" s="3200"/>
      <c r="AB510" s="3200"/>
      <c r="AC510" s="3174">
        <f t="shared" ref="AC510:AC537" si="329">SUMIF(AD$12:AS$12,"总值",AD510:AS510)</f>
        <v>0</v>
      </c>
      <c r="AD510" s="3212"/>
      <c r="AE510" s="3212"/>
      <c r="AF510" s="3180"/>
      <c r="AG510" s="3212"/>
      <c r="AH510" s="3212"/>
      <c r="AI510" s="3212"/>
      <c r="AJ510" s="3212"/>
      <c r="AK510" s="3212"/>
      <c r="AL510" s="3212"/>
      <c r="AM510" s="3212"/>
      <c r="AN510" s="3212"/>
      <c r="AO510" s="3212"/>
      <c r="AP510" s="3212"/>
      <c r="AQ510" s="3212"/>
      <c r="AR510" s="3212"/>
      <c r="AS510" s="3212"/>
      <c r="AT510" s="3175"/>
      <c r="AU510" s="3232"/>
      <c r="AV510" s="466">
        <f t="shared" si="324"/>
        <v>0</v>
      </c>
      <c r="AW510" s="466">
        <f t="shared" si="325"/>
        <v>0</v>
      </c>
      <c r="AX510" s="466">
        <f t="shared" si="326"/>
        <v>0</v>
      </c>
      <c r="AY510" s="385">
        <f t="shared" ref="AY510:AY537" si="330">ROUND($AY$6*AZ510/$AZ$5,2)</f>
        <v>0</v>
      </c>
      <c r="AZ510" s="3174">
        <f t="shared" ref="AZ510:AZ537" si="331">BA510+BL510</f>
        <v>0</v>
      </c>
      <c r="BA510" s="3174">
        <f t="shared" ref="BA510:BA537" si="332">SUM(BB510:BK510)</f>
        <v>0</v>
      </c>
      <c r="BB510" s="3174">
        <f t="shared" ref="BB510:BB537" si="333">IF($D510="是",I510-J510,0)</f>
        <v>0</v>
      </c>
      <c r="BC510" s="3174">
        <f t="shared" ref="BC510:BC537" si="334">IF($D510="是",K510-L510,0)</f>
        <v>0</v>
      </c>
      <c r="BD510" s="3174">
        <f t="shared" ref="BD510:BD537" si="335">IF($D510="是",M510-N510,0)</f>
        <v>0</v>
      </c>
      <c r="BE510" s="3174">
        <f t="shared" ref="BE510:BE537" si="336">IF($D510="是",O510-P510,0)</f>
        <v>0</v>
      </c>
      <c r="BF510" s="3174">
        <f t="shared" ref="BF510:BF537" si="337">IF($D510="是",Q510-R510,0)</f>
        <v>0</v>
      </c>
      <c r="BG510" s="3174">
        <f t="shared" ref="BG510:BG537" si="338">IF($D510="是",S510-T510,0)</f>
        <v>0</v>
      </c>
      <c r="BH510" s="3174">
        <f t="shared" ref="BH510:BH537" si="339">IF($D510="是",U510-V510,0)</f>
        <v>0</v>
      </c>
      <c r="BI510" s="3174">
        <f t="shared" ref="BI510:BI537" si="340">IF($D510="是",W510-X510,0)</f>
        <v>0</v>
      </c>
      <c r="BJ510" s="3174">
        <f t="shared" ref="BJ510:BJ537" si="341">IF($D510="是",Y510-Z510,0)</f>
        <v>0</v>
      </c>
      <c r="BK510" s="3174">
        <f t="shared" ref="BK510:BK537" si="342">IF($D510="是",AA510-AB510,0)</f>
        <v>0</v>
      </c>
      <c r="BL510" s="3174">
        <f t="shared" ref="BL510:BL537" si="343">SUM(BM510:BT510)</f>
        <v>0</v>
      </c>
      <c r="BM510" s="3174">
        <f t="shared" ref="BM510:BM537" si="344">IF($D510="是",AD510-AE510,0)</f>
        <v>0</v>
      </c>
      <c r="BN510" s="3174">
        <f t="shared" ref="BN510:BN537" si="345">IF($D510="是",AF510-AG510,0)</f>
        <v>0</v>
      </c>
      <c r="BO510" s="3174">
        <f t="shared" ref="BO510:BO537" si="346">IF($D510="是",AH510-AI510,0)</f>
        <v>0</v>
      </c>
      <c r="BP510" s="3174">
        <f t="shared" ref="BP510:BP537" si="347">IF($D510="是",AJ510-AK510,0)</f>
        <v>0</v>
      </c>
      <c r="BQ510" s="3174">
        <f t="shared" ref="BQ510:BQ537" si="348">IF($D510="是",AL510-AM510,0)</f>
        <v>0</v>
      </c>
      <c r="BR510" s="3174">
        <f t="shared" ref="BR510:BR537" si="349">IF($D510="是",AN510-AO510,0)</f>
        <v>0</v>
      </c>
      <c r="BS510" s="3174">
        <f t="shared" ref="BS510:BS537" si="350">IF($D510="是",AP510-AQ510,0)</f>
        <v>0</v>
      </c>
      <c r="BT510" s="3249">
        <f t="shared" ref="BT510:BT537" si="351">IF($D510="是",AR510-AS510,0)</f>
        <v>0</v>
      </c>
    </row>
    <row r="511" spans="1:72">
      <c r="A511" s="489"/>
      <c r="B511" s="3179"/>
      <c r="C511" s="3180"/>
      <c r="D511" s="3181"/>
      <c r="E511" s="3174">
        <f t="shared" si="323"/>
        <v>0</v>
      </c>
      <c r="F511" s="3175"/>
      <c r="G511" s="3176">
        <f t="shared" si="327"/>
        <v>0</v>
      </c>
      <c r="H511" s="3177">
        <f t="shared" si="328"/>
        <v>0</v>
      </c>
      <c r="I511" s="3180"/>
      <c r="J511" s="3200"/>
      <c r="K511" s="3180"/>
      <c r="L511" s="3200"/>
      <c r="M511" s="3200"/>
      <c r="N511" s="3200"/>
      <c r="O511" s="3200"/>
      <c r="P511" s="3200"/>
      <c r="Q511" s="3200"/>
      <c r="R511" s="3200"/>
      <c r="S511" s="3200"/>
      <c r="T511" s="3200"/>
      <c r="U511" s="3200"/>
      <c r="V511" s="3200"/>
      <c r="W511" s="3200"/>
      <c r="X511" s="3200"/>
      <c r="Y511" s="3200"/>
      <c r="Z511" s="3200"/>
      <c r="AA511" s="3200"/>
      <c r="AB511" s="3200"/>
      <c r="AC511" s="3174">
        <f t="shared" si="329"/>
        <v>0</v>
      </c>
      <c r="AD511" s="3212"/>
      <c r="AE511" s="3212"/>
      <c r="AF511" s="3180"/>
      <c r="AG511" s="3212"/>
      <c r="AH511" s="3212"/>
      <c r="AI511" s="3212"/>
      <c r="AJ511" s="3212"/>
      <c r="AK511" s="3212"/>
      <c r="AL511" s="3212"/>
      <c r="AM511" s="3212"/>
      <c r="AN511" s="3212"/>
      <c r="AO511" s="3212"/>
      <c r="AP511" s="3212"/>
      <c r="AQ511" s="3212"/>
      <c r="AR511" s="3212"/>
      <c r="AS511" s="3212"/>
      <c r="AT511" s="3175"/>
      <c r="AU511" s="3232"/>
      <c r="AV511" s="466">
        <f t="shared" si="324"/>
        <v>0</v>
      </c>
      <c r="AW511" s="466">
        <f t="shared" si="325"/>
        <v>0</v>
      </c>
      <c r="AX511" s="466">
        <f t="shared" si="326"/>
        <v>0</v>
      </c>
      <c r="AY511" s="385">
        <f t="shared" si="330"/>
        <v>0</v>
      </c>
      <c r="AZ511" s="3174">
        <f t="shared" si="331"/>
        <v>0</v>
      </c>
      <c r="BA511" s="3174">
        <f t="shared" si="332"/>
        <v>0</v>
      </c>
      <c r="BB511" s="3174">
        <f t="shared" si="333"/>
        <v>0</v>
      </c>
      <c r="BC511" s="3174">
        <f t="shared" si="334"/>
        <v>0</v>
      </c>
      <c r="BD511" s="3174">
        <f t="shared" si="335"/>
        <v>0</v>
      </c>
      <c r="BE511" s="3174">
        <f t="shared" si="336"/>
        <v>0</v>
      </c>
      <c r="BF511" s="3174">
        <f t="shared" si="337"/>
        <v>0</v>
      </c>
      <c r="BG511" s="3174">
        <f t="shared" si="338"/>
        <v>0</v>
      </c>
      <c r="BH511" s="3174">
        <f t="shared" si="339"/>
        <v>0</v>
      </c>
      <c r="BI511" s="3174">
        <f t="shared" si="340"/>
        <v>0</v>
      </c>
      <c r="BJ511" s="3174">
        <f t="shared" si="341"/>
        <v>0</v>
      </c>
      <c r="BK511" s="3174">
        <f t="shared" si="342"/>
        <v>0</v>
      </c>
      <c r="BL511" s="3174">
        <f t="shared" si="343"/>
        <v>0</v>
      </c>
      <c r="BM511" s="3174">
        <f t="shared" si="344"/>
        <v>0</v>
      </c>
      <c r="BN511" s="3174">
        <f t="shared" si="345"/>
        <v>0</v>
      </c>
      <c r="BO511" s="3174">
        <f t="shared" si="346"/>
        <v>0</v>
      </c>
      <c r="BP511" s="3174">
        <f t="shared" si="347"/>
        <v>0</v>
      </c>
      <c r="BQ511" s="3174">
        <f t="shared" si="348"/>
        <v>0</v>
      </c>
      <c r="BR511" s="3174">
        <f t="shared" si="349"/>
        <v>0</v>
      </c>
      <c r="BS511" s="3174">
        <f t="shared" si="350"/>
        <v>0</v>
      </c>
      <c r="BT511" s="3249">
        <f t="shared" si="351"/>
        <v>0</v>
      </c>
    </row>
    <row r="512" spans="1:72">
      <c r="A512" s="489"/>
      <c r="B512" s="3179"/>
      <c r="C512" s="3180"/>
      <c r="D512" s="3181"/>
      <c r="E512" s="3174">
        <f t="shared" si="323"/>
        <v>0</v>
      </c>
      <c r="F512" s="3175"/>
      <c r="G512" s="3176">
        <f t="shared" si="327"/>
        <v>0</v>
      </c>
      <c r="H512" s="3177">
        <f t="shared" si="328"/>
        <v>0</v>
      </c>
      <c r="I512" s="3180"/>
      <c r="J512" s="3200"/>
      <c r="K512" s="3180"/>
      <c r="L512" s="3200"/>
      <c r="M512" s="3200"/>
      <c r="N512" s="3200"/>
      <c r="O512" s="3200"/>
      <c r="P512" s="3200"/>
      <c r="Q512" s="3200"/>
      <c r="R512" s="3200"/>
      <c r="S512" s="3200"/>
      <c r="T512" s="3200"/>
      <c r="U512" s="3200"/>
      <c r="V512" s="3200"/>
      <c r="W512" s="3200"/>
      <c r="X512" s="3200"/>
      <c r="Y512" s="3200"/>
      <c r="Z512" s="3200"/>
      <c r="AA512" s="3200"/>
      <c r="AB512" s="3200"/>
      <c r="AC512" s="3174">
        <f t="shared" si="329"/>
        <v>0</v>
      </c>
      <c r="AD512" s="3212"/>
      <c r="AE512" s="3212"/>
      <c r="AF512" s="3180"/>
      <c r="AG512" s="3212"/>
      <c r="AH512" s="3212"/>
      <c r="AI512" s="3212"/>
      <c r="AJ512" s="3212"/>
      <c r="AK512" s="3212"/>
      <c r="AL512" s="3212"/>
      <c r="AM512" s="3212"/>
      <c r="AN512" s="3212"/>
      <c r="AO512" s="3212"/>
      <c r="AP512" s="3212"/>
      <c r="AQ512" s="3212"/>
      <c r="AR512" s="3212"/>
      <c r="AS512" s="3212"/>
      <c r="AT512" s="3175"/>
      <c r="AU512" s="3232"/>
      <c r="AV512" s="466">
        <f t="shared" si="324"/>
        <v>0</v>
      </c>
      <c r="AW512" s="466">
        <f t="shared" si="325"/>
        <v>0</v>
      </c>
      <c r="AX512" s="466">
        <f t="shared" si="326"/>
        <v>0</v>
      </c>
      <c r="AY512" s="385">
        <f t="shared" si="330"/>
        <v>0</v>
      </c>
      <c r="AZ512" s="3174">
        <f t="shared" si="331"/>
        <v>0</v>
      </c>
      <c r="BA512" s="3174">
        <f t="shared" si="332"/>
        <v>0</v>
      </c>
      <c r="BB512" s="3174">
        <f t="shared" si="333"/>
        <v>0</v>
      </c>
      <c r="BC512" s="3174">
        <f t="shared" si="334"/>
        <v>0</v>
      </c>
      <c r="BD512" s="3174">
        <f t="shared" si="335"/>
        <v>0</v>
      </c>
      <c r="BE512" s="3174">
        <f t="shared" si="336"/>
        <v>0</v>
      </c>
      <c r="BF512" s="3174">
        <f t="shared" si="337"/>
        <v>0</v>
      </c>
      <c r="BG512" s="3174">
        <f t="shared" si="338"/>
        <v>0</v>
      </c>
      <c r="BH512" s="3174">
        <f t="shared" si="339"/>
        <v>0</v>
      </c>
      <c r="BI512" s="3174">
        <f t="shared" si="340"/>
        <v>0</v>
      </c>
      <c r="BJ512" s="3174">
        <f t="shared" si="341"/>
        <v>0</v>
      </c>
      <c r="BK512" s="3174">
        <f t="shared" si="342"/>
        <v>0</v>
      </c>
      <c r="BL512" s="3174">
        <f t="shared" si="343"/>
        <v>0</v>
      </c>
      <c r="BM512" s="3174">
        <f t="shared" si="344"/>
        <v>0</v>
      </c>
      <c r="BN512" s="3174">
        <f t="shared" si="345"/>
        <v>0</v>
      </c>
      <c r="BO512" s="3174">
        <f t="shared" si="346"/>
        <v>0</v>
      </c>
      <c r="BP512" s="3174">
        <f t="shared" si="347"/>
        <v>0</v>
      </c>
      <c r="BQ512" s="3174">
        <f t="shared" si="348"/>
        <v>0</v>
      </c>
      <c r="BR512" s="3174">
        <f t="shared" si="349"/>
        <v>0</v>
      </c>
      <c r="BS512" s="3174">
        <f t="shared" si="350"/>
        <v>0</v>
      </c>
      <c r="BT512" s="3249">
        <f t="shared" si="351"/>
        <v>0</v>
      </c>
    </row>
    <row r="513" spans="1:72">
      <c r="A513" s="489"/>
      <c r="B513" s="3179"/>
      <c r="C513" s="3180"/>
      <c r="D513" s="3181"/>
      <c r="E513" s="3174">
        <f t="shared" si="323"/>
        <v>0</v>
      </c>
      <c r="F513" s="3175"/>
      <c r="G513" s="3176">
        <f t="shared" si="327"/>
        <v>0</v>
      </c>
      <c r="H513" s="3177">
        <f t="shared" si="328"/>
        <v>0</v>
      </c>
      <c r="I513" s="3180"/>
      <c r="J513" s="3200"/>
      <c r="K513" s="3180"/>
      <c r="L513" s="3200"/>
      <c r="M513" s="3200"/>
      <c r="N513" s="3200"/>
      <c r="O513" s="3200"/>
      <c r="P513" s="3200"/>
      <c r="Q513" s="3200"/>
      <c r="R513" s="3200"/>
      <c r="S513" s="3200"/>
      <c r="T513" s="3200"/>
      <c r="U513" s="3200"/>
      <c r="V513" s="3200"/>
      <c r="W513" s="3200"/>
      <c r="X513" s="3200"/>
      <c r="Y513" s="3200"/>
      <c r="Z513" s="3200"/>
      <c r="AA513" s="3200"/>
      <c r="AB513" s="3200"/>
      <c r="AC513" s="3174">
        <f t="shared" si="329"/>
        <v>0</v>
      </c>
      <c r="AD513" s="3212"/>
      <c r="AE513" s="3212"/>
      <c r="AF513" s="3180"/>
      <c r="AG513" s="3212"/>
      <c r="AH513" s="3212"/>
      <c r="AI513" s="3212"/>
      <c r="AJ513" s="3212"/>
      <c r="AK513" s="3212"/>
      <c r="AL513" s="3212"/>
      <c r="AM513" s="3212"/>
      <c r="AN513" s="3212"/>
      <c r="AO513" s="3212"/>
      <c r="AP513" s="3212"/>
      <c r="AQ513" s="3212"/>
      <c r="AR513" s="3212"/>
      <c r="AS513" s="3212"/>
      <c r="AT513" s="3175"/>
      <c r="AU513" s="3232"/>
      <c r="AV513" s="466">
        <f t="shared" si="324"/>
        <v>0</v>
      </c>
      <c r="AW513" s="466">
        <f t="shared" si="325"/>
        <v>0</v>
      </c>
      <c r="AX513" s="466">
        <f t="shared" si="326"/>
        <v>0</v>
      </c>
      <c r="AY513" s="385">
        <f t="shared" si="330"/>
        <v>0</v>
      </c>
      <c r="AZ513" s="3174">
        <f t="shared" si="331"/>
        <v>0</v>
      </c>
      <c r="BA513" s="3174">
        <f t="shared" si="332"/>
        <v>0</v>
      </c>
      <c r="BB513" s="3174">
        <f t="shared" si="333"/>
        <v>0</v>
      </c>
      <c r="BC513" s="3174">
        <f t="shared" si="334"/>
        <v>0</v>
      </c>
      <c r="BD513" s="3174">
        <f t="shared" si="335"/>
        <v>0</v>
      </c>
      <c r="BE513" s="3174">
        <f t="shared" si="336"/>
        <v>0</v>
      </c>
      <c r="BF513" s="3174">
        <f t="shared" si="337"/>
        <v>0</v>
      </c>
      <c r="BG513" s="3174">
        <f t="shared" si="338"/>
        <v>0</v>
      </c>
      <c r="BH513" s="3174">
        <f t="shared" si="339"/>
        <v>0</v>
      </c>
      <c r="BI513" s="3174">
        <f t="shared" si="340"/>
        <v>0</v>
      </c>
      <c r="BJ513" s="3174">
        <f t="shared" si="341"/>
        <v>0</v>
      </c>
      <c r="BK513" s="3174">
        <f t="shared" si="342"/>
        <v>0</v>
      </c>
      <c r="BL513" s="3174">
        <f t="shared" si="343"/>
        <v>0</v>
      </c>
      <c r="BM513" s="3174">
        <f t="shared" si="344"/>
        <v>0</v>
      </c>
      <c r="BN513" s="3174">
        <f t="shared" si="345"/>
        <v>0</v>
      </c>
      <c r="BO513" s="3174">
        <f t="shared" si="346"/>
        <v>0</v>
      </c>
      <c r="BP513" s="3174">
        <f t="shared" si="347"/>
        <v>0</v>
      </c>
      <c r="BQ513" s="3174">
        <f t="shared" si="348"/>
        <v>0</v>
      </c>
      <c r="BR513" s="3174">
        <f t="shared" si="349"/>
        <v>0</v>
      </c>
      <c r="BS513" s="3174">
        <f t="shared" si="350"/>
        <v>0</v>
      </c>
      <c r="BT513" s="3249">
        <f t="shared" si="351"/>
        <v>0</v>
      </c>
    </row>
    <row r="514" spans="1:72">
      <c r="A514" s="489"/>
      <c r="B514" s="3179"/>
      <c r="C514" s="3180"/>
      <c r="D514" s="3181"/>
      <c r="E514" s="3174">
        <f t="shared" si="323"/>
        <v>0</v>
      </c>
      <c r="F514" s="3175"/>
      <c r="G514" s="3176">
        <f t="shared" si="327"/>
        <v>0</v>
      </c>
      <c r="H514" s="3177">
        <f t="shared" si="328"/>
        <v>0</v>
      </c>
      <c r="I514" s="3180"/>
      <c r="J514" s="3200"/>
      <c r="K514" s="3180"/>
      <c r="L514" s="3200"/>
      <c r="M514" s="3200"/>
      <c r="N514" s="3200"/>
      <c r="O514" s="3200"/>
      <c r="P514" s="3200"/>
      <c r="Q514" s="3200"/>
      <c r="R514" s="3200"/>
      <c r="S514" s="3200"/>
      <c r="T514" s="3200"/>
      <c r="U514" s="3200"/>
      <c r="V514" s="3200"/>
      <c r="W514" s="3200"/>
      <c r="X514" s="3200"/>
      <c r="Y514" s="3200"/>
      <c r="Z514" s="3200"/>
      <c r="AA514" s="3200"/>
      <c r="AB514" s="3200"/>
      <c r="AC514" s="3174">
        <f t="shared" si="329"/>
        <v>0</v>
      </c>
      <c r="AD514" s="3212"/>
      <c r="AE514" s="3212"/>
      <c r="AF514" s="3180"/>
      <c r="AG514" s="3212"/>
      <c r="AH514" s="3212"/>
      <c r="AI514" s="3212"/>
      <c r="AJ514" s="3212"/>
      <c r="AK514" s="3212"/>
      <c r="AL514" s="3212"/>
      <c r="AM514" s="3212"/>
      <c r="AN514" s="3212"/>
      <c r="AO514" s="3212"/>
      <c r="AP514" s="3212"/>
      <c r="AQ514" s="3212"/>
      <c r="AR514" s="3212"/>
      <c r="AS514" s="3212"/>
      <c r="AT514" s="3175"/>
      <c r="AU514" s="3232"/>
      <c r="AV514" s="466">
        <f t="shared" si="324"/>
        <v>0</v>
      </c>
      <c r="AW514" s="466">
        <f t="shared" si="325"/>
        <v>0</v>
      </c>
      <c r="AX514" s="466">
        <f t="shared" si="326"/>
        <v>0</v>
      </c>
      <c r="AY514" s="385">
        <f t="shared" si="330"/>
        <v>0</v>
      </c>
      <c r="AZ514" s="3174">
        <f t="shared" si="331"/>
        <v>0</v>
      </c>
      <c r="BA514" s="3174">
        <f t="shared" si="332"/>
        <v>0</v>
      </c>
      <c r="BB514" s="3174">
        <f t="shared" si="333"/>
        <v>0</v>
      </c>
      <c r="BC514" s="3174">
        <f t="shared" si="334"/>
        <v>0</v>
      </c>
      <c r="BD514" s="3174">
        <f t="shared" si="335"/>
        <v>0</v>
      </c>
      <c r="BE514" s="3174">
        <f t="shared" si="336"/>
        <v>0</v>
      </c>
      <c r="BF514" s="3174">
        <f t="shared" si="337"/>
        <v>0</v>
      </c>
      <c r="BG514" s="3174">
        <f t="shared" si="338"/>
        <v>0</v>
      </c>
      <c r="BH514" s="3174">
        <f t="shared" si="339"/>
        <v>0</v>
      </c>
      <c r="BI514" s="3174">
        <f t="shared" si="340"/>
        <v>0</v>
      </c>
      <c r="BJ514" s="3174">
        <f t="shared" si="341"/>
        <v>0</v>
      </c>
      <c r="BK514" s="3174">
        <f t="shared" si="342"/>
        <v>0</v>
      </c>
      <c r="BL514" s="3174">
        <f t="shared" si="343"/>
        <v>0</v>
      </c>
      <c r="BM514" s="3174">
        <f t="shared" si="344"/>
        <v>0</v>
      </c>
      <c r="BN514" s="3174">
        <f t="shared" si="345"/>
        <v>0</v>
      </c>
      <c r="BO514" s="3174">
        <f t="shared" si="346"/>
        <v>0</v>
      </c>
      <c r="BP514" s="3174">
        <f t="shared" si="347"/>
        <v>0</v>
      </c>
      <c r="BQ514" s="3174">
        <f t="shared" si="348"/>
        <v>0</v>
      </c>
      <c r="BR514" s="3174">
        <f t="shared" si="349"/>
        <v>0</v>
      </c>
      <c r="BS514" s="3174">
        <f t="shared" si="350"/>
        <v>0</v>
      </c>
      <c r="BT514" s="3249">
        <f t="shared" si="351"/>
        <v>0</v>
      </c>
    </row>
    <row r="515" spans="1:72">
      <c r="A515" s="489"/>
      <c r="B515" s="3179"/>
      <c r="C515" s="3180"/>
      <c r="D515" s="3181"/>
      <c r="E515" s="3174">
        <f t="shared" si="323"/>
        <v>0</v>
      </c>
      <c r="F515" s="3175"/>
      <c r="G515" s="3176">
        <f t="shared" si="327"/>
        <v>0</v>
      </c>
      <c r="H515" s="3177">
        <f t="shared" si="328"/>
        <v>0</v>
      </c>
      <c r="I515" s="3180"/>
      <c r="J515" s="3200"/>
      <c r="K515" s="3180"/>
      <c r="L515" s="3200"/>
      <c r="M515" s="3180"/>
      <c r="N515" s="3200"/>
      <c r="O515" s="3200"/>
      <c r="P515" s="3200"/>
      <c r="Q515" s="3200"/>
      <c r="R515" s="3200"/>
      <c r="S515" s="3200"/>
      <c r="T515" s="3200"/>
      <c r="U515" s="3200"/>
      <c r="V515" s="3200"/>
      <c r="W515" s="3200"/>
      <c r="X515" s="3200"/>
      <c r="Y515" s="3200"/>
      <c r="Z515" s="3200"/>
      <c r="AA515" s="3200"/>
      <c r="AB515" s="3200"/>
      <c r="AC515" s="3174">
        <f t="shared" si="329"/>
        <v>0</v>
      </c>
      <c r="AD515" s="3212"/>
      <c r="AE515" s="3212"/>
      <c r="AF515" s="3180"/>
      <c r="AG515" s="3212"/>
      <c r="AH515" s="3212"/>
      <c r="AI515" s="3212"/>
      <c r="AJ515" s="3212"/>
      <c r="AK515" s="3212"/>
      <c r="AL515" s="3212"/>
      <c r="AM515" s="3212"/>
      <c r="AN515" s="3212"/>
      <c r="AO515" s="3212"/>
      <c r="AP515" s="3212"/>
      <c r="AQ515" s="3212"/>
      <c r="AR515" s="3212"/>
      <c r="AS515" s="3212"/>
      <c r="AT515" s="3175"/>
      <c r="AU515" s="3232"/>
      <c r="AV515" s="466">
        <f t="shared" si="324"/>
        <v>0</v>
      </c>
      <c r="AW515" s="466">
        <f t="shared" si="325"/>
        <v>0</v>
      </c>
      <c r="AX515" s="466">
        <f t="shared" si="326"/>
        <v>0</v>
      </c>
      <c r="AY515" s="385">
        <f t="shared" si="330"/>
        <v>0</v>
      </c>
      <c r="AZ515" s="3174">
        <f t="shared" si="331"/>
        <v>0</v>
      </c>
      <c r="BA515" s="3174">
        <f t="shared" si="332"/>
        <v>0</v>
      </c>
      <c r="BB515" s="3174">
        <f t="shared" si="333"/>
        <v>0</v>
      </c>
      <c r="BC515" s="3174">
        <f t="shared" si="334"/>
        <v>0</v>
      </c>
      <c r="BD515" s="3174">
        <f t="shared" si="335"/>
        <v>0</v>
      </c>
      <c r="BE515" s="3174">
        <f t="shared" si="336"/>
        <v>0</v>
      </c>
      <c r="BF515" s="3174">
        <f t="shared" si="337"/>
        <v>0</v>
      </c>
      <c r="BG515" s="3174">
        <f t="shared" si="338"/>
        <v>0</v>
      </c>
      <c r="BH515" s="3174">
        <f t="shared" si="339"/>
        <v>0</v>
      </c>
      <c r="BI515" s="3174">
        <f t="shared" si="340"/>
        <v>0</v>
      </c>
      <c r="BJ515" s="3174">
        <f t="shared" si="341"/>
        <v>0</v>
      </c>
      <c r="BK515" s="3174">
        <f t="shared" si="342"/>
        <v>0</v>
      </c>
      <c r="BL515" s="3174">
        <f t="shared" si="343"/>
        <v>0</v>
      </c>
      <c r="BM515" s="3174">
        <f t="shared" si="344"/>
        <v>0</v>
      </c>
      <c r="BN515" s="3174">
        <f t="shared" si="345"/>
        <v>0</v>
      </c>
      <c r="BO515" s="3174">
        <f t="shared" si="346"/>
        <v>0</v>
      </c>
      <c r="BP515" s="3174">
        <f t="shared" si="347"/>
        <v>0</v>
      </c>
      <c r="BQ515" s="3174">
        <f t="shared" si="348"/>
        <v>0</v>
      </c>
      <c r="BR515" s="3174">
        <f t="shared" si="349"/>
        <v>0</v>
      </c>
      <c r="BS515" s="3174">
        <f t="shared" si="350"/>
        <v>0</v>
      </c>
      <c r="BT515" s="3249">
        <f t="shared" si="351"/>
        <v>0</v>
      </c>
    </row>
    <row r="516" spans="1:72">
      <c r="A516" s="489"/>
      <c r="B516" s="356"/>
      <c r="C516" s="356"/>
      <c r="D516" s="3182"/>
      <c r="E516" s="3174">
        <f t="shared" si="323"/>
        <v>0</v>
      </c>
      <c r="F516" s="3175"/>
      <c r="G516" s="3176">
        <f t="shared" si="327"/>
        <v>0</v>
      </c>
      <c r="H516" s="3177">
        <f t="shared" si="328"/>
        <v>0</v>
      </c>
      <c r="I516" s="3200"/>
      <c r="J516" s="3200"/>
      <c r="K516" s="3200"/>
      <c r="L516" s="3200"/>
      <c r="M516" s="3200"/>
      <c r="N516" s="3200"/>
      <c r="O516" s="3200"/>
      <c r="P516" s="3200"/>
      <c r="Q516" s="3200"/>
      <c r="R516" s="3200"/>
      <c r="S516" s="3200"/>
      <c r="T516" s="3200"/>
      <c r="U516" s="3200"/>
      <c r="V516" s="3200"/>
      <c r="W516" s="3200"/>
      <c r="X516" s="3200"/>
      <c r="Y516" s="3200"/>
      <c r="Z516" s="3200"/>
      <c r="AA516" s="3200"/>
      <c r="AB516" s="3200"/>
      <c r="AC516" s="3174">
        <f t="shared" si="329"/>
        <v>0</v>
      </c>
      <c r="AD516" s="3212"/>
      <c r="AE516" s="3212"/>
      <c r="AF516" s="3212"/>
      <c r="AG516" s="3212"/>
      <c r="AH516" s="3212"/>
      <c r="AI516" s="3212"/>
      <c r="AJ516" s="3212"/>
      <c r="AK516" s="3212"/>
      <c r="AL516" s="3212"/>
      <c r="AM516" s="3212"/>
      <c r="AN516" s="3212"/>
      <c r="AO516" s="3212"/>
      <c r="AP516" s="3212"/>
      <c r="AQ516" s="3212"/>
      <c r="AR516" s="3212"/>
      <c r="AS516" s="3212"/>
      <c r="AT516" s="3175"/>
      <c r="AU516" s="3232"/>
      <c r="AV516" s="466">
        <f t="shared" si="324"/>
        <v>0</v>
      </c>
      <c r="AW516" s="466">
        <f t="shared" si="325"/>
        <v>0</v>
      </c>
      <c r="AX516" s="466">
        <f t="shared" si="326"/>
        <v>0</v>
      </c>
      <c r="AY516" s="385">
        <f t="shared" si="330"/>
        <v>0</v>
      </c>
      <c r="AZ516" s="3174">
        <f t="shared" si="331"/>
        <v>0</v>
      </c>
      <c r="BA516" s="3174">
        <f t="shared" si="332"/>
        <v>0</v>
      </c>
      <c r="BB516" s="3174">
        <f t="shared" si="333"/>
        <v>0</v>
      </c>
      <c r="BC516" s="3174">
        <f t="shared" si="334"/>
        <v>0</v>
      </c>
      <c r="BD516" s="3174">
        <f t="shared" si="335"/>
        <v>0</v>
      </c>
      <c r="BE516" s="3174">
        <f t="shared" si="336"/>
        <v>0</v>
      </c>
      <c r="BF516" s="3174">
        <f t="shared" si="337"/>
        <v>0</v>
      </c>
      <c r="BG516" s="3174">
        <f t="shared" si="338"/>
        <v>0</v>
      </c>
      <c r="BH516" s="3174">
        <f t="shared" si="339"/>
        <v>0</v>
      </c>
      <c r="BI516" s="3174">
        <f t="shared" si="340"/>
        <v>0</v>
      </c>
      <c r="BJ516" s="3174">
        <f t="shared" si="341"/>
        <v>0</v>
      </c>
      <c r="BK516" s="3174">
        <f t="shared" si="342"/>
        <v>0</v>
      </c>
      <c r="BL516" s="3174">
        <f t="shared" si="343"/>
        <v>0</v>
      </c>
      <c r="BM516" s="3174">
        <f t="shared" si="344"/>
        <v>0</v>
      </c>
      <c r="BN516" s="3174">
        <f t="shared" si="345"/>
        <v>0</v>
      </c>
      <c r="BO516" s="3174">
        <f t="shared" si="346"/>
        <v>0</v>
      </c>
      <c r="BP516" s="3174">
        <f t="shared" si="347"/>
        <v>0</v>
      </c>
      <c r="BQ516" s="3174">
        <f t="shared" si="348"/>
        <v>0</v>
      </c>
      <c r="BR516" s="3174">
        <f t="shared" si="349"/>
        <v>0</v>
      </c>
      <c r="BS516" s="3174">
        <f t="shared" si="350"/>
        <v>0</v>
      </c>
      <c r="BT516" s="3249">
        <f t="shared" si="351"/>
        <v>0</v>
      </c>
    </row>
    <row r="517" spans="1:72">
      <c r="A517" s="489"/>
      <c r="B517" s="356"/>
      <c r="C517" s="356"/>
      <c r="D517" s="3182"/>
      <c r="E517" s="3174">
        <f t="shared" si="323"/>
        <v>0</v>
      </c>
      <c r="F517" s="3175"/>
      <c r="G517" s="3176">
        <f t="shared" si="327"/>
        <v>0</v>
      </c>
      <c r="H517" s="3177">
        <f t="shared" si="328"/>
        <v>0</v>
      </c>
      <c r="I517" s="3200"/>
      <c r="J517" s="3200"/>
      <c r="K517" s="3200"/>
      <c r="L517" s="3200"/>
      <c r="M517" s="3200"/>
      <c r="N517" s="3200"/>
      <c r="O517" s="3200"/>
      <c r="P517" s="3200"/>
      <c r="Q517" s="3200"/>
      <c r="R517" s="3200"/>
      <c r="S517" s="3200"/>
      <c r="T517" s="3200"/>
      <c r="U517" s="3200"/>
      <c r="V517" s="3200"/>
      <c r="W517" s="3200"/>
      <c r="X517" s="3200"/>
      <c r="Y517" s="3200"/>
      <c r="Z517" s="3200"/>
      <c r="AA517" s="3200"/>
      <c r="AB517" s="3200"/>
      <c r="AC517" s="3174">
        <f t="shared" si="329"/>
        <v>0</v>
      </c>
      <c r="AD517" s="3212"/>
      <c r="AE517" s="3212"/>
      <c r="AF517" s="3212"/>
      <c r="AG517" s="3212"/>
      <c r="AH517" s="3212"/>
      <c r="AI517" s="3212"/>
      <c r="AJ517" s="3212"/>
      <c r="AK517" s="3212"/>
      <c r="AL517" s="3212"/>
      <c r="AM517" s="3212"/>
      <c r="AN517" s="3212"/>
      <c r="AO517" s="3212"/>
      <c r="AP517" s="3212"/>
      <c r="AQ517" s="3212"/>
      <c r="AR517" s="3212"/>
      <c r="AS517" s="3212"/>
      <c r="AT517" s="3175"/>
      <c r="AU517" s="3232"/>
      <c r="AV517" s="466">
        <f t="shared" si="324"/>
        <v>0</v>
      </c>
      <c r="AW517" s="466">
        <f t="shared" si="325"/>
        <v>0</v>
      </c>
      <c r="AX517" s="466">
        <f t="shared" si="326"/>
        <v>0</v>
      </c>
      <c r="AY517" s="385">
        <f t="shared" si="330"/>
        <v>0</v>
      </c>
      <c r="AZ517" s="3174">
        <f t="shared" si="331"/>
        <v>0</v>
      </c>
      <c r="BA517" s="3174">
        <f t="shared" si="332"/>
        <v>0</v>
      </c>
      <c r="BB517" s="3174">
        <f t="shared" si="333"/>
        <v>0</v>
      </c>
      <c r="BC517" s="3174">
        <f t="shared" si="334"/>
        <v>0</v>
      </c>
      <c r="BD517" s="3174">
        <f t="shared" si="335"/>
        <v>0</v>
      </c>
      <c r="BE517" s="3174">
        <f t="shared" si="336"/>
        <v>0</v>
      </c>
      <c r="BF517" s="3174">
        <f t="shared" si="337"/>
        <v>0</v>
      </c>
      <c r="BG517" s="3174">
        <f t="shared" si="338"/>
        <v>0</v>
      </c>
      <c r="BH517" s="3174">
        <f t="shared" si="339"/>
        <v>0</v>
      </c>
      <c r="BI517" s="3174">
        <f t="shared" si="340"/>
        <v>0</v>
      </c>
      <c r="BJ517" s="3174">
        <f t="shared" si="341"/>
        <v>0</v>
      </c>
      <c r="BK517" s="3174">
        <f t="shared" si="342"/>
        <v>0</v>
      </c>
      <c r="BL517" s="3174">
        <f t="shared" si="343"/>
        <v>0</v>
      </c>
      <c r="BM517" s="3174">
        <f t="shared" si="344"/>
        <v>0</v>
      </c>
      <c r="BN517" s="3174">
        <f t="shared" si="345"/>
        <v>0</v>
      </c>
      <c r="BO517" s="3174">
        <f t="shared" si="346"/>
        <v>0</v>
      </c>
      <c r="BP517" s="3174">
        <f t="shared" si="347"/>
        <v>0</v>
      </c>
      <c r="BQ517" s="3174">
        <f t="shared" si="348"/>
        <v>0</v>
      </c>
      <c r="BR517" s="3174">
        <f t="shared" si="349"/>
        <v>0</v>
      </c>
      <c r="BS517" s="3174">
        <f t="shared" si="350"/>
        <v>0</v>
      </c>
      <c r="BT517" s="3249">
        <f t="shared" si="351"/>
        <v>0</v>
      </c>
    </row>
    <row r="518" spans="1:72">
      <c r="A518" s="489"/>
      <c r="B518" s="356"/>
      <c r="C518" s="356"/>
      <c r="D518" s="3182"/>
      <c r="E518" s="3174">
        <f t="shared" si="323"/>
        <v>0</v>
      </c>
      <c r="F518" s="3175"/>
      <c r="G518" s="3176">
        <f t="shared" si="327"/>
        <v>0</v>
      </c>
      <c r="H518" s="3177">
        <f t="shared" si="328"/>
        <v>0</v>
      </c>
      <c r="I518" s="3200"/>
      <c r="J518" s="3200"/>
      <c r="K518" s="3200"/>
      <c r="L518" s="3200"/>
      <c r="M518" s="3200"/>
      <c r="N518" s="3200"/>
      <c r="O518" s="3200"/>
      <c r="P518" s="3200"/>
      <c r="Q518" s="3200"/>
      <c r="R518" s="3200"/>
      <c r="S518" s="3200"/>
      <c r="T518" s="3200"/>
      <c r="U518" s="3200"/>
      <c r="V518" s="3200"/>
      <c r="W518" s="3200"/>
      <c r="X518" s="3200"/>
      <c r="Y518" s="3200"/>
      <c r="Z518" s="3200"/>
      <c r="AA518" s="3200"/>
      <c r="AB518" s="3200"/>
      <c r="AC518" s="3174">
        <f t="shared" si="329"/>
        <v>0</v>
      </c>
      <c r="AD518" s="3212"/>
      <c r="AE518" s="3212"/>
      <c r="AF518" s="3212"/>
      <c r="AG518" s="3212"/>
      <c r="AH518" s="3212"/>
      <c r="AI518" s="3212"/>
      <c r="AJ518" s="3212"/>
      <c r="AK518" s="3212"/>
      <c r="AL518" s="3212"/>
      <c r="AM518" s="3212"/>
      <c r="AN518" s="3212"/>
      <c r="AO518" s="3212"/>
      <c r="AP518" s="3212"/>
      <c r="AQ518" s="3212"/>
      <c r="AR518" s="3212"/>
      <c r="AS518" s="3212"/>
      <c r="AT518" s="3175"/>
      <c r="AU518" s="3232"/>
      <c r="AV518" s="466">
        <f t="shared" si="324"/>
        <v>0</v>
      </c>
      <c r="AW518" s="466">
        <f t="shared" si="325"/>
        <v>0</v>
      </c>
      <c r="AX518" s="466">
        <f t="shared" si="326"/>
        <v>0</v>
      </c>
      <c r="AY518" s="385">
        <f t="shared" si="330"/>
        <v>0</v>
      </c>
      <c r="AZ518" s="3174">
        <f t="shared" si="331"/>
        <v>0</v>
      </c>
      <c r="BA518" s="3174">
        <f t="shared" si="332"/>
        <v>0</v>
      </c>
      <c r="BB518" s="3174">
        <f t="shared" si="333"/>
        <v>0</v>
      </c>
      <c r="BC518" s="3174">
        <f t="shared" si="334"/>
        <v>0</v>
      </c>
      <c r="BD518" s="3174">
        <f t="shared" si="335"/>
        <v>0</v>
      </c>
      <c r="BE518" s="3174">
        <f t="shared" si="336"/>
        <v>0</v>
      </c>
      <c r="BF518" s="3174">
        <f t="shared" si="337"/>
        <v>0</v>
      </c>
      <c r="BG518" s="3174">
        <f t="shared" si="338"/>
        <v>0</v>
      </c>
      <c r="BH518" s="3174">
        <f t="shared" si="339"/>
        <v>0</v>
      </c>
      <c r="BI518" s="3174">
        <f t="shared" si="340"/>
        <v>0</v>
      </c>
      <c r="BJ518" s="3174">
        <f t="shared" si="341"/>
        <v>0</v>
      </c>
      <c r="BK518" s="3174">
        <f t="shared" si="342"/>
        <v>0</v>
      </c>
      <c r="BL518" s="3174">
        <f t="shared" si="343"/>
        <v>0</v>
      </c>
      <c r="BM518" s="3174">
        <f t="shared" si="344"/>
        <v>0</v>
      </c>
      <c r="BN518" s="3174">
        <f t="shared" si="345"/>
        <v>0</v>
      </c>
      <c r="BO518" s="3174">
        <f t="shared" si="346"/>
        <v>0</v>
      </c>
      <c r="BP518" s="3174">
        <f t="shared" si="347"/>
        <v>0</v>
      </c>
      <c r="BQ518" s="3174">
        <f t="shared" si="348"/>
        <v>0</v>
      </c>
      <c r="BR518" s="3174">
        <f t="shared" si="349"/>
        <v>0</v>
      </c>
      <c r="BS518" s="3174">
        <f t="shared" si="350"/>
        <v>0</v>
      </c>
      <c r="BT518" s="3249">
        <f t="shared" si="351"/>
        <v>0</v>
      </c>
    </row>
    <row r="519" spans="1:72">
      <c r="A519" s="489"/>
      <c r="B519" s="356"/>
      <c r="C519" s="356"/>
      <c r="D519" s="3182"/>
      <c r="E519" s="3174">
        <f t="shared" si="323"/>
        <v>0</v>
      </c>
      <c r="F519" s="3175"/>
      <c r="G519" s="3176">
        <f t="shared" si="327"/>
        <v>0</v>
      </c>
      <c r="H519" s="3177">
        <f t="shared" si="328"/>
        <v>0</v>
      </c>
      <c r="I519" s="3200"/>
      <c r="J519" s="3200"/>
      <c r="K519" s="3200"/>
      <c r="L519" s="3200"/>
      <c r="M519" s="3200"/>
      <c r="N519" s="3200"/>
      <c r="O519" s="3200"/>
      <c r="P519" s="3200"/>
      <c r="Q519" s="3200"/>
      <c r="R519" s="3200"/>
      <c r="S519" s="3200"/>
      <c r="T519" s="3200"/>
      <c r="U519" s="3200"/>
      <c r="V519" s="3200"/>
      <c r="W519" s="3200"/>
      <c r="X519" s="3200"/>
      <c r="Y519" s="3200"/>
      <c r="Z519" s="3200"/>
      <c r="AA519" s="3200"/>
      <c r="AB519" s="3200"/>
      <c r="AC519" s="3174">
        <f t="shared" si="329"/>
        <v>0</v>
      </c>
      <c r="AD519" s="3212"/>
      <c r="AE519" s="3212"/>
      <c r="AF519" s="3212"/>
      <c r="AG519" s="3212"/>
      <c r="AH519" s="3212"/>
      <c r="AI519" s="3212"/>
      <c r="AJ519" s="3212"/>
      <c r="AK519" s="3212"/>
      <c r="AL519" s="3212"/>
      <c r="AM519" s="3212"/>
      <c r="AN519" s="3212"/>
      <c r="AO519" s="3212"/>
      <c r="AP519" s="3212"/>
      <c r="AQ519" s="3212"/>
      <c r="AR519" s="3212"/>
      <c r="AS519" s="3212"/>
      <c r="AT519" s="3175"/>
      <c r="AU519" s="3232"/>
      <c r="AV519" s="466">
        <f t="shared" si="324"/>
        <v>0</v>
      </c>
      <c r="AW519" s="466">
        <f t="shared" si="325"/>
        <v>0</v>
      </c>
      <c r="AX519" s="466">
        <f t="shared" si="326"/>
        <v>0</v>
      </c>
      <c r="AY519" s="385">
        <f t="shared" si="330"/>
        <v>0</v>
      </c>
      <c r="AZ519" s="3174">
        <f t="shared" si="331"/>
        <v>0</v>
      </c>
      <c r="BA519" s="3174">
        <f t="shared" si="332"/>
        <v>0</v>
      </c>
      <c r="BB519" s="3174">
        <f t="shared" si="333"/>
        <v>0</v>
      </c>
      <c r="BC519" s="3174">
        <f t="shared" si="334"/>
        <v>0</v>
      </c>
      <c r="BD519" s="3174">
        <f t="shared" si="335"/>
        <v>0</v>
      </c>
      <c r="BE519" s="3174">
        <f t="shared" si="336"/>
        <v>0</v>
      </c>
      <c r="BF519" s="3174">
        <f t="shared" si="337"/>
        <v>0</v>
      </c>
      <c r="BG519" s="3174">
        <f t="shared" si="338"/>
        <v>0</v>
      </c>
      <c r="BH519" s="3174">
        <f t="shared" si="339"/>
        <v>0</v>
      </c>
      <c r="BI519" s="3174">
        <f t="shared" si="340"/>
        <v>0</v>
      </c>
      <c r="BJ519" s="3174">
        <f t="shared" si="341"/>
        <v>0</v>
      </c>
      <c r="BK519" s="3174">
        <f t="shared" si="342"/>
        <v>0</v>
      </c>
      <c r="BL519" s="3174">
        <f t="shared" si="343"/>
        <v>0</v>
      </c>
      <c r="BM519" s="3174">
        <f t="shared" si="344"/>
        <v>0</v>
      </c>
      <c r="BN519" s="3174">
        <f t="shared" si="345"/>
        <v>0</v>
      </c>
      <c r="BO519" s="3174">
        <f t="shared" si="346"/>
        <v>0</v>
      </c>
      <c r="BP519" s="3174">
        <f t="shared" si="347"/>
        <v>0</v>
      </c>
      <c r="BQ519" s="3174">
        <f t="shared" si="348"/>
        <v>0</v>
      </c>
      <c r="BR519" s="3174">
        <f t="shared" si="349"/>
        <v>0</v>
      </c>
      <c r="BS519" s="3174">
        <f t="shared" si="350"/>
        <v>0</v>
      </c>
      <c r="BT519" s="3249">
        <f t="shared" si="351"/>
        <v>0</v>
      </c>
    </row>
    <row r="520" spans="1:72">
      <c r="A520" s="489"/>
      <c r="B520" s="356"/>
      <c r="C520" s="356"/>
      <c r="D520" s="3182"/>
      <c r="E520" s="3174">
        <f t="shared" si="323"/>
        <v>0</v>
      </c>
      <c r="F520" s="3175"/>
      <c r="G520" s="3176">
        <f t="shared" si="327"/>
        <v>0</v>
      </c>
      <c r="H520" s="3177">
        <f t="shared" si="328"/>
        <v>0</v>
      </c>
      <c r="I520" s="3200"/>
      <c r="J520" s="3200"/>
      <c r="K520" s="3200"/>
      <c r="L520" s="3200"/>
      <c r="M520" s="3200"/>
      <c r="N520" s="3200"/>
      <c r="O520" s="3200"/>
      <c r="P520" s="3200"/>
      <c r="Q520" s="3200"/>
      <c r="R520" s="3200"/>
      <c r="S520" s="3200"/>
      <c r="T520" s="3200"/>
      <c r="U520" s="3200"/>
      <c r="V520" s="3200"/>
      <c r="W520" s="3200"/>
      <c r="X520" s="3200"/>
      <c r="Y520" s="3200"/>
      <c r="Z520" s="3200"/>
      <c r="AA520" s="3200"/>
      <c r="AB520" s="3200"/>
      <c r="AC520" s="3174">
        <f t="shared" si="329"/>
        <v>0</v>
      </c>
      <c r="AD520" s="3212"/>
      <c r="AE520" s="3212"/>
      <c r="AF520" s="3212"/>
      <c r="AG520" s="3212"/>
      <c r="AH520" s="3212"/>
      <c r="AI520" s="3212"/>
      <c r="AJ520" s="3212"/>
      <c r="AK520" s="3212"/>
      <c r="AL520" s="3212"/>
      <c r="AM520" s="3212"/>
      <c r="AN520" s="3212"/>
      <c r="AO520" s="3212"/>
      <c r="AP520" s="3212"/>
      <c r="AQ520" s="3212"/>
      <c r="AR520" s="3212"/>
      <c r="AS520" s="3212"/>
      <c r="AT520" s="3175"/>
      <c r="AU520" s="3232"/>
      <c r="AV520" s="466">
        <f t="shared" si="324"/>
        <v>0</v>
      </c>
      <c r="AW520" s="466">
        <f t="shared" si="325"/>
        <v>0</v>
      </c>
      <c r="AX520" s="466">
        <f t="shared" si="326"/>
        <v>0</v>
      </c>
      <c r="AY520" s="385">
        <f t="shared" si="330"/>
        <v>0</v>
      </c>
      <c r="AZ520" s="3174">
        <f t="shared" si="331"/>
        <v>0</v>
      </c>
      <c r="BA520" s="3174">
        <f t="shared" si="332"/>
        <v>0</v>
      </c>
      <c r="BB520" s="3174">
        <f t="shared" si="333"/>
        <v>0</v>
      </c>
      <c r="BC520" s="3174">
        <f t="shared" si="334"/>
        <v>0</v>
      </c>
      <c r="BD520" s="3174">
        <f t="shared" si="335"/>
        <v>0</v>
      </c>
      <c r="BE520" s="3174">
        <f t="shared" si="336"/>
        <v>0</v>
      </c>
      <c r="BF520" s="3174">
        <f t="shared" si="337"/>
        <v>0</v>
      </c>
      <c r="BG520" s="3174">
        <f t="shared" si="338"/>
        <v>0</v>
      </c>
      <c r="BH520" s="3174">
        <f t="shared" si="339"/>
        <v>0</v>
      </c>
      <c r="BI520" s="3174">
        <f t="shared" si="340"/>
        <v>0</v>
      </c>
      <c r="BJ520" s="3174">
        <f t="shared" si="341"/>
        <v>0</v>
      </c>
      <c r="BK520" s="3174">
        <f t="shared" si="342"/>
        <v>0</v>
      </c>
      <c r="BL520" s="3174">
        <f t="shared" si="343"/>
        <v>0</v>
      </c>
      <c r="BM520" s="3174">
        <f t="shared" si="344"/>
        <v>0</v>
      </c>
      <c r="BN520" s="3174">
        <f t="shared" si="345"/>
        <v>0</v>
      </c>
      <c r="BO520" s="3174">
        <f t="shared" si="346"/>
        <v>0</v>
      </c>
      <c r="BP520" s="3174">
        <f t="shared" si="347"/>
        <v>0</v>
      </c>
      <c r="BQ520" s="3174">
        <f t="shared" si="348"/>
        <v>0</v>
      </c>
      <c r="BR520" s="3174">
        <f t="shared" si="349"/>
        <v>0</v>
      </c>
      <c r="BS520" s="3174">
        <f t="shared" si="350"/>
        <v>0</v>
      </c>
      <c r="BT520" s="3249">
        <f t="shared" si="351"/>
        <v>0</v>
      </c>
    </row>
    <row r="521" spans="1:72">
      <c r="A521" s="489"/>
      <c r="B521" s="356"/>
      <c r="C521" s="356"/>
      <c r="D521" s="3182"/>
      <c r="E521" s="3174">
        <f t="shared" si="323"/>
        <v>0</v>
      </c>
      <c r="F521" s="3175"/>
      <c r="G521" s="3176">
        <f t="shared" si="327"/>
        <v>0</v>
      </c>
      <c r="H521" s="3177">
        <f t="shared" si="328"/>
        <v>0</v>
      </c>
      <c r="I521" s="3200"/>
      <c r="J521" s="3200"/>
      <c r="K521" s="3200"/>
      <c r="L521" s="3200"/>
      <c r="M521" s="3200"/>
      <c r="N521" s="3200"/>
      <c r="O521" s="3200"/>
      <c r="P521" s="3200"/>
      <c r="Q521" s="3200"/>
      <c r="R521" s="3200"/>
      <c r="S521" s="3200"/>
      <c r="T521" s="3200"/>
      <c r="U521" s="3200"/>
      <c r="V521" s="3200"/>
      <c r="W521" s="3200"/>
      <c r="X521" s="3200"/>
      <c r="Y521" s="3200"/>
      <c r="Z521" s="3200"/>
      <c r="AA521" s="3200"/>
      <c r="AB521" s="3200"/>
      <c r="AC521" s="3174">
        <f t="shared" si="329"/>
        <v>0</v>
      </c>
      <c r="AD521" s="3212"/>
      <c r="AE521" s="3212"/>
      <c r="AF521" s="3212"/>
      <c r="AG521" s="3212"/>
      <c r="AH521" s="3212"/>
      <c r="AI521" s="3212"/>
      <c r="AJ521" s="3212"/>
      <c r="AK521" s="3212"/>
      <c r="AL521" s="3212"/>
      <c r="AM521" s="3212"/>
      <c r="AN521" s="3212"/>
      <c r="AO521" s="3212"/>
      <c r="AP521" s="3212"/>
      <c r="AQ521" s="3212"/>
      <c r="AR521" s="3212"/>
      <c r="AS521" s="3212"/>
      <c r="AT521" s="3175"/>
      <c r="AU521" s="3232"/>
      <c r="AV521" s="466">
        <f t="shared" si="324"/>
        <v>0</v>
      </c>
      <c r="AW521" s="466">
        <f t="shared" si="325"/>
        <v>0</v>
      </c>
      <c r="AX521" s="466">
        <f t="shared" si="326"/>
        <v>0</v>
      </c>
      <c r="AY521" s="385">
        <f t="shared" si="330"/>
        <v>0</v>
      </c>
      <c r="AZ521" s="3174">
        <f t="shared" si="331"/>
        <v>0</v>
      </c>
      <c r="BA521" s="3174">
        <f t="shared" si="332"/>
        <v>0</v>
      </c>
      <c r="BB521" s="3174">
        <f t="shared" si="333"/>
        <v>0</v>
      </c>
      <c r="BC521" s="3174">
        <f t="shared" si="334"/>
        <v>0</v>
      </c>
      <c r="BD521" s="3174">
        <f t="shared" si="335"/>
        <v>0</v>
      </c>
      <c r="BE521" s="3174">
        <f t="shared" si="336"/>
        <v>0</v>
      </c>
      <c r="BF521" s="3174">
        <f t="shared" si="337"/>
        <v>0</v>
      </c>
      <c r="BG521" s="3174">
        <f t="shared" si="338"/>
        <v>0</v>
      </c>
      <c r="BH521" s="3174">
        <f t="shared" si="339"/>
        <v>0</v>
      </c>
      <c r="BI521" s="3174">
        <f t="shared" si="340"/>
        <v>0</v>
      </c>
      <c r="BJ521" s="3174">
        <f t="shared" si="341"/>
        <v>0</v>
      </c>
      <c r="BK521" s="3174">
        <f t="shared" si="342"/>
        <v>0</v>
      </c>
      <c r="BL521" s="3174">
        <f t="shared" si="343"/>
        <v>0</v>
      </c>
      <c r="BM521" s="3174">
        <f t="shared" si="344"/>
        <v>0</v>
      </c>
      <c r="BN521" s="3174">
        <f t="shared" si="345"/>
        <v>0</v>
      </c>
      <c r="BO521" s="3174">
        <f t="shared" si="346"/>
        <v>0</v>
      </c>
      <c r="BP521" s="3174">
        <f t="shared" si="347"/>
        <v>0</v>
      </c>
      <c r="BQ521" s="3174">
        <f t="shared" si="348"/>
        <v>0</v>
      </c>
      <c r="BR521" s="3174">
        <f t="shared" si="349"/>
        <v>0</v>
      </c>
      <c r="BS521" s="3174">
        <f t="shared" si="350"/>
        <v>0</v>
      </c>
      <c r="BT521" s="3249">
        <f t="shared" si="351"/>
        <v>0</v>
      </c>
    </row>
    <row r="522" spans="1:72">
      <c r="A522" s="489"/>
      <c r="B522" s="356"/>
      <c r="C522" s="356"/>
      <c r="D522" s="3182"/>
      <c r="E522" s="3174">
        <f t="shared" si="323"/>
        <v>0</v>
      </c>
      <c r="F522" s="3175"/>
      <c r="G522" s="3176">
        <f t="shared" si="327"/>
        <v>0</v>
      </c>
      <c r="H522" s="3177">
        <f t="shared" si="328"/>
        <v>0</v>
      </c>
      <c r="I522" s="3200"/>
      <c r="J522" s="3200"/>
      <c r="K522" s="3200"/>
      <c r="L522" s="3200"/>
      <c r="M522" s="3200"/>
      <c r="N522" s="3200"/>
      <c r="O522" s="3200"/>
      <c r="P522" s="3200"/>
      <c r="Q522" s="3200"/>
      <c r="R522" s="3200"/>
      <c r="S522" s="3200"/>
      <c r="T522" s="3200"/>
      <c r="U522" s="3200"/>
      <c r="V522" s="3200"/>
      <c r="W522" s="3200"/>
      <c r="X522" s="3200"/>
      <c r="Y522" s="3200"/>
      <c r="Z522" s="3200"/>
      <c r="AA522" s="3200"/>
      <c r="AB522" s="3200"/>
      <c r="AC522" s="3174">
        <f t="shared" si="329"/>
        <v>0</v>
      </c>
      <c r="AD522" s="3212"/>
      <c r="AE522" s="3212"/>
      <c r="AF522" s="3212"/>
      <c r="AG522" s="3212"/>
      <c r="AH522" s="3212"/>
      <c r="AI522" s="3212"/>
      <c r="AJ522" s="3212"/>
      <c r="AK522" s="3212"/>
      <c r="AL522" s="3212"/>
      <c r="AM522" s="3212"/>
      <c r="AN522" s="3212"/>
      <c r="AO522" s="3212"/>
      <c r="AP522" s="3212"/>
      <c r="AQ522" s="3212"/>
      <c r="AR522" s="3212"/>
      <c r="AS522" s="3212"/>
      <c r="AT522" s="3175"/>
      <c r="AU522" s="3232"/>
      <c r="AV522" s="466">
        <f t="shared" si="324"/>
        <v>0</v>
      </c>
      <c r="AW522" s="466">
        <f t="shared" si="325"/>
        <v>0</v>
      </c>
      <c r="AX522" s="466">
        <f t="shared" si="326"/>
        <v>0</v>
      </c>
      <c r="AY522" s="385">
        <f t="shared" si="330"/>
        <v>0</v>
      </c>
      <c r="AZ522" s="3174">
        <f t="shared" si="331"/>
        <v>0</v>
      </c>
      <c r="BA522" s="3174">
        <f t="shared" si="332"/>
        <v>0</v>
      </c>
      <c r="BB522" s="3174">
        <f t="shared" si="333"/>
        <v>0</v>
      </c>
      <c r="BC522" s="3174">
        <f t="shared" si="334"/>
        <v>0</v>
      </c>
      <c r="BD522" s="3174">
        <f t="shared" si="335"/>
        <v>0</v>
      </c>
      <c r="BE522" s="3174">
        <f t="shared" si="336"/>
        <v>0</v>
      </c>
      <c r="BF522" s="3174">
        <f t="shared" si="337"/>
        <v>0</v>
      </c>
      <c r="BG522" s="3174">
        <f t="shared" si="338"/>
        <v>0</v>
      </c>
      <c r="BH522" s="3174">
        <f t="shared" si="339"/>
        <v>0</v>
      </c>
      <c r="BI522" s="3174">
        <f t="shared" si="340"/>
        <v>0</v>
      </c>
      <c r="BJ522" s="3174">
        <f t="shared" si="341"/>
        <v>0</v>
      </c>
      <c r="BK522" s="3174">
        <f t="shared" si="342"/>
        <v>0</v>
      </c>
      <c r="BL522" s="3174">
        <f t="shared" si="343"/>
        <v>0</v>
      </c>
      <c r="BM522" s="3174">
        <f t="shared" si="344"/>
        <v>0</v>
      </c>
      <c r="BN522" s="3174">
        <f t="shared" si="345"/>
        <v>0</v>
      </c>
      <c r="BO522" s="3174">
        <f t="shared" si="346"/>
        <v>0</v>
      </c>
      <c r="BP522" s="3174">
        <f t="shared" si="347"/>
        <v>0</v>
      </c>
      <c r="BQ522" s="3174">
        <f t="shared" si="348"/>
        <v>0</v>
      </c>
      <c r="BR522" s="3174">
        <f t="shared" si="349"/>
        <v>0</v>
      </c>
      <c r="BS522" s="3174">
        <f t="shared" si="350"/>
        <v>0</v>
      </c>
      <c r="BT522" s="3249">
        <f t="shared" si="351"/>
        <v>0</v>
      </c>
    </row>
    <row r="523" spans="1:72">
      <c r="A523" s="489"/>
      <c r="B523" s="356"/>
      <c r="C523" s="356"/>
      <c r="D523" s="3182"/>
      <c r="E523" s="3174">
        <f t="shared" si="323"/>
        <v>0</v>
      </c>
      <c r="F523" s="3175"/>
      <c r="G523" s="3176">
        <f t="shared" si="327"/>
        <v>0</v>
      </c>
      <c r="H523" s="3177">
        <f t="shared" si="328"/>
        <v>0</v>
      </c>
      <c r="I523" s="3200"/>
      <c r="J523" s="3200"/>
      <c r="K523" s="3200"/>
      <c r="L523" s="3200"/>
      <c r="M523" s="3200"/>
      <c r="N523" s="3200"/>
      <c r="O523" s="3200"/>
      <c r="P523" s="3200"/>
      <c r="Q523" s="3200"/>
      <c r="R523" s="3200"/>
      <c r="S523" s="3200"/>
      <c r="T523" s="3200"/>
      <c r="U523" s="3200"/>
      <c r="V523" s="3200"/>
      <c r="W523" s="3200"/>
      <c r="X523" s="3200"/>
      <c r="Y523" s="3200"/>
      <c r="Z523" s="3200"/>
      <c r="AA523" s="3200"/>
      <c r="AB523" s="3200"/>
      <c r="AC523" s="3174">
        <f t="shared" si="329"/>
        <v>0</v>
      </c>
      <c r="AD523" s="3212"/>
      <c r="AE523" s="3212"/>
      <c r="AF523" s="3212"/>
      <c r="AG523" s="3212"/>
      <c r="AH523" s="3212"/>
      <c r="AI523" s="3212"/>
      <c r="AJ523" s="3212"/>
      <c r="AK523" s="3212"/>
      <c r="AL523" s="3212"/>
      <c r="AM523" s="3212"/>
      <c r="AN523" s="3212"/>
      <c r="AO523" s="3212"/>
      <c r="AP523" s="3212"/>
      <c r="AQ523" s="3212"/>
      <c r="AR523" s="3212"/>
      <c r="AS523" s="3212"/>
      <c r="AT523" s="3175"/>
      <c r="AU523" s="3232"/>
      <c r="AV523" s="466">
        <f t="shared" si="324"/>
        <v>0</v>
      </c>
      <c r="AW523" s="466">
        <f t="shared" si="325"/>
        <v>0</v>
      </c>
      <c r="AX523" s="466">
        <f t="shared" si="326"/>
        <v>0</v>
      </c>
      <c r="AY523" s="385">
        <f t="shared" si="330"/>
        <v>0</v>
      </c>
      <c r="AZ523" s="3174">
        <f t="shared" si="331"/>
        <v>0</v>
      </c>
      <c r="BA523" s="3174">
        <f t="shared" si="332"/>
        <v>0</v>
      </c>
      <c r="BB523" s="3174">
        <f t="shared" si="333"/>
        <v>0</v>
      </c>
      <c r="BC523" s="3174">
        <f t="shared" si="334"/>
        <v>0</v>
      </c>
      <c r="BD523" s="3174">
        <f t="shared" si="335"/>
        <v>0</v>
      </c>
      <c r="BE523" s="3174">
        <f t="shared" si="336"/>
        <v>0</v>
      </c>
      <c r="BF523" s="3174">
        <f t="shared" si="337"/>
        <v>0</v>
      </c>
      <c r="BG523" s="3174">
        <f t="shared" si="338"/>
        <v>0</v>
      </c>
      <c r="BH523" s="3174">
        <f t="shared" si="339"/>
        <v>0</v>
      </c>
      <c r="BI523" s="3174">
        <f t="shared" si="340"/>
        <v>0</v>
      </c>
      <c r="BJ523" s="3174">
        <f t="shared" si="341"/>
        <v>0</v>
      </c>
      <c r="BK523" s="3174">
        <f t="shared" si="342"/>
        <v>0</v>
      </c>
      <c r="BL523" s="3174">
        <f t="shared" si="343"/>
        <v>0</v>
      </c>
      <c r="BM523" s="3174">
        <f t="shared" si="344"/>
        <v>0</v>
      </c>
      <c r="BN523" s="3174">
        <f t="shared" si="345"/>
        <v>0</v>
      </c>
      <c r="BO523" s="3174">
        <f t="shared" si="346"/>
        <v>0</v>
      </c>
      <c r="BP523" s="3174">
        <f t="shared" si="347"/>
        <v>0</v>
      </c>
      <c r="BQ523" s="3174">
        <f t="shared" si="348"/>
        <v>0</v>
      </c>
      <c r="BR523" s="3174">
        <f t="shared" si="349"/>
        <v>0</v>
      </c>
      <c r="BS523" s="3174">
        <f t="shared" si="350"/>
        <v>0</v>
      </c>
      <c r="BT523" s="3249">
        <f t="shared" si="351"/>
        <v>0</v>
      </c>
    </row>
    <row r="524" spans="1:72">
      <c r="A524" s="489"/>
      <c r="B524" s="356"/>
      <c r="C524" s="356"/>
      <c r="D524" s="3182"/>
      <c r="E524" s="3174">
        <f t="shared" si="323"/>
        <v>0</v>
      </c>
      <c r="F524" s="3175"/>
      <c r="G524" s="3176">
        <f t="shared" si="327"/>
        <v>0</v>
      </c>
      <c r="H524" s="3177">
        <f t="shared" si="328"/>
        <v>0</v>
      </c>
      <c r="I524" s="3200"/>
      <c r="J524" s="3200"/>
      <c r="K524" s="3200"/>
      <c r="L524" s="3200"/>
      <c r="M524" s="3200"/>
      <c r="N524" s="3200"/>
      <c r="O524" s="3200"/>
      <c r="P524" s="3200"/>
      <c r="Q524" s="3200"/>
      <c r="R524" s="3200"/>
      <c r="S524" s="3200"/>
      <c r="T524" s="3200"/>
      <c r="U524" s="3200"/>
      <c r="V524" s="3200"/>
      <c r="W524" s="3200"/>
      <c r="X524" s="3200"/>
      <c r="Y524" s="3200"/>
      <c r="Z524" s="3200"/>
      <c r="AA524" s="3200"/>
      <c r="AB524" s="3200"/>
      <c r="AC524" s="3174">
        <f t="shared" si="329"/>
        <v>0</v>
      </c>
      <c r="AD524" s="3212"/>
      <c r="AE524" s="3212"/>
      <c r="AF524" s="3212"/>
      <c r="AG524" s="3212"/>
      <c r="AH524" s="3212"/>
      <c r="AI524" s="3212"/>
      <c r="AJ524" s="3212"/>
      <c r="AK524" s="3212"/>
      <c r="AL524" s="3212"/>
      <c r="AM524" s="3212"/>
      <c r="AN524" s="3212"/>
      <c r="AO524" s="3212"/>
      <c r="AP524" s="3212"/>
      <c r="AQ524" s="3212"/>
      <c r="AR524" s="3212"/>
      <c r="AS524" s="3212"/>
      <c r="AT524" s="3175"/>
      <c r="AU524" s="3232"/>
      <c r="AV524" s="466">
        <f t="shared" si="324"/>
        <v>0</v>
      </c>
      <c r="AW524" s="466">
        <f t="shared" si="325"/>
        <v>0</v>
      </c>
      <c r="AX524" s="466">
        <f t="shared" si="326"/>
        <v>0</v>
      </c>
      <c r="AY524" s="385">
        <f t="shared" si="330"/>
        <v>0</v>
      </c>
      <c r="AZ524" s="3174">
        <f t="shared" si="331"/>
        <v>0</v>
      </c>
      <c r="BA524" s="3174">
        <f t="shared" si="332"/>
        <v>0</v>
      </c>
      <c r="BB524" s="3174">
        <f t="shared" si="333"/>
        <v>0</v>
      </c>
      <c r="BC524" s="3174">
        <f t="shared" si="334"/>
        <v>0</v>
      </c>
      <c r="BD524" s="3174">
        <f t="shared" si="335"/>
        <v>0</v>
      </c>
      <c r="BE524" s="3174">
        <f t="shared" si="336"/>
        <v>0</v>
      </c>
      <c r="BF524" s="3174">
        <f t="shared" si="337"/>
        <v>0</v>
      </c>
      <c r="BG524" s="3174">
        <f t="shared" si="338"/>
        <v>0</v>
      </c>
      <c r="BH524" s="3174">
        <f t="shared" si="339"/>
        <v>0</v>
      </c>
      <c r="BI524" s="3174">
        <f t="shared" si="340"/>
        <v>0</v>
      </c>
      <c r="BJ524" s="3174">
        <f t="shared" si="341"/>
        <v>0</v>
      </c>
      <c r="BK524" s="3174">
        <f t="shared" si="342"/>
        <v>0</v>
      </c>
      <c r="BL524" s="3174">
        <f t="shared" si="343"/>
        <v>0</v>
      </c>
      <c r="BM524" s="3174">
        <f t="shared" si="344"/>
        <v>0</v>
      </c>
      <c r="BN524" s="3174">
        <f t="shared" si="345"/>
        <v>0</v>
      </c>
      <c r="BO524" s="3174">
        <f t="shared" si="346"/>
        <v>0</v>
      </c>
      <c r="BP524" s="3174">
        <f t="shared" si="347"/>
        <v>0</v>
      </c>
      <c r="BQ524" s="3174">
        <f t="shared" si="348"/>
        <v>0</v>
      </c>
      <c r="BR524" s="3174">
        <f t="shared" si="349"/>
        <v>0</v>
      </c>
      <c r="BS524" s="3174">
        <f t="shared" si="350"/>
        <v>0</v>
      </c>
      <c r="BT524" s="3249">
        <f t="shared" si="351"/>
        <v>0</v>
      </c>
    </row>
    <row r="525" spans="1:72">
      <c r="A525" s="489"/>
      <c r="B525" s="356"/>
      <c r="C525" s="356"/>
      <c r="D525" s="3182"/>
      <c r="E525" s="3174">
        <f t="shared" si="323"/>
        <v>0</v>
      </c>
      <c r="F525" s="3175"/>
      <c r="G525" s="3176">
        <f t="shared" si="327"/>
        <v>0</v>
      </c>
      <c r="H525" s="3177">
        <f t="shared" si="328"/>
        <v>0</v>
      </c>
      <c r="I525" s="3200"/>
      <c r="J525" s="3200"/>
      <c r="K525" s="3200"/>
      <c r="L525" s="3200"/>
      <c r="M525" s="3200"/>
      <c r="N525" s="3200"/>
      <c r="O525" s="3200"/>
      <c r="P525" s="3200"/>
      <c r="Q525" s="3200"/>
      <c r="R525" s="3200"/>
      <c r="S525" s="3200"/>
      <c r="T525" s="3200"/>
      <c r="U525" s="3200"/>
      <c r="V525" s="3200"/>
      <c r="W525" s="3200"/>
      <c r="X525" s="3200"/>
      <c r="Y525" s="3200"/>
      <c r="Z525" s="3200"/>
      <c r="AA525" s="3200"/>
      <c r="AB525" s="3200"/>
      <c r="AC525" s="3174">
        <f t="shared" si="329"/>
        <v>0</v>
      </c>
      <c r="AD525" s="3212"/>
      <c r="AE525" s="3212"/>
      <c r="AF525" s="3212"/>
      <c r="AG525" s="3212"/>
      <c r="AH525" s="3212"/>
      <c r="AI525" s="3212"/>
      <c r="AJ525" s="3212"/>
      <c r="AK525" s="3212"/>
      <c r="AL525" s="3212"/>
      <c r="AM525" s="3212"/>
      <c r="AN525" s="3212"/>
      <c r="AO525" s="3212"/>
      <c r="AP525" s="3212"/>
      <c r="AQ525" s="3212"/>
      <c r="AR525" s="3212"/>
      <c r="AS525" s="3212"/>
      <c r="AT525" s="3175"/>
      <c r="AU525" s="3232"/>
      <c r="AV525" s="466">
        <f t="shared" si="324"/>
        <v>0</v>
      </c>
      <c r="AW525" s="466">
        <f t="shared" si="325"/>
        <v>0</v>
      </c>
      <c r="AX525" s="466">
        <f t="shared" si="326"/>
        <v>0</v>
      </c>
      <c r="AY525" s="385">
        <f t="shared" si="330"/>
        <v>0</v>
      </c>
      <c r="AZ525" s="3174">
        <f t="shared" si="331"/>
        <v>0</v>
      </c>
      <c r="BA525" s="3174">
        <f t="shared" si="332"/>
        <v>0</v>
      </c>
      <c r="BB525" s="3174">
        <f t="shared" si="333"/>
        <v>0</v>
      </c>
      <c r="BC525" s="3174">
        <f t="shared" si="334"/>
        <v>0</v>
      </c>
      <c r="BD525" s="3174">
        <f t="shared" si="335"/>
        <v>0</v>
      </c>
      <c r="BE525" s="3174">
        <f t="shared" si="336"/>
        <v>0</v>
      </c>
      <c r="BF525" s="3174">
        <f t="shared" si="337"/>
        <v>0</v>
      </c>
      <c r="BG525" s="3174">
        <f t="shared" si="338"/>
        <v>0</v>
      </c>
      <c r="BH525" s="3174">
        <f t="shared" si="339"/>
        <v>0</v>
      </c>
      <c r="BI525" s="3174">
        <f t="shared" si="340"/>
        <v>0</v>
      </c>
      <c r="BJ525" s="3174">
        <f t="shared" si="341"/>
        <v>0</v>
      </c>
      <c r="BK525" s="3174">
        <f t="shared" si="342"/>
        <v>0</v>
      </c>
      <c r="BL525" s="3174">
        <f t="shared" si="343"/>
        <v>0</v>
      </c>
      <c r="BM525" s="3174">
        <f t="shared" si="344"/>
        <v>0</v>
      </c>
      <c r="BN525" s="3174">
        <f t="shared" si="345"/>
        <v>0</v>
      </c>
      <c r="BO525" s="3174">
        <f t="shared" si="346"/>
        <v>0</v>
      </c>
      <c r="BP525" s="3174">
        <f t="shared" si="347"/>
        <v>0</v>
      </c>
      <c r="BQ525" s="3174">
        <f t="shared" si="348"/>
        <v>0</v>
      </c>
      <c r="BR525" s="3174">
        <f t="shared" si="349"/>
        <v>0</v>
      </c>
      <c r="BS525" s="3174">
        <f t="shared" si="350"/>
        <v>0</v>
      </c>
      <c r="BT525" s="3249">
        <f t="shared" si="351"/>
        <v>0</v>
      </c>
    </row>
    <row r="526" spans="1:72">
      <c r="A526" s="489"/>
      <c r="B526" s="356"/>
      <c r="C526" s="356"/>
      <c r="D526" s="3182"/>
      <c r="E526" s="3174">
        <f t="shared" si="323"/>
        <v>0</v>
      </c>
      <c r="F526" s="3175"/>
      <c r="G526" s="3176">
        <f t="shared" si="327"/>
        <v>0</v>
      </c>
      <c r="H526" s="3177">
        <f t="shared" si="328"/>
        <v>0</v>
      </c>
      <c r="I526" s="3200"/>
      <c r="J526" s="3200"/>
      <c r="K526" s="3200"/>
      <c r="L526" s="3200"/>
      <c r="M526" s="3200"/>
      <c r="N526" s="3200"/>
      <c r="O526" s="3200"/>
      <c r="P526" s="3200"/>
      <c r="Q526" s="3200"/>
      <c r="R526" s="3200"/>
      <c r="S526" s="3200"/>
      <c r="T526" s="3200"/>
      <c r="U526" s="3200"/>
      <c r="V526" s="3200"/>
      <c r="W526" s="3200"/>
      <c r="X526" s="3200"/>
      <c r="Y526" s="3200"/>
      <c r="Z526" s="3200"/>
      <c r="AA526" s="3200"/>
      <c r="AB526" s="3200"/>
      <c r="AC526" s="3174">
        <f t="shared" si="329"/>
        <v>0</v>
      </c>
      <c r="AD526" s="3212"/>
      <c r="AE526" s="3212"/>
      <c r="AF526" s="3212"/>
      <c r="AG526" s="3212"/>
      <c r="AH526" s="3212"/>
      <c r="AI526" s="3212"/>
      <c r="AJ526" s="3212"/>
      <c r="AK526" s="3212"/>
      <c r="AL526" s="3212"/>
      <c r="AM526" s="3212"/>
      <c r="AN526" s="3212"/>
      <c r="AO526" s="3212"/>
      <c r="AP526" s="3212"/>
      <c r="AQ526" s="3212"/>
      <c r="AR526" s="3212"/>
      <c r="AS526" s="3212"/>
      <c r="AT526" s="3175"/>
      <c r="AU526" s="3232"/>
      <c r="AV526" s="466">
        <f t="shared" si="324"/>
        <v>0</v>
      </c>
      <c r="AW526" s="466">
        <f t="shared" si="325"/>
        <v>0</v>
      </c>
      <c r="AX526" s="466">
        <f t="shared" si="326"/>
        <v>0</v>
      </c>
      <c r="AY526" s="385">
        <f t="shared" si="330"/>
        <v>0</v>
      </c>
      <c r="AZ526" s="3174">
        <f t="shared" si="331"/>
        <v>0</v>
      </c>
      <c r="BA526" s="3174">
        <f t="shared" si="332"/>
        <v>0</v>
      </c>
      <c r="BB526" s="3174">
        <f t="shared" si="333"/>
        <v>0</v>
      </c>
      <c r="BC526" s="3174">
        <f t="shared" si="334"/>
        <v>0</v>
      </c>
      <c r="BD526" s="3174">
        <f t="shared" si="335"/>
        <v>0</v>
      </c>
      <c r="BE526" s="3174">
        <f t="shared" si="336"/>
        <v>0</v>
      </c>
      <c r="BF526" s="3174">
        <f t="shared" si="337"/>
        <v>0</v>
      </c>
      <c r="BG526" s="3174">
        <f t="shared" si="338"/>
        <v>0</v>
      </c>
      <c r="BH526" s="3174">
        <f t="shared" si="339"/>
        <v>0</v>
      </c>
      <c r="BI526" s="3174">
        <f t="shared" si="340"/>
        <v>0</v>
      </c>
      <c r="BJ526" s="3174">
        <f t="shared" si="341"/>
        <v>0</v>
      </c>
      <c r="BK526" s="3174">
        <f t="shared" si="342"/>
        <v>0</v>
      </c>
      <c r="BL526" s="3174">
        <f t="shared" si="343"/>
        <v>0</v>
      </c>
      <c r="BM526" s="3174">
        <f t="shared" si="344"/>
        <v>0</v>
      </c>
      <c r="BN526" s="3174">
        <f t="shared" si="345"/>
        <v>0</v>
      </c>
      <c r="BO526" s="3174">
        <f t="shared" si="346"/>
        <v>0</v>
      </c>
      <c r="BP526" s="3174">
        <f t="shared" si="347"/>
        <v>0</v>
      </c>
      <c r="BQ526" s="3174">
        <f t="shared" si="348"/>
        <v>0</v>
      </c>
      <c r="BR526" s="3174">
        <f t="shared" si="349"/>
        <v>0</v>
      </c>
      <c r="BS526" s="3174">
        <f t="shared" si="350"/>
        <v>0</v>
      </c>
      <c r="BT526" s="3249">
        <f t="shared" si="351"/>
        <v>0</v>
      </c>
    </row>
    <row r="527" spans="1:72">
      <c r="A527" s="489"/>
      <c r="B527" s="356"/>
      <c r="C527" s="356"/>
      <c r="D527" s="3182"/>
      <c r="E527" s="3174">
        <f t="shared" si="323"/>
        <v>0</v>
      </c>
      <c r="F527" s="3175"/>
      <c r="G527" s="3176">
        <f t="shared" si="327"/>
        <v>0</v>
      </c>
      <c r="H527" s="3177">
        <f t="shared" si="328"/>
        <v>0</v>
      </c>
      <c r="I527" s="3200"/>
      <c r="J527" s="3200"/>
      <c r="K527" s="3200"/>
      <c r="L527" s="3200"/>
      <c r="M527" s="3200"/>
      <c r="N527" s="3200"/>
      <c r="O527" s="3200"/>
      <c r="P527" s="3200"/>
      <c r="Q527" s="3200"/>
      <c r="R527" s="3200"/>
      <c r="S527" s="3200"/>
      <c r="T527" s="3200"/>
      <c r="U527" s="3200"/>
      <c r="V527" s="3200"/>
      <c r="W527" s="3200"/>
      <c r="X527" s="3200"/>
      <c r="Y527" s="3200"/>
      <c r="Z527" s="3200"/>
      <c r="AA527" s="3200"/>
      <c r="AB527" s="3200"/>
      <c r="AC527" s="3174">
        <f t="shared" si="329"/>
        <v>0</v>
      </c>
      <c r="AD527" s="3212"/>
      <c r="AE527" s="3212"/>
      <c r="AF527" s="3212"/>
      <c r="AG527" s="3212"/>
      <c r="AH527" s="3212"/>
      <c r="AI527" s="3212"/>
      <c r="AJ527" s="3212"/>
      <c r="AK527" s="3212"/>
      <c r="AL527" s="3212"/>
      <c r="AM527" s="3212"/>
      <c r="AN527" s="3212"/>
      <c r="AO527" s="3212"/>
      <c r="AP527" s="3212"/>
      <c r="AQ527" s="3212"/>
      <c r="AR527" s="3212"/>
      <c r="AS527" s="3212"/>
      <c r="AT527" s="3175"/>
      <c r="AU527" s="3232"/>
      <c r="AV527" s="466">
        <f t="shared" si="324"/>
        <v>0</v>
      </c>
      <c r="AW527" s="466">
        <f t="shared" si="325"/>
        <v>0</v>
      </c>
      <c r="AX527" s="466">
        <f t="shared" si="326"/>
        <v>0</v>
      </c>
      <c r="AY527" s="385">
        <f t="shared" si="330"/>
        <v>0</v>
      </c>
      <c r="AZ527" s="3174">
        <f t="shared" si="331"/>
        <v>0</v>
      </c>
      <c r="BA527" s="3174">
        <f t="shared" si="332"/>
        <v>0</v>
      </c>
      <c r="BB527" s="3174">
        <f t="shared" si="333"/>
        <v>0</v>
      </c>
      <c r="BC527" s="3174">
        <f t="shared" si="334"/>
        <v>0</v>
      </c>
      <c r="BD527" s="3174">
        <f t="shared" si="335"/>
        <v>0</v>
      </c>
      <c r="BE527" s="3174">
        <f t="shared" si="336"/>
        <v>0</v>
      </c>
      <c r="BF527" s="3174">
        <f t="shared" si="337"/>
        <v>0</v>
      </c>
      <c r="BG527" s="3174">
        <f t="shared" si="338"/>
        <v>0</v>
      </c>
      <c r="BH527" s="3174">
        <f t="shared" si="339"/>
        <v>0</v>
      </c>
      <c r="BI527" s="3174">
        <f t="shared" si="340"/>
        <v>0</v>
      </c>
      <c r="BJ527" s="3174">
        <f t="shared" si="341"/>
        <v>0</v>
      </c>
      <c r="BK527" s="3174">
        <f t="shared" si="342"/>
        <v>0</v>
      </c>
      <c r="BL527" s="3174">
        <f t="shared" si="343"/>
        <v>0</v>
      </c>
      <c r="BM527" s="3174">
        <f t="shared" si="344"/>
        <v>0</v>
      </c>
      <c r="BN527" s="3174">
        <f t="shared" si="345"/>
        <v>0</v>
      </c>
      <c r="BO527" s="3174">
        <f t="shared" si="346"/>
        <v>0</v>
      </c>
      <c r="BP527" s="3174">
        <f t="shared" si="347"/>
        <v>0</v>
      </c>
      <c r="BQ527" s="3174">
        <f t="shared" si="348"/>
        <v>0</v>
      </c>
      <c r="BR527" s="3174">
        <f t="shared" si="349"/>
        <v>0</v>
      </c>
      <c r="BS527" s="3174">
        <f t="shared" si="350"/>
        <v>0</v>
      </c>
      <c r="BT527" s="3249">
        <f t="shared" si="351"/>
        <v>0</v>
      </c>
    </row>
    <row r="528" spans="1:72">
      <c r="A528" s="489"/>
      <c r="B528" s="356"/>
      <c r="C528" s="356"/>
      <c r="D528" s="3182"/>
      <c r="E528" s="3174">
        <f t="shared" si="323"/>
        <v>0</v>
      </c>
      <c r="F528" s="3175"/>
      <c r="G528" s="3176">
        <f t="shared" si="327"/>
        <v>0</v>
      </c>
      <c r="H528" s="3177">
        <f t="shared" si="328"/>
        <v>0</v>
      </c>
      <c r="I528" s="3200"/>
      <c r="J528" s="3200"/>
      <c r="K528" s="3200"/>
      <c r="L528" s="3200"/>
      <c r="M528" s="3200"/>
      <c r="N528" s="3200"/>
      <c r="O528" s="3200"/>
      <c r="P528" s="3200"/>
      <c r="Q528" s="3200"/>
      <c r="R528" s="3200"/>
      <c r="S528" s="3200"/>
      <c r="T528" s="3200"/>
      <c r="U528" s="3200"/>
      <c r="V528" s="3200"/>
      <c r="W528" s="3200"/>
      <c r="X528" s="3200"/>
      <c r="Y528" s="3200"/>
      <c r="Z528" s="3200"/>
      <c r="AA528" s="3200"/>
      <c r="AB528" s="3200"/>
      <c r="AC528" s="3174">
        <f t="shared" si="329"/>
        <v>0</v>
      </c>
      <c r="AD528" s="3212"/>
      <c r="AE528" s="3212"/>
      <c r="AF528" s="3212"/>
      <c r="AG528" s="3212"/>
      <c r="AH528" s="3212"/>
      <c r="AI528" s="3212"/>
      <c r="AJ528" s="3212"/>
      <c r="AK528" s="3212"/>
      <c r="AL528" s="3212"/>
      <c r="AM528" s="3212"/>
      <c r="AN528" s="3212"/>
      <c r="AO528" s="3212"/>
      <c r="AP528" s="3212"/>
      <c r="AQ528" s="3212"/>
      <c r="AR528" s="3212"/>
      <c r="AS528" s="3212"/>
      <c r="AT528" s="3175"/>
      <c r="AU528" s="3232"/>
      <c r="AV528" s="466">
        <f t="shared" si="324"/>
        <v>0</v>
      </c>
      <c r="AW528" s="466">
        <f t="shared" si="325"/>
        <v>0</v>
      </c>
      <c r="AX528" s="466">
        <f t="shared" si="326"/>
        <v>0</v>
      </c>
      <c r="AY528" s="385">
        <f t="shared" si="330"/>
        <v>0</v>
      </c>
      <c r="AZ528" s="3174">
        <f t="shared" si="331"/>
        <v>0</v>
      </c>
      <c r="BA528" s="3174">
        <f t="shared" si="332"/>
        <v>0</v>
      </c>
      <c r="BB528" s="3174">
        <f t="shared" si="333"/>
        <v>0</v>
      </c>
      <c r="BC528" s="3174">
        <f t="shared" si="334"/>
        <v>0</v>
      </c>
      <c r="BD528" s="3174">
        <f t="shared" si="335"/>
        <v>0</v>
      </c>
      <c r="BE528" s="3174">
        <f t="shared" si="336"/>
        <v>0</v>
      </c>
      <c r="BF528" s="3174">
        <f t="shared" si="337"/>
        <v>0</v>
      </c>
      <c r="BG528" s="3174">
        <f t="shared" si="338"/>
        <v>0</v>
      </c>
      <c r="BH528" s="3174">
        <f t="shared" si="339"/>
        <v>0</v>
      </c>
      <c r="BI528" s="3174">
        <f t="shared" si="340"/>
        <v>0</v>
      </c>
      <c r="BJ528" s="3174">
        <f t="shared" si="341"/>
        <v>0</v>
      </c>
      <c r="BK528" s="3174">
        <f t="shared" si="342"/>
        <v>0</v>
      </c>
      <c r="BL528" s="3174">
        <f t="shared" si="343"/>
        <v>0</v>
      </c>
      <c r="BM528" s="3174">
        <f t="shared" si="344"/>
        <v>0</v>
      </c>
      <c r="BN528" s="3174">
        <f t="shared" si="345"/>
        <v>0</v>
      </c>
      <c r="BO528" s="3174">
        <f t="shared" si="346"/>
        <v>0</v>
      </c>
      <c r="BP528" s="3174">
        <f t="shared" si="347"/>
        <v>0</v>
      </c>
      <c r="BQ528" s="3174">
        <f t="shared" si="348"/>
        <v>0</v>
      </c>
      <c r="BR528" s="3174">
        <f t="shared" si="349"/>
        <v>0</v>
      </c>
      <c r="BS528" s="3174">
        <f t="shared" si="350"/>
        <v>0</v>
      </c>
      <c r="BT528" s="3249">
        <f t="shared" si="351"/>
        <v>0</v>
      </c>
    </row>
    <row r="529" spans="1:72">
      <c r="A529" s="489"/>
      <c r="B529" s="356"/>
      <c r="C529" s="356"/>
      <c r="D529" s="3182"/>
      <c r="E529" s="3174">
        <f t="shared" si="323"/>
        <v>0</v>
      </c>
      <c r="F529" s="3175"/>
      <c r="G529" s="3176">
        <f t="shared" si="327"/>
        <v>0</v>
      </c>
      <c r="H529" s="3177">
        <f t="shared" si="328"/>
        <v>0</v>
      </c>
      <c r="I529" s="3200"/>
      <c r="J529" s="3200"/>
      <c r="K529" s="3200"/>
      <c r="L529" s="3200"/>
      <c r="M529" s="3200"/>
      <c r="N529" s="3200"/>
      <c r="O529" s="3200"/>
      <c r="P529" s="3200"/>
      <c r="Q529" s="3200"/>
      <c r="R529" s="3200"/>
      <c r="S529" s="3200"/>
      <c r="T529" s="3200"/>
      <c r="U529" s="3200"/>
      <c r="V529" s="3200"/>
      <c r="W529" s="3200"/>
      <c r="X529" s="3200"/>
      <c r="Y529" s="3200"/>
      <c r="Z529" s="3200"/>
      <c r="AA529" s="3200"/>
      <c r="AB529" s="3200"/>
      <c r="AC529" s="3174">
        <f t="shared" si="329"/>
        <v>0</v>
      </c>
      <c r="AD529" s="3212"/>
      <c r="AE529" s="3212"/>
      <c r="AF529" s="3212"/>
      <c r="AG529" s="3212"/>
      <c r="AH529" s="3212"/>
      <c r="AI529" s="3212"/>
      <c r="AJ529" s="3212"/>
      <c r="AK529" s="3212"/>
      <c r="AL529" s="3212"/>
      <c r="AM529" s="3212"/>
      <c r="AN529" s="3212"/>
      <c r="AO529" s="3212"/>
      <c r="AP529" s="3212"/>
      <c r="AQ529" s="3212"/>
      <c r="AR529" s="3212"/>
      <c r="AS529" s="3212"/>
      <c r="AT529" s="3175"/>
      <c r="AU529" s="3232"/>
      <c r="AV529" s="466">
        <f t="shared" si="324"/>
        <v>0</v>
      </c>
      <c r="AW529" s="466">
        <f t="shared" si="325"/>
        <v>0</v>
      </c>
      <c r="AX529" s="466">
        <f t="shared" si="326"/>
        <v>0</v>
      </c>
      <c r="AY529" s="385">
        <f t="shared" si="330"/>
        <v>0</v>
      </c>
      <c r="AZ529" s="3174">
        <f t="shared" si="331"/>
        <v>0</v>
      </c>
      <c r="BA529" s="3174">
        <f t="shared" si="332"/>
        <v>0</v>
      </c>
      <c r="BB529" s="3174">
        <f t="shared" si="333"/>
        <v>0</v>
      </c>
      <c r="BC529" s="3174">
        <f t="shared" si="334"/>
        <v>0</v>
      </c>
      <c r="BD529" s="3174">
        <f t="shared" si="335"/>
        <v>0</v>
      </c>
      <c r="BE529" s="3174">
        <f t="shared" si="336"/>
        <v>0</v>
      </c>
      <c r="BF529" s="3174">
        <f t="shared" si="337"/>
        <v>0</v>
      </c>
      <c r="BG529" s="3174">
        <f t="shared" si="338"/>
        <v>0</v>
      </c>
      <c r="BH529" s="3174">
        <f t="shared" si="339"/>
        <v>0</v>
      </c>
      <c r="BI529" s="3174">
        <f t="shared" si="340"/>
        <v>0</v>
      </c>
      <c r="BJ529" s="3174">
        <f t="shared" si="341"/>
        <v>0</v>
      </c>
      <c r="BK529" s="3174">
        <f t="shared" si="342"/>
        <v>0</v>
      </c>
      <c r="BL529" s="3174">
        <f t="shared" si="343"/>
        <v>0</v>
      </c>
      <c r="BM529" s="3174">
        <f t="shared" si="344"/>
        <v>0</v>
      </c>
      <c r="BN529" s="3174">
        <f t="shared" si="345"/>
        <v>0</v>
      </c>
      <c r="BO529" s="3174">
        <f t="shared" si="346"/>
        <v>0</v>
      </c>
      <c r="BP529" s="3174">
        <f t="shared" si="347"/>
        <v>0</v>
      </c>
      <c r="BQ529" s="3174">
        <f t="shared" si="348"/>
        <v>0</v>
      </c>
      <c r="BR529" s="3174">
        <f t="shared" si="349"/>
        <v>0</v>
      </c>
      <c r="BS529" s="3174">
        <f t="shared" si="350"/>
        <v>0</v>
      </c>
      <c r="BT529" s="3249">
        <f t="shared" si="351"/>
        <v>0</v>
      </c>
    </row>
    <row r="530" spans="1:72">
      <c r="A530" s="489"/>
      <c r="B530" s="356"/>
      <c r="C530" s="356"/>
      <c r="D530" s="3182"/>
      <c r="E530" s="3174">
        <f t="shared" si="323"/>
        <v>0</v>
      </c>
      <c r="F530" s="3175"/>
      <c r="G530" s="3176">
        <f t="shared" si="327"/>
        <v>0</v>
      </c>
      <c r="H530" s="3177">
        <f t="shared" si="328"/>
        <v>0</v>
      </c>
      <c r="I530" s="3200"/>
      <c r="J530" s="3200"/>
      <c r="K530" s="3200"/>
      <c r="L530" s="3200"/>
      <c r="M530" s="3200"/>
      <c r="N530" s="3200"/>
      <c r="O530" s="3200"/>
      <c r="P530" s="3200"/>
      <c r="Q530" s="3200"/>
      <c r="R530" s="3200"/>
      <c r="S530" s="3200"/>
      <c r="T530" s="3200"/>
      <c r="U530" s="3200"/>
      <c r="V530" s="3200"/>
      <c r="W530" s="3200"/>
      <c r="X530" s="3200"/>
      <c r="Y530" s="3200"/>
      <c r="Z530" s="3200"/>
      <c r="AA530" s="3200"/>
      <c r="AB530" s="3200"/>
      <c r="AC530" s="3174">
        <f t="shared" si="329"/>
        <v>0</v>
      </c>
      <c r="AD530" s="3212"/>
      <c r="AE530" s="3212"/>
      <c r="AF530" s="3212"/>
      <c r="AG530" s="3212"/>
      <c r="AH530" s="3212"/>
      <c r="AI530" s="3212"/>
      <c r="AJ530" s="3212"/>
      <c r="AK530" s="3212"/>
      <c r="AL530" s="3212"/>
      <c r="AM530" s="3212"/>
      <c r="AN530" s="3212"/>
      <c r="AO530" s="3212"/>
      <c r="AP530" s="3212"/>
      <c r="AQ530" s="3212"/>
      <c r="AR530" s="3212"/>
      <c r="AS530" s="3212"/>
      <c r="AT530" s="3175"/>
      <c r="AU530" s="3232"/>
      <c r="AV530" s="466">
        <f t="shared" si="324"/>
        <v>0</v>
      </c>
      <c r="AW530" s="466">
        <f t="shared" si="325"/>
        <v>0</v>
      </c>
      <c r="AX530" s="466">
        <f t="shared" si="326"/>
        <v>0</v>
      </c>
      <c r="AY530" s="385">
        <f t="shared" si="330"/>
        <v>0</v>
      </c>
      <c r="AZ530" s="3174">
        <f t="shared" si="331"/>
        <v>0</v>
      </c>
      <c r="BA530" s="3174">
        <f t="shared" si="332"/>
        <v>0</v>
      </c>
      <c r="BB530" s="3174">
        <f t="shared" si="333"/>
        <v>0</v>
      </c>
      <c r="BC530" s="3174">
        <f t="shared" si="334"/>
        <v>0</v>
      </c>
      <c r="BD530" s="3174">
        <f t="shared" si="335"/>
        <v>0</v>
      </c>
      <c r="BE530" s="3174">
        <f t="shared" si="336"/>
        <v>0</v>
      </c>
      <c r="BF530" s="3174">
        <f t="shared" si="337"/>
        <v>0</v>
      </c>
      <c r="BG530" s="3174">
        <f t="shared" si="338"/>
        <v>0</v>
      </c>
      <c r="BH530" s="3174">
        <f t="shared" si="339"/>
        <v>0</v>
      </c>
      <c r="BI530" s="3174">
        <f t="shared" si="340"/>
        <v>0</v>
      </c>
      <c r="BJ530" s="3174">
        <f t="shared" si="341"/>
        <v>0</v>
      </c>
      <c r="BK530" s="3174">
        <f t="shared" si="342"/>
        <v>0</v>
      </c>
      <c r="BL530" s="3174">
        <f t="shared" si="343"/>
        <v>0</v>
      </c>
      <c r="BM530" s="3174">
        <f t="shared" si="344"/>
        <v>0</v>
      </c>
      <c r="BN530" s="3174">
        <f t="shared" si="345"/>
        <v>0</v>
      </c>
      <c r="BO530" s="3174">
        <f t="shared" si="346"/>
        <v>0</v>
      </c>
      <c r="BP530" s="3174">
        <f t="shared" si="347"/>
        <v>0</v>
      </c>
      <c r="BQ530" s="3174">
        <f t="shared" si="348"/>
        <v>0</v>
      </c>
      <c r="BR530" s="3174">
        <f t="shared" si="349"/>
        <v>0</v>
      </c>
      <c r="BS530" s="3174">
        <f t="shared" si="350"/>
        <v>0</v>
      </c>
      <c r="BT530" s="3249">
        <f t="shared" si="351"/>
        <v>0</v>
      </c>
    </row>
    <row r="531" spans="1:72">
      <c r="A531" s="489"/>
      <c r="B531" s="356"/>
      <c r="C531" s="356"/>
      <c r="D531" s="3182"/>
      <c r="E531" s="3174">
        <f t="shared" si="323"/>
        <v>0</v>
      </c>
      <c r="F531" s="3175"/>
      <c r="G531" s="3176">
        <f t="shared" si="327"/>
        <v>0</v>
      </c>
      <c r="H531" s="3177">
        <f t="shared" si="328"/>
        <v>0</v>
      </c>
      <c r="I531" s="3200"/>
      <c r="J531" s="3200"/>
      <c r="K531" s="3200"/>
      <c r="L531" s="3200"/>
      <c r="M531" s="3200"/>
      <c r="N531" s="3200"/>
      <c r="O531" s="3200"/>
      <c r="P531" s="3200"/>
      <c r="Q531" s="3200"/>
      <c r="R531" s="3200"/>
      <c r="S531" s="3200"/>
      <c r="T531" s="3200"/>
      <c r="U531" s="3200"/>
      <c r="V531" s="3200"/>
      <c r="W531" s="3200"/>
      <c r="X531" s="3200"/>
      <c r="Y531" s="3200"/>
      <c r="Z531" s="3200"/>
      <c r="AA531" s="3200"/>
      <c r="AB531" s="3200"/>
      <c r="AC531" s="3174">
        <f t="shared" si="329"/>
        <v>0</v>
      </c>
      <c r="AD531" s="3212"/>
      <c r="AE531" s="3212"/>
      <c r="AF531" s="3212"/>
      <c r="AG531" s="3212"/>
      <c r="AH531" s="3212"/>
      <c r="AI531" s="3212"/>
      <c r="AJ531" s="3212"/>
      <c r="AK531" s="3212"/>
      <c r="AL531" s="3212"/>
      <c r="AM531" s="3212"/>
      <c r="AN531" s="3212"/>
      <c r="AO531" s="3212"/>
      <c r="AP531" s="3212"/>
      <c r="AQ531" s="3212"/>
      <c r="AR531" s="3212"/>
      <c r="AS531" s="3212"/>
      <c r="AT531" s="3175"/>
      <c r="AU531" s="3232"/>
      <c r="AV531" s="466">
        <f t="shared" si="324"/>
        <v>0</v>
      </c>
      <c r="AW531" s="466">
        <f t="shared" si="325"/>
        <v>0</v>
      </c>
      <c r="AX531" s="466">
        <f t="shared" si="326"/>
        <v>0</v>
      </c>
      <c r="AY531" s="385">
        <f t="shared" si="330"/>
        <v>0</v>
      </c>
      <c r="AZ531" s="3174">
        <f t="shared" si="331"/>
        <v>0</v>
      </c>
      <c r="BA531" s="3174">
        <f t="shared" si="332"/>
        <v>0</v>
      </c>
      <c r="BB531" s="3174">
        <f t="shared" si="333"/>
        <v>0</v>
      </c>
      <c r="BC531" s="3174">
        <f t="shared" si="334"/>
        <v>0</v>
      </c>
      <c r="BD531" s="3174">
        <f t="shared" si="335"/>
        <v>0</v>
      </c>
      <c r="BE531" s="3174">
        <f t="shared" si="336"/>
        <v>0</v>
      </c>
      <c r="BF531" s="3174">
        <f t="shared" si="337"/>
        <v>0</v>
      </c>
      <c r="BG531" s="3174">
        <f t="shared" si="338"/>
        <v>0</v>
      </c>
      <c r="BH531" s="3174">
        <f t="shared" si="339"/>
        <v>0</v>
      </c>
      <c r="BI531" s="3174">
        <f t="shared" si="340"/>
        <v>0</v>
      </c>
      <c r="BJ531" s="3174">
        <f t="shared" si="341"/>
        <v>0</v>
      </c>
      <c r="BK531" s="3174">
        <f t="shared" si="342"/>
        <v>0</v>
      </c>
      <c r="BL531" s="3174">
        <f t="shared" si="343"/>
        <v>0</v>
      </c>
      <c r="BM531" s="3174">
        <f t="shared" si="344"/>
        <v>0</v>
      </c>
      <c r="BN531" s="3174">
        <f t="shared" si="345"/>
        <v>0</v>
      </c>
      <c r="BO531" s="3174">
        <f t="shared" si="346"/>
        <v>0</v>
      </c>
      <c r="BP531" s="3174">
        <f t="shared" si="347"/>
        <v>0</v>
      </c>
      <c r="BQ531" s="3174">
        <f t="shared" si="348"/>
        <v>0</v>
      </c>
      <c r="BR531" s="3174">
        <f t="shared" si="349"/>
        <v>0</v>
      </c>
      <c r="BS531" s="3174">
        <f t="shared" si="350"/>
        <v>0</v>
      </c>
      <c r="BT531" s="3249">
        <f t="shared" si="351"/>
        <v>0</v>
      </c>
    </row>
    <row r="532" spans="1:72">
      <c r="A532" s="489"/>
      <c r="B532" s="356"/>
      <c r="C532" s="356"/>
      <c r="D532" s="3182"/>
      <c r="E532" s="3174">
        <f t="shared" si="323"/>
        <v>0</v>
      </c>
      <c r="F532" s="3175"/>
      <c r="G532" s="3176">
        <f t="shared" si="327"/>
        <v>0</v>
      </c>
      <c r="H532" s="3177">
        <f t="shared" si="328"/>
        <v>0</v>
      </c>
      <c r="I532" s="3200"/>
      <c r="J532" s="3200"/>
      <c r="K532" s="3200"/>
      <c r="L532" s="3200"/>
      <c r="M532" s="3200"/>
      <c r="N532" s="3200"/>
      <c r="O532" s="3200"/>
      <c r="P532" s="3200"/>
      <c r="Q532" s="3200"/>
      <c r="R532" s="3200"/>
      <c r="S532" s="3200"/>
      <c r="T532" s="3200"/>
      <c r="U532" s="3200"/>
      <c r="V532" s="3200"/>
      <c r="W532" s="3200"/>
      <c r="X532" s="3200"/>
      <c r="Y532" s="3200"/>
      <c r="Z532" s="3200"/>
      <c r="AA532" s="3200"/>
      <c r="AB532" s="3200"/>
      <c r="AC532" s="3174">
        <f t="shared" si="329"/>
        <v>0</v>
      </c>
      <c r="AD532" s="3212"/>
      <c r="AE532" s="3212"/>
      <c r="AF532" s="3212"/>
      <c r="AG532" s="3212"/>
      <c r="AH532" s="3212"/>
      <c r="AI532" s="3212"/>
      <c r="AJ532" s="3212"/>
      <c r="AK532" s="3212"/>
      <c r="AL532" s="3212"/>
      <c r="AM532" s="3212"/>
      <c r="AN532" s="3212"/>
      <c r="AO532" s="3212"/>
      <c r="AP532" s="3212"/>
      <c r="AQ532" s="3212"/>
      <c r="AR532" s="3212"/>
      <c r="AS532" s="3212"/>
      <c r="AT532" s="3175"/>
      <c r="AU532" s="3232"/>
      <c r="AV532" s="466">
        <f t="shared" si="324"/>
        <v>0</v>
      </c>
      <c r="AW532" s="466">
        <f t="shared" si="325"/>
        <v>0</v>
      </c>
      <c r="AX532" s="466">
        <f t="shared" si="326"/>
        <v>0</v>
      </c>
      <c r="AY532" s="385">
        <f t="shared" si="330"/>
        <v>0</v>
      </c>
      <c r="AZ532" s="3174">
        <f t="shared" si="331"/>
        <v>0</v>
      </c>
      <c r="BA532" s="3174">
        <f t="shared" si="332"/>
        <v>0</v>
      </c>
      <c r="BB532" s="3174">
        <f t="shared" si="333"/>
        <v>0</v>
      </c>
      <c r="BC532" s="3174">
        <f t="shared" si="334"/>
        <v>0</v>
      </c>
      <c r="BD532" s="3174">
        <f t="shared" si="335"/>
        <v>0</v>
      </c>
      <c r="BE532" s="3174">
        <f t="shared" si="336"/>
        <v>0</v>
      </c>
      <c r="BF532" s="3174">
        <f t="shared" si="337"/>
        <v>0</v>
      </c>
      <c r="BG532" s="3174">
        <f t="shared" si="338"/>
        <v>0</v>
      </c>
      <c r="BH532" s="3174">
        <f t="shared" si="339"/>
        <v>0</v>
      </c>
      <c r="BI532" s="3174">
        <f t="shared" si="340"/>
        <v>0</v>
      </c>
      <c r="BJ532" s="3174">
        <f t="shared" si="341"/>
        <v>0</v>
      </c>
      <c r="BK532" s="3174">
        <f t="shared" si="342"/>
        <v>0</v>
      </c>
      <c r="BL532" s="3174">
        <f t="shared" si="343"/>
        <v>0</v>
      </c>
      <c r="BM532" s="3174">
        <f t="shared" si="344"/>
        <v>0</v>
      </c>
      <c r="BN532" s="3174">
        <f t="shared" si="345"/>
        <v>0</v>
      </c>
      <c r="BO532" s="3174">
        <f t="shared" si="346"/>
        <v>0</v>
      </c>
      <c r="BP532" s="3174">
        <f t="shared" si="347"/>
        <v>0</v>
      </c>
      <c r="BQ532" s="3174">
        <f t="shared" si="348"/>
        <v>0</v>
      </c>
      <c r="BR532" s="3174">
        <f t="shared" si="349"/>
        <v>0</v>
      </c>
      <c r="BS532" s="3174">
        <f t="shared" si="350"/>
        <v>0</v>
      </c>
      <c r="BT532" s="3249">
        <f t="shared" si="351"/>
        <v>0</v>
      </c>
    </row>
    <row r="533" spans="1:72">
      <c r="A533" s="489"/>
      <c r="B533" s="356"/>
      <c r="C533" s="356"/>
      <c r="D533" s="3182"/>
      <c r="E533" s="3174">
        <f t="shared" si="323"/>
        <v>0</v>
      </c>
      <c r="F533" s="3175"/>
      <c r="G533" s="3176">
        <f t="shared" si="327"/>
        <v>0</v>
      </c>
      <c r="H533" s="3177">
        <f t="shared" si="328"/>
        <v>0</v>
      </c>
      <c r="I533" s="3200"/>
      <c r="J533" s="3200"/>
      <c r="K533" s="3200"/>
      <c r="L533" s="3200"/>
      <c r="M533" s="3200"/>
      <c r="N533" s="3200"/>
      <c r="O533" s="3200"/>
      <c r="P533" s="3200"/>
      <c r="Q533" s="3200"/>
      <c r="R533" s="3200"/>
      <c r="S533" s="3200"/>
      <c r="T533" s="3200"/>
      <c r="U533" s="3200"/>
      <c r="V533" s="3200"/>
      <c r="W533" s="3200"/>
      <c r="X533" s="3200"/>
      <c r="Y533" s="3200"/>
      <c r="Z533" s="3200"/>
      <c r="AA533" s="3200"/>
      <c r="AB533" s="3200"/>
      <c r="AC533" s="3174">
        <f t="shared" si="329"/>
        <v>0</v>
      </c>
      <c r="AD533" s="3212"/>
      <c r="AE533" s="3212"/>
      <c r="AF533" s="3212"/>
      <c r="AG533" s="3212"/>
      <c r="AH533" s="3212"/>
      <c r="AI533" s="3212"/>
      <c r="AJ533" s="3212"/>
      <c r="AK533" s="3212"/>
      <c r="AL533" s="3212"/>
      <c r="AM533" s="3212"/>
      <c r="AN533" s="3212"/>
      <c r="AO533" s="3212"/>
      <c r="AP533" s="3212"/>
      <c r="AQ533" s="3212"/>
      <c r="AR533" s="3212"/>
      <c r="AS533" s="3212"/>
      <c r="AT533" s="3175"/>
      <c r="AU533" s="3232"/>
      <c r="AV533" s="466">
        <f t="shared" si="324"/>
        <v>0</v>
      </c>
      <c r="AW533" s="466">
        <f t="shared" si="325"/>
        <v>0</v>
      </c>
      <c r="AX533" s="466">
        <f t="shared" si="326"/>
        <v>0</v>
      </c>
      <c r="AY533" s="385">
        <f t="shared" si="330"/>
        <v>0</v>
      </c>
      <c r="AZ533" s="3174">
        <f t="shared" si="331"/>
        <v>0</v>
      </c>
      <c r="BA533" s="3174">
        <f t="shared" si="332"/>
        <v>0</v>
      </c>
      <c r="BB533" s="3174">
        <f t="shared" si="333"/>
        <v>0</v>
      </c>
      <c r="BC533" s="3174">
        <f t="shared" si="334"/>
        <v>0</v>
      </c>
      <c r="BD533" s="3174">
        <f t="shared" si="335"/>
        <v>0</v>
      </c>
      <c r="BE533" s="3174">
        <f t="shared" si="336"/>
        <v>0</v>
      </c>
      <c r="BF533" s="3174">
        <f t="shared" si="337"/>
        <v>0</v>
      </c>
      <c r="BG533" s="3174">
        <f t="shared" si="338"/>
        <v>0</v>
      </c>
      <c r="BH533" s="3174">
        <f t="shared" si="339"/>
        <v>0</v>
      </c>
      <c r="BI533" s="3174">
        <f t="shared" si="340"/>
        <v>0</v>
      </c>
      <c r="BJ533" s="3174">
        <f t="shared" si="341"/>
        <v>0</v>
      </c>
      <c r="BK533" s="3174">
        <f t="shared" si="342"/>
        <v>0</v>
      </c>
      <c r="BL533" s="3174">
        <f t="shared" si="343"/>
        <v>0</v>
      </c>
      <c r="BM533" s="3174">
        <f t="shared" si="344"/>
        <v>0</v>
      </c>
      <c r="BN533" s="3174">
        <f t="shared" si="345"/>
        <v>0</v>
      </c>
      <c r="BO533" s="3174">
        <f t="shared" si="346"/>
        <v>0</v>
      </c>
      <c r="BP533" s="3174">
        <f t="shared" si="347"/>
        <v>0</v>
      </c>
      <c r="BQ533" s="3174">
        <f t="shared" si="348"/>
        <v>0</v>
      </c>
      <c r="BR533" s="3174">
        <f t="shared" si="349"/>
        <v>0</v>
      </c>
      <c r="BS533" s="3174">
        <f t="shared" si="350"/>
        <v>0</v>
      </c>
      <c r="BT533" s="3249">
        <f t="shared" si="351"/>
        <v>0</v>
      </c>
    </row>
    <row r="534" spans="1:72">
      <c r="A534" s="489"/>
      <c r="B534" s="356"/>
      <c r="C534" s="356"/>
      <c r="D534" s="3182"/>
      <c r="E534" s="3174">
        <f t="shared" si="323"/>
        <v>0</v>
      </c>
      <c r="F534" s="3175"/>
      <c r="G534" s="3176">
        <f t="shared" si="327"/>
        <v>0</v>
      </c>
      <c r="H534" s="3177">
        <f t="shared" si="328"/>
        <v>0</v>
      </c>
      <c r="I534" s="3200"/>
      <c r="J534" s="3200"/>
      <c r="K534" s="3200"/>
      <c r="L534" s="3200"/>
      <c r="M534" s="3200"/>
      <c r="N534" s="3200"/>
      <c r="O534" s="3200"/>
      <c r="P534" s="3200"/>
      <c r="Q534" s="3200"/>
      <c r="R534" s="3200"/>
      <c r="S534" s="3200"/>
      <c r="T534" s="3200"/>
      <c r="U534" s="3200"/>
      <c r="V534" s="3200"/>
      <c r="W534" s="3200"/>
      <c r="X534" s="3200"/>
      <c r="Y534" s="3200"/>
      <c r="Z534" s="3200"/>
      <c r="AA534" s="3200"/>
      <c r="AB534" s="3200"/>
      <c r="AC534" s="3174">
        <f t="shared" si="329"/>
        <v>0</v>
      </c>
      <c r="AD534" s="3212"/>
      <c r="AE534" s="3212"/>
      <c r="AF534" s="3212"/>
      <c r="AG534" s="3212"/>
      <c r="AH534" s="3212"/>
      <c r="AI534" s="3212"/>
      <c r="AJ534" s="3212"/>
      <c r="AK534" s="3212"/>
      <c r="AL534" s="3212"/>
      <c r="AM534" s="3212"/>
      <c r="AN534" s="3212"/>
      <c r="AO534" s="3212"/>
      <c r="AP534" s="3212"/>
      <c r="AQ534" s="3212"/>
      <c r="AR534" s="3212"/>
      <c r="AS534" s="3212"/>
      <c r="AT534" s="3175"/>
      <c r="AU534" s="3232"/>
      <c r="AV534" s="466">
        <f t="shared" si="324"/>
        <v>0</v>
      </c>
      <c r="AW534" s="466">
        <f t="shared" si="325"/>
        <v>0</v>
      </c>
      <c r="AX534" s="466">
        <f t="shared" si="326"/>
        <v>0</v>
      </c>
      <c r="AY534" s="385">
        <f t="shared" si="330"/>
        <v>0</v>
      </c>
      <c r="AZ534" s="3174">
        <f t="shared" si="331"/>
        <v>0</v>
      </c>
      <c r="BA534" s="3174">
        <f t="shared" si="332"/>
        <v>0</v>
      </c>
      <c r="BB534" s="3174">
        <f t="shared" si="333"/>
        <v>0</v>
      </c>
      <c r="BC534" s="3174">
        <f t="shared" si="334"/>
        <v>0</v>
      </c>
      <c r="BD534" s="3174">
        <f t="shared" si="335"/>
        <v>0</v>
      </c>
      <c r="BE534" s="3174">
        <f t="shared" si="336"/>
        <v>0</v>
      </c>
      <c r="BF534" s="3174">
        <f t="shared" si="337"/>
        <v>0</v>
      </c>
      <c r="BG534" s="3174">
        <f t="shared" si="338"/>
        <v>0</v>
      </c>
      <c r="BH534" s="3174">
        <f t="shared" si="339"/>
        <v>0</v>
      </c>
      <c r="BI534" s="3174">
        <f t="shared" si="340"/>
        <v>0</v>
      </c>
      <c r="BJ534" s="3174">
        <f t="shared" si="341"/>
        <v>0</v>
      </c>
      <c r="BK534" s="3174">
        <f t="shared" si="342"/>
        <v>0</v>
      </c>
      <c r="BL534" s="3174">
        <f t="shared" si="343"/>
        <v>0</v>
      </c>
      <c r="BM534" s="3174">
        <f t="shared" si="344"/>
        <v>0</v>
      </c>
      <c r="BN534" s="3174">
        <f t="shared" si="345"/>
        <v>0</v>
      </c>
      <c r="BO534" s="3174">
        <f t="shared" si="346"/>
        <v>0</v>
      </c>
      <c r="BP534" s="3174">
        <f t="shared" si="347"/>
        <v>0</v>
      </c>
      <c r="BQ534" s="3174">
        <f t="shared" si="348"/>
        <v>0</v>
      </c>
      <c r="BR534" s="3174">
        <f t="shared" si="349"/>
        <v>0</v>
      </c>
      <c r="BS534" s="3174">
        <f t="shared" si="350"/>
        <v>0</v>
      </c>
      <c r="BT534" s="3249">
        <f t="shared" si="351"/>
        <v>0</v>
      </c>
    </row>
    <row r="535" spans="1:72">
      <c r="A535" s="489"/>
      <c r="B535" s="356"/>
      <c r="C535" s="356"/>
      <c r="D535" s="3182"/>
      <c r="E535" s="3174">
        <f t="shared" si="323"/>
        <v>0</v>
      </c>
      <c r="F535" s="3175"/>
      <c r="G535" s="3176">
        <f t="shared" si="327"/>
        <v>0</v>
      </c>
      <c r="H535" s="3177">
        <f t="shared" si="328"/>
        <v>0</v>
      </c>
      <c r="I535" s="3200"/>
      <c r="J535" s="3200"/>
      <c r="K535" s="3200"/>
      <c r="L535" s="3200"/>
      <c r="M535" s="3200"/>
      <c r="N535" s="3200"/>
      <c r="O535" s="3200"/>
      <c r="P535" s="3200"/>
      <c r="Q535" s="3200"/>
      <c r="R535" s="3200"/>
      <c r="S535" s="3200"/>
      <c r="T535" s="3200"/>
      <c r="U535" s="3200"/>
      <c r="V535" s="3200"/>
      <c r="W535" s="3200"/>
      <c r="X535" s="3200"/>
      <c r="Y535" s="3200"/>
      <c r="Z535" s="3200"/>
      <c r="AA535" s="3200"/>
      <c r="AB535" s="3200"/>
      <c r="AC535" s="3174">
        <f t="shared" si="329"/>
        <v>0</v>
      </c>
      <c r="AD535" s="3212"/>
      <c r="AE535" s="3212"/>
      <c r="AF535" s="3212"/>
      <c r="AG535" s="3212"/>
      <c r="AH535" s="3212"/>
      <c r="AI535" s="3212"/>
      <c r="AJ535" s="3212"/>
      <c r="AK535" s="3212"/>
      <c r="AL535" s="3212"/>
      <c r="AM535" s="3212"/>
      <c r="AN535" s="3212"/>
      <c r="AO535" s="3212"/>
      <c r="AP535" s="3212"/>
      <c r="AQ535" s="3212"/>
      <c r="AR535" s="3212"/>
      <c r="AS535" s="3212"/>
      <c r="AT535" s="3175"/>
      <c r="AU535" s="3232"/>
      <c r="AV535" s="466">
        <f t="shared" si="324"/>
        <v>0</v>
      </c>
      <c r="AW535" s="466">
        <f t="shared" si="325"/>
        <v>0</v>
      </c>
      <c r="AX535" s="466">
        <f t="shared" si="326"/>
        <v>0</v>
      </c>
      <c r="AY535" s="385">
        <f t="shared" si="330"/>
        <v>0</v>
      </c>
      <c r="AZ535" s="3174">
        <f t="shared" si="331"/>
        <v>0</v>
      </c>
      <c r="BA535" s="3174">
        <f t="shared" si="332"/>
        <v>0</v>
      </c>
      <c r="BB535" s="3174">
        <f t="shared" si="333"/>
        <v>0</v>
      </c>
      <c r="BC535" s="3174">
        <f t="shared" si="334"/>
        <v>0</v>
      </c>
      <c r="BD535" s="3174">
        <f t="shared" si="335"/>
        <v>0</v>
      </c>
      <c r="BE535" s="3174">
        <f t="shared" si="336"/>
        <v>0</v>
      </c>
      <c r="BF535" s="3174">
        <f t="shared" si="337"/>
        <v>0</v>
      </c>
      <c r="BG535" s="3174">
        <f t="shared" si="338"/>
        <v>0</v>
      </c>
      <c r="BH535" s="3174">
        <f t="shared" si="339"/>
        <v>0</v>
      </c>
      <c r="BI535" s="3174">
        <f t="shared" si="340"/>
        <v>0</v>
      </c>
      <c r="BJ535" s="3174">
        <f t="shared" si="341"/>
        <v>0</v>
      </c>
      <c r="BK535" s="3174">
        <f t="shared" si="342"/>
        <v>0</v>
      </c>
      <c r="BL535" s="3174">
        <f t="shared" si="343"/>
        <v>0</v>
      </c>
      <c r="BM535" s="3174">
        <f t="shared" si="344"/>
        <v>0</v>
      </c>
      <c r="BN535" s="3174">
        <f t="shared" si="345"/>
        <v>0</v>
      </c>
      <c r="BO535" s="3174">
        <f t="shared" si="346"/>
        <v>0</v>
      </c>
      <c r="BP535" s="3174">
        <f t="shared" si="347"/>
        <v>0</v>
      </c>
      <c r="BQ535" s="3174">
        <f t="shared" si="348"/>
        <v>0</v>
      </c>
      <c r="BR535" s="3174">
        <f t="shared" si="349"/>
        <v>0</v>
      </c>
      <c r="BS535" s="3174">
        <f t="shared" si="350"/>
        <v>0</v>
      </c>
      <c r="BT535" s="3249">
        <f t="shared" si="351"/>
        <v>0</v>
      </c>
    </row>
    <row r="536" spans="1:72">
      <c r="A536" s="489"/>
      <c r="B536" s="356"/>
      <c r="C536" s="356"/>
      <c r="D536" s="3182"/>
      <c r="E536" s="3174">
        <f t="shared" si="323"/>
        <v>0</v>
      </c>
      <c r="F536" s="3175"/>
      <c r="G536" s="3176">
        <f t="shared" si="327"/>
        <v>0</v>
      </c>
      <c r="H536" s="3177">
        <f t="shared" si="328"/>
        <v>0</v>
      </c>
      <c r="I536" s="3200"/>
      <c r="J536" s="3200"/>
      <c r="K536" s="3200"/>
      <c r="L536" s="3200"/>
      <c r="M536" s="3200"/>
      <c r="N536" s="3200"/>
      <c r="O536" s="3200"/>
      <c r="P536" s="3200"/>
      <c r="Q536" s="3200"/>
      <c r="R536" s="3200"/>
      <c r="S536" s="3200"/>
      <c r="T536" s="3200"/>
      <c r="U536" s="3200"/>
      <c r="V536" s="3200"/>
      <c r="W536" s="3200"/>
      <c r="X536" s="3200"/>
      <c r="Y536" s="3200"/>
      <c r="Z536" s="3200"/>
      <c r="AA536" s="3200"/>
      <c r="AB536" s="3200"/>
      <c r="AC536" s="3174">
        <f t="shared" si="329"/>
        <v>0</v>
      </c>
      <c r="AD536" s="3212"/>
      <c r="AE536" s="3212"/>
      <c r="AF536" s="3212"/>
      <c r="AG536" s="3212"/>
      <c r="AH536" s="3212"/>
      <c r="AI536" s="3212"/>
      <c r="AJ536" s="3212"/>
      <c r="AK536" s="3212"/>
      <c r="AL536" s="3212"/>
      <c r="AM536" s="3212"/>
      <c r="AN536" s="3212"/>
      <c r="AO536" s="3212"/>
      <c r="AP536" s="3212"/>
      <c r="AQ536" s="3212"/>
      <c r="AR536" s="3212"/>
      <c r="AS536" s="3212"/>
      <c r="AT536" s="3175"/>
      <c r="AU536" s="3232"/>
      <c r="AV536" s="466">
        <f t="shared" si="324"/>
        <v>0</v>
      </c>
      <c r="AW536" s="466">
        <f t="shared" si="325"/>
        <v>0</v>
      </c>
      <c r="AX536" s="466">
        <f t="shared" si="326"/>
        <v>0</v>
      </c>
      <c r="AY536" s="385">
        <f t="shared" si="330"/>
        <v>0</v>
      </c>
      <c r="AZ536" s="3174">
        <f t="shared" si="331"/>
        <v>0</v>
      </c>
      <c r="BA536" s="3174">
        <f t="shared" si="332"/>
        <v>0</v>
      </c>
      <c r="BB536" s="3174">
        <f t="shared" si="333"/>
        <v>0</v>
      </c>
      <c r="BC536" s="3174">
        <f t="shared" si="334"/>
        <v>0</v>
      </c>
      <c r="BD536" s="3174">
        <f t="shared" si="335"/>
        <v>0</v>
      </c>
      <c r="BE536" s="3174">
        <f t="shared" si="336"/>
        <v>0</v>
      </c>
      <c r="BF536" s="3174">
        <f t="shared" si="337"/>
        <v>0</v>
      </c>
      <c r="BG536" s="3174">
        <f t="shared" si="338"/>
        <v>0</v>
      </c>
      <c r="BH536" s="3174">
        <f t="shared" si="339"/>
        <v>0</v>
      </c>
      <c r="BI536" s="3174">
        <f t="shared" si="340"/>
        <v>0</v>
      </c>
      <c r="BJ536" s="3174">
        <f t="shared" si="341"/>
        <v>0</v>
      </c>
      <c r="BK536" s="3174">
        <f t="shared" si="342"/>
        <v>0</v>
      </c>
      <c r="BL536" s="3174">
        <f t="shared" si="343"/>
        <v>0</v>
      </c>
      <c r="BM536" s="3174">
        <f t="shared" si="344"/>
        <v>0</v>
      </c>
      <c r="BN536" s="3174">
        <f t="shared" si="345"/>
        <v>0</v>
      </c>
      <c r="BO536" s="3174">
        <f t="shared" si="346"/>
        <v>0</v>
      </c>
      <c r="BP536" s="3174">
        <f t="shared" si="347"/>
        <v>0</v>
      </c>
      <c r="BQ536" s="3174">
        <f t="shared" si="348"/>
        <v>0</v>
      </c>
      <c r="BR536" s="3174">
        <f t="shared" si="349"/>
        <v>0</v>
      </c>
      <c r="BS536" s="3174">
        <f t="shared" si="350"/>
        <v>0</v>
      </c>
      <c r="BT536" s="3249">
        <f t="shared" si="351"/>
        <v>0</v>
      </c>
    </row>
    <row r="537" spans="1:72">
      <c r="A537" s="489"/>
      <c r="B537" s="356"/>
      <c r="C537" s="356"/>
      <c r="D537" s="3182"/>
      <c r="E537" s="3174">
        <f t="shared" ref="E537:E572" si="352">IF($C$3="是",ROUND($A$3*G537/$B$3,2),ROUND($A$3*(G537-AT537)/$B$3,2))</f>
        <v>0</v>
      </c>
      <c r="F537" s="3175"/>
      <c r="G537" s="3176">
        <f t="shared" si="327"/>
        <v>0</v>
      </c>
      <c r="H537" s="3177">
        <f t="shared" si="328"/>
        <v>0</v>
      </c>
      <c r="I537" s="3200"/>
      <c r="J537" s="3200"/>
      <c r="K537" s="3200"/>
      <c r="L537" s="3200"/>
      <c r="M537" s="3200"/>
      <c r="N537" s="3200"/>
      <c r="O537" s="3200"/>
      <c r="P537" s="3200"/>
      <c r="Q537" s="3200"/>
      <c r="R537" s="3200"/>
      <c r="S537" s="3200"/>
      <c r="T537" s="3200"/>
      <c r="U537" s="3200"/>
      <c r="V537" s="3200"/>
      <c r="W537" s="3200"/>
      <c r="X537" s="3200"/>
      <c r="Y537" s="3200"/>
      <c r="Z537" s="3200"/>
      <c r="AA537" s="3200"/>
      <c r="AB537" s="3200"/>
      <c r="AC537" s="3174">
        <f t="shared" si="329"/>
        <v>0</v>
      </c>
      <c r="AD537" s="3212"/>
      <c r="AE537" s="3212"/>
      <c r="AF537" s="3212"/>
      <c r="AG537" s="3212"/>
      <c r="AH537" s="3212"/>
      <c r="AI537" s="3212"/>
      <c r="AJ537" s="3212"/>
      <c r="AK537" s="3212"/>
      <c r="AL537" s="3212"/>
      <c r="AM537" s="3212"/>
      <c r="AN537" s="3212"/>
      <c r="AO537" s="3212"/>
      <c r="AP537" s="3212"/>
      <c r="AQ537" s="3212"/>
      <c r="AR537" s="3212"/>
      <c r="AS537" s="3212"/>
      <c r="AT537" s="3175"/>
      <c r="AU537" s="3232"/>
      <c r="AV537" s="466">
        <f t="shared" si="324"/>
        <v>0</v>
      </c>
      <c r="AW537" s="466">
        <f t="shared" si="325"/>
        <v>0</v>
      </c>
      <c r="AX537" s="466">
        <f t="shared" si="326"/>
        <v>0</v>
      </c>
      <c r="AY537" s="385">
        <f t="shared" si="330"/>
        <v>0</v>
      </c>
      <c r="AZ537" s="3174">
        <f t="shared" si="331"/>
        <v>0</v>
      </c>
      <c r="BA537" s="3174">
        <f t="shared" si="332"/>
        <v>0</v>
      </c>
      <c r="BB537" s="3174">
        <f t="shared" si="333"/>
        <v>0</v>
      </c>
      <c r="BC537" s="3174">
        <f t="shared" si="334"/>
        <v>0</v>
      </c>
      <c r="BD537" s="3174">
        <f t="shared" si="335"/>
        <v>0</v>
      </c>
      <c r="BE537" s="3174">
        <f t="shared" si="336"/>
        <v>0</v>
      </c>
      <c r="BF537" s="3174">
        <f t="shared" si="337"/>
        <v>0</v>
      </c>
      <c r="BG537" s="3174">
        <f t="shared" si="338"/>
        <v>0</v>
      </c>
      <c r="BH537" s="3174">
        <f t="shared" si="339"/>
        <v>0</v>
      </c>
      <c r="BI537" s="3174">
        <f t="shared" si="340"/>
        <v>0</v>
      </c>
      <c r="BJ537" s="3174">
        <f t="shared" si="341"/>
        <v>0</v>
      </c>
      <c r="BK537" s="3174">
        <f t="shared" si="342"/>
        <v>0</v>
      </c>
      <c r="BL537" s="3174">
        <f t="shared" si="343"/>
        <v>0</v>
      </c>
      <c r="BM537" s="3174">
        <f t="shared" si="344"/>
        <v>0</v>
      </c>
      <c r="BN537" s="3174">
        <f t="shared" si="345"/>
        <v>0</v>
      </c>
      <c r="BO537" s="3174">
        <f t="shared" si="346"/>
        <v>0</v>
      </c>
      <c r="BP537" s="3174">
        <f t="shared" si="347"/>
        <v>0</v>
      </c>
      <c r="BQ537" s="3174">
        <f t="shared" si="348"/>
        <v>0</v>
      </c>
      <c r="BR537" s="3174">
        <f t="shared" si="349"/>
        <v>0</v>
      </c>
      <c r="BS537" s="3174">
        <f t="shared" si="350"/>
        <v>0</v>
      </c>
      <c r="BT537" s="3249">
        <f t="shared" si="351"/>
        <v>0</v>
      </c>
    </row>
    <row r="538" spans="1:72">
      <c r="A538" s="489"/>
      <c r="B538" s="356"/>
      <c r="C538" s="356"/>
      <c r="D538" s="3182"/>
      <c r="E538" s="3174">
        <f t="shared" si="352"/>
        <v>0</v>
      </c>
      <c r="F538" s="3175"/>
      <c r="G538" s="3176">
        <f t="shared" ref="G538:G572" si="353">H538+AC538+AT538</f>
        <v>0</v>
      </c>
      <c r="H538" s="3177">
        <f t="shared" ref="H538:H572" si="354">SUMIF(I$12:AB$12,"总值",I538:AB538)</f>
        <v>0</v>
      </c>
      <c r="I538" s="3200"/>
      <c r="J538" s="3200"/>
      <c r="K538" s="3200"/>
      <c r="L538" s="3200"/>
      <c r="M538" s="3200"/>
      <c r="N538" s="3200"/>
      <c r="O538" s="3200"/>
      <c r="P538" s="3200"/>
      <c r="Q538" s="3200"/>
      <c r="R538" s="3200"/>
      <c r="S538" s="3200"/>
      <c r="T538" s="3200"/>
      <c r="U538" s="3200"/>
      <c r="V538" s="3200"/>
      <c r="W538" s="3200"/>
      <c r="X538" s="3200"/>
      <c r="Y538" s="3200"/>
      <c r="Z538" s="3200"/>
      <c r="AA538" s="3200"/>
      <c r="AB538" s="3200"/>
      <c r="AC538" s="3174">
        <f t="shared" ref="AC538:AC572" si="355">SUMIF(AD$12:AS$12,"总值",AD538:AS538)</f>
        <v>0</v>
      </c>
      <c r="AD538" s="3212"/>
      <c r="AE538" s="3212"/>
      <c r="AF538" s="3212"/>
      <c r="AG538" s="3212"/>
      <c r="AH538" s="3212"/>
      <c r="AI538" s="3212"/>
      <c r="AJ538" s="3212"/>
      <c r="AK538" s="3212"/>
      <c r="AL538" s="3212"/>
      <c r="AM538" s="3212"/>
      <c r="AN538" s="3212"/>
      <c r="AO538" s="3212"/>
      <c r="AP538" s="3212"/>
      <c r="AQ538" s="3212"/>
      <c r="AR538" s="3212"/>
      <c r="AS538" s="3212"/>
      <c r="AT538" s="3175"/>
      <c r="AU538" s="3232"/>
      <c r="AV538" s="466">
        <f t="shared" ref="AV538:AV572" si="356">A538</f>
        <v>0</v>
      </c>
      <c r="AW538" s="466">
        <f t="shared" ref="AW538:AW572" si="357">B538</f>
        <v>0</v>
      </c>
      <c r="AX538" s="466">
        <f t="shared" ref="AX538:AX572" si="358">C538</f>
        <v>0</v>
      </c>
      <c r="AY538" s="385">
        <f t="shared" ref="AY538:AY572" si="359">ROUND($AY$6*AZ538/$AZ$5,2)</f>
        <v>0</v>
      </c>
      <c r="AZ538" s="3174">
        <f t="shared" ref="AZ538:AZ572" si="360">BA538+BL538</f>
        <v>0</v>
      </c>
      <c r="BA538" s="3174">
        <f t="shared" ref="BA538:BA572" si="361">SUM(BB538:BK538)</f>
        <v>0</v>
      </c>
      <c r="BB538" s="3174">
        <f t="shared" ref="BB538:BB572" si="362">IF($D538="是",I538-J538,0)</f>
        <v>0</v>
      </c>
      <c r="BC538" s="3174">
        <f t="shared" ref="BC538:BC572" si="363">IF($D538="是",K538-L538,0)</f>
        <v>0</v>
      </c>
      <c r="BD538" s="3174">
        <f t="shared" ref="BD538:BD572" si="364">IF($D538="是",M538-N538,0)</f>
        <v>0</v>
      </c>
      <c r="BE538" s="3174">
        <f t="shared" ref="BE538:BE572" si="365">IF($D538="是",O538-P538,0)</f>
        <v>0</v>
      </c>
      <c r="BF538" s="3174">
        <f t="shared" ref="BF538:BF572" si="366">IF($D538="是",Q538-R538,0)</f>
        <v>0</v>
      </c>
      <c r="BG538" s="3174">
        <f t="shared" ref="BG538:BG572" si="367">IF($D538="是",S538-T538,0)</f>
        <v>0</v>
      </c>
      <c r="BH538" s="3174">
        <f t="shared" ref="BH538:BH572" si="368">IF($D538="是",U538-V538,0)</f>
        <v>0</v>
      </c>
      <c r="BI538" s="3174">
        <f t="shared" ref="BI538:BI572" si="369">IF($D538="是",W538-X538,0)</f>
        <v>0</v>
      </c>
      <c r="BJ538" s="3174">
        <f t="shared" ref="BJ538:BJ572" si="370">IF($D538="是",Y538-Z538,0)</f>
        <v>0</v>
      </c>
      <c r="BK538" s="3174">
        <f t="shared" ref="BK538:BK572" si="371">IF($D538="是",AA538-AB538,0)</f>
        <v>0</v>
      </c>
      <c r="BL538" s="3174">
        <f t="shared" ref="BL538:BL572" si="372">SUM(BM538:BT538)</f>
        <v>0</v>
      </c>
      <c r="BM538" s="3174">
        <f t="shared" ref="BM538:BM572" si="373">IF($D538="是",AD538-AE538,0)</f>
        <v>0</v>
      </c>
      <c r="BN538" s="3174">
        <f t="shared" ref="BN538:BN572" si="374">IF($D538="是",AF538-AG538,0)</f>
        <v>0</v>
      </c>
      <c r="BO538" s="3174">
        <f t="shared" ref="BO538:BO572" si="375">IF($D538="是",AH538-AI538,0)</f>
        <v>0</v>
      </c>
      <c r="BP538" s="3174">
        <f t="shared" ref="BP538:BP572" si="376">IF($D538="是",AJ538-AK538,0)</f>
        <v>0</v>
      </c>
      <c r="BQ538" s="3174">
        <f t="shared" ref="BQ538:BQ572" si="377">IF($D538="是",AL538-AM538,0)</f>
        <v>0</v>
      </c>
      <c r="BR538" s="3174">
        <f t="shared" ref="BR538:BR572" si="378">IF($D538="是",AN538-AO538,0)</f>
        <v>0</v>
      </c>
      <c r="BS538" s="3174">
        <f t="shared" ref="BS538:BS572" si="379">IF($D538="是",AP538-AQ538,0)</f>
        <v>0</v>
      </c>
      <c r="BT538" s="3249">
        <f t="shared" ref="BT538:BT572" si="380">IF($D538="是",AR538-AS538,0)</f>
        <v>0</v>
      </c>
    </row>
    <row r="539" spans="1:72">
      <c r="A539" s="489"/>
      <c r="B539" s="356"/>
      <c r="C539" s="356"/>
      <c r="D539" s="3182"/>
      <c r="E539" s="3174">
        <f t="shared" si="352"/>
        <v>0</v>
      </c>
      <c r="F539" s="3175"/>
      <c r="G539" s="3176">
        <f t="shared" si="353"/>
        <v>0</v>
      </c>
      <c r="H539" s="3177">
        <f t="shared" si="354"/>
        <v>0</v>
      </c>
      <c r="I539" s="3200"/>
      <c r="J539" s="3200"/>
      <c r="K539" s="3200"/>
      <c r="L539" s="3200"/>
      <c r="M539" s="3200"/>
      <c r="N539" s="3200"/>
      <c r="O539" s="3200"/>
      <c r="P539" s="3200"/>
      <c r="Q539" s="3200"/>
      <c r="R539" s="3200"/>
      <c r="S539" s="3200"/>
      <c r="T539" s="3200"/>
      <c r="U539" s="3200"/>
      <c r="V539" s="3200"/>
      <c r="W539" s="3200"/>
      <c r="X539" s="3200"/>
      <c r="Y539" s="3200"/>
      <c r="Z539" s="3200"/>
      <c r="AA539" s="3200"/>
      <c r="AB539" s="3200"/>
      <c r="AC539" s="3174">
        <f t="shared" si="355"/>
        <v>0</v>
      </c>
      <c r="AD539" s="3212"/>
      <c r="AE539" s="3212"/>
      <c r="AF539" s="3212"/>
      <c r="AG539" s="3212"/>
      <c r="AH539" s="3212"/>
      <c r="AI539" s="3212"/>
      <c r="AJ539" s="3212"/>
      <c r="AK539" s="3212"/>
      <c r="AL539" s="3212"/>
      <c r="AM539" s="3212"/>
      <c r="AN539" s="3212"/>
      <c r="AO539" s="3212"/>
      <c r="AP539" s="3212"/>
      <c r="AQ539" s="3212"/>
      <c r="AR539" s="3212"/>
      <c r="AS539" s="3212"/>
      <c r="AT539" s="3175"/>
      <c r="AU539" s="3232"/>
      <c r="AV539" s="466">
        <f t="shared" si="356"/>
        <v>0</v>
      </c>
      <c r="AW539" s="466">
        <f t="shared" si="357"/>
        <v>0</v>
      </c>
      <c r="AX539" s="466">
        <f t="shared" si="358"/>
        <v>0</v>
      </c>
      <c r="AY539" s="385">
        <f t="shared" si="359"/>
        <v>0</v>
      </c>
      <c r="AZ539" s="3174">
        <f t="shared" si="360"/>
        <v>0</v>
      </c>
      <c r="BA539" s="3174">
        <f t="shared" si="361"/>
        <v>0</v>
      </c>
      <c r="BB539" s="3174">
        <f t="shared" si="362"/>
        <v>0</v>
      </c>
      <c r="BC539" s="3174">
        <f t="shared" si="363"/>
        <v>0</v>
      </c>
      <c r="BD539" s="3174">
        <f t="shared" si="364"/>
        <v>0</v>
      </c>
      <c r="BE539" s="3174">
        <f t="shared" si="365"/>
        <v>0</v>
      </c>
      <c r="BF539" s="3174">
        <f t="shared" si="366"/>
        <v>0</v>
      </c>
      <c r="BG539" s="3174">
        <f t="shared" si="367"/>
        <v>0</v>
      </c>
      <c r="BH539" s="3174">
        <f t="shared" si="368"/>
        <v>0</v>
      </c>
      <c r="BI539" s="3174">
        <f t="shared" si="369"/>
        <v>0</v>
      </c>
      <c r="BJ539" s="3174">
        <f t="shared" si="370"/>
        <v>0</v>
      </c>
      <c r="BK539" s="3174">
        <f t="shared" si="371"/>
        <v>0</v>
      </c>
      <c r="BL539" s="3174">
        <f t="shared" si="372"/>
        <v>0</v>
      </c>
      <c r="BM539" s="3174">
        <f t="shared" si="373"/>
        <v>0</v>
      </c>
      <c r="BN539" s="3174">
        <f t="shared" si="374"/>
        <v>0</v>
      </c>
      <c r="BO539" s="3174">
        <f t="shared" si="375"/>
        <v>0</v>
      </c>
      <c r="BP539" s="3174">
        <f t="shared" si="376"/>
        <v>0</v>
      </c>
      <c r="BQ539" s="3174">
        <f t="shared" si="377"/>
        <v>0</v>
      </c>
      <c r="BR539" s="3174">
        <f t="shared" si="378"/>
        <v>0</v>
      </c>
      <c r="BS539" s="3174">
        <f t="shared" si="379"/>
        <v>0</v>
      </c>
      <c r="BT539" s="3249">
        <f t="shared" si="380"/>
        <v>0</v>
      </c>
    </row>
    <row r="540" spans="1:72">
      <c r="A540" s="489"/>
      <c r="B540" s="356"/>
      <c r="C540" s="356"/>
      <c r="D540" s="3182"/>
      <c r="E540" s="3174">
        <f t="shared" si="352"/>
        <v>0</v>
      </c>
      <c r="F540" s="3175"/>
      <c r="G540" s="3176">
        <f t="shared" si="353"/>
        <v>0</v>
      </c>
      <c r="H540" s="3177">
        <f t="shared" si="354"/>
        <v>0</v>
      </c>
      <c r="I540" s="3200"/>
      <c r="J540" s="3200"/>
      <c r="K540" s="3200"/>
      <c r="L540" s="3200"/>
      <c r="M540" s="3200"/>
      <c r="N540" s="3200"/>
      <c r="O540" s="3200"/>
      <c r="P540" s="3200"/>
      <c r="Q540" s="3200"/>
      <c r="R540" s="3200"/>
      <c r="S540" s="3200"/>
      <c r="T540" s="3200"/>
      <c r="U540" s="3200"/>
      <c r="V540" s="3200"/>
      <c r="W540" s="3200"/>
      <c r="X540" s="3200"/>
      <c r="Y540" s="3200"/>
      <c r="Z540" s="3200"/>
      <c r="AA540" s="3200"/>
      <c r="AB540" s="3200"/>
      <c r="AC540" s="3174">
        <f t="shared" si="355"/>
        <v>0</v>
      </c>
      <c r="AD540" s="3212"/>
      <c r="AE540" s="3212"/>
      <c r="AF540" s="3212"/>
      <c r="AG540" s="3212"/>
      <c r="AH540" s="3212"/>
      <c r="AI540" s="3212"/>
      <c r="AJ540" s="3212"/>
      <c r="AK540" s="3212"/>
      <c r="AL540" s="3212"/>
      <c r="AM540" s="3212"/>
      <c r="AN540" s="3212"/>
      <c r="AO540" s="3212"/>
      <c r="AP540" s="3212"/>
      <c r="AQ540" s="3212"/>
      <c r="AR540" s="3212"/>
      <c r="AS540" s="3212"/>
      <c r="AT540" s="3175"/>
      <c r="AU540" s="3232"/>
      <c r="AV540" s="466">
        <f t="shared" si="356"/>
        <v>0</v>
      </c>
      <c r="AW540" s="466">
        <f t="shared" si="357"/>
        <v>0</v>
      </c>
      <c r="AX540" s="466">
        <f t="shared" si="358"/>
        <v>0</v>
      </c>
      <c r="AY540" s="385">
        <f t="shared" si="359"/>
        <v>0</v>
      </c>
      <c r="AZ540" s="3174">
        <f t="shared" si="360"/>
        <v>0</v>
      </c>
      <c r="BA540" s="3174">
        <f t="shared" si="361"/>
        <v>0</v>
      </c>
      <c r="BB540" s="3174">
        <f t="shared" si="362"/>
        <v>0</v>
      </c>
      <c r="BC540" s="3174">
        <f t="shared" si="363"/>
        <v>0</v>
      </c>
      <c r="BD540" s="3174">
        <f t="shared" si="364"/>
        <v>0</v>
      </c>
      <c r="BE540" s="3174">
        <f t="shared" si="365"/>
        <v>0</v>
      </c>
      <c r="BF540" s="3174">
        <f t="shared" si="366"/>
        <v>0</v>
      </c>
      <c r="BG540" s="3174">
        <f t="shared" si="367"/>
        <v>0</v>
      </c>
      <c r="BH540" s="3174">
        <f t="shared" si="368"/>
        <v>0</v>
      </c>
      <c r="BI540" s="3174">
        <f t="shared" si="369"/>
        <v>0</v>
      </c>
      <c r="BJ540" s="3174">
        <f t="shared" si="370"/>
        <v>0</v>
      </c>
      <c r="BK540" s="3174">
        <f t="shared" si="371"/>
        <v>0</v>
      </c>
      <c r="BL540" s="3174">
        <f t="shared" si="372"/>
        <v>0</v>
      </c>
      <c r="BM540" s="3174">
        <f t="shared" si="373"/>
        <v>0</v>
      </c>
      <c r="BN540" s="3174">
        <f t="shared" si="374"/>
        <v>0</v>
      </c>
      <c r="BO540" s="3174">
        <f t="shared" si="375"/>
        <v>0</v>
      </c>
      <c r="BP540" s="3174">
        <f t="shared" si="376"/>
        <v>0</v>
      </c>
      <c r="BQ540" s="3174">
        <f t="shared" si="377"/>
        <v>0</v>
      </c>
      <c r="BR540" s="3174">
        <f t="shared" si="378"/>
        <v>0</v>
      </c>
      <c r="BS540" s="3174">
        <f t="shared" si="379"/>
        <v>0</v>
      </c>
      <c r="BT540" s="3249">
        <f t="shared" si="380"/>
        <v>0</v>
      </c>
    </row>
    <row r="541" spans="1:72">
      <c r="A541" s="489"/>
      <c r="B541" s="356"/>
      <c r="C541" s="356"/>
      <c r="D541" s="3182"/>
      <c r="E541" s="3174">
        <f t="shared" si="352"/>
        <v>0</v>
      </c>
      <c r="F541" s="3175"/>
      <c r="G541" s="3176">
        <f t="shared" si="353"/>
        <v>0</v>
      </c>
      <c r="H541" s="3177">
        <f t="shared" si="354"/>
        <v>0</v>
      </c>
      <c r="I541" s="3200"/>
      <c r="J541" s="3200"/>
      <c r="K541" s="3200"/>
      <c r="L541" s="3200"/>
      <c r="M541" s="3200"/>
      <c r="N541" s="3200"/>
      <c r="O541" s="3200"/>
      <c r="P541" s="3200"/>
      <c r="Q541" s="3200"/>
      <c r="R541" s="3200"/>
      <c r="S541" s="3200"/>
      <c r="T541" s="3200"/>
      <c r="U541" s="3200"/>
      <c r="V541" s="3200"/>
      <c r="W541" s="3200"/>
      <c r="X541" s="3200"/>
      <c r="Y541" s="3200"/>
      <c r="Z541" s="3200"/>
      <c r="AA541" s="3200"/>
      <c r="AB541" s="3200"/>
      <c r="AC541" s="3174">
        <f t="shared" si="355"/>
        <v>0</v>
      </c>
      <c r="AD541" s="3212"/>
      <c r="AE541" s="3212"/>
      <c r="AF541" s="3212"/>
      <c r="AG541" s="3212"/>
      <c r="AH541" s="3212"/>
      <c r="AI541" s="3212"/>
      <c r="AJ541" s="3212"/>
      <c r="AK541" s="3212"/>
      <c r="AL541" s="3212"/>
      <c r="AM541" s="3212"/>
      <c r="AN541" s="3212"/>
      <c r="AO541" s="3212"/>
      <c r="AP541" s="3212"/>
      <c r="AQ541" s="3212"/>
      <c r="AR541" s="3212"/>
      <c r="AS541" s="3212"/>
      <c r="AT541" s="3175"/>
      <c r="AU541" s="3232"/>
      <c r="AV541" s="466">
        <f t="shared" si="356"/>
        <v>0</v>
      </c>
      <c r="AW541" s="466">
        <f t="shared" si="357"/>
        <v>0</v>
      </c>
      <c r="AX541" s="466">
        <f t="shared" si="358"/>
        <v>0</v>
      </c>
      <c r="AY541" s="385">
        <f t="shared" si="359"/>
        <v>0</v>
      </c>
      <c r="AZ541" s="3174">
        <f t="shared" si="360"/>
        <v>0</v>
      </c>
      <c r="BA541" s="3174">
        <f t="shared" si="361"/>
        <v>0</v>
      </c>
      <c r="BB541" s="3174">
        <f t="shared" si="362"/>
        <v>0</v>
      </c>
      <c r="BC541" s="3174">
        <f t="shared" si="363"/>
        <v>0</v>
      </c>
      <c r="BD541" s="3174">
        <f t="shared" si="364"/>
        <v>0</v>
      </c>
      <c r="BE541" s="3174">
        <f t="shared" si="365"/>
        <v>0</v>
      </c>
      <c r="BF541" s="3174">
        <f t="shared" si="366"/>
        <v>0</v>
      </c>
      <c r="BG541" s="3174">
        <f t="shared" si="367"/>
        <v>0</v>
      </c>
      <c r="BH541" s="3174">
        <f t="shared" si="368"/>
        <v>0</v>
      </c>
      <c r="BI541" s="3174">
        <f t="shared" si="369"/>
        <v>0</v>
      </c>
      <c r="BJ541" s="3174">
        <f t="shared" si="370"/>
        <v>0</v>
      </c>
      <c r="BK541" s="3174">
        <f t="shared" si="371"/>
        <v>0</v>
      </c>
      <c r="BL541" s="3174">
        <f t="shared" si="372"/>
        <v>0</v>
      </c>
      <c r="BM541" s="3174">
        <f t="shared" si="373"/>
        <v>0</v>
      </c>
      <c r="BN541" s="3174">
        <f t="shared" si="374"/>
        <v>0</v>
      </c>
      <c r="BO541" s="3174">
        <f t="shared" si="375"/>
        <v>0</v>
      </c>
      <c r="BP541" s="3174">
        <f t="shared" si="376"/>
        <v>0</v>
      </c>
      <c r="BQ541" s="3174">
        <f t="shared" si="377"/>
        <v>0</v>
      </c>
      <c r="BR541" s="3174">
        <f t="shared" si="378"/>
        <v>0</v>
      </c>
      <c r="BS541" s="3174">
        <f t="shared" si="379"/>
        <v>0</v>
      </c>
      <c r="BT541" s="3249">
        <f t="shared" si="380"/>
        <v>0</v>
      </c>
    </row>
    <row r="542" spans="1:72">
      <c r="A542" s="489"/>
      <c r="B542" s="356"/>
      <c r="C542" s="356"/>
      <c r="D542" s="3182"/>
      <c r="E542" s="3174">
        <f t="shared" si="352"/>
        <v>0</v>
      </c>
      <c r="F542" s="3175"/>
      <c r="G542" s="3176">
        <f t="shared" si="353"/>
        <v>0</v>
      </c>
      <c r="H542" s="3177">
        <f t="shared" si="354"/>
        <v>0</v>
      </c>
      <c r="I542" s="3200"/>
      <c r="J542" s="3200"/>
      <c r="K542" s="3200"/>
      <c r="L542" s="3200"/>
      <c r="M542" s="3200"/>
      <c r="N542" s="3200"/>
      <c r="O542" s="3200"/>
      <c r="P542" s="3200"/>
      <c r="Q542" s="3200"/>
      <c r="R542" s="3200"/>
      <c r="S542" s="3200"/>
      <c r="T542" s="3200"/>
      <c r="U542" s="3200"/>
      <c r="V542" s="3200"/>
      <c r="W542" s="3200"/>
      <c r="X542" s="3200"/>
      <c r="Y542" s="3200"/>
      <c r="Z542" s="3200"/>
      <c r="AA542" s="3200"/>
      <c r="AB542" s="3200"/>
      <c r="AC542" s="3174">
        <f t="shared" si="355"/>
        <v>0</v>
      </c>
      <c r="AD542" s="3212"/>
      <c r="AE542" s="3212"/>
      <c r="AF542" s="3212"/>
      <c r="AG542" s="3212"/>
      <c r="AH542" s="3212"/>
      <c r="AI542" s="3212"/>
      <c r="AJ542" s="3212"/>
      <c r="AK542" s="3212"/>
      <c r="AL542" s="3212"/>
      <c r="AM542" s="3212"/>
      <c r="AN542" s="3212"/>
      <c r="AO542" s="3212"/>
      <c r="AP542" s="3212"/>
      <c r="AQ542" s="3212"/>
      <c r="AR542" s="3212"/>
      <c r="AS542" s="3212"/>
      <c r="AT542" s="3175"/>
      <c r="AU542" s="3232"/>
      <c r="AV542" s="466">
        <f t="shared" si="356"/>
        <v>0</v>
      </c>
      <c r="AW542" s="466">
        <f t="shared" si="357"/>
        <v>0</v>
      </c>
      <c r="AX542" s="466">
        <f t="shared" si="358"/>
        <v>0</v>
      </c>
      <c r="AY542" s="385">
        <f t="shared" si="359"/>
        <v>0</v>
      </c>
      <c r="AZ542" s="3174">
        <f t="shared" si="360"/>
        <v>0</v>
      </c>
      <c r="BA542" s="3174">
        <f t="shared" si="361"/>
        <v>0</v>
      </c>
      <c r="BB542" s="3174">
        <f t="shared" si="362"/>
        <v>0</v>
      </c>
      <c r="BC542" s="3174">
        <f t="shared" si="363"/>
        <v>0</v>
      </c>
      <c r="BD542" s="3174">
        <f t="shared" si="364"/>
        <v>0</v>
      </c>
      <c r="BE542" s="3174">
        <f t="shared" si="365"/>
        <v>0</v>
      </c>
      <c r="BF542" s="3174">
        <f t="shared" si="366"/>
        <v>0</v>
      </c>
      <c r="BG542" s="3174">
        <f t="shared" si="367"/>
        <v>0</v>
      </c>
      <c r="BH542" s="3174">
        <f t="shared" si="368"/>
        <v>0</v>
      </c>
      <c r="BI542" s="3174">
        <f t="shared" si="369"/>
        <v>0</v>
      </c>
      <c r="BJ542" s="3174">
        <f t="shared" si="370"/>
        <v>0</v>
      </c>
      <c r="BK542" s="3174">
        <f t="shared" si="371"/>
        <v>0</v>
      </c>
      <c r="BL542" s="3174">
        <f t="shared" si="372"/>
        <v>0</v>
      </c>
      <c r="BM542" s="3174">
        <f t="shared" si="373"/>
        <v>0</v>
      </c>
      <c r="BN542" s="3174">
        <f t="shared" si="374"/>
        <v>0</v>
      </c>
      <c r="BO542" s="3174">
        <f t="shared" si="375"/>
        <v>0</v>
      </c>
      <c r="BP542" s="3174">
        <f t="shared" si="376"/>
        <v>0</v>
      </c>
      <c r="BQ542" s="3174">
        <f t="shared" si="377"/>
        <v>0</v>
      </c>
      <c r="BR542" s="3174">
        <f t="shared" si="378"/>
        <v>0</v>
      </c>
      <c r="BS542" s="3174">
        <f t="shared" si="379"/>
        <v>0</v>
      </c>
      <c r="BT542" s="3249">
        <f t="shared" si="380"/>
        <v>0</v>
      </c>
    </row>
    <row r="543" spans="1:72">
      <c r="A543" s="489"/>
      <c r="B543" s="356"/>
      <c r="C543" s="356"/>
      <c r="D543" s="3182"/>
      <c r="E543" s="3174">
        <f t="shared" si="352"/>
        <v>0</v>
      </c>
      <c r="F543" s="3175"/>
      <c r="G543" s="3176">
        <f t="shared" si="353"/>
        <v>0</v>
      </c>
      <c r="H543" s="3177">
        <f t="shared" si="354"/>
        <v>0</v>
      </c>
      <c r="I543" s="3200"/>
      <c r="J543" s="3200"/>
      <c r="K543" s="3200"/>
      <c r="L543" s="3200"/>
      <c r="M543" s="3200"/>
      <c r="N543" s="3200"/>
      <c r="O543" s="3200"/>
      <c r="P543" s="3200"/>
      <c r="Q543" s="3200"/>
      <c r="R543" s="3200"/>
      <c r="S543" s="3200"/>
      <c r="T543" s="3200"/>
      <c r="U543" s="3200"/>
      <c r="V543" s="3200"/>
      <c r="W543" s="3200"/>
      <c r="X543" s="3200"/>
      <c r="Y543" s="3200"/>
      <c r="Z543" s="3200"/>
      <c r="AA543" s="3200"/>
      <c r="AB543" s="3200"/>
      <c r="AC543" s="3174">
        <f t="shared" si="355"/>
        <v>0</v>
      </c>
      <c r="AD543" s="3212"/>
      <c r="AE543" s="3212"/>
      <c r="AF543" s="3212"/>
      <c r="AG543" s="3212"/>
      <c r="AH543" s="3212"/>
      <c r="AI543" s="3212"/>
      <c r="AJ543" s="3212"/>
      <c r="AK543" s="3212"/>
      <c r="AL543" s="3212"/>
      <c r="AM543" s="3212"/>
      <c r="AN543" s="3212"/>
      <c r="AO543" s="3212"/>
      <c r="AP543" s="3212"/>
      <c r="AQ543" s="3212"/>
      <c r="AR543" s="3212"/>
      <c r="AS543" s="3212"/>
      <c r="AT543" s="3175"/>
      <c r="AU543" s="3232"/>
      <c r="AV543" s="466">
        <f t="shared" si="356"/>
        <v>0</v>
      </c>
      <c r="AW543" s="466">
        <f t="shared" si="357"/>
        <v>0</v>
      </c>
      <c r="AX543" s="466">
        <f t="shared" si="358"/>
        <v>0</v>
      </c>
      <c r="AY543" s="385">
        <f t="shared" si="359"/>
        <v>0</v>
      </c>
      <c r="AZ543" s="3174">
        <f t="shared" si="360"/>
        <v>0</v>
      </c>
      <c r="BA543" s="3174">
        <f t="shared" si="361"/>
        <v>0</v>
      </c>
      <c r="BB543" s="3174">
        <f t="shared" si="362"/>
        <v>0</v>
      </c>
      <c r="BC543" s="3174">
        <f t="shared" si="363"/>
        <v>0</v>
      </c>
      <c r="BD543" s="3174">
        <f t="shared" si="364"/>
        <v>0</v>
      </c>
      <c r="BE543" s="3174">
        <f t="shared" si="365"/>
        <v>0</v>
      </c>
      <c r="BF543" s="3174">
        <f t="shared" si="366"/>
        <v>0</v>
      </c>
      <c r="BG543" s="3174">
        <f t="shared" si="367"/>
        <v>0</v>
      </c>
      <c r="BH543" s="3174">
        <f t="shared" si="368"/>
        <v>0</v>
      </c>
      <c r="BI543" s="3174">
        <f t="shared" si="369"/>
        <v>0</v>
      </c>
      <c r="BJ543" s="3174">
        <f t="shared" si="370"/>
        <v>0</v>
      </c>
      <c r="BK543" s="3174">
        <f t="shared" si="371"/>
        <v>0</v>
      </c>
      <c r="BL543" s="3174">
        <f t="shared" si="372"/>
        <v>0</v>
      </c>
      <c r="BM543" s="3174">
        <f t="shared" si="373"/>
        <v>0</v>
      </c>
      <c r="BN543" s="3174">
        <f t="shared" si="374"/>
        <v>0</v>
      </c>
      <c r="BO543" s="3174">
        <f t="shared" si="375"/>
        <v>0</v>
      </c>
      <c r="BP543" s="3174">
        <f t="shared" si="376"/>
        <v>0</v>
      </c>
      <c r="BQ543" s="3174">
        <f t="shared" si="377"/>
        <v>0</v>
      </c>
      <c r="BR543" s="3174">
        <f t="shared" si="378"/>
        <v>0</v>
      </c>
      <c r="BS543" s="3174">
        <f t="shared" si="379"/>
        <v>0</v>
      </c>
      <c r="BT543" s="3249">
        <f t="shared" si="380"/>
        <v>0</v>
      </c>
    </row>
    <row r="544" spans="1:72">
      <c r="A544" s="489"/>
      <c r="B544" s="356"/>
      <c r="C544" s="356"/>
      <c r="D544" s="3182"/>
      <c r="E544" s="3174">
        <f t="shared" si="352"/>
        <v>0</v>
      </c>
      <c r="F544" s="3175"/>
      <c r="G544" s="3176">
        <f t="shared" si="353"/>
        <v>0</v>
      </c>
      <c r="H544" s="3177">
        <f t="shared" si="354"/>
        <v>0</v>
      </c>
      <c r="I544" s="3200"/>
      <c r="J544" s="3200"/>
      <c r="K544" s="3200"/>
      <c r="L544" s="3200"/>
      <c r="M544" s="3200"/>
      <c r="N544" s="3200"/>
      <c r="O544" s="3200"/>
      <c r="P544" s="3200"/>
      <c r="Q544" s="3200"/>
      <c r="R544" s="3200"/>
      <c r="S544" s="3200"/>
      <c r="T544" s="3200"/>
      <c r="U544" s="3200"/>
      <c r="V544" s="3200"/>
      <c r="W544" s="3200"/>
      <c r="X544" s="3200"/>
      <c r="Y544" s="3200"/>
      <c r="Z544" s="3200"/>
      <c r="AA544" s="3200"/>
      <c r="AB544" s="3200"/>
      <c r="AC544" s="3174">
        <f t="shared" si="355"/>
        <v>0</v>
      </c>
      <c r="AD544" s="3212"/>
      <c r="AE544" s="3212"/>
      <c r="AF544" s="3212"/>
      <c r="AG544" s="3212"/>
      <c r="AH544" s="3212"/>
      <c r="AI544" s="3212"/>
      <c r="AJ544" s="3212"/>
      <c r="AK544" s="3212"/>
      <c r="AL544" s="3212"/>
      <c r="AM544" s="3212"/>
      <c r="AN544" s="3212"/>
      <c r="AO544" s="3212"/>
      <c r="AP544" s="3212"/>
      <c r="AQ544" s="3212"/>
      <c r="AR544" s="3212"/>
      <c r="AS544" s="3212"/>
      <c r="AT544" s="3175"/>
      <c r="AU544" s="3232"/>
      <c r="AV544" s="466">
        <f t="shared" si="356"/>
        <v>0</v>
      </c>
      <c r="AW544" s="466">
        <f t="shared" si="357"/>
        <v>0</v>
      </c>
      <c r="AX544" s="466">
        <f t="shared" si="358"/>
        <v>0</v>
      </c>
      <c r="AY544" s="385">
        <f t="shared" si="359"/>
        <v>0</v>
      </c>
      <c r="AZ544" s="3174">
        <f t="shared" si="360"/>
        <v>0</v>
      </c>
      <c r="BA544" s="3174">
        <f t="shared" si="361"/>
        <v>0</v>
      </c>
      <c r="BB544" s="3174">
        <f t="shared" si="362"/>
        <v>0</v>
      </c>
      <c r="BC544" s="3174">
        <f t="shared" si="363"/>
        <v>0</v>
      </c>
      <c r="BD544" s="3174">
        <f t="shared" si="364"/>
        <v>0</v>
      </c>
      <c r="BE544" s="3174">
        <f t="shared" si="365"/>
        <v>0</v>
      </c>
      <c r="BF544" s="3174">
        <f t="shared" si="366"/>
        <v>0</v>
      </c>
      <c r="BG544" s="3174">
        <f t="shared" si="367"/>
        <v>0</v>
      </c>
      <c r="BH544" s="3174">
        <f t="shared" si="368"/>
        <v>0</v>
      </c>
      <c r="BI544" s="3174">
        <f t="shared" si="369"/>
        <v>0</v>
      </c>
      <c r="BJ544" s="3174">
        <f t="shared" si="370"/>
        <v>0</v>
      </c>
      <c r="BK544" s="3174">
        <f t="shared" si="371"/>
        <v>0</v>
      </c>
      <c r="BL544" s="3174">
        <f t="shared" si="372"/>
        <v>0</v>
      </c>
      <c r="BM544" s="3174">
        <f t="shared" si="373"/>
        <v>0</v>
      </c>
      <c r="BN544" s="3174">
        <f t="shared" si="374"/>
        <v>0</v>
      </c>
      <c r="BO544" s="3174">
        <f t="shared" si="375"/>
        <v>0</v>
      </c>
      <c r="BP544" s="3174">
        <f t="shared" si="376"/>
        <v>0</v>
      </c>
      <c r="BQ544" s="3174">
        <f t="shared" si="377"/>
        <v>0</v>
      </c>
      <c r="BR544" s="3174">
        <f t="shared" si="378"/>
        <v>0</v>
      </c>
      <c r="BS544" s="3174">
        <f t="shared" si="379"/>
        <v>0</v>
      </c>
      <c r="BT544" s="3249">
        <f t="shared" si="380"/>
        <v>0</v>
      </c>
    </row>
    <row r="545" spans="1:72">
      <c r="A545" s="489"/>
      <c r="B545" s="356"/>
      <c r="C545" s="356"/>
      <c r="D545" s="3182"/>
      <c r="E545" s="3174">
        <f t="shared" si="352"/>
        <v>0</v>
      </c>
      <c r="F545" s="3175"/>
      <c r="G545" s="3176">
        <f t="shared" si="353"/>
        <v>0</v>
      </c>
      <c r="H545" s="3177">
        <f t="shared" si="354"/>
        <v>0</v>
      </c>
      <c r="I545" s="3200"/>
      <c r="J545" s="3200"/>
      <c r="K545" s="3200"/>
      <c r="L545" s="3200"/>
      <c r="M545" s="3200"/>
      <c r="N545" s="3200"/>
      <c r="O545" s="3200"/>
      <c r="P545" s="3200"/>
      <c r="Q545" s="3200"/>
      <c r="R545" s="3200"/>
      <c r="S545" s="3200"/>
      <c r="T545" s="3200"/>
      <c r="U545" s="3200"/>
      <c r="V545" s="3200"/>
      <c r="W545" s="3200"/>
      <c r="X545" s="3200"/>
      <c r="Y545" s="3200"/>
      <c r="Z545" s="3200"/>
      <c r="AA545" s="3200"/>
      <c r="AB545" s="3200"/>
      <c r="AC545" s="3174">
        <f t="shared" si="355"/>
        <v>0</v>
      </c>
      <c r="AD545" s="3212"/>
      <c r="AE545" s="3212"/>
      <c r="AF545" s="3212"/>
      <c r="AG545" s="3212"/>
      <c r="AH545" s="3212"/>
      <c r="AI545" s="3212"/>
      <c r="AJ545" s="3212"/>
      <c r="AK545" s="3212"/>
      <c r="AL545" s="3212"/>
      <c r="AM545" s="3212"/>
      <c r="AN545" s="3212"/>
      <c r="AO545" s="3212"/>
      <c r="AP545" s="3212"/>
      <c r="AQ545" s="3212"/>
      <c r="AR545" s="3212"/>
      <c r="AS545" s="3212"/>
      <c r="AT545" s="3175"/>
      <c r="AU545" s="3232"/>
      <c r="AV545" s="466">
        <f t="shared" si="356"/>
        <v>0</v>
      </c>
      <c r="AW545" s="466">
        <f t="shared" si="357"/>
        <v>0</v>
      </c>
      <c r="AX545" s="466">
        <f t="shared" si="358"/>
        <v>0</v>
      </c>
      <c r="AY545" s="385">
        <f t="shared" si="359"/>
        <v>0</v>
      </c>
      <c r="AZ545" s="3174">
        <f t="shared" si="360"/>
        <v>0</v>
      </c>
      <c r="BA545" s="3174">
        <f t="shared" si="361"/>
        <v>0</v>
      </c>
      <c r="BB545" s="3174">
        <f t="shared" si="362"/>
        <v>0</v>
      </c>
      <c r="BC545" s="3174">
        <f t="shared" si="363"/>
        <v>0</v>
      </c>
      <c r="BD545" s="3174">
        <f t="shared" si="364"/>
        <v>0</v>
      </c>
      <c r="BE545" s="3174">
        <f t="shared" si="365"/>
        <v>0</v>
      </c>
      <c r="BF545" s="3174">
        <f t="shared" si="366"/>
        <v>0</v>
      </c>
      <c r="BG545" s="3174">
        <f t="shared" si="367"/>
        <v>0</v>
      </c>
      <c r="BH545" s="3174">
        <f t="shared" si="368"/>
        <v>0</v>
      </c>
      <c r="BI545" s="3174">
        <f t="shared" si="369"/>
        <v>0</v>
      </c>
      <c r="BJ545" s="3174">
        <f t="shared" si="370"/>
        <v>0</v>
      </c>
      <c r="BK545" s="3174">
        <f t="shared" si="371"/>
        <v>0</v>
      </c>
      <c r="BL545" s="3174">
        <f t="shared" si="372"/>
        <v>0</v>
      </c>
      <c r="BM545" s="3174">
        <f t="shared" si="373"/>
        <v>0</v>
      </c>
      <c r="BN545" s="3174">
        <f t="shared" si="374"/>
        <v>0</v>
      </c>
      <c r="BO545" s="3174">
        <f t="shared" si="375"/>
        <v>0</v>
      </c>
      <c r="BP545" s="3174">
        <f t="shared" si="376"/>
        <v>0</v>
      </c>
      <c r="BQ545" s="3174">
        <f t="shared" si="377"/>
        <v>0</v>
      </c>
      <c r="BR545" s="3174">
        <f t="shared" si="378"/>
        <v>0</v>
      </c>
      <c r="BS545" s="3174">
        <f t="shared" si="379"/>
        <v>0</v>
      </c>
      <c r="BT545" s="3249">
        <f t="shared" si="380"/>
        <v>0</v>
      </c>
    </row>
    <row r="546" spans="1:72">
      <c r="A546" s="489"/>
      <c r="B546" s="356"/>
      <c r="C546" s="356"/>
      <c r="D546" s="3182"/>
      <c r="E546" s="3174">
        <f t="shared" si="352"/>
        <v>0</v>
      </c>
      <c r="F546" s="3175"/>
      <c r="G546" s="3176">
        <f t="shared" si="353"/>
        <v>0</v>
      </c>
      <c r="H546" s="3177">
        <f t="shared" si="354"/>
        <v>0</v>
      </c>
      <c r="I546" s="3200"/>
      <c r="J546" s="3200"/>
      <c r="K546" s="3200"/>
      <c r="L546" s="3200"/>
      <c r="M546" s="3200"/>
      <c r="N546" s="3200"/>
      <c r="O546" s="3200"/>
      <c r="P546" s="3200"/>
      <c r="Q546" s="3200"/>
      <c r="R546" s="3200"/>
      <c r="S546" s="3200"/>
      <c r="T546" s="3200"/>
      <c r="U546" s="3200"/>
      <c r="V546" s="3200"/>
      <c r="W546" s="3200"/>
      <c r="X546" s="3200"/>
      <c r="Y546" s="3200"/>
      <c r="Z546" s="3200"/>
      <c r="AA546" s="3200"/>
      <c r="AB546" s="3200"/>
      <c r="AC546" s="3174">
        <f t="shared" si="355"/>
        <v>0</v>
      </c>
      <c r="AD546" s="3212"/>
      <c r="AE546" s="3212"/>
      <c r="AF546" s="3212"/>
      <c r="AG546" s="3212"/>
      <c r="AH546" s="3212"/>
      <c r="AI546" s="3212"/>
      <c r="AJ546" s="3212"/>
      <c r="AK546" s="3212"/>
      <c r="AL546" s="3212"/>
      <c r="AM546" s="3212"/>
      <c r="AN546" s="3212"/>
      <c r="AO546" s="3212"/>
      <c r="AP546" s="3212"/>
      <c r="AQ546" s="3212"/>
      <c r="AR546" s="3212"/>
      <c r="AS546" s="3212"/>
      <c r="AT546" s="3175"/>
      <c r="AU546" s="3232"/>
      <c r="AV546" s="466">
        <f t="shared" si="356"/>
        <v>0</v>
      </c>
      <c r="AW546" s="466">
        <f t="shared" si="357"/>
        <v>0</v>
      </c>
      <c r="AX546" s="466">
        <f t="shared" si="358"/>
        <v>0</v>
      </c>
      <c r="AY546" s="385">
        <f t="shared" si="359"/>
        <v>0</v>
      </c>
      <c r="AZ546" s="3174">
        <f t="shared" si="360"/>
        <v>0</v>
      </c>
      <c r="BA546" s="3174">
        <f t="shared" si="361"/>
        <v>0</v>
      </c>
      <c r="BB546" s="3174">
        <f t="shared" si="362"/>
        <v>0</v>
      </c>
      <c r="BC546" s="3174">
        <f t="shared" si="363"/>
        <v>0</v>
      </c>
      <c r="BD546" s="3174">
        <f t="shared" si="364"/>
        <v>0</v>
      </c>
      <c r="BE546" s="3174">
        <f t="shared" si="365"/>
        <v>0</v>
      </c>
      <c r="BF546" s="3174">
        <f t="shared" si="366"/>
        <v>0</v>
      </c>
      <c r="BG546" s="3174">
        <f t="shared" si="367"/>
        <v>0</v>
      </c>
      <c r="BH546" s="3174">
        <f t="shared" si="368"/>
        <v>0</v>
      </c>
      <c r="BI546" s="3174">
        <f t="shared" si="369"/>
        <v>0</v>
      </c>
      <c r="BJ546" s="3174">
        <f t="shared" si="370"/>
        <v>0</v>
      </c>
      <c r="BK546" s="3174">
        <f t="shared" si="371"/>
        <v>0</v>
      </c>
      <c r="BL546" s="3174">
        <f t="shared" si="372"/>
        <v>0</v>
      </c>
      <c r="BM546" s="3174">
        <f t="shared" si="373"/>
        <v>0</v>
      </c>
      <c r="BN546" s="3174">
        <f t="shared" si="374"/>
        <v>0</v>
      </c>
      <c r="BO546" s="3174">
        <f t="shared" si="375"/>
        <v>0</v>
      </c>
      <c r="BP546" s="3174">
        <f t="shared" si="376"/>
        <v>0</v>
      </c>
      <c r="BQ546" s="3174">
        <f t="shared" si="377"/>
        <v>0</v>
      </c>
      <c r="BR546" s="3174">
        <f t="shared" si="378"/>
        <v>0</v>
      </c>
      <c r="BS546" s="3174">
        <f t="shared" si="379"/>
        <v>0</v>
      </c>
      <c r="BT546" s="3249">
        <f t="shared" si="380"/>
        <v>0</v>
      </c>
    </row>
    <row r="547" spans="1:72">
      <c r="A547" s="489"/>
      <c r="B547" s="356"/>
      <c r="C547" s="356"/>
      <c r="D547" s="3182"/>
      <c r="E547" s="3174">
        <f t="shared" si="352"/>
        <v>0</v>
      </c>
      <c r="F547" s="3175"/>
      <c r="G547" s="3176">
        <f t="shared" si="353"/>
        <v>0</v>
      </c>
      <c r="H547" s="3177">
        <f t="shared" si="354"/>
        <v>0</v>
      </c>
      <c r="I547" s="3200"/>
      <c r="J547" s="3200"/>
      <c r="K547" s="3200"/>
      <c r="L547" s="3200"/>
      <c r="M547" s="3200"/>
      <c r="N547" s="3200"/>
      <c r="O547" s="3200"/>
      <c r="P547" s="3200"/>
      <c r="Q547" s="3200"/>
      <c r="R547" s="3200"/>
      <c r="S547" s="3200"/>
      <c r="T547" s="3200"/>
      <c r="U547" s="3200"/>
      <c r="V547" s="3200"/>
      <c r="W547" s="3200"/>
      <c r="X547" s="3200"/>
      <c r="Y547" s="3200"/>
      <c r="Z547" s="3200"/>
      <c r="AA547" s="3200"/>
      <c r="AB547" s="3200"/>
      <c r="AC547" s="3174">
        <f t="shared" si="355"/>
        <v>0</v>
      </c>
      <c r="AD547" s="3212"/>
      <c r="AE547" s="3212"/>
      <c r="AF547" s="3212"/>
      <c r="AG547" s="3212"/>
      <c r="AH547" s="3212"/>
      <c r="AI547" s="3212"/>
      <c r="AJ547" s="3212"/>
      <c r="AK547" s="3212"/>
      <c r="AL547" s="3212"/>
      <c r="AM547" s="3212"/>
      <c r="AN547" s="3212"/>
      <c r="AO547" s="3212"/>
      <c r="AP547" s="3212"/>
      <c r="AQ547" s="3212"/>
      <c r="AR547" s="3212"/>
      <c r="AS547" s="3212"/>
      <c r="AT547" s="3175"/>
      <c r="AU547" s="3232"/>
      <c r="AV547" s="466">
        <f t="shared" si="356"/>
        <v>0</v>
      </c>
      <c r="AW547" s="466">
        <f t="shared" si="357"/>
        <v>0</v>
      </c>
      <c r="AX547" s="466">
        <f t="shared" si="358"/>
        <v>0</v>
      </c>
      <c r="AY547" s="385">
        <f t="shared" si="359"/>
        <v>0</v>
      </c>
      <c r="AZ547" s="3174">
        <f t="shared" si="360"/>
        <v>0</v>
      </c>
      <c r="BA547" s="3174">
        <f t="shared" si="361"/>
        <v>0</v>
      </c>
      <c r="BB547" s="3174">
        <f t="shared" si="362"/>
        <v>0</v>
      </c>
      <c r="BC547" s="3174">
        <f t="shared" si="363"/>
        <v>0</v>
      </c>
      <c r="BD547" s="3174">
        <f t="shared" si="364"/>
        <v>0</v>
      </c>
      <c r="BE547" s="3174">
        <f t="shared" si="365"/>
        <v>0</v>
      </c>
      <c r="BF547" s="3174">
        <f t="shared" si="366"/>
        <v>0</v>
      </c>
      <c r="BG547" s="3174">
        <f t="shared" si="367"/>
        <v>0</v>
      </c>
      <c r="BH547" s="3174">
        <f t="shared" si="368"/>
        <v>0</v>
      </c>
      <c r="BI547" s="3174">
        <f t="shared" si="369"/>
        <v>0</v>
      </c>
      <c r="BJ547" s="3174">
        <f t="shared" si="370"/>
        <v>0</v>
      </c>
      <c r="BK547" s="3174">
        <f t="shared" si="371"/>
        <v>0</v>
      </c>
      <c r="BL547" s="3174">
        <f t="shared" si="372"/>
        <v>0</v>
      </c>
      <c r="BM547" s="3174">
        <f t="shared" si="373"/>
        <v>0</v>
      </c>
      <c r="BN547" s="3174">
        <f t="shared" si="374"/>
        <v>0</v>
      </c>
      <c r="BO547" s="3174">
        <f t="shared" si="375"/>
        <v>0</v>
      </c>
      <c r="BP547" s="3174">
        <f t="shared" si="376"/>
        <v>0</v>
      </c>
      <c r="BQ547" s="3174">
        <f t="shared" si="377"/>
        <v>0</v>
      </c>
      <c r="BR547" s="3174">
        <f t="shared" si="378"/>
        <v>0</v>
      </c>
      <c r="BS547" s="3174">
        <f t="shared" si="379"/>
        <v>0</v>
      </c>
      <c r="BT547" s="3249">
        <f t="shared" si="380"/>
        <v>0</v>
      </c>
    </row>
    <row r="548" spans="1:72">
      <c r="A548" s="489"/>
      <c r="B548" s="356"/>
      <c r="C548" s="356"/>
      <c r="D548" s="3182"/>
      <c r="E548" s="3174">
        <f t="shared" si="352"/>
        <v>0</v>
      </c>
      <c r="F548" s="3175"/>
      <c r="G548" s="3176">
        <f t="shared" si="353"/>
        <v>0</v>
      </c>
      <c r="H548" s="3177">
        <f t="shared" si="354"/>
        <v>0</v>
      </c>
      <c r="I548" s="3200"/>
      <c r="J548" s="3200"/>
      <c r="K548" s="3200"/>
      <c r="L548" s="3200"/>
      <c r="M548" s="3200"/>
      <c r="N548" s="3200"/>
      <c r="O548" s="3200"/>
      <c r="P548" s="3200"/>
      <c r="Q548" s="3200"/>
      <c r="R548" s="3200"/>
      <c r="S548" s="3200"/>
      <c r="T548" s="3200"/>
      <c r="U548" s="3200"/>
      <c r="V548" s="3200"/>
      <c r="W548" s="3200"/>
      <c r="X548" s="3200"/>
      <c r="Y548" s="3200"/>
      <c r="Z548" s="3200"/>
      <c r="AA548" s="3200"/>
      <c r="AB548" s="3200"/>
      <c r="AC548" s="3174">
        <f t="shared" si="355"/>
        <v>0</v>
      </c>
      <c r="AD548" s="3212"/>
      <c r="AE548" s="3212"/>
      <c r="AF548" s="3212"/>
      <c r="AG548" s="3212"/>
      <c r="AH548" s="3212"/>
      <c r="AI548" s="3212"/>
      <c r="AJ548" s="3212"/>
      <c r="AK548" s="3212"/>
      <c r="AL548" s="3212"/>
      <c r="AM548" s="3212"/>
      <c r="AN548" s="3212"/>
      <c r="AO548" s="3212"/>
      <c r="AP548" s="3212"/>
      <c r="AQ548" s="3212"/>
      <c r="AR548" s="3212"/>
      <c r="AS548" s="3212"/>
      <c r="AT548" s="3175"/>
      <c r="AU548" s="3232"/>
      <c r="AV548" s="466">
        <f t="shared" si="356"/>
        <v>0</v>
      </c>
      <c r="AW548" s="466">
        <f t="shared" si="357"/>
        <v>0</v>
      </c>
      <c r="AX548" s="466">
        <f t="shared" si="358"/>
        <v>0</v>
      </c>
      <c r="AY548" s="385">
        <f t="shared" si="359"/>
        <v>0</v>
      </c>
      <c r="AZ548" s="3174">
        <f t="shared" si="360"/>
        <v>0</v>
      </c>
      <c r="BA548" s="3174">
        <f t="shared" si="361"/>
        <v>0</v>
      </c>
      <c r="BB548" s="3174">
        <f t="shared" si="362"/>
        <v>0</v>
      </c>
      <c r="BC548" s="3174">
        <f t="shared" si="363"/>
        <v>0</v>
      </c>
      <c r="BD548" s="3174">
        <f t="shared" si="364"/>
        <v>0</v>
      </c>
      <c r="BE548" s="3174">
        <f t="shared" si="365"/>
        <v>0</v>
      </c>
      <c r="BF548" s="3174">
        <f t="shared" si="366"/>
        <v>0</v>
      </c>
      <c r="BG548" s="3174">
        <f t="shared" si="367"/>
        <v>0</v>
      </c>
      <c r="BH548" s="3174">
        <f t="shared" si="368"/>
        <v>0</v>
      </c>
      <c r="BI548" s="3174">
        <f t="shared" si="369"/>
        <v>0</v>
      </c>
      <c r="BJ548" s="3174">
        <f t="shared" si="370"/>
        <v>0</v>
      </c>
      <c r="BK548" s="3174">
        <f t="shared" si="371"/>
        <v>0</v>
      </c>
      <c r="BL548" s="3174">
        <f t="shared" si="372"/>
        <v>0</v>
      </c>
      <c r="BM548" s="3174">
        <f t="shared" si="373"/>
        <v>0</v>
      </c>
      <c r="BN548" s="3174">
        <f t="shared" si="374"/>
        <v>0</v>
      </c>
      <c r="BO548" s="3174">
        <f t="shared" si="375"/>
        <v>0</v>
      </c>
      <c r="BP548" s="3174">
        <f t="shared" si="376"/>
        <v>0</v>
      </c>
      <c r="BQ548" s="3174">
        <f t="shared" si="377"/>
        <v>0</v>
      </c>
      <c r="BR548" s="3174">
        <f t="shared" si="378"/>
        <v>0</v>
      </c>
      <c r="BS548" s="3174">
        <f t="shared" si="379"/>
        <v>0</v>
      </c>
      <c r="BT548" s="3249">
        <f t="shared" si="380"/>
        <v>0</v>
      </c>
    </row>
    <row r="549" spans="1:72">
      <c r="A549" s="489"/>
      <c r="B549" s="356"/>
      <c r="C549" s="356"/>
      <c r="D549" s="3182"/>
      <c r="E549" s="3174">
        <f t="shared" si="352"/>
        <v>0</v>
      </c>
      <c r="F549" s="3175"/>
      <c r="G549" s="3176">
        <f t="shared" si="353"/>
        <v>0</v>
      </c>
      <c r="H549" s="3177">
        <f t="shared" si="354"/>
        <v>0</v>
      </c>
      <c r="I549" s="3200"/>
      <c r="J549" s="3200"/>
      <c r="K549" s="3200"/>
      <c r="L549" s="3200"/>
      <c r="M549" s="3200"/>
      <c r="N549" s="3200"/>
      <c r="O549" s="3200"/>
      <c r="P549" s="3200"/>
      <c r="Q549" s="3200"/>
      <c r="R549" s="3200"/>
      <c r="S549" s="3200"/>
      <c r="T549" s="3200"/>
      <c r="U549" s="3200"/>
      <c r="V549" s="3200"/>
      <c r="W549" s="3200"/>
      <c r="X549" s="3200"/>
      <c r="Y549" s="3200"/>
      <c r="Z549" s="3200"/>
      <c r="AA549" s="3200"/>
      <c r="AB549" s="3200"/>
      <c r="AC549" s="3174">
        <f t="shared" si="355"/>
        <v>0</v>
      </c>
      <c r="AD549" s="3212"/>
      <c r="AE549" s="3212"/>
      <c r="AF549" s="3212"/>
      <c r="AG549" s="3212"/>
      <c r="AH549" s="3212"/>
      <c r="AI549" s="3212"/>
      <c r="AJ549" s="3212"/>
      <c r="AK549" s="3212"/>
      <c r="AL549" s="3212"/>
      <c r="AM549" s="3212"/>
      <c r="AN549" s="3212"/>
      <c r="AO549" s="3212"/>
      <c r="AP549" s="3212"/>
      <c r="AQ549" s="3212"/>
      <c r="AR549" s="3212"/>
      <c r="AS549" s="3212"/>
      <c r="AT549" s="3175"/>
      <c r="AU549" s="3232"/>
      <c r="AV549" s="466">
        <f t="shared" si="356"/>
        <v>0</v>
      </c>
      <c r="AW549" s="466">
        <f t="shared" si="357"/>
        <v>0</v>
      </c>
      <c r="AX549" s="466">
        <f t="shared" si="358"/>
        <v>0</v>
      </c>
      <c r="AY549" s="385">
        <f t="shared" si="359"/>
        <v>0</v>
      </c>
      <c r="AZ549" s="3174">
        <f t="shared" si="360"/>
        <v>0</v>
      </c>
      <c r="BA549" s="3174">
        <f t="shared" si="361"/>
        <v>0</v>
      </c>
      <c r="BB549" s="3174">
        <f t="shared" si="362"/>
        <v>0</v>
      </c>
      <c r="BC549" s="3174">
        <f t="shared" si="363"/>
        <v>0</v>
      </c>
      <c r="BD549" s="3174">
        <f t="shared" si="364"/>
        <v>0</v>
      </c>
      <c r="BE549" s="3174">
        <f t="shared" si="365"/>
        <v>0</v>
      </c>
      <c r="BF549" s="3174">
        <f t="shared" si="366"/>
        <v>0</v>
      </c>
      <c r="BG549" s="3174">
        <f t="shared" si="367"/>
        <v>0</v>
      </c>
      <c r="BH549" s="3174">
        <f t="shared" si="368"/>
        <v>0</v>
      </c>
      <c r="BI549" s="3174">
        <f t="shared" si="369"/>
        <v>0</v>
      </c>
      <c r="BJ549" s="3174">
        <f t="shared" si="370"/>
        <v>0</v>
      </c>
      <c r="BK549" s="3174">
        <f t="shared" si="371"/>
        <v>0</v>
      </c>
      <c r="BL549" s="3174">
        <f t="shared" si="372"/>
        <v>0</v>
      </c>
      <c r="BM549" s="3174">
        <f t="shared" si="373"/>
        <v>0</v>
      </c>
      <c r="BN549" s="3174">
        <f t="shared" si="374"/>
        <v>0</v>
      </c>
      <c r="BO549" s="3174">
        <f t="shared" si="375"/>
        <v>0</v>
      </c>
      <c r="BP549" s="3174">
        <f t="shared" si="376"/>
        <v>0</v>
      </c>
      <c r="BQ549" s="3174">
        <f t="shared" si="377"/>
        <v>0</v>
      </c>
      <c r="BR549" s="3174">
        <f t="shared" si="378"/>
        <v>0</v>
      </c>
      <c r="BS549" s="3174">
        <f t="shared" si="379"/>
        <v>0</v>
      </c>
      <c r="BT549" s="3249">
        <f t="shared" si="380"/>
        <v>0</v>
      </c>
    </row>
    <row r="550" spans="1:72">
      <c r="A550" s="489"/>
      <c r="B550" s="356"/>
      <c r="C550" s="356"/>
      <c r="D550" s="3182"/>
      <c r="E550" s="3174">
        <f t="shared" si="352"/>
        <v>0</v>
      </c>
      <c r="F550" s="3175"/>
      <c r="G550" s="3176">
        <f t="shared" si="353"/>
        <v>0</v>
      </c>
      <c r="H550" s="3177">
        <f t="shared" si="354"/>
        <v>0</v>
      </c>
      <c r="I550" s="3200"/>
      <c r="J550" s="3200"/>
      <c r="K550" s="3200"/>
      <c r="L550" s="3200"/>
      <c r="M550" s="3200"/>
      <c r="N550" s="3200"/>
      <c r="O550" s="3200"/>
      <c r="P550" s="3200"/>
      <c r="Q550" s="3200"/>
      <c r="R550" s="3200"/>
      <c r="S550" s="3200"/>
      <c r="T550" s="3200"/>
      <c r="U550" s="3200"/>
      <c r="V550" s="3200"/>
      <c r="W550" s="3200"/>
      <c r="X550" s="3200"/>
      <c r="Y550" s="3200"/>
      <c r="Z550" s="3200"/>
      <c r="AA550" s="3200"/>
      <c r="AB550" s="3200"/>
      <c r="AC550" s="3174">
        <f t="shared" si="355"/>
        <v>0</v>
      </c>
      <c r="AD550" s="3212"/>
      <c r="AE550" s="3212"/>
      <c r="AF550" s="3212"/>
      <c r="AG550" s="3212"/>
      <c r="AH550" s="3212"/>
      <c r="AI550" s="3212"/>
      <c r="AJ550" s="3212"/>
      <c r="AK550" s="3212"/>
      <c r="AL550" s="3212"/>
      <c r="AM550" s="3212"/>
      <c r="AN550" s="3212"/>
      <c r="AO550" s="3212"/>
      <c r="AP550" s="3212"/>
      <c r="AQ550" s="3212"/>
      <c r="AR550" s="3212"/>
      <c r="AS550" s="3212"/>
      <c r="AT550" s="3175"/>
      <c r="AU550" s="3232"/>
      <c r="AV550" s="466">
        <f t="shared" si="356"/>
        <v>0</v>
      </c>
      <c r="AW550" s="466">
        <f t="shared" si="357"/>
        <v>0</v>
      </c>
      <c r="AX550" s="466">
        <f t="shared" si="358"/>
        <v>0</v>
      </c>
      <c r="AY550" s="385">
        <f t="shared" si="359"/>
        <v>0</v>
      </c>
      <c r="AZ550" s="3174">
        <f t="shared" si="360"/>
        <v>0</v>
      </c>
      <c r="BA550" s="3174">
        <f t="shared" si="361"/>
        <v>0</v>
      </c>
      <c r="BB550" s="3174">
        <f t="shared" si="362"/>
        <v>0</v>
      </c>
      <c r="BC550" s="3174">
        <f t="shared" si="363"/>
        <v>0</v>
      </c>
      <c r="BD550" s="3174">
        <f t="shared" si="364"/>
        <v>0</v>
      </c>
      <c r="BE550" s="3174">
        <f t="shared" si="365"/>
        <v>0</v>
      </c>
      <c r="BF550" s="3174">
        <f t="shared" si="366"/>
        <v>0</v>
      </c>
      <c r="BG550" s="3174">
        <f t="shared" si="367"/>
        <v>0</v>
      </c>
      <c r="BH550" s="3174">
        <f t="shared" si="368"/>
        <v>0</v>
      </c>
      <c r="BI550" s="3174">
        <f t="shared" si="369"/>
        <v>0</v>
      </c>
      <c r="BJ550" s="3174">
        <f t="shared" si="370"/>
        <v>0</v>
      </c>
      <c r="BK550" s="3174">
        <f t="shared" si="371"/>
        <v>0</v>
      </c>
      <c r="BL550" s="3174">
        <f t="shared" si="372"/>
        <v>0</v>
      </c>
      <c r="BM550" s="3174">
        <f t="shared" si="373"/>
        <v>0</v>
      </c>
      <c r="BN550" s="3174">
        <f t="shared" si="374"/>
        <v>0</v>
      </c>
      <c r="BO550" s="3174">
        <f t="shared" si="375"/>
        <v>0</v>
      </c>
      <c r="BP550" s="3174">
        <f t="shared" si="376"/>
        <v>0</v>
      </c>
      <c r="BQ550" s="3174">
        <f t="shared" si="377"/>
        <v>0</v>
      </c>
      <c r="BR550" s="3174">
        <f t="shared" si="378"/>
        <v>0</v>
      </c>
      <c r="BS550" s="3174">
        <f t="shared" si="379"/>
        <v>0</v>
      </c>
      <c r="BT550" s="3249">
        <f t="shared" si="380"/>
        <v>0</v>
      </c>
    </row>
    <row r="551" spans="1:72">
      <c r="A551" s="489"/>
      <c r="B551" s="356"/>
      <c r="C551" s="356"/>
      <c r="D551" s="3182"/>
      <c r="E551" s="3174">
        <f t="shared" si="352"/>
        <v>0</v>
      </c>
      <c r="F551" s="3175"/>
      <c r="G551" s="3176">
        <f t="shared" si="353"/>
        <v>0</v>
      </c>
      <c r="H551" s="3177">
        <f t="shared" si="354"/>
        <v>0</v>
      </c>
      <c r="I551" s="3200"/>
      <c r="J551" s="3200"/>
      <c r="K551" s="3200"/>
      <c r="L551" s="3200"/>
      <c r="M551" s="3200"/>
      <c r="N551" s="3200"/>
      <c r="O551" s="3200"/>
      <c r="P551" s="3200"/>
      <c r="Q551" s="3200"/>
      <c r="R551" s="3200"/>
      <c r="S551" s="3200"/>
      <c r="T551" s="3200"/>
      <c r="U551" s="3200"/>
      <c r="V551" s="3200"/>
      <c r="W551" s="3200"/>
      <c r="X551" s="3200"/>
      <c r="Y551" s="3200"/>
      <c r="Z551" s="3200"/>
      <c r="AA551" s="3200"/>
      <c r="AB551" s="3200"/>
      <c r="AC551" s="3174">
        <f t="shared" si="355"/>
        <v>0</v>
      </c>
      <c r="AD551" s="3212"/>
      <c r="AE551" s="3212"/>
      <c r="AF551" s="3212"/>
      <c r="AG551" s="3212"/>
      <c r="AH551" s="3212"/>
      <c r="AI551" s="3212"/>
      <c r="AJ551" s="3212"/>
      <c r="AK551" s="3212"/>
      <c r="AL551" s="3212"/>
      <c r="AM551" s="3212"/>
      <c r="AN551" s="3212"/>
      <c r="AO551" s="3212"/>
      <c r="AP551" s="3212"/>
      <c r="AQ551" s="3212"/>
      <c r="AR551" s="3212"/>
      <c r="AS551" s="3212"/>
      <c r="AT551" s="3175"/>
      <c r="AU551" s="3232"/>
      <c r="AV551" s="466">
        <f t="shared" si="356"/>
        <v>0</v>
      </c>
      <c r="AW551" s="466">
        <f t="shared" si="357"/>
        <v>0</v>
      </c>
      <c r="AX551" s="466">
        <f t="shared" si="358"/>
        <v>0</v>
      </c>
      <c r="AY551" s="385">
        <f t="shared" si="359"/>
        <v>0</v>
      </c>
      <c r="AZ551" s="3174">
        <f t="shared" si="360"/>
        <v>0</v>
      </c>
      <c r="BA551" s="3174">
        <f t="shared" si="361"/>
        <v>0</v>
      </c>
      <c r="BB551" s="3174">
        <f t="shared" si="362"/>
        <v>0</v>
      </c>
      <c r="BC551" s="3174">
        <f t="shared" si="363"/>
        <v>0</v>
      </c>
      <c r="BD551" s="3174">
        <f t="shared" si="364"/>
        <v>0</v>
      </c>
      <c r="BE551" s="3174">
        <f t="shared" si="365"/>
        <v>0</v>
      </c>
      <c r="BF551" s="3174">
        <f t="shared" si="366"/>
        <v>0</v>
      </c>
      <c r="BG551" s="3174">
        <f t="shared" si="367"/>
        <v>0</v>
      </c>
      <c r="BH551" s="3174">
        <f t="shared" si="368"/>
        <v>0</v>
      </c>
      <c r="BI551" s="3174">
        <f t="shared" si="369"/>
        <v>0</v>
      </c>
      <c r="BJ551" s="3174">
        <f t="shared" si="370"/>
        <v>0</v>
      </c>
      <c r="BK551" s="3174">
        <f t="shared" si="371"/>
        <v>0</v>
      </c>
      <c r="BL551" s="3174">
        <f t="shared" si="372"/>
        <v>0</v>
      </c>
      <c r="BM551" s="3174">
        <f t="shared" si="373"/>
        <v>0</v>
      </c>
      <c r="BN551" s="3174">
        <f t="shared" si="374"/>
        <v>0</v>
      </c>
      <c r="BO551" s="3174">
        <f t="shared" si="375"/>
        <v>0</v>
      </c>
      <c r="BP551" s="3174">
        <f t="shared" si="376"/>
        <v>0</v>
      </c>
      <c r="BQ551" s="3174">
        <f t="shared" si="377"/>
        <v>0</v>
      </c>
      <c r="BR551" s="3174">
        <f t="shared" si="378"/>
        <v>0</v>
      </c>
      <c r="BS551" s="3174">
        <f t="shared" si="379"/>
        <v>0</v>
      </c>
      <c r="BT551" s="3249">
        <f t="shared" si="380"/>
        <v>0</v>
      </c>
    </row>
    <row r="552" spans="1:72">
      <c r="A552" s="489"/>
      <c r="B552" s="356"/>
      <c r="C552" s="356"/>
      <c r="D552" s="3182"/>
      <c r="E552" s="3174">
        <f t="shared" si="352"/>
        <v>0</v>
      </c>
      <c r="F552" s="3175"/>
      <c r="G552" s="3176">
        <f t="shared" si="353"/>
        <v>0</v>
      </c>
      <c r="H552" s="3177">
        <f t="shared" si="354"/>
        <v>0</v>
      </c>
      <c r="I552" s="3200"/>
      <c r="J552" s="3200"/>
      <c r="K552" s="3200"/>
      <c r="L552" s="3200"/>
      <c r="M552" s="3200"/>
      <c r="N552" s="3200"/>
      <c r="O552" s="3200"/>
      <c r="P552" s="3200"/>
      <c r="Q552" s="3200"/>
      <c r="R552" s="3200"/>
      <c r="S552" s="3200"/>
      <c r="T552" s="3200"/>
      <c r="U552" s="3200"/>
      <c r="V552" s="3200"/>
      <c r="W552" s="3200"/>
      <c r="X552" s="3200"/>
      <c r="Y552" s="3200"/>
      <c r="Z552" s="3200"/>
      <c r="AA552" s="3200"/>
      <c r="AB552" s="3200"/>
      <c r="AC552" s="3174">
        <f t="shared" si="355"/>
        <v>0</v>
      </c>
      <c r="AD552" s="3212"/>
      <c r="AE552" s="3212"/>
      <c r="AF552" s="3212"/>
      <c r="AG552" s="3212"/>
      <c r="AH552" s="3212"/>
      <c r="AI552" s="3212"/>
      <c r="AJ552" s="3212"/>
      <c r="AK552" s="3212"/>
      <c r="AL552" s="3212"/>
      <c r="AM552" s="3212"/>
      <c r="AN552" s="3212"/>
      <c r="AO552" s="3212"/>
      <c r="AP552" s="3212"/>
      <c r="AQ552" s="3212"/>
      <c r="AR552" s="3212"/>
      <c r="AS552" s="3212"/>
      <c r="AT552" s="3175"/>
      <c r="AU552" s="3232"/>
      <c r="AV552" s="466">
        <f t="shared" si="356"/>
        <v>0</v>
      </c>
      <c r="AW552" s="466">
        <f t="shared" si="357"/>
        <v>0</v>
      </c>
      <c r="AX552" s="466">
        <f t="shared" si="358"/>
        <v>0</v>
      </c>
      <c r="AY552" s="385">
        <f t="shared" si="359"/>
        <v>0</v>
      </c>
      <c r="AZ552" s="3174">
        <f t="shared" si="360"/>
        <v>0</v>
      </c>
      <c r="BA552" s="3174">
        <f t="shared" si="361"/>
        <v>0</v>
      </c>
      <c r="BB552" s="3174">
        <f t="shared" si="362"/>
        <v>0</v>
      </c>
      <c r="BC552" s="3174">
        <f t="shared" si="363"/>
        <v>0</v>
      </c>
      <c r="BD552" s="3174">
        <f t="shared" si="364"/>
        <v>0</v>
      </c>
      <c r="BE552" s="3174">
        <f t="shared" si="365"/>
        <v>0</v>
      </c>
      <c r="BF552" s="3174">
        <f t="shared" si="366"/>
        <v>0</v>
      </c>
      <c r="BG552" s="3174">
        <f t="shared" si="367"/>
        <v>0</v>
      </c>
      <c r="BH552" s="3174">
        <f t="shared" si="368"/>
        <v>0</v>
      </c>
      <c r="BI552" s="3174">
        <f t="shared" si="369"/>
        <v>0</v>
      </c>
      <c r="BJ552" s="3174">
        <f t="shared" si="370"/>
        <v>0</v>
      </c>
      <c r="BK552" s="3174">
        <f t="shared" si="371"/>
        <v>0</v>
      </c>
      <c r="BL552" s="3174">
        <f t="shared" si="372"/>
        <v>0</v>
      </c>
      <c r="BM552" s="3174">
        <f t="shared" si="373"/>
        <v>0</v>
      </c>
      <c r="BN552" s="3174">
        <f t="shared" si="374"/>
        <v>0</v>
      </c>
      <c r="BO552" s="3174">
        <f t="shared" si="375"/>
        <v>0</v>
      </c>
      <c r="BP552" s="3174">
        <f t="shared" si="376"/>
        <v>0</v>
      </c>
      <c r="BQ552" s="3174">
        <f t="shared" si="377"/>
        <v>0</v>
      </c>
      <c r="BR552" s="3174">
        <f t="shared" si="378"/>
        <v>0</v>
      </c>
      <c r="BS552" s="3174">
        <f t="shared" si="379"/>
        <v>0</v>
      </c>
      <c r="BT552" s="3249">
        <f t="shared" si="380"/>
        <v>0</v>
      </c>
    </row>
    <row r="553" spans="1:72">
      <c r="A553" s="489"/>
      <c r="B553" s="356"/>
      <c r="C553" s="356"/>
      <c r="D553" s="3182"/>
      <c r="E553" s="3174">
        <f t="shared" si="352"/>
        <v>0</v>
      </c>
      <c r="F553" s="3175"/>
      <c r="G553" s="3176">
        <f t="shared" si="353"/>
        <v>0</v>
      </c>
      <c r="H553" s="3177">
        <f t="shared" si="354"/>
        <v>0</v>
      </c>
      <c r="I553" s="3200"/>
      <c r="J553" s="3200"/>
      <c r="K553" s="3200"/>
      <c r="L553" s="3200"/>
      <c r="M553" s="3200"/>
      <c r="N553" s="3200"/>
      <c r="O553" s="3200"/>
      <c r="P553" s="3200"/>
      <c r="Q553" s="3200"/>
      <c r="R553" s="3200"/>
      <c r="S553" s="3200"/>
      <c r="T553" s="3200"/>
      <c r="U553" s="3200"/>
      <c r="V553" s="3200"/>
      <c r="W553" s="3200"/>
      <c r="X553" s="3200"/>
      <c r="Y553" s="3200"/>
      <c r="Z553" s="3200"/>
      <c r="AA553" s="3200"/>
      <c r="AB553" s="3200"/>
      <c r="AC553" s="3174">
        <f t="shared" si="355"/>
        <v>0</v>
      </c>
      <c r="AD553" s="3212"/>
      <c r="AE553" s="3212"/>
      <c r="AF553" s="3212"/>
      <c r="AG553" s="3212"/>
      <c r="AH553" s="3212"/>
      <c r="AI553" s="3212"/>
      <c r="AJ553" s="3212"/>
      <c r="AK553" s="3212"/>
      <c r="AL553" s="3212"/>
      <c r="AM553" s="3212"/>
      <c r="AN553" s="3212"/>
      <c r="AO553" s="3212"/>
      <c r="AP553" s="3212"/>
      <c r="AQ553" s="3212"/>
      <c r="AR553" s="3212"/>
      <c r="AS553" s="3212"/>
      <c r="AT553" s="3175"/>
      <c r="AU553" s="3232"/>
      <c r="AV553" s="466">
        <f t="shared" si="356"/>
        <v>0</v>
      </c>
      <c r="AW553" s="466">
        <f t="shared" si="357"/>
        <v>0</v>
      </c>
      <c r="AX553" s="466">
        <f t="shared" si="358"/>
        <v>0</v>
      </c>
      <c r="AY553" s="385">
        <f t="shared" si="359"/>
        <v>0</v>
      </c>
      <c r="AZ553" s="3174">
        <f t="shared" si="360"/>
        <v>0</v>
      </c>
      <c r="BA553" s="3174">
        <f t="shared" si="361"/>
        <v>0</v>
      </c>
      <c r="BB553" s="3174">
        <f t="shared" si="362"/>
        <v>0</v>
      </c>
      <c r="BC553" s="3174">
        <f t="shared" si="363"/>
        <v>0</v>
      </c>
      <c r="BD553" s="3174">
        <f t="shared" si="364"/>
        <v>0</v>
      </c>
      <c r="BE553" s="3174">
        <f t="shared" si="365"/>
        <v>0</v>
      </c>
      <c r="BF553" s="3174">
        <f t="shared" si="366"/>
        <v>0</v>
      </c>
      <c r="BG553" s="3174">
        <f t="shared" si="367"/>
        <v>0</v>
      </c>
      <c r="BH553" s="3174">
        <f t="shared" si="368"/>
        <v>0</v>
      </c>
      <c r="BI553" s="3174">
        <f t="shared" si="369"/>
        <v>0</v>
      </c>
      <c r="BJ553" s="3174">
        <f t="shared" si="370"/>
        <v>0</v>
      </c>
      <c r="BK553" s="3174">
        <f t="shared" si="371"/>
        <v>0</v>
      </c>
      <c r="BL553" s="3174">
        <f t="shared" si="372"/>
        <v>0</v>
      </c>
      <c r="BM553" s="3174">
        <f t="shared" si="373"/>
        <v>0</v>
      </c>
      <c r="BN553" s="3174">
        <f t="shared" si="374"/>
        <v>0</v>
      </c>
      <c r="BO553" s="3174">
        <f t="shared" si="375"/>
        <v>0</v>
      </c>
      <c r="BP553" s="3174">
        <f t="shared" si="376"/>
        <v>0</v>
      </c>
      <c r="BQ553" s="3174">
        <f t="shared" si="377"/>
        <v>0</v>
      </c>
      <c r="BR553" s="3174">
        <f t="shared" si="378"/>
        <v>0</v>
      </c>
      <c r="BS553" s="3174">
        <f t="shared" si="379"/>
        <v>0</v>
      </c>
      <c r="BT553" s="3249">
        <f t="shared" si="380"/>
        <v>0</v>
      </c>
    </row>
    <row r="554" spans="1:72">
      <c r="A554" s="489"/>
      <c r="B554" s="356"/>
      <c r="C554" s="356"/>
      <c r="D554" s="3182"/>
      <c r="E554" s="3174">
        <f t="shared" si="352"/>
        <v>0</v>
      </c>
      <c r="F554" s="3175"/>
      <c r="G554" s="3176">
        <f t="shared" si="353"/>
        <v>0</v>
      </c>
      <c r="H554" s="3177">
        <f t="shared" si="354"/>
        <v>0</v>
      </c>
      <c r="I554" s="3200"/>
      <c r="J554" s="3200"/>
      <c r="K554" s="3200"/>
      <c r="L554" s="3200"/>
      <c r="M554" s="3200"/>
      <c r="N554" s="3200"/>
      <c r="O554" s="3200"/>
      <c r="P554" s="3200"/>
      <c r="Q554" s="3200"/>
      <c r="R554" s="3200"/>
      <c r="S554" s="3200"/>
      <c r="T554" s="3200"/>
      <c r="U554" s="3200"/>
      <c r="V554" s="3200"/>
      <c r="W554" s="3200"/>
      <c r="X554" s="3200"/>
      <c r="Y554" s="3200"/>
      <c r="Z554" s="3200"/>
      <c r="AA554" s="3200"/>
      <c r="AB554" s="3200"/>
      <c r="AC554" s="3174">
        <f t="shared" si="355"/>
        <v>0</v>
      </c>
      <c r="AD554" s="3212"/>
      <c r="AE554" s="3212"/>
      <c r="AF554" s="3212"/>
      <c r="AG554" s="3212"/>
      <c r="AH554" s="3212"/>
      <c r="AI554" s="3212"/>
      <c r="AJ554" s="3212"/>
      <c r="AK554" s="3212"/>
      <c r="AL554" s="3212"/>
      <c r="AM554" s="3212"/>
      <c r="AN554" s="3212"/>
      <c r="AO554" s="3212"/>
      <c r="AP554" s="3212"/>
      <c r="AQ554" s="3212"/>
      <c r="AR554" s="3212"/>
      <c r="AS554" s="3212"/>
      <c r="AT554" s="3175"/>
      <c r="AU554" s="3232"/>
      <c r="AV554" s="466">
        <f t="shared" si="356"/>
        <v>0</v>
      </c>
      <c r="AW554" s="466">
        <f t="shared" si="357"/>
        <v>0</v>
      </c>
      <c r="AX554" s="466">
        <f t="shared" si="358"/>
        <v>0</v>
      </c>
      <c r="AY554" s="385">
        <f t="shared" si="359"/>
        <v>0</v>
      </c>
      <c r="AZ554" s="3174">
        <f t="shared" si="360"/>
        <v>0</v>
      </c>
      <c r="BA554" s="3174">
        <f t="shared" si="361"/>
        <v>0</v>
      </c>
      <c r="BB554" s="3174">
        <f t="shared" si="362"/>
        <v>0</v>
      </c>
      <c r="BC554" s="3174">
        <f t="shared" si="363"/>
        <v>0</v>
      </c>
      <c r="BD554" s="3174">
        <f t="shared" si="364"/>
        <v>0</v>
      </c>
      <c r="BE554" s="3174">
        <f t="shared" si="365"/>
        <v>0</v>
      </c>
      <c r="BF554" s="3174">
        <f t="shared" si="366"/>
        <v>0</v>
      </c>
      <c r="BG554" s="3174">
        <f t="shared" si="367"/>
        <v>0</v>
      </c>
      <c r="BH554" s="3174">
        <f t="shared" si="368"/>
        <v>0</v>
      </c>
      <c r="BI554" s="3174">
        <f t="shared" si="369"/>
        <v>0</v>
      </c>
      <c r="BJ554" s="3174">
        <f t="shared" si="370"/>
        <v>0</v>
      </c>
      <c r="BK554" s="3174">
        <f t="shared" si="371"/>
        <v>0</v>
      </c>
      <c r="BL554" s="3174">
        <f t="shared" si="372"/>
        <v>0</v>
      </c>
      <c r="BM554" s="3174">
        <f t="shared" si="373"/>
        <v>0</v>
      </c>
      <c r="BN554" s="3174">
        <f t="shared" si="374"/>
        <v>0</v>
      </c>
      <c r="BO554" s="3174">
        <f t="shared" si="375"/>
        <v>0</v>
      </c>
      <c r="BP554" s="3174">
        <f t="shared" si="376"/>
        <v>0</v>
      </c>
      <c r="BQ554" s="3174">
        <f t="shared" si="377"/>
        <v>0</v>
      </c>
      <c r="BR554" s="3174">
        <f t="shared" si="378"/>
        <v>0</v>
      </c>
      <c r="BS554" s="3174">
        <f t="shared" si="379"/>
        <v>0</v>
      </c>
      <c r="BT554" s="3249">
        <f t="shared" si="380"/>
        <v>0</v>
      </c>
    </row>
    <row r="555" spans="1:72">
      <c r="A555" s="489"/>
      <c r="B555" s="356"/>
      <c r="C555" s="356"/>
      <c r="D555" s="3182"/>
      <c r="E555" s="3174">
        <f t="shared" si="352"/>
        <v>0</v>
      </c>
      <c r="F555" s="3175"/>
      <c r="G555" s="3176">
        <f t="shared" si="353"/>
        <v>0</v>
      </c>
      <c r="H555" s="3177">
        <f t="shared" si="354"/>
        <v>0</v>
      </c>
      <c r="I555" s="3200"/>
      <c r="J555" s="3200"/>
      <c r="K555" s="3200"/>
      <c r="L555" s="3200"/>
      <c r="M555" s="3200"/>
      <c r="N555" s="3200"/>
      <c r="O555" s="3200"/>
      <c r="P555" s="3200"/>
      <c r="Q555" s="3200"/>
      <c r="R555" s="3200"/>
      <c r="S555" s="3200"/>
      <c r="T555" s="3200"/>
      <c r="U555" s="3200"/>
      <c r="V555" s="3200"/>
      <c r="W555" s="3200"/>
      <c r="X555" s="3200"/>
      <c r="Y555" s="3200"/>
      <c r="Z555" s="3200"/>
      <c r="AA555" s="3200"/>
      <c r="AB555" s="3200"/>
      <c r="AC555" s="3174">
        <f t="shared" si="355"/>
        <v>0</v>
      </c>
      <c r="AD555" s="3212"/>
      <c r="AE555" s="3212"/>
      <c r="AF555" s="3212"/>
      <c r="AG555" s="3212"/>
      <c r="AH555" s="3212"/>
      <c r="AI555" s="3212"/>
      <c r="AJ555" s="3212"/>
      <c r="AK555" s="3212"/>
      <c r="AL555" s="3212"/>
      <c r="AM555" s="3212"/>
      <c r="AN555" s="3212"/>
      <c r="AO555" s="3212"/>
      <c r="AP555" s="3212"/>
      <c r="AQ555" s="3212"/>
      <c r="AR555" s="3212"/>
      <c r="AS555" s="3212"/>
      <c r="AT555" s="3175"/>
      <c r="AU555" s="3232"/>
      <c r="AV555" s="466">
        <f t="shared" si="356"/>
        <v>0</v>
      </c>
      <c r="AW555" s="466">
        <f t="shared" si="357"/>
        <v>0</v>
      </c>
      <c r="AX555" s="466">
        <f t="shared" si="358"/>
        <v>0</v>
      </c>
      <c r="AY555" s="385">
        <f t="shared" si="359"/>
        <v>0</v>
      </c>
      <c r="AZ555" s="3174">
        <f t="shared" si="360"/>
        <v>0</v>
      </c>
      <c r="BA555" s="3174">
        <f t="shared" si="361"/>
        <v>0</v>
      </c>
      <c r="BB555" s="3174">
        <f t="shared" si="362"/>
        <v>0</v>
      </c>
      <c r="BC555" s="3174">
        <f t="shared" si="363"/>
        <v>0</v>
      </c>
      <c r="BD555" s="3174">
        <f t="shared" si="364"/>
        <v>0</v>
      </c>
      <c r="BE555" s="3174">
        <f t="shared" si="365"/>
        <v>0</v>
      </c>
      <c r="BF555" s="3174">
        <f t="shared" si="366"/>
        <v>0</v>
      </c>
      <c r="BG555" s="3174">
        <f t="shared" si="367"/>
        <v>0</v>
      </c>
      <c r="BH555" s="3174">
        <f t="shared" si="368"/>
        <v>0</v>
      </c>
      <c r="BI555" s="3174">
        <f t="shared" si="369"/>
        <v>0</v>
      </c>
      <c r="BJ555" s="3174">
        <f t="shared" si="370"/>
        <v>0</v>
      </c>
      <c r="BK555" s="3174">
        <f t="shared" si="371"/>
        <v>0</v>
      </c>
      <c r="BL555" s="3174">
        <f t="shared" si="372"/>
        <v>0</v>
      </c>
      <c r="BM555" s="3174">
        <f t="shared" si="373"/>
        <v>0</v>
      </c>
      <c r="BN555" s="3174">
        <f t="shared" si="374"/>
        <v>0</v>
      </c>
      <c r="BO555" s="3174">
        <f t="shared" si="375"/>
        <v>0</v>
      </c>
      <c r="BP555" s="3174">
        <f t="shared" si="376"/>
        <v>0</v>
      </c>
      <c r="BQ555" s="3174">
        <f t="shared" si="377"/>
        <v>0</v>
      </c>
      <c r="BR555" s="3174">
        <f t="shared" si="378"/>
        <v>0</v>
      </c>
      <c r="BS555" s="3174">
        <f t="shared" si="379"/>
        <v>0</v>
      </c>
      <c r="BT555" s="3249">
        <f t="shared" si="380"/>
        <v>0</v>
      </c>
    </row>
    <row r="556" spans="1:72">
      <c r="A556" s="489"/>
      <c r="B556" s="356"/>
      <c r="C556" s="356"/>
      <c r="D556" s="3182"/>
      <c r="E556" s="3174">
        <f t="shared" si="352"/>
        <v>0</v>
      </c>
      <c r="F556" s="3175"/>
      <c r="G556" s="3176">
        <f t="shared" si="353"/>
        <v>0</v>
      </c>
      <c r="H556" s="3177">
        <f t="shared" si="354"/>
        <v>0</v>
      </c>
      <c r="I556" s="3200"/>
      <c r="J556" s="3200"/>
      <c r="K556" s="3200"/>
      <c r="L556" s="3200"/>
      <c r="M556" s="3200"/>
      <c r="N556" s="3200"/>
      <c r="O556" s="3200"/>
      <c r="P556" s="3200"/>
      <c r="Q556" s="3200"/>
      <c r="R556" s="3200"/>
      <c r="S556" s="3200"/>
      <c r="T556" s="3200"/>
      <c r="U556" s="3200"/>
      <c r="V556" s="3200"/>
      <c r="W556" s="3200"/>
      <c r="X556" s="3200"/>
      <c r="Y556" s="3200"/>
      <c r="Z556" s="3200"/>
      <c r="AA556" s="3200"/>
      <c r="AB556" s="3200"/>
      <c r="AC556" s="3174">
        <f t="shared" si="355"/>
        <v>0</v>
      </c>
      <c r="AD556" s="3212"/>
      <c r="AE556" s="3212"/>
      <c r="AF556" s="3212"/>
      <c r="AG556" s="3212"/>
      <c r="AH556" s="3212"/>
      <c r="AI556" s="3212"/>
      <c r="AJ556" s="3212"/>
      <c r="AK556" s="3212"/>
      <c r="AL556" s="3212"/>
      <c r="AM556" s="3212"/>
      <c r="AN556" s="3212"/>
      <c r="AO556" s="3212"/>
      <c r="AP556" s="3212"/>
      <c r="AQ556" s="3212"/>
      <c r="AR556" s="3212"/>
      <c r="AS556" s="3212"/>
      <c r="AT556" s="3175"/>
      <c r="AU556" s="3232"/>
      <c r="AV556" s="466">
        <f t="shared" si="356"/>
        <v>0</v>
      </c>
      <c r="AW556" s="466">
        <f t="shared" si="357"/>
        <v>0</v>
      </c>
      <c r="AX556" s="466">
        <f t="shared" si="358"/>
        <v>0</v>
      </c>
      <c r="AY556" s="385">
        <f t="shared" si="359"/>
        <v>0</v>
      </c>
      <c r="AZ556" s="3174">
        <f t="shared" si="360"/>
        <v>0</v>
      </c>
      <c r="BA556" s="3174">
        <f t="shared" si="361"/>
        <v>0</v>
      </c>
      <c r="BB556" s="3174">
        <f t="shared" si="362"/>
        <v>0</v>
      </c>
      <c r="BC556" s="3174">
        <f t="shared" si="363"/>
        <v>0</v>
      </c>
      <c r="BD556" s="3174">
        <f t="shared" si="364"/>
        <v>0</v>
      </c>
      <c r="BE556" s="3174">
        <f t="shared" si="365"/>
        <v>0</v>
      </c>
      <c r="BF556" s="3174">
        <f t="shared" si="366"/>
        <v>0</v>
      </c>
      <c r="BG556" s="3174">
        <f t="shared" si="367"/>
        <v>0</v>
      </c>
      <c r="BH556" s="3174">
        <f t="shared" si="368"/>
        <v>0</v>
      </c>
      <c r="BI556" s="3174">
        <f t="shared" si="369"/>
        <v>0</v>
      </c>
      <c r="BJ556" s="3174">
        <f t="shared" si="370"/>
        <v>0</v>
      </c>
      <c r="BK556" s="3174">
        <f t="shared" si="371"/>
        <v>0</v>
      </c>
      <c r="BL556" s="3174">
        <f t="shared" si="372"/>
        <v>0</v>
      </c>
      <c r="BM556" s="3174">
        <f t="shared" si="373"/>
        <v>0</v>
      </c>
      <c r="BN556" s="3174">
        <f t="shared" si="374"/>
        <v>0</v>
      </c>
      <c r="BO556" s="3174">
        <f t="shared" si="375"/>
        <v>0</v>
      </c>
      <c r="BP556" s="3174">
        <f t="shared" si="376"/>
        <v>0</v>
      </c>
      <c r="BQ556" s="3174">
        <f t="shared" si="377"/>
        <v>0</v>
      </c>
      <c r="BR556" s="3174">
        <f t="shared" si="378"/>
        <v>0</v>
      </c>
      <c r="BS556" s="3174">
        <f t="shared" si="379"/>
        <v>0</v>
      </c>
      <c r="BT556" s="3249">
        <f t="shared" si="380"/>
        <v>0</v>
      </c>
    </row>
    <row r="557" spans="1:72">
      <c r="A557" s="489"/>
      <c r="B557" s="356"/>
      <c r="C557" s="356"/>
      <c r="D557" s="3182"/>
      <c r="E557" s="3174">
        <f t="shared" si="352"/>
        <v>0</v>
      </c>
      <c r="F557" s="3175"/>
      <c r="G557" s="3176">
        <f t="shared" si="353"/>
        <v>0</v>
      </c>
      <c r="H557" s="3177">
        <f t="shared" si="354"/>
        <v>0</v>
      </c>
      <c r="I557" s="3200"/>
      <c r="J557" s="3200"/>
      <c r="K557" s="3200"/>
      <c r="L557" s="3200"/>
      <c r="M557" s="3200"/>
      <c r="N557" s="3200"/>
      <c r="O557" s="3200"/>
      <c r="P557" s="3200"/>
      <c r="Q557" s="3200"/>
      <c r="R557" s="3200"/>
      <c r="S557" s="3200"/>
      <c r="T557" s="3200"/>
      <c r="U557" s="3200"/>
      <c r="V557" s="3200"/>
      <c r="W557" s="3200"/>
      <c r="X557" s="3200"/>
      <c r="Y557" s="3200"/>
      <c r="Z557" s="3200"/>
      <c r="AA557" s="3200"/>
      <c r="AB557" s="3200"/>
      <c r="AC557" s="3174">
        <f t="shared" si="355"/>
        <v>0</v>
      </c>
      <c r="AD557" s="3212"/>
      <c r="AE557" s="3212"/>
      <c r="AF557" s="3212"/>
      <c r="AG557" s="3212"/>
      <c r="AH557" s="3212"/>
      <c r="AI557" s="3212"/>
      <c r="AJ557" s="3212"/>
      <c r="AK557" s="3212"/>
      <c r="AL557" s="3212"/>
      <c r="AM557" s="3212"/>
      <c r="AN557" s="3212"/>
      <c r="AO557" s="3212"/>
      <c r="AP557" s="3212"/>
      <c r="AQ557" s="3212"/>
      <c r="AR557" s="3212"/>
      <c r="AS557" s="3212"/>
      <c r="AT557" s="3175"/>
      <c r="AU557" s="3232"/>
      <c r="AV557" s="466">
        <f t="shared" si="356"/>
        <v>0</v>
      </c>
      <c r="AW557" s="466">
        <f t="shared" si="357"/>
        <v>0</v>
      </c>
      <c r="AX557" s="466">
        <f t="shared" si="358"/>
        <v>0</v>
      </c>
      <c r="AY557" s="385">
        <f t="shared" si="359"/>
        <v>0</v>
      </c>
      <c r="AZ557" s="3174">
        <f t="shared" si="360"/>
        <v>0</v>
      </c>
      <c r="BA557" s="3174">
        <f t="shared" si="361"/>
        <v>0</v>
      </c>
      <c r="BB557" s="3174">
        <f t="shared" si="362"/>
        <v>0</v>
      </c>
      <c r="BC557" s="3174">
        <f t="shared" si="363"/>
        <v>0</v>
      </c>
      <c r="BD557" s="3174">
        <f t="shared" si="364"/>
        <v>0</v>
      </c>
      <c r="BE557" s="3174">
        <f t="shared" si="365"/>
        <v>0</v>
      </c>
      <c r="BF557" s="3174">
        <f t="shared" si="366"/>
        <v>0</v>
      </c>
      <c r="BG557" s="3174">
        <f t="shared" si="367"/>
        <v>0</v>
      </c>
      <c r="BH557" s="3174">
        <f t="shared" si="368"/>
        <v>0</v>
      </c>
      <c r="BI557" s="3174">
        <f t="shared" si="369"/>
        <v>0</v>
      </c>
      <c r="BJ557" s="3174">
        <f t="shared" si="370"/>
        <v>0</v>
      </c>
      <c r="BK557" s="3174">
        <f t="shared" si="371"/>
        <v>0</v>
      </c>
      <c r="BL557" s="3174">
        <f t="shared" si="372"/>
        <v>0</v>
      </c>
      <c r="BM557" s="3174">
        <f t="shared" si="373"/>
        <v>0</v>
      </c>
      <c r="BN557" s="3174">
        <f t="shared" si="374"/>
        <v>0</v>
      </c>
      <c r="BO557" s="3174">
        <f t="shared" si="375"/>
        <v>0</v>
      </c>
      <c r="BP557" s="3174">
        <f t="shared" si="376"/>
        <v>0</v>
      </c>
      <c r="BQ557" s="3174">
        <f t="shared" si="377"/>
        <v>0</v>
      </c>
      <c r="BR557" s="3174">
        <f t="shared" si="378"/>
        <v>0</v>
      </c>
      <c r="BS557" s="3174">
        <f t="shared" si="379"/>
        <v>0</v>
      </c>
      <c r="BT557" s="3249">
        <f t="shared" si="380"/>
        <v>0</v>
      </c>
    </row>
    <row r="558" spans="1:72">
      <c r="A558" s="489"/>
      <c r="B558" s="356"/>
      <c r="C558" s="356"/>
      <c r="D558" s="3182"/>
      <c r="E558" s="3174">
        <f t="shared" si="352"/>
        <v>0</v>
      </c>
      <c r="F558" s="3175"/>
      <c r="G558" s="3176">
        <f t="shared" si="353"/>
        <v>0</v>
      </c>
      <c r="H558" s="3177">
        <f t="shared" si="354"/>
        <v>0</v>
      </c>
      <c r="I558" s="3200"/>
      <c r="J558" s="3200"/>
      <c r="K558" s="3200"/>
      <c r="L558" s="3200"/>
      <c r="M558" s="3200"/>
      <c r="N558" s="3200"/>
      <c r="O558" s="3200"/>
      <c r="P558" s="3200"/>
      <c r="Q558" s="3200"/>
      <c r="R558" s="3200"/>
      <c r="S558" s="3200"/>
      <c r="T558" s="3200"/>
      <c r="U558" s="3200"/>
      <c r="V558" s="3200"/>
      <c r="W558" s="3200"/>
      <c r="X558" s="3200"/>
      <c r="Y558" s="3200"/>
      <c r="Z558" s="3200"/>
      <c r="AA558" s="3200"/>
      <c r="AB558" s="3200"/>
      <c r="AC558" s="3174">
        <f t="shared" si="355"/>
        <v>0</v>
      </c>
      <c r="AD558" s="3212"/>
      <c r="AE558" s="3212"/>
      <c r="AF558" s="3212"/>
      <c r="AG558" s="3212"/>
      <c r="AH558" s="3212"/>
      <c r="AI558" s="3212"/>
      <c r="AJ558" s="3212"/>
      <c r="AK558" s="3212"/>
      <c r="AL558" s="3212"/>
      <c r="AM558" s="3212"/>
      <c r="AN558" s="3212"/>
      <c r="AO558" s="3212"/>
      <c r="AP558" s="3212"/>
      <c r="AQ558" s="3212"/>
      <c r="AR558" s="3212"/>
      <c r="AS558" s="3212"/>
      <c r="AT558" s="3175"/>
      <c r="AU558" s="3232"/>
      <c r="AV558" s="466">
        <f t="shared" si="356"/>
        <v>0</v>
      </c>
      <c r="AW558" s="466">
        <f t="shared" si="357"/>
        <v>0</v>
      </c>
      <c r="AX558" s="466">
        <f t="shared" si="358"/>
        <v>0</v>
      </c>
      <c r="AY558" s="385">
        <f t="shared" si="359"/>
        <v>0</v>
      </c>
      <c r="AZ558" s="3174">
        <f t="shared" si="360"/>
        <v>0</v>
      </c>
      <c r="BA558" s="3174">
        <f t="shared" si="361"/>
        <v>0</v>
      </c>
      <c r="BB558" s="3174">
        <f t="shared" si="362"/>
        <v>0</v>
      </c>
      <c r="BC558" s="3174">
        <f t="shared" si="363"/>
        <v>0</v>
      </c>
      <c r="BD558" s="3174">
        <f t="shared" si="364"/>
        <v>0</v>
      </c>
      <c r="BE558" s="3174">
        <f t="shared" si="365"/>
        <v>0</v>
      </c>
      <c r="BF558" s="3174">
        <f t="shared" si="366"/>
        <v>0</v>
      </c>
      <c r="BG558" s="3174">
        <f t="shared" si="367"/>
        <v>0</v>
      </c>
      <c r="BH558" s="3174">
        <f t="shared" si="368"/>
        <v>0</v>
      </c>
      <c r="BI558" s="3174">
        <f t="shared" si="369"/>
        <v>0</v>
      </c>
      <c r="BJ558" s="3174">
        <f t="shared" si="370"/>
        <v>0</v>
      </c>
      <c r="BK558" s="3174">
        <f t="shared" si="371"/>
        <v>0</v>
      </c>
      <c r="BL558" s="3174">
        <f t="shared" si="372"/>
        <v>0</v>
      </c>
      <c r="BM558" s="3174">
        <f t="shared" si="373"/>
        <v>0</v>
      </c>
      <c r="BN558" s="3174">
        <f t="shared" si="374"/>
        <v>0</v>
      </c>
      <c r="BO558" s="3174">
        <f t="shared" si="375"/>
        <v>0</v>
      </c>
      <c r="BP558" s="3174">
        <f t="shared" si="376"/>
        <v>0</v>
      </c>
      <c r="BQ558" s="3174">
        <f t="shared" si="377"/>
        <v>0</v>
      </c>
      <c r="BR558" s="3174">
        <f t="shared" si="378"/>
        <v>0</v>
      </c>
      <c r="BS558" s="3174">
        <f t="shared" si="379"/>
        <v>0</v>
      </c>
      <c r="BT558" s="3249">
        <f t="shared" si="380"/>
        <v>0</v>
      </c>
    </row>
    <row r="559" spans="1:72">
      <c r="A559" s="489"/>
      <c r="B559" s="356"/>
      <c r="C559" s="356"/>
      <c r="D559" s="3182"/>
      <c r="E559" s="3174">
        <f t="shared" si="352"/>
        <v>0</v>
      </c>
      <c r="F559" s="3175"/>
      <c r="G559" s="3176">
        <f t="shared" si="353"/>
        <v>0</v>
      </c>
      <c r="H559" s="3177">
        <f t="shared" si="354"/>
        <v>0</v>
      </c>
      <c r="I559" s="3200"/>
      <c r="J559" s="3200"/>
      <c r="K559" s="3200"/>
      <c r="L559" s="3200"/>
      <c r="M559" s="3200"/>
      <c r="N559" s="3200"/>
      <c r="O559" s="3200"/>
      <c r="P559" s="3200"/>
      <c r="Q559" s="3200"/>
      <c r="R559" s="3200"/>
      <c r="S559" s="3200"/>
      <c r="T559" s="3200"/>
      <c r="U559" s="3200"/>
      <c r="V559" s="3200"/>
      <c r="W559" s="3200"/>
      <c r="X559" s="3200"/>
      <c r="Y559" s="3200"/>
      <c r="Z559" s="3200"/>
      <c r="AA559" s="3200"/>
      <c r="AB559" s="3200"/>
      <c r="AC559" s="3174">
        <f t="shared" si="355"/>
        <v>0</v>
      </c>
      <c r="AD559" s="3212"/>
      <c r="AE559" s="3212"/>
      <c r="AF559" s="3212"/>
      <c r="AG559" s="3212"/>
      <c r="AH559" s="3212"/>
      <c r="AI559" s="3212"/>
      <c r="AJ559" s="3212"/>
      <c r="AK559" s="3212"/>
      <c r="AL559" s="3212"/>
      <c r="AM559" s="3212"/>
      <c r="AN559" s="3212"/>
      <c r="AO559" s="3212"/>
      <c r="AP559" s="3212"/>
      <c r="AQ559" s="3212"/>
      <c r="AR559" s="3212"/>
      <c r="AS559" s="3212"/>
      <c r="AT559" s="3175"/>
      <c r="AU559" s="3232"/>
      <c r="AV559" s="466">
        <f t="shared" si="356"/>
        <v>0</v>
      </c>
      <c r="AW559" s="466">
        <f t="shared" si="357"/>
        <v>0</v>
      </c>
      <c r="AX559" s="466">
        <f t="shared" si="358"/>
        <v>0</v>
      </c>
      <c r="AY559" s="385">
        <f t="shared" si="359"/>
        <v>0</v>
      </c>
      <c r="AZ559" s="3174">
        <f t="shared" si="360"/>
        <v>0</v>
      </c>
      <c r="BA559" s="3174">
        <f t="shared" si="361"/>
        <v>0</v>
      </c>
      <c r="BB559" s="3174">
        <f t="shared" si="362"/>
        <v>0</v>
      </c>
      <c r="BC559" s="3174">
        <f t="shared" si="363"/>
        <v>0</v>
      </c>
      <c r="BD559" s="3174">
        <f t="shared" si="364"/>
        <v>0</v>
      </c>
      <c r="BE559" s="3174">
        <f t="shared" si="365"/>
        <v>0</v>
      </c>
      <c r="BF559" s="3174">
        <f t="shared" si="366"/>
        <v>0</v>
      </c>
      <c r="BG559" s="3174">
        <f t="shared" si="367"/>
        <v>0</v>
      </c>
      <c r="BH559" s="3174">
        <f t="shared" si="368"/>
        <v>0</v>
      </c>
      <c r="BI559" s="3174">
        <f t="shared" si="369"/>
        <v>0</v>
      </c>
      <c r="BJ559" s="3174">
        <f t="shared" si="370"/>
        <v>0</v>
      </c>
      <c r="BK559" s="3174">
        <f t="shared" si="371"/>
        <v>0</v>
      </c>
      <c r="BL559" s="3174">
        <f t="shared" si="372"/>
        <v>0</v>
      </c>
      <c r="BM559" s="3174">
        <f t="shared" si="373"/>
        <v>0</v>
      </c>
      <c r="BN559" s="3174">
        <f t="shared" si="374"/>
        <v>0</v>
      </c>
      <c r="BO559" s="3174">
        <f t="shared" si="375"/>
        <v>0</v>
      </c>
      <c r="BP559" s="3174">
        <f t="shared" si="376"/>
        <v>0</v>
      </c>
      <c r="BQ559" s="3174">
        <f t="shared" si="377"/>
        <v>0</v>
      </c>
      <c r="BR559" s="3174">
        <f t="shared" si="378"/>
        <v>0</v>
      </c>
      <c r="BS559" s="3174">
        <f t="shared" si="379"/>
        <v>0</v>
      </c>
      <c r="BT559" s="3249">
        <f t="shared" si="380"/>
        <v>0</v>
      </c>
    </row>
    <row r="560" spans="1:72">
      <c r="A560" s="489"/>
      <c r="B560" s="356"/>
      <c r="C560" s="356"/>
      <c r="D560" s="3182"/>
      <c r="E560" s="3174">
        <f t="shared" si="352"/>
        <v>0</v>
      </c>
      <c r="F560" s="3175"/>
      <c r="G560" s="3176">
        <f t="shared" si="353"/>
        <v>0</v>
      </c>
      <c r="H560" s="3177">
        <f t="shared" si="354"/>
        <v>0</v>
      </c>
      <c r="I560" s="3200"/>
      <c r="J560" s="3200"/>
      <c r="K560" s="3200"/>
      <c r="L560" s="3200"/>
      <c r="M560" s="3200"/>
      <c r="N560" s="3200"/>
      <c r="O560" s="3200"/>
      <c r="P560" s="3200"/>
      <c r="Q560" s="3200"/>
      <c r="R560" s="3200"/>
      <c r="S560" s="3200"/>
      <c r="T560" s="3200"/>
      <c r="U560" s="3200"/>
      <c r="V560" s="3200"/>
      <c r="W560" s="3200"/>
      <c r="X560" s="3200"/>
      <c r="Y560" s="3200"/>
      <c r="Z560" s="3200"/>
      <c r="AA560" s="3200"/>
      <c r="AB560" s="3200"/>
      <c r="AC560" s="3174">
        <f t="shared" si="355"/>
        <v>0</v>
      </c>
      <c r="AD560" s="3212"/>
      <c r="AE560" s="3212"/>
      <c r="AF560" s="3212"/>
      <c r="AG560" s="3212"/>
      <c r="AH560" s="3212"/>
      <c r="AI560" s="3212"/>
      <c r="AJ560" s="3212"/>
      <c r="AK560" s="3212"/>
      <c r="AL560" s="3212"/>
      <c r="AM560" s="3212"/>
      <c r="AN560" s="3212"/>
      <c r="AO560" s="3212"/>
      <c r="AP560" s="3212"/>
      <c r="AQ560" s="3212"/>
      <c r="AR560" s="3212"/>
      <c r="AS560" s="3212"/>
      <c r="AT560" s="3175"/>
      <c r="AU560" s="3232"/>
      <c r="AV560" s="466">
        <f t="shared" si="356"/>
        <v>0</v>
      </c>
      <c r="AW560" s="466">
        <f t="shared" si="357"/>
        <v>0</v>
      </c>
      <c r="AX560" s="466">
        <f t="shared" si="358"/>
        <v>0</v>
      </c>
      <c r="AY560" s="385">
        <f t="shared" si="359"/>
        <v>0</v>
      </c>
      <c r="AZ560" s="3174">
        <f t="shared" si="360"/>
        <v>0</v>
      </c>
      <c r="BA560" s="3174">
        <f t="shared" si="361"/>
        <v>0</v>
      </c>
      <c r="BB560" s="3174">
        <f t="shared" si="362"/>
        <v>0</v>
      </c>
      <c r="BC560" s="3174">
        <f t="shared" si="363"/>
        <v>0</v>
      </c>
      <c r="BD560" s="3174">
        <f t="shared" si="364"/>
        <v>0</v>
      </c>
      <c r="BE560" s="3174">
        <f t="shared" si="365"/>
        <v>0</v>
      </c>
      <c r="BF560" s="3174">
        <f t="shared" si="366"/>
        <v>0</v>
      </c>
      <c r="BG560" s="3174">
        <f t="shared" si="367"/>
        <v>0</v>
      </c>
      <c r="BH560" s="3174">
        <f t="shared" si="368"/>
        <v>0</v>
      </c>
      <c r="BI560" s="3174">
        <f t="shared" si="369"/>
        <v>0</v>
      </c>
      <c r="BJ560" s="3174">
        <f t="shared" si="370"/>
        <v>0</v>
      </c>
      <c r="BK560" s="3174">
        <f t="shared" si="371"/>
        <v>0</v>
      </c>
      <c r="BL560" s="3174">
        <f t="shared" si="372"/>
        <v>0</v>
      </c>
      <c r="BM560" s="3174">
        <f t="shared" si="373"/>
        <v>0</v>
      </c>
      <c r="BN560" s="3174">
        <f t="shared" si="374"/>
        <v>0</v>
      </c>
      <c r="BO560" s="3174">
        <f t="shared" si="375"/>
        <v>0</v>
      </c>
      <c r="BP560" s="3174">
        <f t="shared" si="376"/>
        <v>0</v>
      </c>
      <c r="BQ560" s="3174">
        <f t="shared" si="377"/>
        <v>0</v>
      </c>
      <c r="BR560" s="3174">
        <f t="shared" si="378"/>
        <v>0</v>
      </c>
      <c r="BS560" s="3174">
        <f t="shared" si="379"/>
        <v>0</v>
      </c>
      <c r="BT560" s="3249">
        <f t="shared" si="380"/>
        <v>0</v>
      </c>
    </row>
    <row r="561" spans="1:72">
      <c r="A561" s="489"/>
      <c r="B561" s="356"/>
      <c r="C561" s="356"/>
      <c r="D561" s="3182"/>
      <c r="E561" s="3174">
        <f t="shared" si="352"/>
        <v>0</v>
      </c>
      <c r="F561" s="3175"/>
      <c r="G561" s="3176">
        <f t="shared" si="353"/>
        <v>0</v>
      </c>
      <c r="H561" s="3177">
        <f t="shared" si="354"/>
        <v>0</v>
      </c>
      <c r="I561" s="3200"/>
      <c r="J561" s="3200"/>
      <c r="K561" s="3200"/>
      <c r="L561" s="3200"/>
      <c r="M561" s="3200"/>
      <c r="N561" s="3200"/>
      <c r="O561" s="3200"/>
      <c r="P561" s="3200"/>
      <c r="Q561" s="3200"/>
      <c r="R561" s="3200"/>
      <c r="S561" s="3200"/>
      <c r="T561" s="3200"/>
      <c r="U561" s="3200"/>
      <c r="V561" s="3200"/>
      <c r="W561" s="3200"/>
      <c r="X561" s="3200"/>
      <c r="Y561" s="3200"/>
      <c r="Z561" s="3200"/>
      <c r="AA561" s="3200"/>
      <c r="AB561" s="3200"/>
      <c r="AC561" s="3174">
        <f t="shared" si="355"/>
        <v>0</v>
      </c>
      <c r="AD561" s="3212"/>
      <c r="AE561" s="3212"/>
      <c r="AF561" s="3212"/>
      <c r="AG561" s="3212"/>
      <c r="AH561" s="3212"/>
      <c r="AI561" s="3212"/>
      <c r="AJ561" s="3212"/>
      <c r="AK561" s="3212"/>
      <c r="AL561" s="3212"/>
      <c r="AM561" s="3212"/>
      <c r="AN561" s="3212"/>
      <c r="AO561" s="3212"/>
      <c r="AP561" s="3212"/>
      <c r="AQ561" s="3212"/>
      <c r="AR561" s="3212"/>
      <c r="AS561" s="3212"/>
      <c r="AT561" s="3175"/>
      <c r="AU561" s="3232"/>
      <c r="AV561" s="466">
        <f t="shared" si="356"/>
        <v>0</v>
      </c>
      <c r="AW561" s="466">
        <f t="shared" si="357"/>
        <v>0</v>
      </c>
      <c r="AX561" s="466">
        <f t="shared" si="358"/>
        <v>0</v>
      </c>
      <c r="AY561" s="385">
        <f t="shared" si="359"/>
        <v>0</v>
      </c>
      <c r="AZ561" s="3174">
        <f t="shared" si="360"/>
        <v>0</v>
      </c>
      <c r="BA561" s="3174">
        <f t="shared" si="361"/>
        <v>0</v>
      </c>
      <c r="BB561" s="3174">
        <f t="shared" si="362"/>
        <v>0</v>
      </c>
      <c r="BC561" s="3174">
        <f t="shared" si="363"/>
        <v>0</v>
      </c>
      <c r="BD561" s="3174">
        <f t="shared" si="364"/>
        <v>0</v>
      </c>
      <c r="BE561" s="3174">
        <f t="shared" si="365"/>
        <v>0</v>
      </c>
      <c r="BF561" s="3174">
        <f t="shared" si="366"/>
        <v>0</v>
      </c>
      <c r="BG561" s="3174">
        <f t="shared" si="367"/>
        <v>0</v>
      </c>
      <c r="BH561" s="3174">
        <f t="shared" si="368"/>
        <v>0</v>
      </c>
      <c r="BI561" s="3174">
        <f t="shared" si="369"/>
        <v>0</v>
      </c>
      <c r="BJ561" s="3174">
        <f t="shared" si="370"/>
        <v>0</v>
      </c>
      <c r="BK561" s="3174">
        <f t="shared" si="371"/>
        <v>0</v>
      </c>
      <c r="BL561" s="3174">
        <f t="shared" si="372"/>
        <v>0</v>
      </c>
      <c r="BM561" s="3174">
        <f t="shared" si="373"/>
        <v>0</v>
      </c>
      <c r="BN561" s="3174">
        <f t="shared" si="374"/>
        <v>0</v>
      </c>
      <c r="BO561" s="3174">
        <f t="shared" si="375"/>
        <v>0</v>
      </c>
      <c r="BP561" s="3174">
        <f t="shared" si="376"/>
        <v>0</v>
      </c>
      <c r="BQ561" s="3174">
        <f t="shared" si="377"/>
        <v>0</v>
      </c>
      <c r="BR561" s="3174">
        <f t="shared" si="378"/>
        <v>0</v>
      </c>
      <c r="BS561" s="3174">
        <f t="shared" si="379"/>
        <v>0</v>
      </c>
      <c r="BT561" s="3249">
        <f t="shared" si="380"/>
        <v>0</v>
      </c>
    </row>
    <row r="562" spans="1:72">
      <c r="A562" s="489"/>
      <c r="B562" s="356"/>
      <c r="C562" s="356"/>
      <c r="D562" s="3182"/>
      <c r="E562" s="3174">
        <f t="shared" si="352"/>
        <v>0</v>
      </c>
      <c r="F562" s="3175"/>
      <c r="G562" s="3176">
        <f t="shared" si="353"/>
        <v>0</v>
      </c>
      <c r="H562" s="3177">
        <f t="shared" si="354"/>
        <v>0</v>
      </c>
      <c r="I562" s="3200"/>
      <c r="J562" s="3200"/>
      <c r="K562" s="3200"/>
      <c r="L562" s="3200"/>
      <c r="M562" s="3200"/>
      <c r="N562" s="3200"/>
      <c r="O562" s="3200"/>
      <c r="P562" s="3200"/>
      <c r="Q562" s="3200"/>
      <c r="R562" s="3200"/>
      <c r="S562" s="3200"/>
      <c r="T562" s="3200"/>
      <c r="U562" s="3200"/>
      <c r="V562" s="3200"/>
      <c r="W562" s="3200"/>
      <c r="X562" s="3200"/>
      <c r="Y562" s="3200"/>
      <c r="Z562" s="3200"/>
      <c r="AA562" s="3200"/>
      <c r="AB562" s="3200"/>
      <c r="AC562" s="3174">
        <f t="shared" si="355"/>
        <v>0</v>
      </c>
      <c r="AD562" s="3212"/>
      <c r="AE562" s="3212"/>
      <c r="AF562" s="3212"/>
      <c r="AG562" s="3212"/>
      <c r="AH562" s="3212"/>
      <c r="AI562" s="3212"/>
      <c r="AJ562" s="3212"/>
      <c r="AK562" s="3212"/>
      <c r="AL562" s="3212"/>
      <c r="AM562" s="3212"/>
      <c r="AN562" s="3212"/>
      <c r="AO562" s="3212"/>
      <c r="AP562" s="3212"/>
      <c r="AQ562" s="3212"/>
      <c r="AR562" s="3212"/>
      <c r="AS562" s="3212"/>
      <c r="AT562" s="3175"/>
      <c r="AU562" s="3232"/>
      <c r="AV562" s="466">
        <f t="shared" si="356"/>
        <v>0</v>
      </c>
      <c r="AW562" s="466">
        <f t="shared" si="357"/>
        <v>0</v>
      </c>
      <c r="AX562" s="466">
        <f t="shared" si="358"/>
        <v>0</v>
      </c>
      <c r="AY562" s="385">
        <f t="shared" si="359"/>
        <v>0</v>
      </c>
      <c r="AZ562" s="3174">
        <f t="shared" si="360"/>
        <v>0</v>
      </c>
      <c r="BA562" s="3174">
        <f t="shared" si="361"/>
        <v>0</v>
      </c>
      <c r="BB562" s="3174">
        <f t="shared" si="362"/>
        <v>0</v>
      </c>
      <c r="BC562" s="3174">
        <f t="shared" si="363"/>
        <v>0</v>
      </c>
      <c r="BD562" s="3174">
        <f t="shared" si="364"/>
        <v>0</v>
      </c>
      <c r="BE562" s="3174">
        <f t="shared" si="365"/>
        <v>0</v>
      </c>
      <c r="BF562" s="3174">
        <f t="shared" si="366"/>
        <v>0</v>
      </c>
      <c r="BG562" s="3174">
        <f t="shared" si="367"/>
        <v>0</v>
      </c>
      <c r="BH562" s="3174">
        <f t="shared" si="368"/>
        <v>0</v>
      </c>
      <c r="BI562" s="3174">
        <f t="shared" si="369"/>
        <v>0</v>
      </c>
      <c r="BJ562" s="3174">
        <f t="shared" si="370"/>
        <v>0</v>
      </c>
      <c r="BK562" s="3174">
        <f t="shared" si="371"/>
        <v>0</v>
      </c>
      <c r="BL562" s="3174">
        <f t="shared" si="372"/>
        <v>0</v>
      </c>
      <c r="BM562" s="3174">
        <f t="shared" si="373"/>
        <v>0</v>
      </c>
      <c r="BN562" s="3174">
        <f t="shared" si="374"/>
        <v>0</v>
      </c>
      <c r="BO562" s="3174">
        <f t="shared" si="375"/>
        <v>0</v>
      </c>
      <c r="BP562" s="3174">
        <f t="shared" si="376"/>
        <v>0</v>
      </c>
      <c r="BQ562" s="3174">
        <f t="shared" si="377"/>
        <v>0</v>
      </c>
      <c r="BR562" s="3174">
        <f t="shared" si="378"/>
        <v>0</v>
      </c>
      <c r="BS562" s="3174">
        <f t="shared" si="379"/>
        <v>0</v>
      </c>
      <c r="BT562" s="3249">
        <f t="shared" si="380"/>
        <v>0</v>
      </c>
    </row>
    <row r="563" spans="1:72">
      <c r="A563" s="489"/>
      <c r="B563" s="356"/>
      <c r="C563" s="356"/>
      <c r="D563" s="3182"/>
      <c r="E563" s="3174">
        <f t="shared" si="352"/>
        <v>0</v>
      </c>
      <c r="F563" s="3175"/>
      <c r="G563" s="3176">
        <f t="shared" si="353"/>
        <v>0</v>
      </c>
      <c r="H563" s="3177">
        <f t="shared" si="354"/>
        <v>0</v>
      </c>
      <c r="I563" s="3200"/>
      <c r="J563" s="3200"/>
      <c r="K563" s="3200"/>
      <c r="L563" s="3200"/>
      <c r="M563" s="3200"/>
      <c r="N563" s="3200"/>
      <c r="O563" s="3200"/>
      <c r="P563" s="3200"/>
      <c r="Q563" s="3200"/>
      <c r="R563" s="3200"/>
      <c r="S563" s="3200"/>
      <c r="T563" s="3200"/>
      <c r="U563" s="3200"/>
      <c r="V563" s="3200"/>
      <c r="W563" s="3200"/>
      <c r="X563" s="3200"/>
      <c r="Y563" s="3200"/>
      <c r="Z563" s="3200"/>
      <c r="AA563" s="3200"/>
      <c r="AB563" s="3200"/>
      <c r="AC563" s="3174">
        <f t="shared" si="355"/>
        <v>0</v>
      </c>
      <c r="AD563" s="3212"/>
      <c r="AE563" s="3212"/>
      <c r="AF563" s="3212"/>
      <c r="AG563" s="3212"/>
      <c r="AH563" s="3212"/>
      <c r="AI563" s="3212"/>
      <c r="AJ563" s="3212"/>
      <c r="AK563" s="3212"/>
      <c r="AL563" s="3212"/>
      <c r="AM563" s="3212"/>
      <c r="AN563" s="3212"/>
      <c r="AO563" s="3212"/>
      <c r="AP563" s="3212"/>
      <c r="AQ563" s="3212"/>
      <c r="AR563" s="3212"/>
      <c r="AS563" s="3212"/>
      <c r="AT563" s="3175"/>
      <c r="AU563" s="3232"/>
      <c r="AV563" s="466">
        <f t="shared" si="356"/>
        <v>0</v>
      </c>
      <c r="AW563" s="466">
        <f t="shared" si="357"/>
        <v>0</v>
      </c>
      <c r="AX563" s="466">
        <f t="shared" si="358"/>
        <v>0</v>
      </c>
      <c r="AY563" s="385">
        <f t="shared" si="359"/>
        <v>0</v>
      </c>
      <c r="AZ563" s="3174">
        <f t="shared" si="360"/>
        <v>0</v>
      </c>
      <c r="BA563" s="3174">
        <f t="shared" si="361"/>
        <v>0</v>
      </c>
      <c r="BB563" s="3174">
        <f t="shared" si="362"/>
        <v>0</v>
      </c>
      <c r="BC563" s="3174">
        <f t="shared" si="363"/>
        <v>0</v>
      </c>
      <c r="BD563" s="3174">
        <f t="shared" si="364"/>
        <v>0</v>
      </c>
      <c r="BE563" s="3174">
        <f t="shared" si="365"/>
        <v>0</v>
      </c>
      <c r="BF563" s="3174">
        <f t="shared" si="366"/>
        <v>0</v>
      </c>
      <c r="BG563" s="3174">
        <f t="shared" si="367"/>
        <v>0</v>
      </c>
      <c r="BH563" s="3174">
        <f t="shared" si="368"/>
        <v>0</v>
      </c>
      <c r="BI563" s="3174">
        <f t="shared" si="369"/>
        <v>0</v>
      </c>
      <c r="BJ563" s="3174">
        <f t="shared" si="370"/>
        <v>0</v>
      </c>
      <c r="BK563" s="3174">
        <f t="shared" si="371"/>
        <v>0</v>
      </c>
      <c r="BL563" s="3174">
        <f t="shared" si="372"/>
        <v>0</v>
      </c>
      <c r="BM563" s="3174">
        <f t="shared" si="373"/>
        <v>0</v>
      </c>
      <c r="BN563" s="3174">
        <f t="shared" si="374"/>
        <v>0</v>
      </c>
      <c r="BO563" s="3174">
        <f t="shared" si="375"/>
        <v>0</v>
      </c>
      <c r="BP563" s="3174">
        <f t="shared" si="376"/>
        <v>0</v>
      </c>
      <c r="BQ563" s="3174">
        <f t="shared" si="377"/>
        <v>0</v>
      </c>
      <c r="BR563" s="3174">
        <f t="shared" si="378"/>
        <v>0</v>
      </c>
      <c r="BS563" s="3174">
        <f t="shared" si="379"/>
        <v>0</v>
      </c>
      <c r="BT563" s="3249">
        <f t="shared" si="380"/>
        <v>0</v>
      </c>
    </row>
    <row r="564" spans="1:72">
      <c r="A564" s="489"/>
      <c r="B564" s="356"/>
      <c r="C564" s="356"/>
      <c r="D564" s="3182"/>
      <c r="E564" s="3174">
        <f t="shared" si="352"/>
        <v>0</v>
      </c>
      <c r="F564" s="3175"/>
      <c r="G564" s="3176">
        <f t="shared" si="353"/>
        <v>0</v>
      </c>
      <c r="H564" s="3177">
        <f t="shared" si="354"/>
        <v>0</v>
      </c>
      <c r="I564" s="3200"/>
      <c r="J564" s="3200"/>
      <c r="K564" s="3200"/>
      <c r="L564" s="3200"/>
      <c r="M564" s="3200"/>
      <c r="N564" s="3200"/>
      <c r="O564" s="3200"/>
      <c r="P564" s="3200"/>
      <c r="Q564" s="3200"/>
      <c r="R564" s="3200"/>
      <c r="S564" s="3200"/>
      <c r="T564" s="3200"/>
      <c r="U564" s="3200"/>
      <c r="V564" s="3200"/>
      <c r="W564" s="3200"/>
      <c r="X564" s="3200"/>
      <c r="Y564" s="3200"/>
      <c r="Z564" s="3200"/>
      <c r="AA564" s="3200"/>
      <c r="AB564" s="3200"/>
      <c r="AC564" s="3174">
        <f t="shared" si="355"/>
        <v>0</v>
      </c>
      <c r="AD564" s="3212"/>
      <c r="AE564" s="3212"/>
      <c r="AF564" s="3212"/>
      <c r="AG564" s="3212"/>
      <c r="AH564" s="3212"/>
      <c r="AI564" s="3212"/>
      <c r="AJ564" s="3212"/>
      <c r="AK564" s="3212"/>
      <c r="AL564" s="3212"/>
      <c r="AM564" s="3212"/>
      <c r="AN564" s="3212"/>
      <c r="AO564" s="3212"/>
      <c r="AP564" s="3212"/>
      <c r="AQ564" s="3212"/>
      <c r="AR564" s="3212"/>
      <c r="AS564" s="3212"/>
      <c r="AT564" s="3175"/>
      <c r="AU564" s="3232"/>
      <c r="AV564" s="466">
        <f t="shared" si="356"/>
        <v>0</v>
      </c>
      <c r="AW564" s="466">
        <f t="shared" si="357"/>
        <v>0</v>
      </c>
      <c r="AX564" s="466">
        <f t="shared" si="358"/>
        <v>0</v>
      </c>
      <c r="AY564" s="385">
        <f t="shared" si="359"/>
        <v>0</v>
      </c>
      <c r="AZ564" s="3174">
        <f t="shared" si="360"/>
        <v>0</v>
      </c>
      <c r="BA564" s="3174">
        <f t="shared" si="361"/>
        <v>0</v>
      </c>
      <c r="BB564" s="3174">
        <f t="shared" si="362"/>
        <v>0</v>
      </c>
      <c r="BC564" s="3174">
        <f t="shared" si="363"/>
        <v>0</v>
      </c>
      <c r="BD564" s="3174">
        <f t="shared" si="364"/>
        <v>0</v>
      </c>
      <c r="BE564" s="3174">
        <f t="shared" si="365"/>
        <v>0</v>
      </c>
      <c r="BF564" s="3174">
        <f t="shared" si="366"/>
        <v>0</v>
      </c>
      <c r="BG564" s="3174">
        <f t="shared" si="367"/>
        <v>0</v>
      </c>
      <c r="BH564" s="3174">
        <f t="shared" si="368"/>
        <v>0</v>
      </c>
      <c r="BI564" s="3174">
        <f t="shared" si="369"/>
        <v>0</v>
      </c>
      <c r="BJ564" s="3174">
        <f t="shared" si="370"/>
        <v>0</v>
      </c>
      <c r="BK564" s="3174">
        <f t="shared" si="371"/>
        <v>0</v>
      </c>
      <c r="BL564" s="3174">
        <f t="shared" si="372"/>
        <v>0</v>
      </c>
      <c r="BM564" s="3174">
        <f t="shared" si="373"/>
        <v>0</v>
      </c>
      <c r="BN564" s="3174">
        <f t="shared" si="374"/>
        <v>0</v>
      </c>
      <c r="BO564" s="3174">
        <f t="shared" si="375"/>
        <v>0</v>
      </c>
      <c r="BP564" s="3174">
        <f t="shared" si="376"/>
        <v>0</v>
      </c>
      <c r="BQ564" s="3174">
        <f t="shared" si="377"/>
        <v>0</v>
      </c>
      <c r="BR564" s="3174">
        <f t="shared" si="378"/>
        <v>0</v>
      </c>
      <c r="BS564" s="3174">
        <f t="shared" si="379"/>
        <v>0</v>
      </c>
      <c r="BT564" s="3249">
        <f t="shared" si="380"/>
        <v>0</v>
      </c>
    </row>
    <row r="565" spans="1:72">
      <c r="A565" s="489"/>
      <c r="B565" s="356"/>
      <c r="C565" s="356"/>
      <c r="D565" s="3182"/>
      <c r="E565" s="3174">
        <f t="shared" si="352"/>
        <v>0</v>
      </c>
      <c r="F565" s="3175"/>
      <c r="G565" s="3176">
        <f t="shared" si="353"/>
        <v>0</v>
      </c>
      <c r="H565" s="3177">
        <f t="shared" si="354"/>
        <v>0</v>
      </c>
      <c r="I565" s="3200"/>
      <c r="J565" s="3200"/>
      <c r="K565" s="3200"/>
      <c r="L565" s="3200"/>
      <c r="M565" s="3200"/>
      <c r="N565" s="3200"/>
      <c r="O565" s="3200"/>
      <c r="P565" s="3200"/>
      <c r="Q565" s="3200"/>
      <c r="R565" s="3200"/>
      <c r="S565" s="3200"/>
      <c r="T565" s="3200"/>
      <c r="U565" s="3200"/>
      <c r="V565" s="3200"/>
      <c r="W565" s="3200"/>
      <c r="X565" s="3200"/>
      <c r="Y565" s="3200"/>
      <c r="Z565" s="3200"/>
      <c r="AA565" s="3200"/>
      <c r="AB565" s="3200"/>
      <c r="AC565" s="3174">
        <f t="shared" si="355"/>
        <v>0</v>
      </c>
      <c r="AD565" s="3212"/>
      <c r="AE565" s="3212"/>
      <c r="AF565" s="3212"/>
      <c r="AG565" s="3212"/>
      <c r="AH565" s="3212"/>
      <c r="AI565" s="3212"/>
      <c r="AJ565" s="3212"/>
      <c r="AK565" s="3212"/>
      <c r="AL565" s="3212"/>
      <c r="AM565" s="3212"/>
      <c r="AN565" s="3212"/>
      <c r="AO565" s="3212"/>
      <c r="AP565" s="3212"/>
      <c r="AQ565" s="3212"/>
      <c r="AR565" s="3212"/>
      <c r="AS565" s="3212"/>
      <c r="AT565" s="3175"/>
      <c r="AU565" s="3232"/>
      <c r="AV565" s="466">
        <f t="shared" si="356"/>
        <v>0</v>
      </c>
      <c r="AW565" s="466">
        <f t="shared" si="357"/>
        <v>0</v>
      </c>
      <c r="AX565" s="466">
        <f t="shared" si="358"/>
        <v>0</v>
      </c>
      <c r="AY565" s="385">
        <f t="shared" si="359"/>
        <v>0</v>
      </c>
      <c r="AZ565" s="3174">
        <f t="shared" si="360"/>
        <v>0</v>
      </c>
      <c r="BA565" s="3174">
        <f t="shared" si="361"/>
        <v>0</v>
      </c>
      <c r="BB565" s="3174">
        <f t="shared" si="362"/>
        <v>0</v>
      </c>
      <c r="BC565" s="3174">
        <f t="shared" si="363"/>
        <v>0</v>
      </c>
      <c r="BD565" s="3174">
        <f t="shared" si="364"/>
        <v>0</v>
      </c>
      <c r="BE565" s="3174">
        <f t="shared" si="365"/>
        <v>0</v>
      </c>
      <c r="BF565" s="3174">
        <f t="shared" si="366"/>
        <v>0</v>
      </c>
      <c r="BG565" s="3174">
        <f t="shared" si="367"/>
        <v>0</v>
      </c>
      <c r="BH565" s="3174">
        <f t="shared" si="368"/>
        <v>0</v>
      </c>
      <c r="BI565" s="3174">
        <f t="shared" si="369"/>
        <v>0</v>
      </c>
      <c r="BJ565" s="3174">
        <f t="shared" si="370"/>
        <v>0</v>
      </c>
      <c r="BK565" s="3174">
        <f t="shared" si="371"/>
        <v>0</v>
      </c>
      <c r="BL565" s="3174">
        <f t="shared" si="372"/>
        <v>0</v>
      </c>
      <c r="BM565" s="3174">
        <f t="shared" si="373"/>
        <v>0</v>
      </c>
      <c r="BN565" s="3174">
        <f t="shared" si="374"/>
        <v>0</v>
      </c>
      <c r="BO565" s="3174">
        <f t="shared" si="375"/>
        <v>0</v>
      </c>
      <c r="BP565" s="3174">
        <f t="shared" si="376"/>
        <v>0</v>
      </c>
      <c r="BQ565" s="3174">
        <f t="shared" si="377"/>
        <v>0</v>
      </c>
      <c r="BR565" s="3174">
        <f t="shared" si="378"/>
        <v>0</v>
      </c>
      <c r="BS565" s="3174">
        <f t="shared" si="379"/>
        <v>0</v>
      </c>
      <c r="BT565" s="3249">
        <f t="shared" si="380"/>
        <v>0</v>
      </c>
    </row>
    <row r="566" spans="1:72">
      <c r="A566" s="489"/>
      <c r="B566" s="356"/>
      <c r="C566" s="356"/>
      <c r="D566" s="3182"/>
      <c r="E566" s="3174">
        <f t="shared" si="352"/>
        <v>0</v>
      </c>
      <c r="F566" s="3175"/>
      <c r="G566" s="3176">
        <f t="shared" si="353"/>
        <v>0</v>
      </c>
      <c r="H566" s="3177">
        <f t="shared" si="354"/>
        <v>0</v>
      </c>
      <c r="I566" s="3200"/>
      <c r="J566" s="3200"/>
      <c r="K566" s="3200"/>
      <c r="L566" s="3200"/>
      <c r="M566" s="3200"/>
      <c r="N566" s="3200"/>
      <c r="O566" s="3200"/>
      <c r="P566" s="3200"/>
      <c r="Q566" s="3200"/>
      <c r="R566" s="3200"/>
      <c r="S566" s="3200"/>
      <c r="T566" s="3200"/>
      <c r="U566" s="3200"/>
      <c r="V566" s="3200"/>
      <c r="W566" s="3200"/>
      <c r="X566" s="3200"/>
      <c r="Y566" s="3200"/>
      <c r="Z566" s="3200"/>
      <c r="AA566" s="3200"/>
      <c r="AB566" s="3200"/>
      <c r="AC566" s="3174">
        <f t="shared" si="355"/>
        <v>0</v>
      </c>
      <c r="AD566" s="3212"/>
      <c r="AE566" s="3212"/>
      <c r="AF566" s="3212"/>
      <c r="AG566" s="3212"/>
      <c r="AH566" s="3212"/>
      <c r="AI566" s="3212"/>
      <c r="AJ566" s="3212"/>
      <c r="AK566" s="3212"/>
      <c r="AL566" s="3212"/>
      <c r="AM566" s="3212"/>
      <c r="AN566" s="3212"/>
      <c r="AO566" s="3212"/>
      <c r="AP566" s="3212"/>
      <c r="AQ566" s="3212"/>
      <c r="AR566" s="3212"/>
      <c r="AS566" s="3212"/>
      <c r="AT566" s="3175"/>
      <c r="AU566" s="3232"/>
      <c r="AV566" s="466">
        <f t="shared" si="356"/>
        <v>0</v>
      </c>
      <c r="AW566" s="466">
        <f t="shared" si="357"/>
        <v>0</v>
      </c>
      <c r="AX566" s="466">
        <f t="shared" si="358"/>
        <v>0</v>
      </c>
      <c r="AY566" s="385">
        <f t="shared" si="359"/>
        <v>0</v>
      </c>
      <c r="AZ566" s="3174">
        <f t="shared" si="360"/>
        <v>0</v>
      </c>
      <c r="BA566" s="3174">
        <f t="shared" si="361"/>
        <v>0</v>
      </c>
      <c r="BB566" s="3174">
        <f t="shared" si="362"/>
        <v>0</v>
      </c>
      <c r="BC566" s="3174">
        <f t="shared" si="363"/>
        <v>0</v>
      </c>
      <c r="BD566" s="3174">
        <f t="shared" si="364"/>
        <v>0</v>
      </c>
      <c r="BE566" s="3174">
        <f t="shared" si="365"/>
        <v>0</v>
      </c>
      <c r="BF566" s="3174">
        <f t="shared" si="366"/>
        <v>0</v>
      </c>
      <c r="BG566" s="3174">
        <f t="shared" si="367"/>
        <v>0</v>
      </c>
      <c r="BH566" s="3174">
        <f t="shared" si="368"/>
        <v>0</v>
      </c>
      <c r="BI566" s="3174">
        <f t="shared" si="369"/>
        <v>0</v>
      </c>
      <c r="BJ566" s="3174">
        <f t="shared" si="370"/>
        <v>0</v>
      </c>
      <c r="BK566" s="3174">
        <f t="shared" si="371"/>
        <v>0</v>
      </c>
      <c r="BL566" s="3174">
        <f t="shared" si="372"/>
        <v>0</v>
      </c>
      <c r="BM566" s="3174">
        <f t="shared" si="373"/>
        <v>0</v>
      </c>
      <c r="BN566" s="3174">
        <f t="shared" si="374"/>
        <v>0</v>
      </c>
      <c r="BO566" s="3174">
        <f t="shared" si="375"/>
        <v>0</v>
      </c>
      <c r="BP566" s="3174">
        <f t="shared" si="376"/>
        <v>0</v>
      </c>
      <c r="BQ566" s="3174">
        <f t="shared" si="377"/>
        <v>0</v>
      </c>
      <c r="BR566" s="3174">
        <f t="shared" si="378"/>
        <v>0</v>
      </c>
      <c r="BS566" s="3174">
        <f t="shared" si="379"/>
        <v>0</v>
      </c>
      <c r="BT566" s="3249">
        <f t="shared" si="380"/>
        <v>0</v>
      </c>
    </row>
    <row r="567" spans="1:72">
      <c r="A567" s="489"/>
      <c r="B567" s="356"/>
      <c r="C567" s="356"/>
      <c r="D567" s="3182"/>
      <c r="E567" s="3174">
        <f t="shared" si="352"/>
        <v>0</v>
      </c>
      <c r="F567" s="3175"/>
      <c r="G567" s="3176">
        <f t="shared" si="353"/>
        <v>0</v>
      </c>
      <c r="H567" s="3177">
        <f t="shared" si="354"/>
        <v>0</v>
      </c>
      <c r="I567" s="3200"/>
      <c r="J567" s="3200"/>
      <c r="K567" s="3200"/>
      <c r="L567" s="3200"/>
      <c r="M567" s="3200"/>
      <c r="N567" s="3200"/>
      <c r="O567" s="3200"/>
      <c r="P567" s="3200"/>
      <c r="Q567" s="3200"/>
      <c r="R567" s="3200"/>
      <c r="S567" s="3200"/>
      <c r="T567" s="3200"/>
      <c r="U567" s="3200"/>
      <c r="V567" s="3200"/>
      <c r="W567" s="3200"/>
      <c r="X567" s="3200"/>
      <c r="Y567" s="3200"/>
      <c r="Z567" s="3200"/>
      <c r="AA567" s="3200"/>
      <c r="AB567" s="3200"/>
      <c r="AC567" s="3174">
        <f t="shared" si="355"/>
        <v>0</v>
      </c>
      <c r="AD567" s="3212"/>
      <c r="AE567" s="3212"/>
      <c r="AF567" s="3212"/>
      <c r="AG567" s="3212"/>
      <c r="AH567" s="3212"/>
      <c r="AI567" s="3212"/>
      <c r="AJ567" s="3212"/>
      <c r="AK567" s="3212"/>
      <c r="AL567" s="3212"/>
      <c r="AM567" s="3212"/>
      <c r="AN567" s="3212"/>
      <c r="AO567" s="3212"/>
      <c r="AP567" s="3212"/>
      <c r="AQ567" s="3212"/>
      <c r="AR567" s="3212"/>
      <c r="AS567" s="3212"/>
      <c r="AT567" s="3175"/>
      <c r="AU567" s="3232"/>
      <c r="AV567" s="466">
        <f t="shared" si="356"/>
        <v>0</v>
      </c>
      <c r="AW567" s="466">
        <f t="shared" si="357"/>
        <v>0</v>
      </c>
      <c r="AX567" s="466">
        <f t="shared" si="358"/>
        <v>0</v>
      </c>
      <c r="AY567" s="385">
        <f t="shared" si="359"/>
        <v>0</v>
      </c>
      <c r="AZ567" s="3174">
        <f t="shared" si="360"/>
        <v>0</v>
      </c>
      <c r="BA567" s="3174">
        <f t="shared" si="361"/>
        <v>0</v>
      </c>
      <c r="BB567" s="3174">
        <f t="shared" si="362"/>
        <v>0</v>
      </c>
      <c r="BC567" s="3174">
        <f t="shared" si="363"/>
        <v>0</v>
      </c>
      <c r="BD567" s="3174">
        <f t="shared" si="364"/>
        <v>0</v>
      </c>
      <c r="BE567" s="3174">
        <f t="shared" si="365"/>
        <v>0</v>
      </c>
      <c r="BF567" s="3174">
        <f t="shared" si="366"/>
        <v>0</v>
      </c>
      <c r="BG567" s="3174">
        <f t="shared" si="367"/>
        <v>0</v>
      </c>
      <c r="BH567" s="3174">
        <f t="shared" si="368"/>
        <v>0</v>
      </c>
      <c r="BI567" s="3174">
        <f t="shared" si="369"/>
        <v>0</v>
      </c>
      <c r="BJ567" s="3174">
        <f t="shared" si="370"/>
        <v>0</v>
      </c>
      <c r="BK567" s="3174">
        <f t="shared" si="371"/>
        <v>0</v>
      </c>
      <c r="BL567" s="3174">
        <f t="shared" si="372"/>
        <v>0</v>
      </c>
      <c r="BM567" s="3174">
        <f t="shared" si="373"/>
        <v>0</v>
      </c>
      <c r="BN567" s="3174">
        <f t="shared" si="374"/>
        <v>0</v>
      </c>
      <c r="BO567" s="3174">
        <f t="shared" si="375"/>
        <v>0</v>
      </c>
      <c r="BP567" s="3174">
        <f t="shared" si="376"/>
        <v>0</v>
      </c>
      <c r="BQ567" s="3174">
        <f t="shared" si="377"/>
        <v>0</v>
      </c>
      <c r="BR567" s="3174">
        <f t="shared" si="378"/>
        <v>0</v>
      </c>
      <c r="BS567" s="3174">
        <f t="shared" si="379"/>
        <v>0</v>
      </c>
      <c r="BT567" s="3249">
        <f t="shared" si="380"/>
        <v>0</v>
      </c>
    </row>
    <row r="568" spans="1:72">
      <c r="A568" s="489"/>
      <c r="B568" s="356"/>
      <c r="C568" s="356"/>
      <c r="D568" s="3182"/>
      <c r="E568" s="3174">
        <f t="shared" si="352"/>
        <v>0</v>
      </c>
      <c r="F568" s="3175"/>
      <c r="G568" s="3176">
        <f t="shared" si="353"/>
        <v>0</v>
      </c>
      <c r="H568" s="3177">
        <f t="shared" si="354"/>
        <v>0</v>
      </c>
      <c r="I568" s="3200"/>
      <c r="J568" s="3200"/>
      <c r="K568" s="3200"/>
      <c r="L568" s="3200"/>
      <c r="M568" s="3200"/>
      <c r="N568" s="3200"/>
      <c r="O568" s="3200"/>
      <c r="P568" s="3200"/>
      <c r="Q568" s="3200"/>
      <c r="R568" s="3200"/>
      <c r="S568" s="3200"/>
      <c r="T568" s="3200"/>
      <c r="U568" s="3200"/>
      <c r="V568" s="3200"/>
      <c r="W568" s="3200"/>
      <c r="X568" s="3200"/>
      <c r="Y568" s="3200"/>
      <c r="Z568" s="3200"/>
      <c r="AA568" s="3200"/>
      <c r="AB568" s="3200"/>
      <c r="AC568" s="3174">
        <f t="shared" si="355"/>
        <v>0</v>
      </c>
      <c r="AD568" s="3212"/>
      <c r="AE568" s="3212"/>
      <c r="AF568" s="3212"/>
      <c r="AG568" s="3212"/>
      <c r="AH568" s="3212"/>
      <c r="AI568" s="3212"/>
      <c r="AJ568" s="3212"/>
      <c r="AK568" s="3212"/>
      <c r="AL568" s="3212"/>
      <c r="AM568" s="3212"/>
      <c r="AN568" s="3212"/>
      <c r="AO568" s="3212"/>
      <c r="AP568" s="3212"/>
      <c r="AQ568" s="3212"/>
      <c r="AR568" s="3212"/>
      <c r="AS568" s="3212"/>
      <c r="AT568" s="3175"/>
      <c r="AU568" s="3232"/>
      <c r="AV568" s="466">
        <f t="shared" si="356"/>
        <v>0</v>
      </c>
      <c r="AW568" s="466">
        <f t="shared" si="357"/>
        <v>0</v>
      </c>
      <c r="AX568" s="466">
        <f t="shared" si="358"/>
        <v>0</v>
      </c>
      <c r="AY568" s="385">
        <f t="shared" si="359"/>
        <v>0</v>
      </c>
      <c r="AZ568" s="3174">
        <f t="shared" si="360"/>
        <v>0</v>
      </c>
      <c r="BA568" s="3174">
        <f t="shared" si="361"/>
        <v>0</v>
      </c>
      <c r="BB568" s="3174">
        <f t="shared" si="362"/>
        <v>0</v>
      </c>
      <c r="BC568" s="3174">
        <f t="shared" si="363"/>
        <v>0</v>
      </c>
      <c r="BD568" s="3174">
        <f t="shared" si="364"/>
        <v>0</v>
      </c>
      <c r="BE568" s="3174">
        <f t="shared" si="365"/>
        <v>0</v>
      </c>
      <c r="BF568" s="3174">
        <f t="shared" si="366"/>
        <v>0</v>
      </c>
      <c r="BG568" s="3174">
        <f t="shared" si="367"/>
        <v>0</v>
      </c>
      <c r="BH568" s="3174">
        <f t="shared" si="368"/>
        <v>0</v>
      </c>
      <c r="BI568" s="3174">
        <f t="shared" si="369"/>
        <v>0</v>
      </c>
      <c r="BJ568" s="3174">
        <f t="shared" si="370"/>
        <v>0</v>
      </c>
      <c r="BK568" s="3174">
        <f t="shared" si="371"/>
        <v>0</v>
      </c>
      <c r="BL568" s="3174">
        <f t="shared" si="372"/>
        <v>0</v>
      </c>
      <c r="BM568" s="3174">
        <f t="shared" si="373"/>
        <v>0</v>
      </c>
      <c r="BN568" s="3174">
        <f t="shared" si="374"/>
        <v>0</v>
      </c>
      <c r="BO568" s="3174">
        <f t="shared" si="375"/>
        <v>0</v>
      </c>
      <c r="BP568" s="3174">
        <f t="shared" si="376"/>
        <v>0</v>
      </c>
      <c r="BQ568" s="3174">
        <f t="shared" si="377"/>
        <v>0</v>
      </c>
      <c r="BR568" s="3174">
        <f t="shared" si="378"/>
        <v>0</v>
      </c>
      <c r="BS568" s="3174">
        <f t="shared" si="379"/>
        <v>0</v>
      </c>
      <c r="BT568" s="3249">
        <f t="shared" si="380"/>
        <v>0</v>
      </c>
    </row>
    <row r="569" spans="1:72">
      <c r="A569" s="489"/>
      <c r="B569" s="356"/>
      <c r="C569" s="356"/>
      <c r="D569" s="3182"/>
      <c r="E569" s="3174">
        <f t="shared" si="352"/>
        <v>0</v>
      </c>
      <c r="F569" s="3175"/>
      <c r="G569" s="3176">
        <f t="shared" si="353"/>
        <v>0</v>
      </c>
      <c r="H569" s="3177">
        <f t="shared" si="354"/>
        <v>0</v>
      </c>
      <c r="I569" s="3200"/>
      <c r="J569" s="3200"/>
      <c r="K569" s="3200"/>
      <c r="L569" s="3200"/>
      <c r="M569" s="3200"/>
      <c r="N569" s="3200"/>
      <c r="O569" s="3200"/>
      <c r="P569" s="3200"/>
      <c r="Q569" s="3200"/>
      <c r="R569" s="3200"/>
      <c r="S569" s="3200"/>
      <c r="T569" s="3200"/>
      <c r="U569" s="3200"/>
      <c r="V569" s="3200"/>
      <c r="W569" s="3200"/>
      <c r="X569" s="3200"/>
      <c r="Y569" s="3200"/>
      <c r="Z569" s="3200"/>
      <c r="AA569" s="3200"/>
      <c r="AB569" s="3200"/>
      <c r="AC569" s="3174">
        <f t="shared" si="355"/>
        <v>0</v>
      </c>
      <c r="AD569" s="3212"/>
      <c r="AE569" s="3212"/>
      <c r="AF569" s="3212"/>
      <c r="AG569" s="3212"/>
      <c r="AH569" s="3212"/>
      <c r="AI569" s="3212"/>
      <c r="AJ569" s="3212"/>
      <c r="AK569" s="3212"/>
      <c r="AL569" s="3212"/>
      <c r="AM569" s="3212"/>
      <c r="AN569" s="3212"/>
      <c r="AO569" s="3212"/>
      <c r="AP569" s="3212"/>
      <c r="AQ569" s="3212"/>
      <c r="AR569" s="3212"/>
      <c r="AS569" s="3212"/>
      <c r="AT569" s="3175"/>
      <c r="AU569" s="3232"/>
      <c r="AV569" s="466">
        <f t="shared" si="356"/>
        <v>0</v>
      </c>
      <c r="AW569" s="466">
        <f t="shared" si="357"/>
        <v>0</v>
      </c>
      <c r="AX569" s="466">
        <f t="shared" si="358"/>
        <v>0</v>
      </c>
      <c r="AY569" s="385">
        <f t="shared" si="359"/>
        <v>0</v>
      </c>
      <c r="AZ569" s="3174">
        <f t="shared" si="360"/>
        <v>0</v>
      </c>
      <c r="BA569" s="3174">
        <f t="shared" si="361"/>
        <v>0</v>
      </c>
      <c r="BB569" s="3174">
        <f t="shared" si="362"/>
        <v>0</v>
      </c>
      <c r="BC569" s="3174">
        <f t="shared" si="363"/>
        <v>0</v>
      </c>
      <c r="BD569" s="3174">
        <f t="shared" si="364"/>
        <v>0</v>
      </c>
      <c r="BE569" s="3174">
        <f t="shared" si="365"/>
        <v>0</v>
      </c>
      <c r="BF569" s="3174">
        <f t="shared" si="366"/>
        <v>0</v>
      </c>
      <c r="BG569" s="3174">
        <f t="shared" si="367"/>
        <v>0</v>
      </c>
      <c r="BH569" s="3174">
        <f t="shared" si="368"/>
        <v>0</v>
      </c>
      <c r="BI569" s="3174">
        <f t="shared" si="369"/>
        <v>0</v>
      </c>
      <c r="BJ569" s="3174">
        <f t="shared" si="370"/>
        <v>0</v>
      </c>
      <c r="BK569" s="3174">
        <f t="shared" si="371"/>
        <v>0</v>
      </c>
      <c r="BL569" s="3174">
        <f t="shared" si="372"/>
        <v>0</v>
      </c>
      <c r="BM569" s="3174">
        <f t="shared" si="373"/>
        <v>0</v>
      </c>
      <c r="BN569" s="3174">
        <f t="shared" si="374"/>
        <v>0</v>
      </c>
      <c r="BO569" s="3174">
        <f t="shared" si="375"/>
        <v>0</v>
      </c>
      <c r="BP569" s="3174">
        <f t="shared" si="376"/>
        <v>0</v>
      </c>
      <c r="BQ569" s="3174">
        <f t="shared" si="377"/>
        <v>0</v>
      </c>
      <c r="BR569" s="3174">
        <f t="shared" si="378"/>
        <v>0</v>
      </c>
      <c r="BS569" s="3174">
        <f t="shared" si="379"/>
        <v>0</v>
      </c>
      <c r="BT569" s="3249">
        <f t="shared" si="380"/>
        <v>0</v>
      </c>
    </row>
    <row r="570" spans="1:72">
      <c r="A570" s="489"/>
      <c r="B570" s="489"/>
      <c r="C570" s="489"/>
      <c r="D570" s="3182"/>
      <c r="E570" s="3174">
        <f t="shared" si="352"/>
        <v>0</v>
      </c>
      <c r="F570" s="3212"/>
      <c r="G570" s="3176">
        <f t="shared" si="353"/>
        <v>0</v>
      </c>
      <c r="H570" s="3177">
        <f t="shared" si="354"/>
        <v>0</v>
      </c>
      <c r="I570" s="3250"/>
      <c r="J570" s="3250"/>
      <c r="K570" s="3200"/>
      <c r="L570" s="3200"/>
      <c r="M570" s="3200"/>
      <c r="N570" s="3200"/>
      <c r="O570" s="3200"/>
      <c r="P570" s="3200"/>
      <c r="Q570" s="3200"/>
      <c r="R570" s="3200"/>
      <c r="S570" s="3200"/>
      <c r="T570" s="3200"/>
      <c r="U570" s="3200"/>
      <c r="V570" s="3200"/>
      <c r="W570" s="3200"/>
      <c r="X570" s="3200"/>
      <c r="Y570" s="3200"/>
      <c r="Z570" s="3200"/>
      <c r="AA570" s="3200"/>
      <c r="AB570" s="3200"/>
      <c r="AC570" s="3174">
        <f t="shared" si="355"/>
        <v>0</v>
      </c>
      <c r="AD570" s="3212"/>
      <c r="AE570" s="3212"/>
      <c r="AF570" s="3212"/>
      <c r="AG570" s="3212"/>
      <c r="AH570" s="3212"/>
      <c r="AI570" s="3212"/>
      <c r="AJ570" s="3212"/>
      <c r="AK570" s="3212"/>
      <c r="AL570" s="3212"/>
      <c r="AM570" s="3212"/>
      <c r="AN570" s="3212"/>
      <c r="AO570" s="3212"/>
      <c r="AP570" s="3212"/>
      <c r="AQ570" s="3212"/>
      <c r="AR570" s="3212"/>
      <c r="AS570" s="3212"/>
      <c r="AT570" s="3212"/>
      <c r="AU570" s="548"/>
      <c r="AV570" s="466">
        <f t="shared" si="356"/>
        <v>0</v>
      </c>
      <c r="AW570" s="466">
        <f t="shared" si="357"/>
        <v>0</v>
      </c>
      <c r="AX570" s="466">
        <f t="shared" si="358"/>
        <v>0</v>
      </c>
      <c r="AY570" s="385">
        <f t="shared" si="359"/>
        <v>0</v>
      </c>
      <c r="AZ570" s="3174">
        <f t="shared" si="360"/>
        <v>0</v>
      </c>
      <c r="BA570" s="3174">
        <f t="shared" si="361"/>
        <v>0</v>
      </c>
      <c r="BB570" s="3174">
        <f t="shared" si="362"/>
        <v>0</v>
      </c>
      <c r="BC570" s="3174">
        <f t="shared" si="363"/>
        <v>0</v>
      </c>
      <c r="BD570" s="3174">
        <f t="shared" si="364"/>
        <v>0</v>
      </c>
      <c r="BE570" s="3174">
        <f t="shared" si="365"/>
        <v>0</v>
      </c>
      <c r="BF570" s="3174">
        <f t="shared" si="366"/>
        <v>0</v>
      </c>
      <c r="BG570" s="3174">
        <f t="shared" si="367"/>
        <v>0</v>
      </c>
      <c r="BH570" s="3174">
        <f t="shared" si="368"/>
        <v>0</v>
      </c>
      <c r="BI570" s="3174">
        <f t="shared" si="369"/>
        <v>0</v>
      </c>
      <c r="BJ570" s="3174">
        <f t="shared" si="370"/>
        <v>0</v>
      </c>
      <c r="BK570" s="3174">
        <f t="shared" si="371"/>
        <v>0</v>
      </c>
      <c r="BL570" s="3174">
        <f t="shared" si="372"/>
        <v>0</v>
      </c>
      <c r="BM570" s="3174">
        <f t="shared" si="373"/>
        <v>0</v>
      </c>
      <c r="BN570" s="3174">
        <f t="shared" si="374"/>
        <v>0</v>
      </c>
      <c r="BO570" s="3174">
        <f t="shared" si="375"/>
        <v>0</v>
      </c>
      <c r="BP570" s="3174">
        <f t="shared" si="376"/>
        <v>0</v>
      </c>
      <c r="BQ570" s="3174">
        <f t="shared" si="377"/>
        <v>0</v>
      </c>
      <c r="BR570" s="3174">
        <f t="shared" si="378"/>
        <v>0</v>
      </c>
      <c r="BS570" s="3174">
        <f t="shared" si="379"/>
        <v>0</v>
      </c>
      <c r="BT570" s="3249">
        <f t="shared" si="380"/>
        <v>0</v>
      </c>
    </row>
    <row r="571" spans="1:72">
      <c r="A571" s="489"/>
      <c r="B571" s="489"/>
      <c r="C571" s="489"/>
      <c r="D571" s="3182"/>
      <c r="E571" s="3174">
        <f t="shared" si="352"/>
        <v>0</v>
      </c>
      <c r="F571" s="3212"/>
      <c r="G571" s="3176">
        <f t="shared" si="353"/>
        <v>0</v>
      </c>
      <c r="H571" s="3177">
        <f t="shared" si="354"/>
        <v>0</v>
      </c>
      <c r="I571" s="3200"/>
      <c r="J571" s="3200"/>
      <c r="K571" s="3200"/>
      <c r="L571" s="3200"/>
      <c r="M571" s="3200"/>
      <c r="N571" s="3200"/>
      <c r="O571" s="3200"/>
      <c r="P571" s="3200"/>
      <c r="Q571" s="3200"/>
      <c r="R571" s="3200"/>
      <c r="S571" s="3200"/>
      <c r="T571" s="3200"/>
      <c r="U571" s="3200"/>
      <c r="V571" s="3200"/>
      <c r="W571" s="3200"/>
      <c r="X571" s="3200"/>
      <c r="Y571" s="3200"/>
      <c r="Z571" s="3200"/>
      <c r="AA571" s="3200"/>
      <c r="AB571" s="3200"/>
      <c r="AC571" s="3174">
        <f t="shared" si="355"/>
        <v>0</v>
      </c>
      <c r="AD571" s="3212"/>
      <c r="AE571" s="3212"/>
      <c r="AF571" s="3212"/>
      <c r="AG571" s="3212"/>
      <c r="AH571" s="3212"/>
      <c r="AI571" s="3212"/>
      <c r="AJ571" s="3212"/>
      <c r="AK571" s="3212"/>
      <c r="AL571" s="3212"/>
      <c r="AM571" s="3212"/>
      <c r="AN571" s="3212"/>
      <c r="AO571" s="3212"/>
      <c r="AP571" s="3212"/>
      <c r="AQ571" s="3212"/>
      <c r="AR571" s="3212"/>
      <c r="AS571" s="3212"/>
      <c r="AT571" s="3212"/>
      <c r="AU571" s="548"/>
      <c r="AV571" s="466">
        <f t="shared" si="356"/>
        <v>0</v>
      </c>
      <c r="AW571" s="466">
        <f t="shared" si="357"/>
        <v>0</v>
      </c>
      <c r="AX571" s="466">
        <f t="shared" si="358"/>
        <v>0</v>
      </c>
      <c r="AY571" s="385">
        <f t="shared" si="359"/>
        <v>0</v>
      </c>
      <c r="AZ571" s="3174">
        <f t="shared" si="360"/>
        <v>0</v>
      </c>
      <c r="BA571" s="3174">
        <f t="shared" si="361"/>
        <v>0</v>
      </c>
      <c r="BB571" s="3174">
        <f t="shared" si="362"/>
        <v>0</v>
      </c>
      <c r="BC571" s="3174">
        <f t="shared" si="363"/>
        <v>0</v>
      </c>
      <c r="BD571" s="3174">
        <f t="shared" si="364"/>
        <v>0</v>
      </c>
      <c r="BE571" s="3174">
        <f t="shared" si="365"/>
        <v>0</v>
      </c>
      <c r="BF571" s="3174">
        <f t="shared" si="366"/>
        <v>0</v>
      </c>
      <c r="BG571" s="3174">
        <f t="shared" si="367"/>
        <v>0</v>
      </c>
      <c r="BH571" s="3174">
        <f t="shared" si="368"/>
        <v>0</v>
      </c>
      <c r="BI571" s="3174">
        <f t="shared" si="369"/>
        <v>0</v>
      </c>
      <c r="BJ571" s="3174">
        <f t="shared" si="370"/>
        <v>0</v>
      </c>
      <c r="BK571" s="3174">
        <f t="shared" si="371"/>
        <v>0</v>
      </c>
      <c r="BL571" s="3174">
        <f t="shared" si="372"/>
        <v>0</v>
      </c>
      <c r="BM571" s="3174">
        <f t="shared" si="373"/>
        <v>0</v>
      </c>
      <c r="BN571" s="3174">
        <f t="shared" si="374"/>
        <v>0</v>
      </c>
      <c r="BO571" s="3174">
        <f t="shared" si="375"/>
        <v>0</v>
      </c>
      <c r="BP571" s="3174">
        <f t="shared" si="376"/>
        <v>0</v>
      </c>
      <c r="BQ571" s="3174">
        <f t="shared" si="377"/>
        <v>0</v>
      </c>
      <c r="BR571" s="3174">
        <f t="shared" si="378"/>
        <v>0</v>
      </c>
      <c r="BS571" s="3174">
        <f t="shared" si="379"/>
        <v>0</v>
      </c>
      <c r="BT571" s="3249">
        <f t="shared" si="380"/>
        <v>0</v>
      </c>
    </row>
    <row r="572" spans="1:72">
      <c r="A572" s="489"/>
      <c r="B572" s="489"/>
      <c r="C572" s="489"/>
      <c r="D572" s="3182"/>
      <c r="E572" s="3174">
        <f t="shared" si="352"/>
        <v>0</v>
      </c>
      <c r="F572" s="3212"/>
      <c r="G572" s="3176">
        <f t="shared" si="353"/>
        <v>0</v>
      </c>
      <c r="H572" s="3177">
        <f t="shared" si="354"/>
        <v>0</v>
      </c>
      <c r="I572" s="3200"/>
      <c r="J572" s="3200"/>
      <c r="K572" s="3200"/>
      <c r="L572" s="3200"/>
      <c r="M572" s="3200"/>
      <c r="N572" s="3200"/>
      <c r="O572" s="3200"/>
      <c r="P572" s="3200"/>
      <c r="Q572" s="3200"/>
      <c r="R572" s="3200"/>
      <c r="S572" s="3200"/>
      <c r="T572" s="3200"/>
      <c r="U572" s="3200"/>
      <c r="V572" s="3200"/>
      <c r="W572" s="3200"/>
      <c r="X572" s="3200"/>
      <c r="Y572" s="3200"/>
      <c r="Z572" s="3200"/>
      <c r="AA572" s="3200"/>
      <c r="AB572" s="3200"/>
      <c r="AC572" s="3174">
        <f t="shared" si="355"/>
        <v>0</v>
      </c>
      <c r="AD572" s="3212"/>
      <c r="AE572" s="3212"/>
      <c r="AF572" s="3212"/>
      <c r="AG572" s="3212"/>
      <c r="AH572" s="3212"/>
      <c r="AI572" s="3212"/>
      <c r="AJ572" s="3212"/>
      <c r="AK572" s="3212"/>
      <c r="AL572" s="3212"/>
      <c r="AM572" s="3212"/>
      <c r="AN572" s="3212"/>
      <c r="AO572" s="3212"/>
      <c r="AP572" s="3212"/>
      <c r="AQ572" s="3212"/>
      <c r="AR572" s="3212"/>
      <c r="AS572" s="3212"/>
      <c r="AT572" s="3212"/>
      <c r="AU572" s="548"/>
      <c r="AV572" s="466">
        <f t="shared" si="356"/>
        <v>0</v>
      </c>
      <c r="AW572" s="466">
        <f t="shared" si="357"/>
        <v>0</v>
      </c>
      <c r="AX572" s="466">
        <f t="shared" si="358"/>
        <v>0</v>
      </c>
      <c r="AY572" s="385">
        <f t="shared" si="359"/>
        <v>0</v>
      </c>
      <c r="AZ572" s="3174">
        <f t="shared" si="360"/>
        <v>0</v>
      </c>
      <c r="BA572" s="3174">
        <f t="shared" si="361"/>
        <v>0</v>
      </c>
      <c r="BB572" s="3174">
        <f t="shared" si="362"/>
        <v>0</v>
      </c>
      <c r="BC572" s="3174">
        <f t="shared" si="363"/>
        <v>0</v>
      </c>
      <c r="BD572" s="3174">
        <f t="shared" si="364"/>
        <v>0</v>
      </c>
      <c r="BE572" s="3174">
        <f t="shared" si="365"/>
        <v>0</v>
      </c>
      <c r="BF572" s="3174">
        <f t="shared" si="366"/>
        <v>0</v>
      </c>
      <c r="BG572" s="3174">
        <f t="shared" si="367"/>
        <v>0</v>
      </c>
      <c r="BH572" s="3174">
        <f t="shared" si="368"/>
        <v>0</v>
      </c>
      <c r="BI572" s="3174">
        <f t="shared" si="369"/>
        <v>0</v>
      </c>
      <c r="BJ572" s="3174">
        <f t="shared" si="370"/>
        <v>0</v>
      </c>
      <c r="BK572" s="3174">
        <f t="shared" si="371"/>
        <v>0</v>
      </c>
      <c r="BL572" s="3174">
        <f t="shared" si="372"/>
        <v>0</v>
      </c>
      <c r="BM572" s="3174">
        <f t="shared" si="373"/>
        <v>0</v>
      </c>
      <c r="BN572" s="3174">
        <f t="shared" si="374"/>
        <v>0</v>
      </c>
      <c r="BO572" s="3174">
        <f t="shared" si="375"/>
        <v>0</v>
      </c>
      <c r="BP572" s="3174">
        <f t="shared" si="376"/>
        <v>0</v>
      </c>
      <c r="BQ572" s="3174">
        <f t="shared" si="377"/>
        <v>0</v>
      </c>
      <c r="BR572" s="3174">
        <f t="shared" si="378"/>
        <v>0</v>
      </c>
      <c r="BS572" s="3174">
        <f t="shared" si="379"/>
        <v>0</v>
      </c>
      <c r="BT572" s="3249">
        <f t="shared" si="380"/>
        <v>0</v>
      </c>
    </row>
    <row r="573" spans="5:46">
      <c r="E573" s="3251"/>
      <c r="F573" s="3251"/>
      <c r="H573" s="3251"/>
      <c r="I573" s="3251"/>
      <c r="J573" s="3251"/>
      <c r="K573" s="3251"/>
      <c r="L573" s="3251"/>
      <c r="M573" s="3251"/>
      <c r="N573" s="3251"/>
      <c r="O573" s="3251"/>
      <c r="P573" s="3251"/>
      <c r="Q573" s="3251"/>
      <c r="R573" s="3251"/>
      <c r="S573" s="3251"/>
      <c r="T573" s="3251"/>
      <c r="U573" s="3251"/>
      <c r="V573" s="3251"/>
      <c r="W573" s="3251"/>
      <c r="X573" s="3251"/>
      <c r="Y573" s="3251"/>
      <c r="Z573" s="3251"/>
      <c r="AA573" s="3251"/>
      <c r="AB573" s="3251"/>
      <c r="AC573" s="3251"/>
      <c r="AD573" s="3251"/>
      <c r="AE573" s="3251"/>
      <c r="AF573" s="3251"/>
      <c r="AG573" s="3251"/>
      <c r="AH573" s="3251"/>
      <c r="AI573" s="3251"/>
      <c r="AJ573" s="3251"/>
      <c r="AK573" s="3251"/>
      <c r="AL573" s="3251"/>
      <c r="AM573" s="3251"/>
      <c r="AN573" s="3251"/>
      <c r="AO573" s="3251"/>
      <c r="AP573" s="3251"/>
      <c r="AQ573" s="3251"/>
      <c r="AR573" s="3251"/>
      <c r="AS573" s="3251"/>
      <c r="AT573" s="3251"/>
    </row>
    <row r="574" s="3147" customFormat="1" spans="3:4">
      <c r="C574" s="3252"/>
      <c r="D574" s="3252"/>
    </row>
    <row r="575" s="3147" customFormat="1" spans="3:4">
      <c r="C575" s="3252"/>
      <c r="D575" s="3252"/>
    </row>
    <row r="578" spans="2:2">
      <c r="B578" s="3252"/>
    </row>
  </sheetData>
  <sheetProtection password="C66D" sheet="1" formatCells="0" formatColumns="0" formatRows="0" objects="1" scenarios="1"/>
  <dataValidations count="4">
    <dataValidation type="list" allowBlank="1" showInputMessage="1" showErrorMessage="1" sqref="C3 D13:D24 D25:D572">
      <formula1>判定</formula1>
    </dataValidation>
    <dataValidation type="list" allowBlank="1" showInputMessage="1" showErrorMessage="1" sqref="I9 K9 M9 O9 Q9 S9 U9 W9 Y9 AA9" errorStyle="warning">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4"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70" topLeftCell="B7" workbookViewId="0">
      <selection activeCell="F29" sqref="F29"/>
    </sheetView>
  </sheetViews>
  <sheetFormatPr defaultColWidth="9.26666666666667" defaultRowHeight="14.25"/>
  <cols>
    <col min="1" max="1" width="8.26666666666667" style="3063" customWidth="1"/>
    <col min="2" max="2" width="10.2666666666667" style="3063" customWidth="1"/>
    <col min="3" max="3" width="18.45" style="3063" customWidth="1"/>
    <col min="4" max="4" width="11.0916666666667" style="3063" customWidth="1"/>
    <col min="5" max="5" width="13.3666666666667" style="3063" customWidth="1"/>
    <col min="6" max="8" width="11.45" style="3063" customWidth="1"/>
    <col min="9" max="9" width="10.3666666666667" style="3063" customWidth="1"/>
    <col min="10" max="10" width="3.09166666666667" style="3063" customWidth="1"/>
    <col min="11" max="16" width="11.6333333333333" style="3063" customWidth="1"/>
    <col min="17" max="17" width="3.36666666666667" style="3063" customWidth="1"/>
    <col min="18" max="18" width="9.26666666666667" style="3063"/>
    <col min="19" max="19" width="13.45" style="3063" customWidth="1"/>
    <col min="20" max="16384" width="9.26666666666667" style="3063"/>
  </cols>
  <sheetData>
    <row r="1" ht="18.75" spans="1:16">
      <c r="A1" s="2515" t="s">
        <v>509</v>
      </c>
      <c r="B1" s="2882"/>
      <c r="C1" s="2882"/>
      <c r="D1" s="2882"/>
      <c r="E1" s="2882"/>
      <c r="F1" s="2882"/>
      <c r="G1" s="2882"/>
      <c r="H1" s="2882"/>
      <c r="I1" s="2882"/>
      <c r="J1" s="2882"/>
      <c r="K1" s="2882"/>
      <c r="L1" s="2882"/>
      <c r="M1" s="2882"/>
      <c r="N1" s="2882"/>
      <c r="O1" s="2882"/>
      <c r="P1" s="2882"/>
    </row>
    <row r="2" spans="1:16">
      <c r="A2" s="1010" t="s">
        <v>510</v>
      </c>
      <c r="B2" s="1010"/>
      <c r="C2" s="1010"/>
      <c r="D2" s="1010" t="s">
        <v>511</v>
      </c>
      <c r="E2" s="3065" t="s">
        <v>512</v>
      </c>
      <c r="F2" s="2919"/>
      <c r="G2" s="1027"/>
      <c r="H2" s="1028"/>
      <c r="I2" s="3120" t="s">
        <v>513</v>
      </c>
      <c r="J2" s="2919"/>
      <c r="K2" s="2919"/>
      <c r="L2" s="2919"/>
      <c r="M2" s="2919"/>
      <c r="N2" s="2919"/>
      <c r="O2" s="2919"/>
      <c r="P2" s="2919"/>
    </row>
    <row r="3" ht="15.75" spans="1:16">
      <c r="A3" s="3066" t="s">
        <v>514</v>
      </c>
      <c r="B3" s="3066"/>
      <c r="C3" s="3066"/>
      <c r="D3" s="2497">
        <f>'数据-基础表'!AY6</f>
        <v>101349.03</v>
      </c>
      <c r="E3" s="2497">
        <f>'数据-基础表'!AZ5</f>
        <v>220401.41</v>
      </c>
      <c r="F3" s="2919"/>
      <c r="G3" s="2464" t="s">
        <v>515</v>
      </c>
      <c r="H3" s="2460" t="s">
        <v>516</v>
      </c>
      <c r="I3" s="481">
        <f>ROUND('数据-基础表'!B3/'数据-基础表'!A3,2)</f>
        <v>2.17</v>
      </c>
      <c r="J3" s="2919"/>
      <c r="K3" s="2919"/>
      <c r="L3" s="2919"/>
      <c r="M3" s="2919"/>
      <c r="N3" s="2919"/>
      <c r="O3" s="2919"/>
      <c r="P3" s="2919"/>
    </row>
    <row r="4" ht="15" spans="1:16">
      <c r="A4" s="3067"/>
      <c r="B4" s="3068"/>
      <c r="C4" s="3069"/>
      <c r="D4" s="3070" t="s">
        <v>511</v>
      </c>
      <c r="E4" s="3071" t="s">
        <v>512</v>
      </c>
      <c r="F4" s="2919"/>
      <c r="G4" s="3072"/>
      <c r="H4" s="2460" t="s">
        <v>517</v>
      </c>
      <c r="I4" s="481">
        <f>ROUND(SUMIF('数据-基础表'!I9:AS9,"地上",'数据-基础表'!I5:AS5)/'数据-基础表'!A3,2)</f>
        <v>2.17</v>
      </c>
      <c r="J4" s="2919"/>
      <c r="K4" s="2919"/>
      <c r="L4" s="2919"/>
      <c r="M4" s="2919"/>
      <c r="N4" s="2919"/>
      <c r="O4" s="2919"/>
      <c r="P4" s="2919"/>
    </row>
    <row r="5" spans="1:16">
      <c r="A5" s="3073" t="s">
        <v>518</v>
      </c>
      <c r="B5" s="481" t="s">
        <v>243</v>
      </c>
      <c r="C5" s="481"/>
      <c r="D5" s="2460">
        <f>ROUND($D$3*E5/$E$3,2)</f>
        <v>85972.36</v>
      </c>
      <c r="E5" s="3074">
        <f>SUMIF('数据-基础表'!$11:$11,"住宅",'数据-基础表'!$5:$5)</f>
        <v>186962.11</v>
      </c>
      <c r="F5" s="2919"/>
      <c r="G5" s="2464" t="s">
        <v>519</v>
      </c>
      <c r="H5" s="2460" t="s">
        <v>516</v>
      </c>
      <c r="I5" s="481" t="e">
        <f>ROUND(E31/D31,2)</f>
        <v>#VALUE!</v>
      </c>
      <c r="J5" s="2919"/>
      <c r="K5" s="2919"/>
      <c r="L5" s="2919"/>
      <c r="M5" s="2919"/>
      <c r="N5" s="2919"/>
      <c r="O5" s="2919"/>
      <c r="P5" s="2919"/>
    </row>
    <row r="6" ht="15" spans="1:16">
      <c r="A6" s="3075"/>
      <c r="B6" s="481" t="s">
        <v>520</v>
      </c>
      <c r="C6" s="481"/>
      <c r="D6" s="2460">
        <f>ROUND($D$3*E6/$E$3,2)</f>
        <v>15376.67</v>
      </c>
      <c r="E6" s="3074">
        <f>E3-E5</f>
        <v>33439.3</v>
      </c>
      <c r="F6" s="2919"/>
      <c r="G6" s="3072"/>
      <c r="H6" s="2460" t="s">
        <v>517</v>
      </c>
      <c r="I6" s="481" t="e">
        <f>ROUND(F31/D31,2)</f>
        <v>#VALUE!</v>
      </c>
      <c r="J6" s="2919"/>
      <c r="K6" s="2919"/>
      <c r="L6" s="2919"/>
      <c r="M6" s="2919"/>
      <c r="N6" s="2919"/>
      <c r="O6" s="2919"/>
      <c r="P6" s="2919"/>
    </row>
    <row r="7" spans="1:16">
      <c r="A7" s="3076"/>
      <c r="B7" s="3077"/>
      <c r="C7" s="3078"/>
      <c r="D7" s="3070" t="s">
        <v>511</v>
      </c>
      <c r="E7" s="3079" t="s">
        <v>521</v>
      </c>
      <c r="F7" s="2919"/>
      <c r="G7" s="3080" t="s">
        <v>522</v>
      </c>
      <c r="H7" s="3081"/>
      <c r="I7" s="2441"/>
      <c r="J7" s="2919"/>
      <c r="K7" s="2919"/>
      <c r="L7" s="2919"/>
      <c r="M7" s="2919"/>
      <c r="N7" s="2919"/>
      <c r="O7" s="2919"/>
      <c r="P7" s="2919"/>
    </row>
    <row r="8" spans="1:16">
      <c r="A8" s="3073" t="s">
        <v>523</v>
      </c>
      <c r="B8" s="2464" t="s">
        <v>524</v>
      </c>
      <c r="C8" s="2460" t="s">
        <v>525</v>
      </c>
      <c r="D8" s="2460">
        <f t="shared" ref="D8:D15" si="0">ROUND($D$3*E8/$E$3,2)</f>
        <v>96934.58</v>
      </c>
      <c r="E8" s="3082">
        <f>SUMIF('数据-基础表'!BB10:BK10,"地上",'数据-基础表'!BB5:BK5)</f>
        <v>210801.41</v>
      </c>
      <c r="F8" s="2919"/>
      <c r="G8" s="2919"/>
      <c r="H8" s="2919"/>
      <c r="I8" s="2919"/>
      <c r="J8" s="2919"/>
      <c r="K8" s="2919"/>
      <c r="L8" s="2919"/>
      <c r="M8" s="2919"/>
      <c r="N8" s="2919"/>
      <c r="O8" s="2919"/>
      <c r="P8" s="2919"/>
    </row>
    <row r="9" spans="1:16">
      <c r="A9" s="3083"/>
      <c r="B9" s="3084"/>
      <c r="C9" s="2460" t="s">
        <v>526</v>
      </c>
      <c r="D9" s="2460">
        <f t="shared" si="0"/>
        <v>0</v>
      </c>
      <c r="E9" s="3085"/>
      <c r="F9" s="2919"/>
      <c r="G9" s="2919"/>
      <c r="H9" s="2919"/>
      <c r="I9" s="2919"/>
      <c r="J9" s="2919"/>
      <c r="K9" s="2919"/>
      <c r="L9" s="2919"/>
      <c r="M9" s="2919"/>
      <c r="N9" s="2919"/>
      <c r="O9" s="2919"/>
      <c r="P9" s="2919"/>
    </row>
    <row r="10" spans="1:16">
      <c r="A10" s="3083"/>
      <c r="B10" s="3084"/>
      <c r="C10" s="2460" t="s">
        <v>527</v>
      </c>
      <c r="D10" s="2460">
        <f t="shared" si="0"/>
        <v>0</v>
      </c>
      <c r="E10" s="3082">
        <f>SUMPRODUCT(('数据-基础表'!BB10:BK10="地下")*('数据-基础表'!BB11:BK11="商业")*('数据-基础表'!BB5:BK5))</f>
        <v>0</v>
      </c>
      <c r="F10" s="2919"/>
      <c r="G10" s="2919"/>
      <c r="H10" s="2919"/>
      <c r="I10" s="2919"/>
      <c r="J10" s="2919"/>
      <c r="K10" s="2919"/>
      <c r="L10" s="2919"/>
      <c r="M10" s="2919"/>
      <c r="N10" s="2919"/>
      <c r="O10" s="2919"/>
      <c r="P10" s="2919"/>
    </row>
    <row r="11" spans="1:16">
      <c r="A11" s="3083"/>
      <c r="B11" s="3084"/>
      <c r="C11" s="3086" t="s">
        <v>528</v>
      </c>
      <c r="D11" s="2460">
        <f t="shared" si="0"/>
        <v>0</v>
      </c>
      <c r="E11" s="3082">
        <f>SUMPRODUCT(('数据-基础表'!BB10:BK10="地下")*('数据-基础表'!BB11:BK11="办公")*('数据-基础表'!BB5:BK5))+'数据-基础表'!AJ5</f>
        <v>0</v>
      </c>
      <c r="F11" s="2919"/>
      <c r="G11" s="2919"/>
      <c r="H11" s="2919"/>
      <c r="I11" s="2919"/>
      <c r="J11" s="2919"/>
      <c r="K11" s="2919"/>
      <c r="L11" s="2919"/>
      <c r="M11" s="2919"/>
      <c r="N11" s="2919"/>
      <c r="O11" s="2919"/>
      <c r="P11" s="2919"/>
    </row>
    <row r="12" spans="1:16">
      <c r="A12" s="3083"/>
      <c r="B12" s="3084"/>
      <c r="C12" s="2460" t="s">
        <v>529</v>
      </c>
      <c r="D12" s="2460">
        <f t="shared" si="0"/>
        <v>0</v>
      </c>
      <c r="E12" s="3082">
        <f>SUMPRODUCT(('数据-基础表'!BB10:BK10="地下")*('数据-基础表'!BB11:BK11="仓储")*('数据-基础表'!BB5:BK5))</f>
        <v>0</v>
      </c>
      <c r="F12" s="2919"/>
      <c r="G12" s="2919"/>
      <c r="H12" s="2919"/>
      <c r="I12" s="2919"/>
      <c r="J12" s="2919"/>
      <c r="K12" s="2919"/>
      <c r="L12" s="2919"/>
      <c r="M12" s="2919"/>
      <c r="N12" s="2919"/>
      <c r="O12" s="2919"/>
      <c r="P12" s="2919"/>
    </row>
    <row r="13" spans="1:16">
      <c r="A13" s="3083"/>
      <c r="B13" s="3084"/>
      <c r="C13" s="3086" t="s">
        <v>530</v>
      </c>
      <c r="D13" s="2460">
        <f t="shared" si="0"/>
        <v>0</v>
      </c>
      <c r="E13" s="3082">
        <f>SUMPRODUCT(('数据-基础表'!BB10:BK10="地下")*('数据-基础表'!BB11:BK11="车库")*('数据-基础表'!BB5:BK5))</f>
        <v>0</v>
      </c>
      <c r="F13" s="2919"/>
      <c r="G13" s="2919"/>
      <c r="H13" s="2919"/>
      <c r="I13" s="2919"/>
      <c r="J13" s="2919"/>
      <c r="K13" s="2919"/>
      <c r="L13" s="2919"/>
      <c r="M13" s="2919"/>
      <c r="N13" s="2919"/>
      <c r="O13" s="2919"/>
      <c r="P13" s="2919"/>
    </row>
    <row r="14" spans="1:16">
      <c r="A14" s="3083"/>
      <c r="B14" s="3084"/>
      <c r="C14" s="2460" t="s">
        <v>531</v>
      </c>
      <c r="D14" s="2460">
        <f t="shared" si="0"/>
        <v>0</v>
      </c>
      <c r="E14" s="3082">
        <f>SUMPRODUCT(('数据-基础表'!BB10:BK10="地下")*('数据-基础表'!BB11:BK11="车库—商业")*('数据-基础表'!BB5:BK5))</f>
        <v>0</v>
      </c>
      <c r="F14" s="2919"/>
      <c r="G14" s="2919"/>
      <c r="H14" s="2919"/>
      <c r="I14" s="2919"/>
      <c r="J14" s="2919"/>
      <c r="K14" s="2919"/>
      <c r="L14" s="2919"/>
      <c r="M14" s="2919"/>
      <c r="N14" s="2919"/>
      <c r="O14" s="2919"/>
      <c r="P14" s="2919"/>
    </row>
    <row r="15" ht="15" spans="1:16">
      <c r="A15" s="3083"/>
      <c r="B15" s="3084"/>
      <c r="C15" s="2460" t="s">
        <v>532</v>
      </c>
      <c r="D15" s="2460">
        <f t="shared" si="0"/>
        <v>0</v>
      </c>
      <c r="E15" s="3082">
        <f>SUMPRODUCT(('数据-基础表'!BB10:BK10="地下")*('数据-基础表'!BB11:BK11="车库—办公")*('数据-基础表'!BB5:BK5))</f>
        <v>0</v>
      </c>
      <c r="F15" s="2919"/>
      <c r="G15" s="2919"/>
      <c r="H15" s="2919"/>
      <c r="I15" s="2919"/>
      <c r="J15" s="2919"/>
      <c r="K15" s="2919"/>
      <c r="L15" s="2919"/>
      <c r="M15" s="2919"/>
      <c r="N15" s="2919"/>
      <c r="O15" s="2919"/>
      <c r="P15" s="2919"/>
    </row>
    <row r="16" ht="15" spans="1:16">
      <c r="A16" s="3075"/>
      <c r="B16" s="3084"/>
      <c r="C16" s="2464" t="s">
        <v>533</v>
      </c>
      <c r="D16" s="2464">
        <f>SUM(D8:D15)</f>
        <v>96934.58</v>
      </c>
      <c r="E16" s="3087">
        <f>SUM(E8:E15)</f>
        <v>210801.41</v>
      </c>
      <c r="F16" s="2919"/>
      <c r="G16" s="2919"/>
      <c r="H16" s="3088" t="s">
        <v>534</v>
      </c>
      <c r="I16" s="3121"/>
      <c r="J16" s="2882"/>
      <c r="K16" s="3122" t="s">
        <v>535</v>
      </c>
      <c r="L16" s="3123"/>
      <c r="M16" s="3123"/>
      <c r="N16" s="3123"/>
      <c r="O16" s="3123"/>
      <c r="P16" s="3124"/>
    </row>
    <row r="17" ht="15" spans="1:19">
      <c r="A17" s="3037" t="s">
        <v>536</v>
      </c>
      <c r="B17" s="3089" t="s">
        <v>224</v>
      </c>
      <c r="C17" s="3090" t="s">
        <v>409</v>
      </c>
      <c r="D17" s="3070" t="s">
        <v>511</v>
      </c>
      <c r="E17" s="3091" t="s">
        <v>512</v>
      </c>
      <c r="F17" s="3092"/>
      <c r="G17" s="3093"/>
      <c r="H17" s="3094" t="s">
        <v>537</v>
      </c>
      <c r="I17" s="3125" t="s">
        <v>538</v>
      </c>
      <c r="J17" s="2882"/>
      <c r="K17" s="3126" t="s">
        <v>539</v>
      </c>
      <c r="L17" s="3127"/>
      <c r="M17" s="3128"/>
      <c r="N17" s="3126" t="s">
        <v>540</v>
      </c>
      <c r="O17" s="3127"/>
      <c r="P17" s="3128"/>
      <c r="R17" s="3143" t="s">
        <v>541</v>
      </c>
      <c r="S17" s="2446"/>
    </row>
    <row r="18" ht="15" spans="1:19">
      <c r="A18" s="3083"/>
      <c r="B18" s="3072"/>
      <c r="C18" s="2449"/>
      <c r="D18" s="1010"/>
      <c r="E18" s="3095" t="s">
        <v>542</v>
      </c>
      <c r="F18" s="3096" t="s">
        <v>242</v>
      </c>
      <c r="G18" s="3097" t="s">
        <v>266</v>
      </c>
      <c r="H18" s="3043" t="s">
        <v>543</v>
      </c>
      <c r="I18" s="3129" t="s">
        <v>544</v>
      </c>
      <c r="J18" s="2882"/>
      <c r="K18" s="3130" t="s">
        <v>545</v>
      </c>
      <c r="L18" s="3131" t="s">
        <v>546</v>
      </c>
      <c r="M18" s="3132" t="s">
        <v>547</v>
      </c>
      <c r="N18" s="3130" t="s">
        <v>545</v>
      </c>
      <c r="O18" s="3131" t="s">
        <v>546</v>
      </c>
      <c r="P18" s="3132" t="s">
        <v>547</v>
      </c>
      <c r="R18" s="3144" t="s">
        <v>392</v>
      </c>
      <c r="S18" s="3144" t="s">
        <v>389</v>
      </c>
    </row>
    <row r="19" spans="1:19">
      <c r="A19" s="3098"/>
      <c r="B19" s="2464" t="s">
        <v>245</v>
      </c>
      <c r="C19" s="3099" t="s">
        <v>548</v>
      </c>
      <c r="D19" s="2460">
        <f t="shared" ref="D19:D26" si="1">ROUND($D$3*E19/$E$3,2)</f>
        <v>34388.94</v>
      </c>
      <c r="E19" s="3100">
        <f t="shared" ref="E19:E26" si="2">SUM(F19:G19)</f>
        <v>74784.84</v>
      </c>
      <c r="F19" s="3101">
        <f>ROUND(地块信息表!$M$23*0.4,2)</f>
        <v>74784.84</v>
      </c>
      <c r="G19" s="3102"/>
      <c r="H19" s="3027" t="e">
        <f>ROUND($D$3*I19/$E$3,2)</f>
        <v>#VALUE!</v>
      </c>
      <c r="I19" s="3082" t="e">
        <f>IF($I$17="自定义",P19,M19)</f>
        <v>#VALUE!</v>
      </c>
      <c r="J19" s="2882"/>
      <c r="K19" s="3027" t="e">
        <f t="shared" ref="K19:K26" si="3">ROUND(E$28*E19/E$27,2)</f>
        <v>#VALUE!</v>
      </c>
      <c r="L19" s="2460">
        <f t="shared" ref="L19:L26" si="4">ROUND(IF(COUNTIF(C19,"*住宅*")&gt;0,E$29*E19/E$32,0),2)</f>
        <v>3840</v>
      </c>
      <c r="M19" s="3082" t="e">
        <f>K19+L19</f>
        <v>#VALUE!</v>
      </c>
      <c r="N19" s="3133"/>
      <c r="O19" s="3134"/>
      <c r="P19" s="3135">
        <f>N19+O19</f>
        <v>0</v>
      </c>
      <c r="R19" s="2460" t="e">
        <f t="shared" ref="R19:S26" si="5">D19+H19</f>
        <v>#VALUE!</v>
      </c>
      <c r="S19" s="3100" t="e">
        <f t="shared" si="5"/>
        <v>#VALUE!</v>
      </c>
    </row>
    <row r="20" spans="1:19">
      <c r="A20" s="3098"/>
      <c r="B20" s="2464" t="s">
        <v>245</v>
      </c>
      <c r="C20" s="3099" t="s">
        <v>549</v>
      </c>
      <c r="D20" s="2460">
        <f t="shared" si="1"/>
        <v>25791.71</v>
      </c>
      <c r="E20" s="3100">
        <f t="shared" si="2"/>
        <v>56088.63</v>
      </c>
      <c r="F20" s="3101">
        <f>ROUND(地块信息表!$M$23*0.3,2)</f>
        <v>56088.63</v>
      </c>
      <c r="G20" s="3102"/>
      <c r="H20" s="3027" t="e">
        <f t="shared" ref="H20:H26" si="6">ROUND($D$3*I20/$E$3,2)</f>
        <v>#VALUE!</v>
      </c>
      <c r="I20" s="3082" t="e">
        <f t="shared" ref="I20:I26" si="7">IF($I$17="自定义",P20,M20)</f>
        <v>#VALUE!</v>
      </c>
      <c r="J20" s="2882"/>
      <c r="K20" s="3027" t="e">
        <f t="shared" si="3"/>
        <v>#VALUE!</v>
      </c>
      <c r="L20" s="2460">
        <f t="shared" si="4"/>
        <v>2880</v>
      </c>
      <c r="M20" s="3082" t="e">
        <f t="shared" ref="M20:M26" si="8">K20+L20</f>
        <v>#VALUE!</v>
      </c>
      <c r="N20" s="3133"/>
      <c r="O20" s="3134"/>
      <c r="P20" s="3135">
        <f t="shared" ref="P20:P26" si="9">N20+O20</f>
        <v>0</v>
      </c>
      <c r="R20" s="2460" t="e">
        <f t="shared" si="5"/>
        <v>#VALUE!</v>
      </c>
      <c r="S20" s="3100" t="e">
        <f t="shared" si="5"/>
        <v>#VALUE!</v>
      </c>
    </row>
    <row r="21" spans="1:19">
      <c r="A21" s="3098"/>
      <c r="B21" s="2464" t="s">
        <v>245</v>
      </c>
      <c r="C21" s="3099" t="s">
        <v>550</v>
      </c>
      <c r="D21" s="2460">
        <f t="shared" si="1"/>
        <v>25791.71</v>
      </c>
      <c r="E21" s="3100">
        <f t="shared" si="2"/>
        <v>56088.64</v>
      </c>
      <c r="F21" s="3101">
        <f>ROUND(地块信息表!$M$23-F19-F20,2)</f>
        <v>56088.64</v>
      </c>
      <c r="G21" s="3102"/>
      <c r="H21" s="3027" t="e">
        <f t="shared" si="6"/>
        <v>#VALUE!</v>
      </c>
      <c r="I21" s="3082" t="e">
        <f t="shared" si="7"/>
        <v>#VALUE!</v>
      </c>
      <c r="J21" s="2882"/>
      <c r="K21" s="3027" t="e">
        <f t="shared" si="3"/>
        <v>#VALUE!</v>
      </c>
      <c r="L21" s="2460">
        <f t="shared" si="4"/>
        <v>2880</v>
      </c>
      <c r="M21" s="3082" t="e">
        <f t="shared" si="8"/>
        <v>#VALUE!</v>
      </c>
      <c r="N21" s="3133"/>
      <c r="O21" s="3134"/>
      <c r="P21" s="3135">
        <f t="shared" si="9"/>
        <v>0</v>
      </c>
      <c r="R21" s="2460" t="e">
        <f t="shared" si="5"/>
        <v>#VALUE!</v>
      </c>
      <c r="S21" s="3100" t="e">
        <f t="shared" si="5"/>
        <v>#VALUE!</v>
      </c>
    </row>
    <row r="22" spans="1:19">
      <c r="A22" s="3098"/>
      <c r="B22" s="2464" t="s">
        <v>245</v>
      </c>
      <c r="C22" s="3099" t="s">
        <v>551</v>
      </c>
      <c r="D22" s="2460">
        <f t="shared" si="1"/>
        <v>9260</v>
      </c>
      <c r="E22" s="3100">
        <f t="shared" si="2"/>
        <v>20137.5</v>
      </c>
      <c r="F22" s="3101">
        <f>地块信息表!M24</f>
        <v>20137.5</v>
      </c>
      <c r="G22" s="3103"/>
      <c r="H22" s="3027" t="e">
        <f t="shared" si="6"/>
        <v>#VALUE!</v>
      </c>
      <c r="I22" s="3082" t="e">
        <f t="shared" si="7"/>
        <v>#VALUE!</v>
      </c>
      <c r="J22" s="2882"/>
      <c r="K22" s="3027" t="e">
        <f t="shared" si="3"/>
        <v>#VALUE!</v>
      </c>
      <c r="L22" s="2460">
        <f t="shared" si="4"/>
        <v>0</v>
      </c>
      <c r="M22" s="3082" t="e">
        <f t="shared" si="8"/>
        <v>#VALUE!</v>
      </c>
      <c r="N22" s="3133"/>
      <c r="O22" s="3134"/>
      <c r="P22" s="3135">
        <f t="shared" si="9"/>
        <v>0</v>
      </c>
      <c r="R22" s="2460" t="e">
        <f t="shared" si="5"/>
        <v>#VALUE!</v>
      </c>
      <c r="S22" s="3100" t="e">
        <f t="shared" si="5"/>
        <v>#VALUE!</v>
      </c>
    </row>
    <row r="23" spans="1:19">
      <c r="A23" s="3098"/>
      <c r="B23" s="2464" t="s">
        <v>245</v>
      </c>
      <c r="C23" s="3104"/>
      <c r="D23" s="2460">
        <f t="shared" si="1"/>
        <v>0</v>
      </c>
      <c r="E23" s="3100">
        <f t="shared" si="2"/>
        <v>0</v>
      </c>
      <c r="F23" s="3105"/>
      <c r="G23" s="3103"/>
      <c r="H23" s="3027" t="e">
        <f t="shared" si="6"/>
        <v>#VALUE!</v>
      </c>
      <c r="I23" s="3082" t="e">
        <f t="shared" si="7"/>
        <v>#VALUE!</v>
      </c>
      <c r="J23" s="2882"/>
      <c r="K23" s="3027" t="e">
        <f t="shared" si="3"/>
        <v>#VALUE!</v>
      </c>
      <c r="L23" s="2460">
        <f t="shared" si="4"/>
        <v>0</v>
      </c>
      <c r="M23" s="3082" t="e">
        <f t="shared" si="8"/>
        <v>#VALUE!</v>
      </c>
      <c r="N23" s="3133"/>
      <c r="O23" s="3134"/>
      <c r="P23" s="3135">
        <f t="shared" si="9"/>
        <v>0</v>
      </c>
      <c r="R23" s="2460" t="e">
        <f t="shared" si="5"/>
        <v>#VALUE!</v>
      </c>
      <c r="S23" s="3100" t="e">
        <f t="shared" si="5"/>
        <v>#VALUE!</v>
      </c>
    </row>
    <row r="24" spans="1:19">
      <c r="A24" s="3098"/>
      <c r="B24" s="2464" t="s">
        <v>245</v>
      </c>
      <c r="C24" s="3104"/>
      <c r="D24" s="2460">
        <f t="shared" si="1"/>
        <v>0</v>
      </c>
      <c r="E24" s="3100">
        <f t="shared" si="2"/>
        <v>0</v>
      </c>
      <c r="F24" s="3105"/>
      <c r="G24" s="3103"/>
      <c r="H24" s="3027" t="e">
        <f t="shared" si="6"/>
        <v>#VALUE!</v>
      </c>
      <c r="I24" s="3082" t="e">
        <f t="shared" si="7"/>
        <v>#VALUE!</v>
      </c>
      <c r="J24" s="2882"/>
      <c r="K24" s="3027" t="e">
        <f t="shared" si="3"/>
        <v>#VALUE!</v>
      </c>
      <c r="L24" s="2460">
        <f t="shared" si="4"/>
        <v>0</v>
      </c>
      <c r="M24" s="3082" t="e">
        <f t="shared" si="8"/>
        <v>#VALUE!</v>
      </c>
      <c r="N24" s="3133"/>
      <c r="O24" s="3134"/>
      <c r="P24" s="3135">
        <f t="shared" si="9"/>
        <v>0</v>
      </c>
      <c r="R24" s="2460" t="e">
        <f t="shared" si="5"/>
        <v>#VALUE!</v>
      </c>
      <c r="S24" s="3100" t="e">
        <f t="shared" si="5"/>
        <v>#VALUE!</v>
      </c>
    </row>
    <row r="25" spans="1:19">
      <c r="A25" s="3098"/>
      <c r="B25" s="2464" t="s">
        <v>245</v>
      </c>
      <c r="C25" s="3104"/>
      <c r="D25" s="2460">
        <f t="shared" si="1"/>
        <v>0</v>
      </c>
      <c r="E25" s="3100">
        <f t="shared" si="2"/>
        <v>0</v>
      </c>
      <c r="F25" s="3105"/>
      <c r="G25" s="3103"/>
      <c r="H25" s="3073" t="e">
        <f t="shared" si="6"/>
        <v>#VALUE!</v>
      </c>
      <c r="I25" s="3082" t="e">
        <f t="shared" si="7"/>
        <v>#VALUE!</v>
      </c>
      <c r="J25" s="2882"/>
      <c r="K25" s="3027" t="e">
        <f t="shared" si="3"/>
        <v>#VALUE!</v>
      </c>
      <c r="L25" s="2460">
        <f t="shared" si="4"/>
        <v>0</v>
      </c>
      <c r="M25" s="3082" t="e">
        <f t="shared" si="8"/>
        <v>#VALUE!</v>
      </c>
      <c r="N25" s="3133"/>
      <c r="O25" s="3134"/>
      <c r="P25" s="3135">
        <f t="shared" si="9"/>
        <v>0</v>
      </c>
      <c r="R25" s="2460" t="e">
        <f t="shared" si="5"/>
        <v>#VALUE!</v>
      </c>
      <c r="S25" s="3100" t="e">
        <f t="shared" si="5"/>
        <v>#VALUE!</v>
      </c>
    </row>
    <row r="26" spans="1:19">
      <c r="A26" s="3098"/>
      <c r="B26" s="2464" t="s">
        <v>245</v>
      </c>
      <c r="C26" s="3106"/>
      <c r="D26" s="2460">
        <f t="shared" si="1"/>
        <v>0</v>
      </c>
      <c r="E26" s="3100">
        <f t="shared" si="2"/>
        <v>0</v>
      </c>
      <c r="F26" s="3105"/>
      <c r="G26" s="3103"/>
      <c r="H26" s="3073" t="e">
        <f t="shared" si="6"/>
        <v>#VALUE!</v>
      </c>
      <c r="I26" s="3082" t="e">
        <f t="shared" si="7"/>
        <v>#VALUE!</v>
      </c>
      <c r="J26" s="2882"/>
      <c r="K26" s="3073" t="e">
        <f t="shared" si="3"/>
        <v>#VALUE!</v>
      </c>
      <c r="L26" s="2464">
        <f t="shared" si="4"/>
        <v>0</v>
      </c>
      <c r="M26" s="3087" t="e">
        <f t="shared" si="8"/>
        <v>#VALUE!</v>
      </c>
      <c r="N26" s="3136"/>
      <c r="O26" s="3137"/>
      <c r="P26" s="3138">
        <f t="shared" si="9"/>
        <v>0</v>
      </c>
      <c r="R26" s="2460" t="e">
        <f t="shared" si="5"/>
        <v>#VALUE!</v>
      </c>
      <c r="S26" s="3100" t="e">
        <f t="shared" si="5"/>
        <v>#VALUE!</v>
      </c>
    </row>
    <row r="27" ht="15.75" spans="1:19">
      <c r="A27" s="3098"/>
      <c r="B27" s="2460"/>
      <c r="C27" s="2499" t="s">
        <v>533</v>
      </c>
      <c r="D27" s="3100">
        <f>SUM(D19:D26)</f>
        <v>95232.36</v>
      </c>
      <c r="E27" s="3107" t="str">
        <f>IF(SUM(E19:E26)='数据-基础表'!BA5,SUM(E19:E26),IF(F27="地上面积有误","面积有误","地下面积有误"))</f>
        <v>面积有误</v>
      </c>
      <c r="F27" s="3100" t="str">
        <f>IF(SUM(F19:F26)=E8,SUM(F19:F26),"地上面积有误")</f>
        <v>地上面积有误</v>
      </c>
      <c r="G27" s="3074">
        <f>SUM(G19:G26)</f>
        <v>0</v>
      </c>
      <c r="H27" s="3108" t="e">
        <f>SUM(H19:H26)</f>
        <v>#VALUE!</v>
      </c>
      <c r="I27" s="3139" t="e">
        <f>SUM(I19:I26)</f>
        <v>#VALUE!</v>
      </c>
      <c r="J27" s="2882"/>
      <c r="K27" s="3140" t="e">
        <f>SUM(K19:K26)</f>
        <v>#VALUE!</v>
      </c>
      <c r="L27" s="3141">
        <f>SUM(L19:L26)</f>
        <v>9600</v>
      </c>
      <c r="M27" s="3142" t="e">
        <f>SUM(M19:M26)</f>
        <v>#VALUE!</v>
      </c>
      <c r="N27" s="3140">
        <f t="shared" ref="N27:P27" si="10">SUM(N19:N26)</f>
        <v>0</v>
      </c>
      <c r="O27" s="3141">
        <f t="shared" si="10"/>
        <v>0</v>
      </c>
      <c r="P27" s="3047">
        <f t="shared" si="10"/>
        <v>0</v>
      </c>
      <c r="R27" s="3145" t="e">
        <f>IF(SUM(R19:R26)=$D$3,SUM(R19:R26),SUM(R19:R26)&amp;"误差"&amp;ROUND(SUM(R19:R26)-$D$3,2))</f>
        <v>#VALUE!</v>
      </c>
      <c r="S27" s="2460" t="e">
        <f>IF(SUM(S19:S26)=$E$3,SUM(S19:S26),SUM(S19:S26)&amp;"误差"&amp;ROUND(SUM(S19:S26)-E3,2))</f>
        <v>#VALUE!</v>
      </c>
    </row>
    <row r="28" spans="1:16">
      <c r="A28" s="3098"/>
      <c r="B28" s="2464" t="s">
        <v>257</v>
      </c>
      <c r="C28" s="2446" t="s">
        <v>552</v>
      </c>
      <c r="D28" s="2460">
        <f>ROUND($D$3*E28/$E$3,2)</f>
        <v>0</v>
      </c>
      <c r="E28" s="3100">
        <f>SUM(F28:G28)</f>
        <v>0</v>
      </c>
      <c r="F28" s="2446">
        <f>'数据-基础表'!BQ5+'数据-基础表'!BS5</f>
        <v>0</v>
      </c>
      <c r="G28" s="1086">
        <f>'数据-基础表'!BR5+'数据-基础表'!BT5</f>
        <v>0</v>
      </c>
      <c r="H28" s="2919"/>
      <c r="I28" s="2919"/>
      <c r="J28" s="2919"/>
      <c r="K28" s="2919"/>
      <c r="L28" s="2919"/>
      <c r="M28" s="2919"/>
      <c r="N28" s="2919"/>
      <c r="O28" s="2919"/>
      <c r="P28" s="2919"/>
    </row>
    <row r="29" spans="1:16">
      <c r="A29" s="3098"/>
      <c r="B29" s="2464" t="s">
        <v>257</v>
      </c>
      <c r="C29" s="3109" t="s">
        <v>553</v>
      </c>
      <c r="D29" s="2460">
        <f>ROUND($D$3*E29/$E$3,2)</f>
        <v>4414.45</v>
      </c>
      <c r="E29" s="3100">
        <f>SUM(F29:G29)</f>
        <v>9600</v>
      </c>
      <c r="F29" s="2446">
        <f>'数据-基础表'!BM5+'数据-基础表'!BO5</f>
        <v>9600</v>
      </c>
      <c r="G29" s="3087">
        <f>'数据-基础表'!BN5+'数据-基础表'!BP5</f>
        <v>0</v>
      </c>
      <c r="H29" s="2919"/>
      <c r="I29" s="2919"/>
      <c r="J29" s="2919"/>
      <c r="K29" s="2919"/>
      <c r="L29" s="2919"/>
      <c r="M29" s="2919"/>
      <c r="N29" s="2919"/>
      <c r="O29" s="2919"/>
      <c r="P29" s="2919"/>
    </row>
    <row r="30" spans="1:16">
      <c r="A30" s="3098"/>
      <c r="B30" s="2460"/>
      <c r="C30" s="3110" t="s">
        <v>533</v>
      </c>
      <c r="D30" s="3100">
        <f>SUM(D28:D29)</f>
        <v>4414.45</v>
      </c>
      <c r="E30" s="3100">
        <f>SUM(E28:E29)</f>
        <v>9600</v>
      </c>
      <c r="F30" s="3100">
        <f>SUM(F28:F29)</f>
        <v>9600</v>
      </c>
      <c r="G30" s="3074">
        <f>SUM(G28:G29)</f>
        <v>0</v>
      </c>
      <c r="H30" s="2919"/>
      <c r="I30" s="2919"/>
      <c r="J30" s="2919"/>
      <c r="K30" s="2919"/>
      <c r="L30" s="2919"/>
      <c r="M30" s="2919"/>
      <c r="N30" s="2919"/>
      <c r="O30" s="2919"/>
      <c r="P30" s="2919"/>
    </row>
    <row r="31" ht="32.25" customHeight="1" spans="1:16">
      <c r="A31" s="3111"/>
      <c r="B31" s="3112" t="s">
        <v>554</v>
      </c>
      <c r="C31" s="3113" t="s">
        <v>555</v>
      </c>
      <c r="D31" s="3114">
        <f>D27+D30</f>
        <v>99646.81</v>
      </c>
      <c r="E31" s="3114" t="e">
        <f>E27+E30</f>
        <v>#VALUE!</v>
      </c>
      <c r="F31" s="3115" t="e">
        <f>F27+F30</f>
        <v>#VALUE!</v>
      </c>
      <c r="G31" s="3116">
        <f>G27+G30</f>
        <v>0</v>
      </c>
      <c r="H31" s="2919"/>
      <c r="I31" s="2919"/>
      <c r="J31" s="2919"/>
      <c r="K31" s="2919"/>
      <c r="L31" s="2919"/>
      <c r="M31" s="2919"/>
      <c r="N31" s="2919"/>
      <c r="O31" s="2919"/>
      <c r="P31" s="2919"/>
    </row>
    <row r="32" spans="1:16">
      <c r="A32" s="2882"/>
      <c r="B32" s="3117" t="s">
        <v>556</v>
      </c>
      <c r="C32" s="3118"/>
      <c r="D32" s="3072"/>
      <c r="E32" s="3072">
        <f>SUMIF(C19:C26,"*住宅*",E19:E26)</f>
        <v>186962.11</v>
      </c>
      <c r="F32" s="3072"/>
      <c r="G32" s="3072"/>
      <c r="H32" s="2919"/>
      <c r="I32" s="2919"/>
      <c r="J32" s="2919"/>
      <c r="K32" s="2919"/>
      <c r="L32" s="2919"/>
      <c r="M32" s="2919"/>
      <c r="N32" s="2919"/>
      <c r="O32" s="2919"/>
      <c r="P32" s="2919"/>
    </row>
    <row r="33" spans="4:4">
      <c r="D33" s="3119"/>
    </row>
  </sheetData>
  <sheetProtection formatCells="0" formatColumns="0" formatRows="0"/>
  <mergeCells count="9">
    <mergeCell ref="A2:C2"/>
    <mergeCell ref="A3:C3"/>
    <mergeCell ref="A4:C4"/>
    <mergeCell ref="B5:C5"/>
    <mergeCell ref="B6:C6"/>
    <mergeCell ref="A7:C7"/>
    <mergeCell ref="K16:P16"/>
    <mergeCell ref="K17:M17"/>
    <mergeCell ref="N17:P17"/>
  </mergeCells>
  <conditionalFormatting sqref="E27">
    <cfRule type="containsText" dxfId="3" priority="1" stopIfTrue="1" operator="between" text="面积有误">
      <formula>NOT(ISERROR(SEARCH("面积有误",E27)))</formula>
    </cfRule>
    <cfRule type="cellIs" dxfId="4" priority="3" stopIfTrue="1" operator="equal">
      <formula>"地下面积有误"</formula>
    </cfRule>
  </conditionalFormatting>
  <conditionalFormatting sqref="F27">
    <cfRule type="cellIs" dxfId="4"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4"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CE192"/>
  <sheetViews>
    <sheetView zoomScale="80" zoomScaleNormal="80" workbookViewId="0">
      <pane xSplit="3" ySplit="5" topLeftCell="S6" activePane="bottomRight" state="frozen"/>
      <selection/>
      <selection pane="topRight"/>
      <selection pane="bottomLeft"/>
      <selection pane="bottomRight" activeCell="V10" sqref="V10"/>
    </sheetView>
  </sheetViews>
  <sheetFormatPr defaultColWidth="13.725" defaultRowHeight="12.75"/>
  <cols>
    <col min="1" max="1" width="20.9083333333333" style="2876" customWidth="1"/>
    <col min="2" max="3" width="12" style="78" customWidth="1"/>
    <col min="4" max="4" width="9.09166666666667" style="2877" customWidth="1"/>
    <col min="5" max="5" width="15" style="78" customWidth="1"/>
    <col min="6" max="10" width="8.90833333333333" style="78" customWidth="1"/>
    <col min="11" max="12" width="12.3666666666667" style="79" customWidth="1"/>
    <col min="13" max="13" width="9.90833333333333" style="78" customWidth="1"/>
    <col min="14" max="14" width="9.725" style="78" customWidth="1"/>
    <col min="15" max="16" width="9.63333333333333" style="78" customWidth="1"/>
    <col min="17" max="17" width="10.9083333333333" style="78" customWidth="1"/>
    <col min="18" max="19" width="12.45" style="78" customWidth="1"/>
    <col min="20" max="20" width="12.0916666666667" style="78" customWidth="1"/>
    <col min="21" max="21" width="7.45" style="78" customWidth="1"/>
    <col min="22" max="22" width="6.36666666666667" style="78" customWidth="1"/>
    <col min="23" max="24" width="6.725" style="78" customWidth="1"/>
    <col min="25" max="25" width="8.09166666666667" style="78" customWidth="1"/>
    <col min="26" max="30" width="6.725" style="78" customWidth="1"/>
    <col min="31" max="31" width="6.45" style="78" customWidth="1"/>
    <col min="32" max="34" width="7.26666666666667" style="78" customWidth="1"/>
    <col min="35" max="39" width="8" style="78" customWidth="1"/>
    <col min="40" max="40" width="24.725" style="72" customWidth="1"/>
    <col min="41" max="41" width="13.725" style="72"/>
    <col min="42" max="42" width="13.725" style="72" customWidth="1"/>
    <col min="43" max="83" width="13.725" style="72"/>
    <col min="84" max="16384" width="13.725" style="78"/>
  </cols>
  <sheetData>
    <row r="1" ht="19.5" spans="1:52">
      <c r="A1" s="2878" t="s">
        <v>557</v>
      </c>
      <c r="B1" s="119"/>
      <c r="C1" s="183"/>
      <c r="D1" s="2879"/>
      <c r="E1" s="183"/>
      <c r="F1" s="183"/>
      <c r="G1" s="183"/>
      <c r="H1" s="183"/>
      <c r="I1" s="183"/>
      <c r="J1" s="183"/>
      <c r="K1" s="121"/>
      <c r="L1" s="121"/>
      <c r="M1" s="183"/>
      <c r="N1" s="183"/>
      <c r="O1" s="183"/>
      <c r="P1" s="183"/>
      <c r="Q1" s="183"/>
      <c r="R1" s="183"/>
      <c r="S1" s="183"/>
      <c r="T1" s="183"/>
      <c r="U1" s="183"/>
      <c r="V1" s="183"/>
      <c r="W1" s="183"/>
      <c r="X1" s="183"/>
      <c r="Y1" s="183"/>
      <c r="Z1" s="183"/>
      <c r="AA1" s="183"/>
      <c r="AB1" s="183"/>
      <c r="AC1" s="183"/>
      <c r="AD1" s="183"/>
      <c r="AE1" s="183"/>
      <c r="AF1" s="183"/>
      <c r="AG1" s="183"/>
      <c r="AH1" s="183"/>
      <c r="AI1" s="183"/>
      <c r="AJ1" s="183"/>
      <c r="AK1" s="183"/>
      <c r="AL1" s="183"/>
      <c r="AM1" s="183"/>
      <c r="AN1" s="2917"/>
      <c r="AO1" s="2917"/>
      <c r="AP1" s="2917"/>
      <c r="AQ1" s="2917"/>
      <c r="AR1" s="2917"/>
      <c r="AS1" s="2917"/>
      <c r="AT1" s="2917"/>
      <c r="AU1" s="2917"/>
      <c r="AV1" s="2917"/>
      <c r="AW1" s="2917"/>
      <c r="AX1" s="2917"/>
      <c r="AY1" s="2917"/>
      <c r="AZ1" s="2917"/>
    </row>
    <row r="2" s="2874" customFormat="1" ht="15.75" spans="1:83">
      <c r="A2" s="2880" t="s">
        <v>558</v>
      </c>
      <c r="B2" s="2881">
        <f>项目基本情况!D3</f>
        <v>45252</v>
      </c>
      <c r="C2" s="2882"/>
      <c r="D2" s="2883"/>
      <c r="E2" s="2882"/>
      <c r="F2" s="2882"/>
      <c r="G2" s="2882"/>
      <c r="H2" s="2882"/>
      <c r="I2" s="2882"/>
      <c r="J2" s="2882"/>
      <c r="K2" s="387"/>
      <c r="L2" s="387"/>
      <c r="M2" s="2882"/>
      <c r="N2" s="2882"/>
      <c r="O2" s="2882"/>
      <c r="P2" s="2882"/>
      <c r="Q2" s="2882"/>
      <c r="R2" s="2882"/>
      <c r="S2" s="2882"/>
      <c r="T2" s="2882"/>
      <c r="U2" s="2882"/>
      <c r="V2" s="2882"/>
      <c r="W2" s="2882"/>
      <c r="X2" s="2882"/>
      <c r="Y2" s="2882"/>
      <c r="Z2" s="2882"/>
      <c r="AA2" s="2882"/>
      <c r="AB2" s="2882"/>
      <c r="AC2" s="2882"/>
      <c r="AD2" s="2882"/>
      <c r="AE2" s="2882"/>
      <c r="AF2" s="2882"/>
      <c r="AG2" s="2882"/>
      <c r="AH2" s="2882"/>
      <c r="AI2" s="2882"/>
      <c r="AJ2" s="2882"/>
      <c r="AK2" s="2882"/>
      <c r="AL2" s="2882"/>
      <c r="AM2" s="2882"/>
      <c r="AN2" s="2919"/>
      <c r="AO2" s="2919"/>
      <c r="AP2" s="2919"/>
      <c r="AQ2" s="2919"/>
      <c r="AR2" s="2919"/>
      <c r="AS2" s="2919"/>
      <c r="AT2" s="2919"/>
      <c r="AU2" s="2919"/>
      <c r="AV2" s="2919"/>
      <c r="AW2" s="2919"/>
      <c r="AX2" s="2919"/>
      <c r="AY2" s="2919"/>
      <c r="AZ2" s="2919"/>
      <c r="BA2" s="3063"/>
      <c r="BB2" s="3063"/>
      <c r="BC2" s="3063"/>
      <c r="BD2" s="3063"/>
      <c r="BE2" s="3063"/>
      <c r="BF2" s="3063"/>
      <c r="BG2" s="3063"/>
      <c r="BH2" s="3063"/>
      <c r="BI2" s="3063"/>
      <c r="BJ2" s="3063"/>
      <c r="BK2" s="3063"/>
      <c r="BL2" s="3063"/>
      <c r="BM2" s="3063"/>
      <c r="BN2" s="3063"/>
      <c r="BO2" s="3063"/>
      <c r="BP2" s="3063"/>
      <c r="BQ2" s="3063"/>
      <c r="BR2" s="3063"/>
      <c r="BS2" s="3063"/>
      <c r="BT2" s="3063"/>
      <c r="BU2" s="3063"/>
      <c r="BV2" s="3063"/>
      <c r="BW2" s="3063"/>
      <c r="BX2" s="3063"/>
      <c r="BY2" s="3063"/>
      <c r="BZ2" s="3063"/>
      <c r="CA2" s="3063"/>
      <c r="CB2" s="3063"/>
      <c r="CC2" s="3063"/>
      <c r="CD2" s="3063"/>
      <c r="CE2" s="3063"/>
    </row>
    <row r="3" s="2874" customFormat="1" ht="15" spans="1:83">
      <c r="A3" s="2884"/>
      <c r="B3" s="2449"/>
      <c r="C3" s="2882"/>
      <c r="D3" s="2883"/>
      <c r="E3" s="2882"/>
      <c r="F3" s="2882"/>
      <c r="G3" s="2882"/>
      <c r="H3" s="2882"/>
      <c r="I3" s="2882"/>
      <c r="J3" s="2882"/>
      <c r="K3" s="387"/>
      <c r="L3" s="387"/>
      <c r="M3" s="2882"/>
      <c r="N3" s="2882"/>
      <c r="O3" s="2882"/>
      <c r="P3" s="2882"/>
      <c r="Q3" s="2882"/>
      <c r="R3" s="2882"/>
      <c r="S3" s="2882"/>
      <c r="T3" s="2882"/>
      <c r="U3" s="2882"/>
      <c r="V3" s="2882"/>
      <c r="W3" s="2882"/>
      <c r="X3" s="2882"/>
      <c r="Y3" s="2882"/>
      <c r="Z3" s="2882"/>
      <c r="AA3" s="2882"/>
      <c r="AB3" s="2882"/>
      <c r="AC3" s="2882"/>
      <c r="AD3" s="2882"/>
      <c r="AE3" s="2882"/>
      <c r="AF3" s="2882"/>
      <c r="AG3" s="2882"/>
      <c r="AH3" s="2882"/>
      <c r="AI3" s="2882"/>
      <c r="AJ3" s="2882"/>
      <c r="AK3" s="2882"/>
      <c r="AL3" s="2882"/>
      <c r="AM3" s="2882"/>
      <c r="AN3" s="2919"/>
      <c r="AO3" s="2919"/>
      <c r="AP3" s="2919"/>
      <c r="AQ3" s="2919"/>
      <c r="AR3" s="2919"/>
      <c r="AS3" s="2919"/>
      <c r="AT3" s="2919"/>
      <c r="AU3" s="2919"/>
      <c r="AV3" s="2919"/>
      <c r="AW3" s="2919"/>
      <c r="AX3" s="2919"/>
      <c r="AY3" s="2919"/>
      <c r="AZ3" s="2919"/>
      <c r="BA3" s="3063"/>
      <c r="BB3" s="3063"/>
      <c r="BC3" s="3063"/>
      <c r="BD3" s="3063"/>
      <c r="BE3" s="3063"/>
      <c r="BF3" s="3063"/>
      <c r="BG3" s="3063"/>
      <c r="BH3" s="3063"/>
      <c r="BI3" s="3063"/>
      <c r="BJ3" s="3063"/>
      <c r="BK3" s="3063"/>
      <c r="BL3" s="3063"/>
      <c r="BM3" s="3063"/>
      <c r="BN3" s="3063"/>
      <c r="BO3" s="3063"/>
      <c r="BP3" s="3063"/>
      <c r="BQ3" s="3063"/>
      <c r="BR3" s="3063"/>
      <c r="BS3" s="3063"/>
      <c r="BT3" s="3063"/>
      <c r="BU3" s="3063"/>
      <c r="BV3" s="3063"/>
      <c r="BW3" s="3063"/>
      <c r="BX3" s="3063"/>
      <c r="BY3" s="3063"/>
      <c r="BZ3" s="3063"/>
      <c r="CA3" s="3063"/>
      <c r="CB3" s="3063"/>
      <c r="CC3" s="3063"/>
      <c r="CD3" s="3063"/>
      <c r="CE3" s="3063"/>
    </row>
    <row r="4" s="2874" customFormat="1" ht="15" spans="1:83">
      <c r="A4" s="2885" t="s">
        <v>559</v>
      </c>
      <c r="B4" s="2886"/>
      <c r="C4" s="2887"/>
      <c r="D4" s="2888"/>
      <c r="E4" s="2889" t="s">
        <v>560</v>
      </c>
      <c r="F4" s="2887"/>
      <c r="G4" s="2887"/>
      <c r="H4" s="2887"/>
      <c r="I4" s="2887"/>
      <c r="J4" s="2984"/>
      <c r="K4" s="2985"/>
      <c r="L4" s="2986"/>
      <c r="M4" s="2887"/>
      <c r="N4" s="2889" t="s">
        <v>561</v>
      </c>
      <c r="O4" s="2887"/>
      <c r="P4" s="2887"/>
      <c r="Q4" s="2887"/>
      <c r="R4" s="2887"/>
      <c r="S4" s="2984"/>
      <c r="T4" s="3010" t="str">
        <f>'数据-汇总表'!I17</f>
        <v>按面积比例</v>
      </c>
      <c r="U4" s="2886" t="s">
        <v>562</v>
      </c>
      <c r="V4" s="2887"/>
      <c r="W4" s="2887"/>
      <c r="X4" s="2887"/>
      <c r="Y4" s="2984"/>
      <c r="Z4" s="3036" t="s">
        <v>563</v>
      </c>
      <c r="AA4" s="3036"/>
      <c r="AB4" s="3036"/>
      <c r="AC4" s="3036"/>
      <c r="AD4" s="3036"/>
      <c r="AE4" s="3037" t="s">
        <v>564</v>
      </c>
      <c r="AF4" s="3036"/>
      <c r="AG4" s="3049"/>
      <c r="AH4" s="2886"/>
      <c r="AI4" s="2887"/>
      <c r="AJ4" s="2887"/>
      <c r="AK4" s="2887"/>
      <c r="AL4" s="2887"/>
      <c r="AM4" s="2984"/>
      <c r="AN4" s="2919"/>
      <c r="AO4" s="2919"/>
      <c r="AP4" s="2919"/>
      <c r="AQ4" s="2919"/>
      <c r="AR4" s="2919"/>
      <c r="AS4" s="2919"/>
      <c r="AT4" s="2919"/>
      <c r="AU4" s="2919"/>
      <c r="AV4" s="2919"/>
      <c r="AW4" s="2919"/>
      <c r="AX4" s="2919"/>
      <c r="AY4" s="2919"/>
      <c r="AZ4" s="2919"/>
      <c r="BA4" s="3063"/>
      <c r="BB4" s="3063"/>
      <c r="BC4" s="3063"/>
      <c r="BD4" s="3063"/>
      <c r="BE4" s="3063"/>
      <c r="BF4" s="3063"/>
      <c r="BG4" s="3063"/>
      <c r="BH4" s="3063"/>
      <c r="BI4" s="3063"/>
      <c r="BJ4" s="3063"/>
      <c r="BK4" s="3063"/>
      <c r="BL4" s="3063"/>
      <c r="BM4" s="3063"/>
      <c r="BN4" s="3063"/>
      <c r="BO4" s="3063"/>
      <c r="BP4" s="3063"/>
      <c r="BQ4" s="3063"/>
      <c r="BR4" s="3063"/>
      <c r="BS4" s="3063"/>
      <c r="BT4" s="3063"/>
      <c r="BU4" s="3063"/>
      <c r="BV4" s="3063"/>
      <c r="BW4" s="3063"/>
      <c r="BX4" s="3063"/>
      <c r="BY4" s="3063"/>
      <c r="BZ4" s="3063"/>
      <c r="CA4" s="3063"/>
      <c r="CB4" s="3063"/>
      <c r="CC4" s="3063"/>
      <c r="CD4" s="3063"/>
      <c r="CE4" s="3063"/>
    </row>
    <row r="5" s="2875" customFormat="1" ht="40.5" spans="1:83">
      <c r="A5" s="2890" t="s">
        <v>409</v>
      </c>
      <c r="B5" s="2891" t="s">
        <v>565</v>
      </c>
      <c r="C5" s="2892" t="s">
        <v>566</v>
      </c>
      <c r="D5" s="2893" t="s">
        <v>567</v>
      </c>
      <c r="E5" s="374" t="s">
        <v>568</v>
      </c>
      <c r="F5" s="2894" t="s">
        <v>569</v>
      </c>
      <c r="G5" s="374" t="s">
        <v>570</v>
      </c>
      <c r="H5" s="374" t="s">
        <v>571</v>
      </c>
      <c r="I5" s="374" t="s">
        <v>572</v>
      </c>
      <c r="J5" s="2276" t="s">
        <v>573</v>
      </c>
      <c r="K5" s="2987" t="s">
        <v>574</v>
      </c>
      <c r="L5" s="2988" t="s">
        <v>575</v>
      </c>
      <c r="M5" s="2989" t="s">
        <v>576</v>
      </c>
      <c r="N5" s="2990" t="s">
        <v>577</v>
      </c>
      <c r="O5" s="2988" t="s">
        <v>578</v>
      </c>
      <c r="P5" s="2991" t="s">
        <v>579</v>
      </c>
      <c r="Q5" s="260" t="s">
        <v>580</v>
      </c>
      <c r="R5" s="3011" t="s">
        <v>581</v>
      </c>
      <c r="S5" s="3012" t="s">
        <v>582</v>
      </c>
      <c r="T5" s="3013" t="s">
        <v>583</v>
      </c>
      <c r="U5" s="3014" t="s">
        <v>584</v>
      </c>
      <c r="V5" s="374" t="s">
        <v>585</v>
      </c>
      <c r="W5" s="374" t="s">
        <v>586</v>
      </c>
      <c r="X5" s="3015"/>
      <c r="Y5" s="244" t="s">
        <v>587</v>
      </c>
      <c r="Z5" s="2259" t="s">
        <v>584</v>
      </c>
      <c r="AA5" s="374" t="s">
        <v>585</v>
      </c>
      <c r="AB5" s="374" t="s">
        <v>586</v>
      </c>
      <c r="AC5" s="3038"/>
      <c r="AD5" s="294" t="s">
        <v>587</v>
      </c>
      <c r="AE5" s="3039" t="s">
        <v>588</v>
      </c>
      <c r="AF5" s="374" t="s">
        <v>589</v>
      </c>
      <c r="AG5" s="244" t="s">
        <v>590</v>
      </c>
      <c r="AH5" s="3038" t="s">
        <v>591</v>
      </c>
      <c r="AI5" s="2259" t="s">
        <v>592</v>
      </c>
      <c r="AJ5" s="2259" t="s">
        <v>593</v>
      </c>
      <c r="AK5" s="374" t="s">
        <v>594</v>
      </c>
      <c r="AL5" s="374" t="s">
        <v>595</v>
      </c>
      <c r="AM5" s="294" t="s">
        <v>596</v>
      </c>
      <c r="AN5" s="3050" t="s">
        <v>597</v>
      </c>
      <c r="AO5" s="3061"/>
      <c r="AP5" s="3062" t="s">
        <v>598</v>
      </c>
      <c r="AQ5" s="3061"/>
      <c r="AR5" s="3061"/>
      <c r="AS5" s="3061"/>
      <c r="AT5" s="3061"/>
      <c r="AU5" s="3061"/>
      <c r="AV5" s="3061"/>
      <c r="AW5" s="3061"/>
      <c r="AX5" s="3061"/>
      <c r="AY5" s="3061"/>
      <c r="AZ5" s="3061"/>
      <c r="BA5" s="3064"/>
      <c r="BB5" s="3064"/>
      <c r="BC5" s="3064"/>
      <c r="BD5" s="3064"/>
      <c r="BE5" s="3064"/>
      <c r="BF5" s="3064"/>
      <c r="BG5" s="3064"/>
      <c r="BH5" s="3064"/>
      <c r="BI5" s="3064"/>
      <c r="BJ5" s="3064"/>
      <c r="BK5" s="3064"/>
      <c r="BL5" s="3064"/>
      <c r="BM5" s="3064"/>
      <c r="BN5" s="3064"/>
      <c r="BO5" s="3064"/>
      <c r="BP5" s="3064"/>
      <c r="BQ5" s="3064"/>
      <c r="BR5" s="3064"/>
      <c r="BS5" s="3064"/>
      <c r="BT5" s="3064"/>
      <c r="BU5" s="3064"/>
      <c r="BV5" s="3064"/>
      <c r="BW5" s="3064"/>
      <c r="BX5" s="3064"/>
      <c r="BY5" s="3064"/>
      <c r="BZ5" s="3064"/>
      <c r="CA5" s="3064"/>
      <c r="CB5" s="3064"/>
      <c r="CC5" s="3064"/>
      <c r="CD5" s="3064"/>
      <c r="CE5" s="3064"/>
    </row>
    <row r="6" s="2874" customFormat="1" ht="14.25" spans="1:83">
      <c r="A6" s="2895" t="str">
        <f>'数据-汇总表'!C19</f>
        <v>住宅可售</v>
      </c>
      <c r="B6" s="2896" t="str">
        <f>IF(A6=0,"","经营性")</f>
        <v>经营性</v>
      </c>
      <c r="C6" s="2897" t="s">
        <v>377</v>
      </c>
      <c r="D6" s="2898">
        <f>SUMIF(项目基本情况!D$15:I$15,C6,项目基本情况!D$18:I$18)</f>
        <v>70</v>
      </c>
      <c r="E6" s="2899">
        <f>IF(B6="","",SUMIF(项目基本情况!D$15:I$15,C6,项目基本情况!D$17:I$17))</f>
        <v>71225</v>
      </c>
      <c r="F6" s="2900">
        <f>SUMIF(项目基本情况!D$15:I$15,C6,项目基本情况!D$19:I$19)</f>
        <v>70</v>
      </c>
      <c r="G6" s="2901">
        <f>IF(ISERROR(ROUND(POWER(1+H6,D6-F6)*(POWER(1+H6,F6)-1)/(POWER(1+H6,D6)-1),3)),0,ROUND(POWER(1+H6,D6-F6)*(POWER(1+H6,F6)-1)/(POWER(1+H6,D6)-1),3))</f>
        <v>1</v>
      </c>
      <c r="H6" s="2902">
        <v>0.04</v>
      </c>
      <c r="I6" s="2902">
        <v>0.045</v>
      </c>
      <c r="J6" s="2904">
        <v>0.08</v>
      </c>
      <c r="K6" s="2992">
        <f>SUMIF('数据-汇总表'!C$19:C$33,'数据-取费表'!A6,'数据-汇总表'!E$19:E$33)</f>
        <v>74784.84</v>
      </c>
      <c r="L6" s="664">
        <v>4000</v>
      </c>
      <c r="M6" s="2993">
        <f>ROUND(K6*L6/10000,2)</f>
        <v>29913.94</v>
      </c>
      <c r="N6" s="2994">
        <v>0</v>
      </c>
      <c r="O6" s="2993">
        <f>IF($N$5="成新度","——",ROUND(M6*N6,0))</f>
        <v>0</v>
      </c>
      <c r="P6" s="388">
        <f>IF($N$5="成新度","——",M6-O6)</f>
        <v>29913.94</v>
      </c>
      <c r="Q6" s="3016">
        <v>0.15</v>
      </c>
      <c r="R6" s="2992" t="e">
        <f>SUMIF('数据-汇总表'!C$19:C$33,A6,'数据-汇总表'!R$19:R$33)</f>
        <v>#VALUE!</v>
      </c>
      <c r="S6" s="3017" t="e">
        <f>IF('数据-汇总表'!$I$17="按面积比例",SUMIF('数据-汇总表'!C$19:C$33,A6,'数据-汇总表'!K$19:K$33),SUMIF('数据-汇总表'!C$19:C$33,A6,'数据-汇总表'!N$19:N$33))</f>
        <v>#VALUE!</v>
      </c>
      <c r="T6" s="3018" t="str">
        <f>IF($T$4="按面积比例",IF(ISERROR(ROUND($M$14*S6/S$16,0)),"0",ROUND($M$14*S6/S$16,0)),"需自行计算录入")</f>
        <v>0</v>
      </c>
      <c r="U6" s="2426"/>
      <c r="V6" s="3019"/>
      <c r="W6" s="3019"/>
      <c r="X6" s="3020"/>
      <c r="Y6" s="3040"/>
      <c r="Z6" s="3041"/>
      <c r="AA6" s="2904"/>
      <c r="AB6" s="2904"/>
      <c r="AC6" s="3024"/>
      <c r="AD6" s="3042"/>
      <c r="AE6" s="3043">
        <f ca="1">IF(AN6="",0,SUMIF(INDIRECT("'"&amp;AN6&amp;"'"&amp;"!E:E"),$AE$5,INDIRECT("'"&amp;AN6&amp;"'"&amp;"!F:F")))</f>
        <v>0</v>
      </c>
      <c r="AF6" s="2441"/>
      <c r="AG6" s="3051">
        <f ca="1">IF(AF6="",0,AE6-AF6)</f>
        <v>0</v>
      </c>
      <c r="AH6" s="2441"/>
      <c r="AI6" s="3052"/>
      <c r="AJ6" s="2441"/>
      <c r="AK6" s="3053"/>
      <c r="AL6" s="3054"/>
      <c r="AM6" s="3055"/>
      <c r="AN6" s="2477"/>
      <c r="AO6" s="2919"/>
      <c r="AP6" s="2449">
        <f>ROUND(1-1/(1+H6)^F6,3)</f>
        <v>0.936</v>
      </c>
      <c r="AQ6" s="2919"/>
      <c r="AR6" s="2919"/>
      <c r="AS6" s="2919"/>
      <c r="AT6" s="2919"/>
      <c r="AU6" s="2919"/>
      <c r="AV6" s="2919"/>
      <c r="AW6" s="2919"/>
      <c r="AX6" s="2919"/>
      <c r="AY6" s="2919"/>
      <c r="AZ6" s="2919"/>
      <c r="BA6" s="3063"/>
      <c r="BB6" s="3063"/>
      <c r="BC6" s="3063"/>
      <c r="BD6" s="3063"/>
      <c r="BE6" s="3063"/>
      <c r="BF6" s="3063"/>
      <c r="BG6" s="3063"/>
      <c r="BH6" s="3063"/>
      <c r="BI6" s="3063"/>
      <c r="BJ6" s="3063"/>
      <c r="BK6" s="3063"/>
      <c r="BL6" s="3063"/>
      <c r="BM6" s="3063"/>
      <c r="BN6" s="3063"/>
      <c r="BO6" s="3063"/>
      <c r="BP6" s="3063"/>
      <c r="BQ6" s="3063"/>
      <c r="BR6" s="3063"/>
      <c r="BS6" s="3063"/>
      <c r="BT6" s="3063"/>
      <c r="BU6" s="3063"/>
      <c r="BV6" s="3063"/>
      <c r="BW6" s="3063"/>
      <c r="BX6" s="3063"/>
      <c r="BY6" s="3063"/>
      <c r="BZ6" s="3063"/>
      <c r="CA6" s="3063"/>
      <c r="CB6" s="3063"/>
      <c r="CC6" s="3063"/>
      <c r="CD6" s="3063"/>
      <c r="CE6" s="3063"/>
    </row>
    <row r="7" s="2874" customFormat="1" ht="14.25" spans="1:83">
      <c r="A7" s="2895" t="str">
        <f>'数据-汇总表'!C20</f>
        <v>住宅共有产</v>
      </c>
      <c r="B7" s="2896" t="str">
        <f t="shared" ref="B7:B13" si="0">IF(A7=0,"","经营性")</f>
        <v>经营性</v>
      </c>
      <c r="C7" s="2903" t="s">
        <v>377</v>
      </c>
      <c r="D7" s="2898">
        <f>SUMIF(项目基本情况!D$15:I$15,C7,项目基本情况!D$18:I$18)</f>
        <v>70</v>
      </c>
      <c r="E7" s="2899">
        <f>IF(B7="","",SUMIF(项目基本情况!D$15:I$15,C7,项目基本情况!D$17:I$17))</f>
        <v>71225</v>
      </c>
      <c r="F7" s="2900">
        <f>SUMIF(项目基本情况!D$15:I$15,C7,项目基本情况!D$19:I$19)</f>
        <v>70</v>
      </c>
      <c r="G7" s="2901">
        <f t="shared" ref="G7:G13" si="1">IF(ISERROR(ROUND(POWER(1+H7,D7-F7)*(POWER(1+H7,F7)-1)/(POWER(1+H7,D7)-1),3)),0,ROUND(POWER(1+H7,D7-F7)*(POWER(1+H7,F7)-1)/(POWER(1+H7,D7)-1),3))</f>
        <v>1</v>
      </c>
      <c r="H7" s="2902">
        <v>0.04</v>
      </c>
      <c r="I7" s="2902">
        <v>0.045</v>
      </c>
      <c r="J7" s="2904">
        <v>0.08</v>
      </c>
      <c r="K7" s="2992">
        <f>SUMIF('数据-汇总表'!C$19:C$33,'数据-取费表'!A7,'数据-汇总表'!E$19:E$33)</f>
        <v>56088.63</v>
      </c>
      <c r="L7" s="664">
        <f>L6</f>
        <v>4000</v>
      </c>
      <c r="M7" s="2993">
        <f t="shared" ref="M7:M15" si="2">ROUND(K7*L7/10000,2)</f>
        <v>22435.45</v>
      </c>
      <c r="N7" s="2994">
        <f>N6</f>
        <v>0</v>
      </c>
      <c r="O7" s="2993">
        <f t="shared" ref="O7:O14" si="3">IF($N$5="成新度","——",ROUND(M7*N7,0))</f>
        <v>0</v>
      </c>
      <c r="P7" s="388">
        <f t="shared" ref="P7:P14" si="4">IF($N$5="成新度","——",M7-O7)</f>
        <v>22435.45</v>
      </c>
      <c r="Q7" s="3016">
        <f>Q6</f>
        <v>0.15</v>
      </c>
      <c r="R7" s="2992" t="e">
        <f>SUMIF('数据-汇总表'!C$19:C$33,A7,'数据-汇总表'!R$19:R$33)</f>
        <v>#VALUE!</v>
      </c>
      <c r="S7" s="3017" t="e">
        <f>IF('数据-汇总表'!$I$17="按面积比例",SUMIF('数据-汇总表'!C$19:C$33,A7,'数据-汇总表'!K$19:K$33),SUMIF('数据-汇总表'!C$19:C$33,A7,'数据-汇总表'!N$19:N$33))</f>
        <v>#VALUE!</v>
      </c>
      <c r="T7" s="3018" t="str">
        <f t="shared" ref="T7:T13" si="5">IF($T$4="按面积比例",IF(ISERROR(ROUND($M$14*S7/S$16,0)),"0",ROUND($M$14*S7/S$16,0)),"需自行计算录入")</f>
        <v>0</v>
      </c>
      <c r="U7" s="3021"/>
      <c r="V7" s="3019"/>
      <c r="W7" s="3019"/>
      <c r="X7" s="3020"/>
      <c r="Y7" s="3040"/>
      <c r="Z7" s="3041"/>
      <c r="AA7" s="2904"/>
      <c r="AB7" s="2904"/>
      <c r="AC7" s="3024"/>
      <c r="AD7" s="3042"/>
      <c r="AE7" s="3043">
        <f ca="1" t="shared" ref="AE7:AE13" si="6">IF(AN7="",0,SUMIF(INDIRECT("'"&amp;AN7&amp;"'"&amp;"!E:E"),$AE$5,INDIRECT("'"&amp;AN7&amp;"'"&amp;"!F:F")))</f>
        <v>0</v>
      </c>
      <c r="AF7" s="2441"/>
      <c r="AG7" s="3051">
        <f ca="1" t="shared" ref="AG7:AG13" si="7">IF(AF7="",0,AE7-AF7)</f>
        <v>0</v>
      </c>
      <c r="AH7" s="2441"/>
      <c r="AI7" s="3052"/>
      <c r="AJ7" s="2441"/>
      <c r="AK7" s="3053"/>
      <c r="AL7" s="3054"/>
      <c r="AM7" s="3055"/>
      <c r="AN7" s="2477"/>
      <c r="AO7" s="2919"/>
      <c r="AP7" s="2449">
        <f t="shared" ref="AP7:AP13" si="8">ROUND(1-1/(1+H7)^F7,3)</f>
        <v>0.936</v>
      </c>
      <c r="AQ7" s="2919"/>
      <c r="AR7" s="2919"/>
      <c r="AS7" s="2919"/>
      <c r="AT7" s="2919"/>
      <c r="AU7" s="2919"/>
      <c r="AV7" s="2919"/>
      <c r="AW7" s="2919"/>
      <c r="AX7" s="2919"/>
      <c r="AY7" s="2919"/>
      <c r="AZ7" s="2919"/>
      <c r="BA7" s="3063"/>
      <c r="BB7" s="3063"/>
      <c r="BC7" s="3063"/>
      <c r="BD7" s="3063"/>
      <c r="BE7" s="3063"/>
      <c r="BF7" s="3063"/>
      <c r="BG7" s="3063"/>
      <c r="BH7" s="3063"/>
      <c r="BI7" s="3063"/>
      <c r="BJ7" s="3063"/>
      <c r="BK7" s="3063"/>
      <c r="BL7" s="3063"/>
      <c r="BM7" s="3063"/>
      <c r="BN7" s="3063"/>
      <c r="BO7" s="3063"/>
      <c r="BP7" s="3063"/>
      <c r="BQ7" s="3063"/>
      <c r="BR7" s="3063"/>
      <c r="BS7" s="3063"/>
      <c r="BT7" s="3063"/>
      <c r="BU7" s="3063"/>
      <c r="BV7" s="3063"/>
      <c r="BW7" s="3063"/>
      <c r="BX7" s="3063"/>
      <c r="BY7" s="3063"/>
      <c r="BZ7" s="3063"/>
      <c r="CA7" s="3063"/>
      <c r="CB7" s="3063"/>
      <c r="CC7" s="3063"/>
      <c r="CD7" s="3063"/>
      <c r="CE7" s="3063"/>
    </row>
    <row r="8" s="2874" customFormat="1" ht="14.25" spans="1:83">
      <c r="A8" s="2895" t="str">
        <f>'数据-汇总表'!C21</f>
        <v>住宅自持</v>
      </c>
      <c r="B8" s="2896" t="str">
        <f t="shared" si="0"/>
        <v>经营性</v>
      </c>
      <c r="C8" s="2903" t="s">
        <v>377</v>
      </c>
      <c r="D8" s="2898">
        <f>SUMIF(项目基本情况!D$15:I$15,C8,项目基本情况!D$18:I$18)</f>
        <v>70</v>
      </c>
      <c r="E8" s="2899">
        <f>IF(B8="","",SUMIF(项目基本情况!D$15:I$15,C8,项目基本情况!D$17:I$17))</f>
        <v>71225</v>
      </c>
      <c r="F8" s="2900">
        <f>SUMIF(项目基本情况!D$15:I$15,C8,项目基本情况!D$19:I$19)</f>
        <v>70</v>
      </c>
      <c r="G8" s="2901">
        <f t="shared" si="1"/>
        <v>1</v>
      </c>
      <c r="H8" s="2902">
        <v>0.04</v>
      </c>
      <c r="I8" s="2902">
        <v>0.045</v>
      </c>
      <c r="J8" s="2904">
        <v>0.08</v>
      </c>
      <c r="K8" s="2992">
        <f>SUMIF('数据-汇总表'!C$19:C$33,'数据-取费表'!A8,'数据-汇总表'!E$19:E$33)</f>
        <v>56088.64</v>
      </c>
      <c r="L8" s="664">
        <f>L6</f>
        <v>4000</v>
      </c>
      <c r="M8" s="2993">
        <f t="shared" si="2"/>
        <v>22435.46</v>
      </c>
      <c r="N8" s="2994">
        <f>N6</f>
        <v>0</v>
      </c>
      <c r="O8" s="2993">
        <f t="shared" si="3"/>
        <v>0</v>
      </c>
      <c r="P8" s="388">
        <f t="shared" si="4"/>
        <v>22435.46</v>
      </c>
      <c r="Q8" s="3016">
        <v>0.03</v>
      </c>
      <c r="R8" s="2992" t="e">
        <f>SUMIF('数据-汇总表'!C$19:C$33,A8,'数据-汇总表'!R$19:R$33)</f>
        <v>#VALUE!</v>
      </c>
      <c r="S8" s="3017" t="e">
        <f>IF('数据-汇总表'!$I$17="按面积比例",SUMIF('数据-汇总表'!C$19:C$33,A8,'数据-汇总表'!K$19:K$33),SUMIF('数据-汇总表'!C$19:C$33,A8,'数据-汇总表'!N$19:N$33))</f>
        <v>#VALUE!</v>
      </c>
      <c r="T8" s="3018" t="str">
        <f t="shared" si="5"/>
        <v>0</v>
      </c>
      <c r="U8" s="3021">
        <v>1.6</v>
      </c>
      <c r="V8" s="3019">
        <v>0</v>
      </c>
      <c r="W8" s="3019">
        <v>0.1</v>
      </c>
      <c r="X8" s="3020"/>
      <c r="Y8" s="3040">
        <v>1</v>
      </c>
      <c r="Z8" s="3041"/>
      <c r="AA8" s="2904"/>
      <c r="AB8" s="2904"/>
      <c r="AC8" s="3024"/>
      <c r="AD8" s="3042"/>
      <c r="AE8" s="3043">
        <f ca="1" t="shared" si="6"/>
        <v>68</v>
      </c>
      <c r="AF8" s="2441"/>
      <c r="AG8" s="3051">
        <f ca="1" t="shared" si="7"/>
        <v>0</v>
      </c>
      <c r="AH8" s="2441"/>
      <c r="AI8" s="3052">
        <v>365</v>
      </c>
      <c r="AJ8" s="2441"/>
      <c r="AK8" s="3053">
        <v>0.01</v>
      </c>
      <c r="AL8" s="3054">
        <v>0.001</v>
      </c>
      <c r="AM8" s="3056">
        <v>0.01</v>
      </c>
      <c r="AN8" s="2477" t="s">
        <v>339</v>
      </c>
      <c r="AO8" s="2919"/>
      <c r="AP8" s="2449">
        <f t="shared" si="8"/>
        <v>0.936</v>
      </c>
      <c r="AQ8" s="2919"/>
      <c r="AR8" s="2919"/>
      <c r="AS8" s="2919"/>
      <c r="AT8" s="2919"/>
      <c r="AU8" s="2919"/>
      <c r="AV8" s="2919"/>
      <c r="AW8" s="2919"/>
      <c r="AX8" s="2919"/>
      <c r="AY8" s="2919"/>
      <c r="AZ8" s="2919"/>
      <c r="BA8" s="3063"/>
      <c r="BB8" s="3063"/>
      <c r="BC8" s="3063"/>
      <c r="BD8" s="3063"/>
      <c r="BE8" s="3063"/>
      <c r="BF8" s="3063"/>
      <c r="BG8" s="3063"/>
      <c r="BH8" s="3063"/>
      <c r="BI8" s="3063"/>
      <c r="BJ8" s="3063"/>
      <c r="BK8" s="3063"/>
      <c r="BL8" s="3063"/>
      <c r="BM8" s="3063"/>
      <c r="BN8" s="3063"/>
      <c r="BO8" s="3063"/>
      <c r="BP8" s="3063"/>
      <c r="BQ8" s="3063"/>
      <c r="BR8" s="3063"/>
      <c r="BS8" s="3063"/>
      <c r="BT8" s="3063"/>
      <c r="BU8" s="3063"/>
      <c r="BV8" s="3063"/>
      <c r="BW8" s="3063"/>
      <c r="BX8" s="3063"/>
      <c r="BY8" s="3063"/>
      <c r="BZ8" s="3063"/>
      <c r="CA8" s="3063"/>
      <c r="CB8" s="3063"/>
      <c r="CC8" s="3063"/>
      <c r="CD8" s="3063"/>
      <c r="CE8" s="3063"/>
    </row>
    <row r="9" s="2874" customFormat="1" ht="14.25" spans="1:83">
      <c r="A9" s="2895" t="str">
        <f>'数据-汇总表'!C22</f>
        <v>商业及配套</v>
      </c>
      <c r="B9" s="2896" t="str">
        <f t="shared" si="0"/>
        <v>经营性</v>
      </c>
      <c r="C9" s="2903" t="s">
        <v>378</v>
      </c>
      <c r="D9" s="2898">
        <f>SUMIF(项目基本情况!D$15:I$15,C9,项目基本情况!D$18:I$18)</f>
        <v>40</v>
      </c>
      <c r="E9" s="2899">
        <f>IF(B9="","",SUMIF(项目基本情况!D$15:I$15,C9,项目基本情况!D$17:I$17))</f>
        <v>60268</v>
      </c>
      <c r="F9" s="2900">
        <f>SUMIF(项目基本情况!D$15:I$15,C9,项目基本情况!D$19:I$19)</f>
        <v>40</v>
      </c>
      <c r="G9" s="2901">
        <f t="shared" si="1"/>
        <v>1</v>
      </c>
      <c r="H9" s="2902">
        <v>0.05</v>
      </c>
      <c r="I9" s="2902">
        <v>0.055</v>
      </c>
      <c r="J9" s="2904">
        <v>0.08</v>
      </c>
      <c r="K9" s="2992">
        <f>SUMIF('数据-汇总表'!C$19:C$33,'数据-取费表'!A9,'数据-汇总表'!E$19:E$33)</f>
        <v>20137.5</v>
      </c>
      <c r="L9" s="2995">
        <v>5500</v>
      </c>
      <c r="M9" s="2993">
        <f t="shared" si="2"/>
        <v>11075.63</v>
      </c>
      <c r="N9" s="2996">
        <f>N6</f>
        <v>0</v>
      </c>
      <c r="O9" s="2993">
        <f t="shared" si="3"/>
        <v>0</v>
      </c>
      <c r="P9" s="388">
        <f t="shared" si="4"/>
        <v>11075.63</v>
      </c>
      <c r="Q9" s="3016">
        <f>Q6</f>
        <v>0.15</v>
      </c>
      <c r="R9" s="2992" t="e">
        <f>SUMIF('数据-汇总表'!C$19:C$33,A9,'数据-汇总表'!R$19:R$33)</f>
        <v>#VALUE!</v>
      </c>
      <c r="S9" s="3017" t="e">
        <f>IF('数据-汇总表'!$I$17="按面积比例",SUMIF('数据-汇总表'!C$19:C$33,A9,'数据-汇总表'!K$19:K$33),SUMIF('数据-汇总表'!C$19:C$33,A9,'数据-汇总表'!N$19:N$33))</f>
        <v>#VALUE!</v>
      </c>
      <c r="T9" s="3018" t="str">
        <f t="shared" si="5"/>
        <v>0</v>
      </c>
      <c r="U9" s="3021">
        <v>3</v>
      </c>
      <c r="V9" s="3019">
        <v>0</v>
      </c>
      <c r="W9" s="3019">
        <v>0.1</v>
      </c>
      <c r="X9" s="3020"/>
      <c r="Y9" s="3040">
        <v>1</v>
      </c>
      <c r="Z9" s="3041"/>
      <c r="AA9" s="2904"/>
      <c r="AB9" s="2904"/>
      <c r="AC9" s="3024"/>
      <c r="AD9" s="3042"/>
      <c r="AE9" s="3043">
        <f ca="1" t="shared" si="6"/>
        <v>38</v>
      </c>
      <c r="AF9" s="2441"/>
      <c r="AG9" s="3051">
        <f ca="1" t="shared" si="7"/>
        <v>0</v>
      </c>
      <c r="AH9" s="2441"/>
      <c r="AI9" s="3052">
        <v>365</v>
      </c>
      <c r="AJ9" s="2441"/>
      <c r="AK9" s="3053">
        <v>0.01</v>
      </c>
      <c r="AL9" s="3054">
        <v>0.001</v>
      </c>
      <c r="AM9" s="3057">
        <v>0.01</v>
      </c>
      <c r="AN9" s="2477" t="s">
        <v>599</v>
      </c>
      <c r="AO9" s="2919"/>
      <c r="AP9" s="2449">
        <f t="shared" si="8"/>
        <v>0.858</v>
      </c>
      <c r="AQ9" s="2919"/>
      <c r="AR9" s="2919"/>
      <c r="AS9" s="2919"/>
      <c r="AT9" s="2919"/>
      <c r="AU9" s="2919"/>
      <c r="AV9" s="2919"/>
      <c r="AW9" s="2919"/>
      <c r="AX9" s="2919"/>
      <c r="AY9" s="2919"/>
      <c r="AZ9" s="2919"/>
      <c r="BA9" s="3063"/>
      <c r="BB9" s="3063"/>
      <c r="BC9" s="3063"/>
      <c r="BD9" s="3063"/>
      <c r="BE9" s="3063"/>
      <c r="BF9" s="3063"/>
      <c r="BG9" s="3063"/>
      <c r="BH9" s="3063"/>
      <c r="BI9" s="3063"/>
      <c r="BJ9" s="3063"/>
      <c r="BK9" s="3063"/>
      <c r="BL9" s="3063"/>
      <c r="BM9" s="3063"/>
      <c r="BN9" s="3063"/>
      <c r="BO9" s="3063"/>
      <c r="BP9" s="3063"/>
      <c r="BQ9" s="3063"/>
      <c r="BR9" s="3063"/>
      <c r="BS9" s="3063"/>
      <c r="BT9" s="3063"/>
      <c r="BU9" s="3063"/>
      <c r="BV9" s="3063"/>
      <c r="BW9" s="3063"/>
      <c r="BX9" s="3063"/>
      <c r="BY9" s="3063"/>
      <c r="BZ9" s="3063"/>
      <c r="CA9" s="3063"/>
      <c r="CB9" s="3063"/>
      <c r="CC9" s="3063"/>
      <c r="CD9" s="3063"/>
      <c r="CE9" s="3063"/>
    </row>
    <row r="10" s="2874" customFormat="1" ht="14.25" spans="1:83">
      <c r="A10" s="2895">
        <f>'数据-汇总表'!C23</f>
        <v>0</v>
      </c>
      <c r="B10" s="2896" t="str">
        <f t="shared" si="0"/>
        <v/>
      </c>
      <c r="C10" s="2903"/>
      <c r="D10" s="2898">
        <f>SUMIF(项目基本情况!D$15:I$15,C10,项目基本情况!D$18:I$18)</f>
        <v>0</v>
      </c>
      <c r="E10" s="2899" t="str">
        <f>IF(B10="","",SUMIF(项目基本情况!D$15:I$15,C10,项目基本情况!D$17:I$17))</f>
        <v/>
      </c>
      <c r="F10" s="2900">
        <f>SUMIF(项目基本情况!D$15:I$15,C10,项目基本情况!D$19:I$19)</f>
        <v>0</v>
      </c>
      <c r="G10" s="2901">
        <f t="shared" si="1"/>
        <v>0</v>
      </c>
      <c r="H10" s="2904"/>
      <c r="I10" s="2904"/>
      <c r="J10" s="2904"/>
      <c r="K10" s="2992">
        <f>SUMIF('数据-汇总表'!C$19:C$33,'数据-取费表'!A10,'数据-汇总表'!E$19:E$33)</f>
        <v>0</v>
      </c>
      <c r="L10" s="2997"/>
      <c r="M10" s="2993">
        <f t="shared" si="2"/>
        <v>0</v>
      </c>
      <c r="N10" s="2996">
        <f>N6</f>
        <v>0</v>
      </c>
      <c r="O10" s="2993">
        <f t="shared" si="3"/>
        <v>0</v>
      </c>
      <c r="P10" s="388">
        <f t="shared" si="4"/>
        <v>0</v>
      </c>
      <c r="Q10" s="3022"/>
      <c r="R10" s="2992">
        <f>SUMIF('数据-汇总表'!C$19:C$33,A10,'数据-汇总表'!R$19:R$33)</f>
        <v>0</v>
      </c>
      <c r="S10" s="3017">
        <f>IF('数据-汇总表'!$I$17="按面积比例",SUMIF('数据-汇总表'!C$19:C$33,A10,'数据-汇总表'!K$19:K$33),SUMIF('数据-汇总表'!C$19:C$33,A10,'数据-汇总表'!N$19:N$33))</f>
        <v>0</v>
      </c>
      <c r="T10" s="3018" t="str">
        <f t="shared" si="5"/>
        <v>0</v>
      </c>
      <c r="U10" s="3023"/>
      <c r="V10" s="3023"/>
      <c r="W10" s="3023"/>
      <c r="X10" s="3020"/>
      <c r="Y10" s="3040"/>
      <c r="Z10" s="3041"/>
      <c r="AA10" s="2904"/>
      <c r="AB10" s="2904"/>
      <c r="AC10" s="3024"/>
      <c r="AD10" s="3042"/>
      <c r="AE10" s="3043">
        <f ca="1" t="shared" si="6"/>
        <v>0</v>
      </c>
      <c r="AF10" s="2441"/>
      <c r="AG10" s="3051">
        <f ca="1" t="shared" si="7"/>
        <v>0</v>
      </c>
      <c r="AH10" s="2441"/>
      <c r="AI10" s="3052"/>
      <c r="AJ10" s="2441"/>
      <c r="AK10" s="3053"/>
      <c r="AL10" s="3053"/>
      <c r="AM10" s="3053"/>
      <c r="AN10" s="2477"/>
      <c r="AO10" s="2919"/>
      <c r="AP10" s="2449">
        <f t="shared" si="8"/>
        <v>0</v>
      </c>
      <c r="AQ10" s="2919"/>
      <c r="AR10" s="2919"/>
      <c r="AS10" s="2919"/>
      <c r="AT10" s="2919"/>
      <c r="AU10" s="2919"/>
      <c r="AV10" s="2919"/>
      <c r="AW10" s="2919"/>
      <c r="AX10" s="2919"/>
      <c r="AY10" s="2919"/>
      <c r="AZ10" s="2919"/>
      <c r="BA10" s="3063"/>
      <c r="BB10" s="3063"/>
      <c r="BC10" s="3063"/>
      <c r="BD10" s="3063"/>
      <c r="BE10" s="3063"/>
      <c r="BF10" s="3063"/>
      <c r="BG10" s="3063"/>
      <c r="BH10" s="3063"/>
      <c r="BI10" s="3063"/>
      <c r="BJ10" s="3063"/>
      <c r="BK10" s="3063"/>
      <c r="BL10" s="3063"/>
      <c r="BM10" s="3063"/>
      <c r="BN10" s="3063"/>
      <c r="BO10" s="3063"/>
      <c r="BP10" s="3063"/>
      <c r="BQ10" s="3063"/>
      <c r="BR10" s="3063"/>
      <c r="BS10" s="3063"/>
      <c r="BT10" s="3063"/>
      <c r="BU10" s="3063"/>
      <c r="BV10" s="3063"/>
      <c r="BW10" s="3063"/>
      <c r="BX10" s="3063"/>
      <c r="BY10" s="3063"/>
      <c r="BZ10" s="3063"/>
      <c r="CA10" s="3063"/>
      <c r="CB10" s="3063"/>
      <c r="CC10" s="3063"/>
      <c r="CD10" s="3063"/>
      <c r="CE10" s="3063"/>
    </row>
    <row r="11" s="2874" customFormat="1" ht="14.25" spans="1:83">
      <c r="A11" s="2895">
        <f>'数据-汇总表'!C24</f>
        <v>0</v>
      </c>
      <c r="B11" s="2896" t="str">
        <f t="shared" si="0"/>
        <v/>
      </c>
      <c r="C11" s="2903"/>
      <c r="D11" s="2898">
        <f>SUMIF(项目基本情况!D$15:I$15,C11,项目基本情况!D$18:I$18)</f>
        <v>0</v>
      </c>
      <c r="E11" s="2899" t="str">
        <f>IF(B11="","",SUMIF(项目基本情况!D$15:I$15,C11,项目基本情况!D$17:I$17))</f>
        <v/>
      </c>
      <c r="F11" s="2900">
        <f>SUMIF(项目基本情况!D$15:I$15,C11,项目基本情况!D$19:I$19)</f>
        <v>0</v>
      </c>
      <c r="G11" s="2901">
        <f t="shared" si="1"/>
        <v>0</v>
      </c>
      <c r="H11" s="2904"/>
      <c r="I11" s="2904"/>
      <c r="J11" s="2904"/>
      <c r="K11" s="2992">
        <f>SUMIF('数据-汇总表'!C$19:C$33,'数据-取费表'!A11,'数据-汇总表'!E$19:E$33)</f>
        <v>0</v>
      </c>
      <c r="L11" s="2997"/>
      <c r="M11" s="2993">
        <f t="shared" si="2"/>
        <v>0</v>
      </c>
      <c r="N11" s="2996"/>
      <c r="O11" s="2993">
        <f t="shared" si="3"/>
        <v>0</v>
      </c>
      <c r="P11" s="388">
        <f t="shared" si="4"/>
        <v>0</v>
      </c>
      <c r="Q11" s="3022"/>
      <c r="R11" s="2992">
        <f>SUMIF('数据-汇总表'!C$19:C$33,A11,'数据-汇总表'!R$19:R$33)</f>
        <v>0</v>
      </c>
      <c r="S11" s="3017">
        <f>IF('数据-汇总表'!$I$17="按面积比例",SUMIF('数据-汇总表'!C$19:C$33,A11,'数据-汇总表'!K$19:K$33),SUMIF('数据-汇总表'!C$19:C$33,A11,'数据-汇总表'!N$19:N$33))</f>
        <v>0</v>
      </c>
      <c r="T11" s="3018" t="str">
        <f t="shared" si="5"/>
        <v>0</v>
      </c>
      <c r="U11" s="3023"/>
      <c r="V11" s="2904"/>
      <c r="W11" s="2904"/>
      <c r="X11" s="3024"/>
      <c r="Y11" s="3040"/>
      <c r="Z11" s="3044"/>
      <c r="AA11" s="2904"/>
      <c r="AB11" s="2904"/>
      <c r="AC11" s="3024"/>
      <c r="AD11" s="3042"/>
      <c r="AE11" s="3043">
        <f ca="1" t="shared" si="6"/>
        <v>0</v>
      </c>
      <c r="AF11" s="2441"/>
      <c r="AG11" s="3051">
        <f ca="1" t="shared" si="7"/>
        <v>0</v>
      </c>
      <c r="AH11" s="2441"/>
      <c r="AI11" s="3052"/>
      <c r="AJ11" s="2441"/>
      <c r="AK11" s="3053"/>
      <c r="AL11" s="3054"/>
      <c r="AM11" s="3057"/>
      <c r="AN11" s="2477"/>
      <c r="AO11" s="2919"/>
      <c r="AP11" s="2449">
        <f t="shared" si="8"/>
        <v>0</v>
      </c>
      <c r="AQ11" s="2919"/>
      <c r="AR11" s="2919"/>
      <c r="AS11" s="2919"/>
      <c r="AT11" s="2919"/>
      <c r="AU11" s="2919"/>
      <c r="AV11" s="2919"/>
      <c r="AW11" s="2919"/>
      <c r="AX11" s="2919"/>
      <c r="AY11" s="2919"/>
      <c r="AZ11" s="2919"/>
      <c r="BA11" s="3063"/>
      <c r="BB11" s="3063"/>
      <c r="BC11" s="3063"/>
      <c r="BD11" s="3063"/>
      <c r="BE11" s="3063"/>
      <c r="BF11" s="3063"/>
      <c r="BG11" s="3063"/>
      <c r="BH11" s="3063"/>
      <c r="BI11" s="3063"/>
      <c r="BJ11" s="3063"/>
      <c r="BK11" s="3063"/>
      <c r="BL11" s="3063"/>
      <c r="BM11" s="3063"/>
      <c r="BN11" s="3063"/>
      <c r="BO11" s="3063"/>
      <c r="BP11" s="3063"/>
      <c r="BQ11" s="3063"/>
      <c r="BR11" s="3063"/>
      <c r="BS11" s="3063"/>
      <c r="BT11" s="3063"/>
      <c r="BU11" s="3063"/>
      <c r="BV11" s="3063"/>
      <c r="BW11" s="3063"/>
      <c r="BX11" s="3063"/>
      <c r="BY11" s="3063"/>
      <c r="BZ11" s="3063"/>
      <c r="CA11" s="3063"/>
      <c r="CB11" s="3063"/>
      <c r="CC11" s="3063"/>
      <c r="CD11" s="3063"/>
      <c r="CE11" s="3063"/>
    </row>
    <row r="12" s="2874" customFormat="1" ht="14.25" spans="1:83">
      <c r="A12" s="2895">
        <f>'数据-汇总表'!C25</f>
        <v>0</v>
      </c>
      <c r="B12" s="2896" t="str">
        <f t="shared" si="0"/>
        <v/>
      </c>
      <c r="C12" s="2903"/>
      <c r="D12" s="2898">
        <f>SUMIF(项目基本情况!D$15:I$15,C12,项目基本情况!D$18:I$18)</f>
        <v>0</v>
      </c>
      <c r="E12" s="2899" t="str">
        <f>IF(B12="","",SUMIF(项目基本情况!D$15:I$15,C12,项目基本情况!D$17:I$17))</f>
        <v/>
      </c>
      <c r="F12" s="2900">
        <f>SUMIF(项目基本情况!D$15:I$15,C12,项目基本情况!D$19:I$19)</f>
        <v>0</v>
      </c>
      <c r="G12" s="2901">
        <f t="shared" si="1"/>
        <v>0</v>
      </c>
      <c r="H12" s="2904"/>
      <c r="I12" s="2904"/>
      <c r="J12" s="2904"/>
      <c r="K12" s="2992">
        <f>SUMIF('数据-汇总表'!C$19:C$33,'数据-取费表'!A12,'数据-汇总表'!E$19:E$33)</f>
        <v>0</v>
      </c>
      <c r="L12" s="2997"/>
      <c r="M12" s="2993">
        <f t="shared" si="2"/>
        <v>0</v>
      </c>
      <c r="N12" s="2996"/>
      <c r="O12" s="2993">
        <f t="shared" si="3"/>
        <v>0</v>
      </c>
      <c r="P12" s="388">
        <f t="shared" si="4"/>
        <v>0</v>
      </c>
      <c r="Q12" s="3022"/>
      <c r="R12" s="2992">
        <f>SUMIF('数据-汇总表'!C$19:C$33,A12,'数据-汇总表'!R$19:R$33)</f>
        <v>0</v>
      </c>
      <c r="S12" s="3017">
        <f>IF('数据-汇总表'!$I$17="按面积比例",SUMIF('数据-汇总表'!C$19:C$33,A12,'数据-汇总表'!K$19:K$33),SUMIF('数据-汇总表'!C$19:C$33,A12,'数据-汇总表'!N$19:N$33))</f>
        <v>0</v>
      </c>
      <c r="T12" s="3018" t="str">
        <f t="shared" si="5"/>
        <v>0</v>
      </c>
      <c r="U12" s="3023"/>
      <c r="V12" s="2904"/>
      <c r="W12" s="2904"/>
      <c r="X12" s="3024"/>
      <c r="Y12" s="3040"/>
      <c r="Z12" s="3044"/>
      <c r="AA12" s="2904"/>
      <c r="AB12" s="2904"/>
      <c r="AC12" s="3024"/>
      <c r="AD12" s="3042"/>
      <c r="AE12" s="3043">
        <f ca="1" t="shared" si="6"/>
        <v>0</v>
      </c>
      <c r="AF12" s="2441"/>
      <c r="AG12" s="3051">
        <f ca="1" t="shared" si="7"/>
        <v>0</v>
      </c>
      <c r="AH12" s="2441"/>
      <c r="AI12" s="3052"/>
      <c r="AJ12" s="2441"/>
      <c r="AK12" s="3053"/>
      <c r="AL12" s="3054"/>
      <c r="AM12" s="3057"/>
      <c r="AN12" s="2477"/>
      <c r="AO12" s="2919"/>
      <c r="AP12" s="2449">
        <f t="shared" si="8"/>
        <v>0</v>
      </c>
      <c r="AQ12" s="2919"/>
      <c r="AR12" s="2919"/>
      <c r="AS12" s="2919"/>
      <c r="AT12" s="2919"/>
      <c r="AU12" s="2919"/>
      <c r="AV12" s="2919"/>
      <c r="AW12" s="2919"/>
      <c r="AX12" s="2919"/>
      <c r="AY12" s="2919"/>
      <c r="AZ12" s="2919"/>
      <c r="BA12" s="3063"/>
      <c r="BB12" s="3063"/>
      <c r="BC12" s="3063"/>
      <c r="BD12" s="3063"/>
      <c r="BE12" s="3063"/>
      <c r="BF12" s="3063"/>
      <c r="BG12" s="3063"/>
      <c r="BH12" s="3063"/>
      <c r="BI12" s="3063"/>
      <c r="BJ12" s="3063"/>
      <c r="BK12" s="3063"/>
      <c r="BL12" s="3063"/>
      <c r="BM12" s="3063"/>
      <c r="BN12" s="3063"/>
      <c r="BO12" s="3063"/>
      <c r="BP12" s="3063"/>
      <c r="BQ12" s="3063"/>
      <c r="BR12" s="3063"/>
      <c r="BS12" s="3063"/>
      <c r="BT12" s="3063"/>
      <c r="BU12" s="3063"/>
      <c r="BV12" s="3063"/>
      <c r="BW12" s="3063"/>
      <c r="BX12" s="3063"/>
      <c r="BY12" s="3063"/>
      <c r="BZ12" s="3063"/>
      <c r="CA12" s="3063"/>
      <c r="CB12" s="3063"/>
      <c r="CC12" s="3063"/>
      <c r="CD12" s="3063"/>
      <c r="CE12" s="3063"/>
    </row>
    <row r="13" s="2874" customFormat="1" ht="14.25" spans="1:83">
      <c r="A13" s="2895">
        <f>'数据-汇总表'!C26</f>
        <v>0</v>
      </c>
      <c r="B13" s="2896" t="str">
        <f t="shared" si="0"/>
        <v/>
      </c>
      <c r="C13" s="2903"/>
      <c r="D13" s="2898">
        <f>SUMIF(项目基本情况!D$15:I$15,C13,项目基本情况!D$18:I$18)</f>
        <v>0</v>
      </c>
      <c r="E13" s="2899" t="str">
        <f>IF(B13="","",SUMIF(项目基本情况!D$15:I$15,C13,项目基本情况!D$17:I$17))</f>
        <v/>
      </c>
      <c r="F13" s="2900">
        <f>SUMIF(项目基本情况!D$15:I$15,C13,项目基本情况!D$19:I$19)</f>
        <v>0</v>
      </c>
      <c r="G13" s="2901">
        <f t="shared" si="1"/>
        <v>0</v>
      </c>
      <c r="H13" s="2904"/>
      <c r="I13" s="2904"/>
      <c r="J13" s="2904"/>
      <c r="K13" s="2992">
        <f>SUMIF('数据-汇总表'!C$19:C$33,'数据-取费表'!A13,'数据-汇总表'!E$19:E$33)</f>
        <v>0</v>
      </c>
      <c r="L13" s="2997"/>
      <c r="M13" s="2993">
        <f t="shared" si="2"/>
        <v>0</v>
      </c>
      <c r="N13" s="2996"/>
      <c r="O13" s="2993">
        <f t="shared" si="3"/>
        <v>0</v>
      </c>
      <c r="P13" s="388">
        <f t="shared" si="4"/>
        <v>0</v>
      </c>
      <c r="Q13" s="3022"/>
      <c r="R13" s="2992">
        <f>SUMIF('数据-汇总表'!C$19:C$33,A13,'数据-汇总表'!R$19:R$33)</f>
        <v>0</v>
      </c>
      <c r="S13" s="3017">
        <f>IF('数据-汇总表'!$I$17="按面积比例",SUMIF('数据-汇总表'!C$19:C$33,A13,'数据-汇总表'!K$19:K$33),SUMIF('数据-汇总表'!C$19:C$33,A13,'数据-汇总表'!N$19:N$33))</f>
        <v>0</v>
      </c>
      <c r="T13" s="3018" t="str">
        <f t="shared" si="5"/>
        <v>0</v>
      </c>
      <c r="U13" s="3021"/>
      <c r="V13" s="3019"/>
      <c r="W13" s="3019"/>
      <c r="X13" s="3020"/>
      <c r="Y13" s="3040"/>
      <c r="Z13" s="3041"/>
      <c r="AA13" s="2904"/>
      <c r="AB13" s="2904"/>
      <c r="AC13" s="3024"/>
      <c r="AD13" s="3042"/>
      <c r="AE13" s="3043">
        <f ca="1" t="shared" si="6"/>
        <v>0</v>
      </c>
      <c r="AF13" s="2441"/>
      <c r="AG13" s="3051">
        <f ca="1" t="shared" si="7"/>
        <v>0</v>
      </c>
      <c r="AH13" s="2441"/>
      <c r="AI13" s="3052"/>
      <c r="AJ13" s="2441"/>
      <c r="AK13" s="3053"/>
      <c r="AL13" s="3054"/>
      <c r="AM13" s="3057"/>
      <c r="AN13" s="2477"/>
      <c r="AO13" s="2919"/>
      <c r="AP13" s="2449">
        <f t="shared" si="8"/>
        <v>0</v>
      </c>
      <c r="AQ13" s="2919"/>
      <c r="AR13" s="2919"/>
      <c r="AS13" s="2919"/>
      <c r="AT13" s="2919"/>
      <c r="AU13" s="2919"/>
      <c r="AV13" s="2919"/>
      <c r="AW13" s="2919"/>
      <c r="AX13" s="2919"/>
      <c r="AY13" s="2919"/>
      <c r="AZ13" s="2919"/>
      <c r="BA13" s="3063"/>
      <c r="BB13" s="3063"/>
      <c r="BC13" s="3063"/>
      <c r="BD13" s="3063"/>
      <c r="BE13" s="3063"/>
      <c r="BF13" s="3063"/>
      <c r="BG13" s="3063"/>
      <c r="BH13" s="3063"/>
      <c r="BI13" s="3063"/>
      <c r="BJ13" s="3063"/>
      <c r="BK13" s="3063"/>
      <c r="BL13" s="3063"/>
      <c r="BM13" s="3063"/>
      <c r="BN13" s="3063"/>
      <c r="BO13" s="3063"/>
      <c r="BP13" s="3063"/>
      <c r="BQ13" s="3063"/>
      <c r="BR13" s="3063"/>
      <c r="BS13" s="3063"/>
      <c r="BT13" s="3063"/>
      <c r="BU13" s="3063"/>
      <c r="BV13" s="3063"/>
      <c r="BW13" s="3063"/>
      <c r="BX13" s="3063"/>
      <c r="BY13" s="3063"/>
      <c r="BZ13" s="3063"/>
      <c r="CA13" s="3063"/>
      <c r="CB13" s="3063"/>
      <c r="CC13" s="3063"/>
      <c r="CD13" s="3063"/>
      <c r="CE13" s="3063"/>
    </row>
    <row r="14" s="2874" customFormat="1" ht="14.25" spans="1:83">
      <c r="A14" s="2905" t="s">
        <v>500</v>
      </c>
      <c r="B14" s="2906" t="s">
        <v>600</v>
      </c>
      <c r="C14" s="2907" t="s">
        <v>500</v>
      </c>
      <c r="D14" s="2898"/>
      <c r="E14" s="2899"/>
      <c r="F14" s="2900"/>
      <c r="G14" s="2901"/>
      <c r="H14" s="2908"/>
      <c r="I14" s="2908"/>
      <c r="J14" s="2908"/>
      <c r="K14" s="2992">
        <f>SUMIF('数据-汇总表'!C$19:C$33,'数据-取费表'!A14,'数据-汇总表'!E$19:E$33)</f>
        <v>0</v>
      </c>
      <c r="L14" s="2997">
        <f>L6</f>
        <v>4000</v>
      </c>
      <c r="M14" s="2993">
        <f t="shared" si="2"/>
        <v>0</v>
      </c>
      <c r="N14" s="2996">
        <v>0</v>
      </c>
      <c r="O14" s="2993">
        <f t="shared" si="3"/>
        <v>0</v>
      </c>
      <c r="P14" s="388">
        <f t="shared" si="4"/>
        <v>0</v>
      </c>
      <c r="Q14" s="3025"/>
      <c r="R14" s="2992"/>
      <c r="S14" s="3017"/>
      <c r="T14" s="3026"/>
      <c r="U14" s="3027"/>
      <c r="V14" s="3028"/>
      <c r="W14" s="3028"/>
      <c r="X14" s="3020"/>
      <c r="Y14" s="3045"/>
      <c r="Z14" s="2446"/>
      <c r="AA14" s="3046"/>
      <c r="AB14" s="3046"/>
      <c r="AC14" s="3024"/>
      <c r="AD14" s="3020"/>
      <c r="AE14" s="3043"/>
      <c r="AF14" s="481"/>
      <c r="AG14" s="3051"/>
      <c r="AH14" s="481"/>
      <c r="AI14" s="481"/>
      <c r="AJ14" s="481"/>
      <c r="AK14" s="3058"/>
      <c r="AL14" s="3059"/>
      <c r="AM14" s="3060"/>
      <c r="AN14" s="2919"/>
      <c r="AO14" s="2919"/>
      <c r="AP14" s="2919"/>
      <c r="AQ14" s="2919"/>
      <c r="AR14" s="2919"/>
      <c r="AS14" s="2919"/>
      <c r="AT14" s="2919"/>
      <c r="AU14" s="2919"/>
      <c r="AV14" s="2919"/>
      <c r="AW14" s="2919"/>
      <c r="AX14" s="2919"/>
      <c r="AY14" s="2919"/>
      <c r="AZ14" s="2919"/>
      <c r="BA14" s="3063"/>
      <c r="BB14" s="3063"/>
      <c r="BC14" s="3063"/>
      <c r="BD14" s="3063"/>
      <c r="BE14" s="3063"/>
      <c r="BF14" s="3063"/>
      <c r="BG14" s="3063"/>
      <c r="BH14" s="3063"/>
      <c r="BI14" s="3063"/>
      <c r="BJ14" s="3063"/>
      <c r="BK14" s="3063"/>
      <c r="BL14" s="3063"/>
      <c r="BM14" s="3063"/>
      <c r="BN14" s="3063"/>
      <c r="BO14" s="3063"/>
      <c r="BP14" s="3063"/>
      <c r="BQ14" s="3063"/>
      <c r="BR14" s="3063"/>
      <c r="BS14" s="3063"/>
      <c r="BT14" s="3063"/>
      <c r="BU14" s="3063"/>
      <c r="BV14" s="3063"/>
      <c r="BW14" s="3063"/>
      <c r="BX14" s="3063"/>
      <c r="BY14" s="3063"/>
      <c r="BZ14" s="3063"/>
      <c r="CA14" s="3063"/>
      <c r="CB14" s="3063"/>
      <c r="CC14" s="3063"/>
      <c r="CD14" s="3063"/>
      <c r="CE14" s="3063"/>
    </row>
    <row r="15" s="2874" customFormat="1" ht="27" spans="1:83">
      <c r="A15" s="2909" t="s">
        <v>553</v>
      </c>
      <c r="B15" s="2906" t="s">
        <v>600</v>
      </c>
      <c r="C15" s="2907" t="s">
        <v>601</v>
      </c>
      <c r="D15" s="2898"/>
      <c r="E15" s="2899"/>
      <c r="F15" s="2900"/>
      <c r="G15" s="2901"/>
      <c r="H15" s="2908"/>
      <c r="I15" s="2908"/>
      <c r="J15" s="2908"/>
      <c r="K15" s="2992">
        <f>SUMIF('数据-汇总表'!C$19:C$33,'数据-取费表'!A15,'数据-汇总表'!E$19:E$33)</f>
        <v>9600</v>
      </c>
      <c r="L15" s="2998">
        <f>L6</f>
        <v>4000</v>
      </c>
      <c r="M15" s="2993">
        <f t="shared" si="2"/>
        <v>3840</v>
      </c>
      <c r="N15" s="2996">
        <f>N12</f>
        <v>0</v>
      </c>
      <c r="O15" s="2993">
        <f t="shared" ref="O15" si="9">IF($N$5="成新度","——",ROUND(M15*N15,0))</f>
        <v>0</v>
      </c>
      <c r="P15" s="388">
        <f t="shared" ref="P15" si="10">IF($N$5="成新度","——",M15-O15)</f>
        <v>3840</v>
      </c>
      <c r="Q15" s="3025"/>
      <c r="R15" s="2992"/>
      <c r="S15" s="3017"/>
      <c r="T15" s="3026"/>
      <c r="U15" s="3027"/>
      <c r="V15" s="3028"/>
      <c r="W15" s="3028"/>
      <c r="X15" s="3020"/>
      <c r="Y15" s="3045"/>
      <c r="Z15" s="2446"/>
      <c r="AA15" s="3046"/>
      <c r="AB15" s="3046"/>
      <c r="AC15" s="3024"/>
      <c r="AD15" s="3020"/>
      <c r="AE15" s="3043"/>
      <c r="AF15" s="481"/>
      <c r="AG15" s="3051"/>
      <c r="AH15" s="481"/>
      <c r="AI15" s="481"/>
      <c r="AJ15" s="481"/>
      <c r="AK15" s="3058"/>
      <c r="AL15" s="3059"/>
      <c r="AM15" s="3060"/>
      <c r="AN15" s="2919"/>
      <c r="AO15" s="2919"/>
      <c r="AP15" s="2919"/>
      <c r="AQ15" s="2919"/>
      <c r="AR15" s="2919"/>
      <c r="AS15" s="2919"/>
      <c r="AT15" s="2919"/>
      <c r="AU15" s="2919"/>
      <c r="AV15" s="2919"/>
      <c r="AW15" s="2919"/>
      <c r="AX15" s="2919"/>
      <c r="AY15" s="2919"/>
      <c r="AZ15" s="2919"/>
      <c r="BA15" s="3063"/>
      <c r="BB15" s="3063"/>
      <c r="BC15" s="3063"/>
      <c r="BD15" s="3063"/>
      <c r="BE15" s="3063"/>
      <c r="BF15" s="3063"/>
      <c r="BG15" s="3063"/>
      <c r="BH15" s="3063"/>
      <c r="BI15" s="3063"/>
      <c r="BJ15" s="3063"/>
      <c r="BK15" s="3063"/>
      <c r="BL15" s="3063"/>
      <c r="BM15" s="3063"/>
      <c r="BN15" s="3063"/>
      <c r="BO15" s="3063"/>
      <c r="BP15" s="3063"/>
      <c r="BQ15" s="3063"/>
      <c r="BR15" s="3063"/>
      <c r="BS15" s="3063"/>
      <c r="BT15" s="3063"/>
      <c r="BU15" s="3063"/>
      <c r="BV15" s="3063"/>
      <c r="BW15" s="3063"/>
      <c r="BX15" s="3063"/>
      <c r="BY15" s="3063"/>
      <c r="BZ15" s="3063"/>
      <c r="CA15" s="3063"/>
      <c r="CB15" s="3063"/>
      <c r="CC15" s="3063"/>
      <c r="CD15" s="3063"/>
      <c r="CE15" s="3063"/>
    </row>
    <row r="16" s="2874" customFormat="1" ht="15.75" spans="1:83">
      <c r="A16" s="2910" t="s">
        <v>602</v>
      </c>
      <c r="B16" s="2911"/>
      <c r="C16" s="2912"/>
      <c r="D16" s="2913"/>
      <c r="E16" s="2911"/>
      <c r="F16" s="2911"/>
      <c r="G16" s="2914">
        <f>ROUND(SUMPRODUCT(G6:G13,K6:K13)/SUMPRODUCT((G6:G13&gt;0)*(K6:K13)),3)</f>
        <v>1</v>
      </c>
      <c r="H16" s="2915">
        <f>ROUND(SUMPRODUCT(H6:H13,K6:K13)/SUMPRODUCT((H6:H13&gt;0)*(K6:K13)),3)</f>
        <v>0.041</v>
      </c>
      <c r="I16" s="2999"/>
      <c r="J16" s="2999"/>
      <c r="K16" s="3000">
        <f>SUM(K6:K15)</f>
        <v>216699.61</v>
      </c>
      <c r="L16" s="3001">
        <f>ROUND(M16*10000/SUM(K6:K14),0)</f>
        <v>4331</v>
      </c>
      <c r="M16" s="3001">
        <f>SUM(M6:M15)</f>
        <v>89700.48</v>
      </c>
      <c r="N16" s="3002">
        <f>ROUND(SUMPRODUCT(M6:M14,N6:N14)/M16,3)</f>
        <v>0</v>
      </c>
      <c r="O16" s="3001">
        <f>SUM(O6:O14)</f>
        <v>0</v>
      </c>
      <c r="P16" s="3001">
        <f>SUM(P6:P14)+P21</f>
        <v>85860.48</v>
      </c>
      <c r="Q16" s="3029">
        <f>ROUND(SUMPRODUCT(Q6:Q13,K6:K13)/SUMPRODUCT((Q6:Q13&gt;0)*(K6:K13)),2)</f>
        <v>0.12</v>
      </c>
      <c r="R16" s="3030" t="e">
        <f>SUM(R6:R13)</f>
        <v>#VALUE!</v>
      </c>
      <c r="S16" s="3031" t="e">
        <f>SUM(S6:S13)</f>
        <v>#VALUE!</v>
      </c>
      <c r="T16" s="3032">
        <f>IF(SUMIF(T6:T13,"&lt;9E307")=M14,SUMIF(T6:T13,"&lt;9E307"),"有误，请检查")</f>
        <v>0</v>
      </c>
      <c r="U16" s="3033"/>
      <c r="V16" s="3034"/>
      <c r="W16" s="3034"/>
      <c r="X16" s="3035"/>
      <c r="Y16" s="3047"/>
      <c r="Z16" s="3048"/>
      <c r="AA16" s="3034"/>
      <c r="AB16" s="3034"/>
      <c r="AC16" s="3035"/>
      <c r="AD16" s="3035"/>
      <c r="AE16" s="3033"/>
      <c r="AF16" s="3034"/>
      <c r="AG16" s="3047"/>
      <c r="AH16" s="3034"/>
      <c r="AI16" s="3048"/>
      <c r="AJ16" s="3048"/>
      <c r="AK16" s="3034"/>
      <c r="AL16" s="3034"/>
      <c r="AM16" s="3047"/>
      <c r="AN16" s="2919"/>
      <c r="AO16" s="2919"/>
      <c r="AP16" s="2449">
        <f>ROUND(SUMPRODUCT(AP6:AP13,K6:K13)/SUMPRODUCT((AP6:AP13&gt;0)*(K6:K13)),3)</f>
        <v>0.928</v>
      </c>
      <c r="AQ16" s="2919"/>
      <c r="AR16" s="2919"/>
      <c r="AS16" s="2919"/>
      <c r="AT16" s="2919"/>
      <c r="AU16" s="2919"/>
      <c r="AV16" s="2919"/>
      <c r="AW16" s="2919"/>
      <c r="AX16" s="2919"/>
      <c r="AY16" s="2919"/>
      <c r="AZ16" s="2919"/>
      <c r="BA16" s="3063"/>
      <c r="BB16" s="3063"/>
      <c r="BC16" s="3063"/>
      <c r="BD16" s="3063"/>
      <c r="BE16" s="3063"/>
      <c r="BF16" s="3063"/>
      <c r="BG16" s="3063"/>
      <c r="BH16" s="3063"/>
      <c r="BI16" s="3063"/>
      <c r="BJ16" s="3063"/>
      <c r="BK16" s="3063"/>
      <c r="BL16" s="3063"/>
      <c r="BM16" s="3063"/>
      <c r="BN16" s="3063"/>
      <c r="BO16" s="3063"/>
      <c r="BP16" s="3063"/>
      <c r="BQ16" s="3063"/>
      <c r="BR16" s="3063"/>
      <c r="BS16" s="3063"/>
      <c r="BT16" s="3063"/>
      <c r="BU16" s="3063"/>
      <c r="BV16" s="3063"/>
      <c r="BW16" s="3063"/>
      <c r="BX16" s="3063"/>
      <c r="BY16" s="3063"/>
      <c r="BZ16" s="3063"/>
      <c r="CA16" s="3063"/>
      <c r="CB16" s="3063"/>
      <c r="CC16" s="3063"/>
      <c r="CD16" s="3063"/>
      <c r="CE16" s="3063"/>
    </row>
    <row r="17" ht="13.5" spans="1:52">
      <c r="A17" s="2916"/>
      <c r="B17" s="2917"/>
      <c r="C17" s="2917"/>
      <c r="D17" s="2918"/>
      <c r="E17" s="2918"/>
      <c r="F17" s="2917"/>
      <c r="G17" s="2917"/>
      <c r="H17" s="2917"/>
      <c r="I17" s="2917"/>
      <c r="J17" s="2917"/>
      <c r="K17" s="3003"/>
      <c r="L17" s="3003"/>
      <c r="M17" s="2917"/>
      <c r="N17" s="2917"/>
      <c r="O17" s="2917"/>
      <c r="P17" s="2917"/>
      <c r="Q17" s="2917"/>
      <c r="R17" s="2917"/>
      <c r="S17" s="2917"/>
      <c r="T17" s="2917"/>
      <c r="U17" s="2917"/>
      <c r="V17" s="2917"/>
      <c r="W17" s="2917"/>
      <c r="X17" s="2917"/>
      <c r="Y17" s="2917"/>
      <c r="Z17" s="2917"/>
      <c r="AA17" s="2917"/>
      <c r="AB17" s="2917"/>
      <c r="AC17" s="2917"/>
      <c r="AD17" s="2917"/>
      <c r="AE17" s="2917"/>
      <c r="AF17" s="2917"/>
      <c r="AG17" s="2917"/>
      <c r="AH17" s="2917"/>
      <c r="AI17" s="2917"/>
      <c r="AJ17" s="2917"/>
      <c r="AK17" s="2917"/>
      <c r="AL17" s="2917"/>
      <c r="AM17" s="2917"/>
      <c r="AN17" s="2917"/>
      <c r="AO17" s="2917"/>
      <c r="AP17" s="2917"/>
      <c r="AQ17" s="2917"/>
      <c r="AR17" s="2917"/>
      <c r="AS17" s="2917"/>
      <c r="AT17" s="2917"/>
      <c r="AU17" s="2917"/>
      <c r="AV17" s="2917"/>
      <c r="AW17" s="2917"/>
      <c r="AX17" s="2917"/>
      <c r="AY17" s="2917"/>
      <c r="AZ17" s="2917"/>
    </row>
    <row r="18" ht="15" spans="1:52">
      <c r="A18" s="2885" t="s">
        <v>603</v>
      </c>
      <c r="B18" s="2919"/>
      <c r="C18" s="2919"/>
      <c r="D18" s="2920"/>
      <c r="E18" s="2919"/>
      <c r="F18" s="2919"/>
      <c r="G18" s="2919"/>
      <c r="H18" s="2919"/>
      <c r="I18" s="2919"/>
      <c r="J18" s="2919"/>
      <c r="K18" s="3003"/>
      <c r="L18" s="3003"/>
      <c r="M18" s="2917"/>
      <c r="N18" s="2917"/>
      <c r="O18" s="2917"/>
      <c r="P18" s="2917"/>
      <c r="Q18" s="2917"/>
      <c r="R18" s="2917"/>
      <c r="S18" s="2917"/>
      <c r="T18" s="2917"/>
      <c r="U18" s="3007"/>
      <c r="V18" s="2917"/>
      <c r="W18" s="2917"/>
      <c r="X18" s="2917"/>
      <c r="Y18" s="2917"/>
      <c r="Z18" s="2917"/>
      <c r="AA18" s="2917"/>
      <c r="AB18" s="2917"/>
      <c r="AC18" s="2917"/>
      <c r="AD18" s="2917"/>
      <c r="AE18" s="2917"/>
      <c r="AF18" s="2917"/>
      <c r="AG18" s="2917"/>
      <c r="AH18" s="2917"/>
      <c r="AI18" s="2917"/>
      <c r="AJ18" s="2917"/>
      <c r="AK18" s="2917"/>
      <c r="AL18" s="2917"/>
      <c r="AM18" s="2917"/>
      <c r="AN18" s="2917"/>
      <c r="AO18" s="2917"/>
      <c r="AP18" s="2917"/>
      <c r="AQ18" s="2917"/>
      <c r="AR18" s="2917"/>
      <c r="AS18" s="2917"/>
      <c r="AT18" s="2917"/>
      <c r="AU18" s="2917"/>
      <c r="AV18" s="2917"/>
      <c r="AW18" s="2917"/>
      <c r="AX18" s="2917"/>
      <c r="AY18" s="2917"/>
      <c r="AZ18" s="2917"/>
    </row>
    <row r="19" ht="14.25" spans="1:52">
      <c r="A19" s="2921" t="s">
        <v>604</v>
      </c>
      <c r="B19" s="2922">
        <v>1</v>
      </c>
      <c r="C19" s="2923" t="s">
        <v>605</v>
      </c>
      <c r="D19" s="2920"/>
      <c r="E19" s="2919"/>
      <c r="F19" s="2919"/>
      <c r="G19" s="2919"/>
      <c r="H19" s="2919"/>
      <c r="I19" s="2919"/>
      <c r="J19" s="2919"/>
      <c r="K19" s="3004"/>
      <c r="L19" s="3004"/>
      <c r="M19" s="3005"/>
      <c r="N19" s="2917"/>
      <c r="O19" s="2917"/>
      <c r="P19" s="2917"/>
      <c r="Q19" s="2917"/>
      <c r="R19" s="2917"/>
      <c r="S19" s="2917"/>
      <c r="T19" s="2917"/>
      <c r="U19" s="2917"/>
      <c r="V19" s="3007"/>
      <c r="W19" s="3007"/>
      <c r="X19" s="2917"/>
      <c r="Y19" s="2917"/>
      <c r="Z19" s="2917"/>
      <c r="AA19" s="2917"/>
      <c r="AB19" s="2917"/>
      <c r="AC19" s="2917"/>
      <c r="AD19" s="2917"/>
      <c r="AE19" s="2917"/>
      <c r="AF19" s="2917"/>
      <c r="AG19" s="2917"/>
      <c r="AH19" s="2917"/>
      <c r="AI19" s="2917"/>
      <c r="AJ19" s="2917"/>
      <c r="AK19" s="2917"/>
      <c r="AL19" s="2917"/>
      <c r="AM19" s="2917"/>
      <c r="AN19" s="2917"/>
      <c r="AO19" s="2917"/>
      <c r="AP19" s="2917"/>
      <c r="AQ19" s="2917"/>
      <c r="AR19" s="2917"/>
      <c r="AS19" s="2917"/>
      <c r="AT19" s="2917"/>
      <c r="AU19" s="2917"/>
      <c r="AV19" s="2917"/>
      <c r="AW19" s="2917"/>
      <c r="AX19" s="2917"/>
      <c r="AY19" s="2917"/>
      <c r="AZ19" s="2917"/>
    </row>
    <row r="20" ht="14.25" spans="1:52">
      <c r="A20" s="2924" t="s">
        <v>606</v>
      </c>
      <c r="B20" s="2925">
        <v>2</v>
      </c>
      <c r="C20" s="2923" t="s">
        <v>607</v>
      </c>
      <c r="D20" s="2920"/>
      <c r="E20" s="2919"/>
      <c r="F20" s="2919"/>
      <c r="G20" s="2919"/>
      <c r="H20" s="2919"/>
      <c r="I20" s="2919"/>
      <c r="J20" s="2919"/>
      <c r="K20" s="3006"/>
      <c r="L20" s="3006"/>
      <c r="M20" s="2917"/>
      <c r="N20" s="3007"/>
      <c r="O20" s="3007"/>
      <c r="P20" s="2917"/>
      <c r="Q20" s="2917"/>
      <c r="R20" s="2917"/>
      <c r="S20" s="2917"/>
      <c r="T20" s="2917"/>
      <c r="U20"/>
      <c r="V20"/>
      <c r="W20"/>
      <c r="X20"/>
      <c r="Y20"/>
      <c r="Z20"/>
      <c r="AA20"/>
      <c r="AB20"/>
      <c r="AC20" s="2917"/>
      <c r="AD20" s="2917"/>
      <c r="AE20" s="2917"/>
      <c r="AF20" s="2917"/>
      <c r="AG20" s="2917"/>
      <c r="AH20" s="2917"/>
      <c r="AI20" s="2917"/>
      <c r="AJ20" s="2917"/>
      <c r="AK20" s="2917"/>
      <c r="AL20" s="2917"/>
      <c r="AM20" s="2917"/>
      <c r="AN20" s="2917"/>
      <c r="AO20" s="2917"/>
      <c r="AP20" s="2917"/>
      <c r="AQ20" s="2917"/>
      <c r="AR20" s="2917"/>
      <c r="AS20" s="2917"/>
      <c r="AT20" s="2917"/>
      <c r="AU20" s="2917"/>
      <c r="AV20" s="2917"/>
      <c r="AW20" s="2917"/>
      <c r="AX20" s="2917"/>
      <c r="AY20" s="2917"/>
      <c r="AZ20" s="2917"/>
    </row>
    <row r="21" ht="14.25" spans="1:52">
      <c r="A21" s="2926" t="s">
        <v>608</v>
      </c>
      <c r="B21" s="2925">
        <v>0</v>
      </c>
      <c r="C21" s="2919"/>
      <c r="D21" s="2920"/>
      <c r="E21" s="2919"/>
      <c r="F21" s="2919"/>
      <c r="G21" s="2919"/>
      <c r="H21" s="2919"/>
      <c r="I21" s="2919"/>
      <c r="J21" s="2919"/>
      <c r="K21" s="3004"/>
      <c r="L21" s="3008" t="s">
        <v>609</v>
      </c>
      <c r="M21" s="3009">
        <f>(Q6*K6+Q7*K7+Q8*K8)/(K6+K7+K8)</f>
        <v>0.113999995507111</v>
      </c>
      <c r="N21" s="2917"/>
      <c r="O21" s="2917"/>
      <c r="P21" s="2917"/>
      <c r="Q21" s="2917"/>
      <c r="R21" s="2917"/>
      <c r="S21" s="2917"/>
      <c r="T21" s="2917"/>
      <c r="U21"/>
      <c r="V21"/>
      <c r="W21"/>
      <c r="X21"/>
      <c r="Y21"/>
      <c r="Z21"/>
      <c r="AA21"/>
      <c r="AB21"/>
      <c r="AC21" s="2917"/>
      <c r="AD21" s="2917"/>
      <c r="AE21" s="2917"/>
      <c r="AF21" s="2917"/>
      <c r="AG21" s="2917"/>
      <c r="AH21" s="2917"/>
      <c r="AI21" s="2917"/>
      <c r="AJ21" s="2917"/>
      <c r="AK21" s="2917"/>
      <c r="AL21" s="2917"/>
      <c r="AM21" s="2917"/>
      <c r="AN21" s="2917"/>
      <c r="AO21" s="2917"/>
      <c r="AP21" s="2917"/>
      <c r="AQ21" s="2917"/>
      <c r="AR21" s="2917"/>
      <c r="AS21" s="2917"/>
      <c r="AT21" s="2917"/>
      <c r="AU21" s="2917"/>
      <c r="AV21" s="2917"/>
      <c r="AW21" s="2917"/>
      <c r="AX21" s="2917"/>
      <c r="AY21" s="2917"/>
      <c r="AZ21" s="2917"/>
    </row>
    <row r="22" ht="14.25" spans="1:52">
      <c r="A22" s="2924" t="s">
        <v>610</v>
      </c>
      <c r="B22" s="2927">
        <f>B19+B20</f>
        <v>3</v>
      </c>
      <c r="C22" s="2919"/>
      <c r="D22" s="2920"/>
      <c r="E22" s="2919"/>
      <c r="F22" s="2919"/>
      <c r="G22" s="2919"/>
      <c r="H22" s="2919"/>
      <c r="I22" s="2919"/>
      <c r="J22" s="2919"/>
      <c r="K22" s="3004"/>
      <c r="L22" s="3003"/>
      <c r="M22" s="2917"/>
      <c r="N22" s="2917"/>
      <c r="O22" s="2917"/>
      <c r="P22" s="2917"/>
      <c r="Q22" s="2917"/>
      <c r="R22" s="2917"/>
      <c r="S22" s="2917"/>
      <c r="T22" s="2917"/>
      <c r="U22"/>
      <c r="V22"/>
      <c r="W22"/>
      <c r="X22"/>
      <c r="Y22"/>
      <c r="Z22"/>
      <c r="AA22"/>
      <c r="AB22"/>
      <c r="AC22" s="2917"/>
      <c r="AD22" s="2917"/>
      <c r="AE22" s="2917"/>
      <c r="AF22" s="2917"/>
      <c r="AG22" s="2917"/>
      <c r="AH22" s="2917"/>
      <c r="AI22" s="2917"/>
      <c r="AJ22" s="2917"/>
      <c r="AK22" s="2917"/>
      <c r="AL22" s="2917"/>
      <c r="AM22" s="2917"/>
      <c r="AN22" s="2917"/>
      <c r="AO22" s="2917"/>
      <c r="AP22" s="2917"/>
      <c r="AQ22" s="2917"/>
      <c r="AR22" s="2917"/>
      <c r="AS22" s="2917"/>
      <c r="AT22" s="2917"/>
      <c r="AU22" s="2917"/>
      <c r="AV22" s="2917"/>
      <c r="AW22" s="2917"/>
      <c r="AX22" s="2917"/>
      <c r="AY22" s="2917"/>
      <c r="AZ22" s="2917"/>
    </row>
    <row r="23" ht="14.25" spans="1:52">
      <c r="A23" s="2926" t="s">
        <v>611</v>
      </c>
      <c r="B23" s="2927">
        <f>B19+B21</f>
        <v>1</v>
      </c>
      <c r="C23" s="2919"/>
      <c r="D23" s="2920"/>
      <c r="E23" s="2919"/>
      <c r="F23" s="2919"/>
      <c r="G23" s="2919"/>
      <c r="H23" s="2919"/>
      <c r="I23" s="2919"/>
      <c r="J23" s="2919"/>
      <c r="K23" s="3004"/>
      <c r="L23" s="3008" t="s">
        <v>612</v>
      </c>
      <c r="M23" s="2917"/>
      <c r="N23" s="2917"/>
      <c r="O23" s="2917"/>
      <c r="P23" s="2917"/>
      <c r="Q23" s="2917"/>
      <c r="R23" s="2917"/>
      <c r="S23" s="2917"/>
      <c r="T23" s="2917"/>
      <c r="U23"/>
      <c r="V23"/>
      <c r="W23"/>
      <c r="X23"/>
      <c r="Y23"/>
      <c r="Z23"/>
      <c r="AA23"/>
      <c r="AB23"/>
      <c r="AC23" s="2917"/>
      <c r="AD23" s="2917"/>
      <c r="AE23" s="2917"/>
      <c r="AF23" s="2917"/>
      <c r="AG23" s="2917"/>
      <c r="AH23" s="2917"/>
      <c r="AI23" s="2917"/>
      <c r="AJ23" s="2917"/>
      <c r="AK23" s="2917"/>
      <c r="AL23" s="2917"/>
      <c r="AM23" s="2917"/>
      <c r="AN23" s="2917"/>
      <c r="AO23" s="2917"/>
      <c r="AP23" s="2917"/>
      <c r="AQ23" s="2917"/>
      <c r="AR23" s="2917"/>
      <c r="AS23" s="2917"/>
      <c r="AT23" s="2917"/>
      <c r="AU23" s="2917"/>
      <c r="AV23" s="2917"/>
      <c r="AW23" s="2917"/>
      <c r="AX23" s="2917"/>
      <c r="AY23" s="2917"/>
      <c r="AZ23" s="2917"/>
    </row>
    <row r="24" ht="15" spans="1:52">
      <c r="A24" s="2928" t="s">
        <v>613</v>
      </c>
      <c r="B24" s="2929">
        <f>B20-B21</f>
        <v>2</v>
      </c>
      <c r="C24" s="2919"/>
      <c r="D24" s="2920"/>
      <c r="E24" s="2919"/>
      <c r="F24" s="2919"/>
      <c r="G24" s="2919"/>
      <c r="H24" s="2919"/>
      <c r="I24" s="2919"/>
      <c r="J24" s="2919"/>
      <c r="K24" s="3008" t="s">
        <v>548</v>
      </c>
      <c r="L24" s="79">
        <f>K14-L25-L26</f>
        <v>0</v>
      </c>
      <c r="M24" s="2917"/>
      <c r="N24" s="2917"/>
      <c r="O24" s="2917"/>
      <c r="P24" s="2917"/>
      <c r="Q24" s="2917"/>
      <c r="R24" s="2917"/>
      <c r="S24" s="2917"/>
      <c r="T24" s="2917"/>
      <c r="U24"/>
      <c r="V24"/>
      <c r="W24"/>
      <c r="X24"/>
      <c r="Y24"/>
      <c r="Z24"/>
      <c r="AA24"/>
      <c r="AB24"/>
      <c r="AC24" s="2917"/>
      <c r="AD24" s="2917"/>
      <c r="AE24" s="2917"/>
      <c r="AF24" s="2917"/>
      <c r="AG24" s="2917"/>
      <c r="AH24" s="2917"/>
      <c r="AI24" s="2917"/>
      <c r="AJ24" s="2917"/>
      <c r="AK24" s="2917"/>
      <c r="AL24" s="2917"/>
      <c r="AM24" s="2917"/>
      <c r="AN24" s="2917"/>
      <c r="AO24" s="2917"/>
      <c r="AP24" s="2917"/>
      <c r="AQ24" s="2917"/>
      <c r="AR24" s="2917"/>
      <c r="AS24" s="2917"/>
      <c r="AT24" s="2917"/>
      <c r="AU24" s="2917"/>
      <c r="AV24" s="2917"/>
      <c r="AW24" s="2917"/>
      <c r="AX24" s="2917"/>
      <c r="AY24" s="2917"/>
      <c r="AZ24" s="2917"/>
    </row>
    <row r="25" ht="15" spans="1:52">
      <c r="A25" s="2884"/>
      <c r="B25" s="2449"/>
      <c r="C25" s="2919"/>
      <c r="D25" s="2920"/>
      <c r="E25" s="2919"/>
      <c r="F25" s="2919"/>
      <c r="G25" s="2919"/>
      <c r="H25" s="2919"/>
      <c r="I25" s="2919"/>
      <c r="J25" s="2919"/>
      <c r="K25" s="3008" t="s">
        <v>614</v>
      </c>
      <c r="L25" s="3003">
        <f>ROUND(地块信息表!P24/地块信息表!M23*K14,0)</f>
        <v>0</v>
      </c>
      <c r="M25" s="2917"/>
      <c r="N25" s="2917"/>
      <c r="O25" s="2917"/>
      <c r="P25" s="2917"/>
      <c r="Q25" s="2917"/>
      <c r="R25" s="2917"/>
      <c r="S25" s="2917"/>
      <c r="T25" s="2917"/>
      <c r="U25"/>
      <c r="V25"/>
      <c r="W25"/>
      <c r="X25"/>
      <c r="Y25"/>
      <c r="Z25"/>
      <c r="AA25"/>
      <c r="AB25"/>
      <c r="AC25" s="2917"/>
      <c r="AD25" s="2917"/>
      <c r="AE25" s="2917"/>
      <c r="AF25" s="2917"/>
      <c r="AG25" s="2917"/>
      <c r="AH25" s="2917"/>
      <c r="AI25" s="2917"/>
      <c r="AJ25" s="2917"/>
      <c r="AK25" s="2917"/>
      <c r="AL25" s="2917"/>
      <c r="AM25" s="2917"/>
      <c r="AN25" s="2917"/>
      <c r="AO25" s="2917"/>
      <c r="AP25" s="2917"/>
      <c r="AQ25" s="2917"/>
      <c r="AR25" s="2917"/>
      <c r="AS25" s="2917"/>
      <c r="AT25" s="2917"/>
      <c r="AU25" s="2917"/>
      <c r="AV25" s="2917"/>
      <c r="AW25" s="2917"/>
      <c r="AX25" s="2917"/>
      <c r="AY25" s="2917"/>
      <c r="AZ25" s="2917"/>
    </row>
    <row r="26" ht="15" spans="1:52">
      <c r="A26" s="2880" t="s">
        <v>615</v>
      </c>
      <c r="B26" s="2930" t="s">
        <v>616</v>
      </c>
      <c r="C26" s="2931" t="s">
        <v>617</v>
      </c>
      <c r="D26" s="2920"/>
      <c r="E26" s="2919"/>
      <c r="F26" s="2919"/>
      <c r="G26" s="2919"/>
      <c r="H26" s="2919"/>
      <c r="I26" s="2919"/>
      <c r="J26" s="2919"/>
      <c r="K26" s="3008" t="s">
        <v>618</v>
      </c>
      <c r="L26" s="3003">
        <f>L25</f>
        <v>0</v>
      </c>
      <c r="M26" s="2917"/>
      <c r="N26" s="2917"/>
      <c r="O26" s="2917"/>
      <c r="P26" s="2917"/>
      <c r="Q26" s="2917"/>
      <c r="R26" s="2917"/>
      <c r="S26" s="2917"/>
      <c r="T26" s="2917"/>
      <c r="U26"/>
      <c r="V26"/>
      <c r="W26"/>
      <c r="X26"/>
      <c r="Y26"/>
      <c r="Z26"/>
      <c r="AA26"/>
      <c r="AB26"/>
      <c r="AC26" s="2917"/>
      <c r="AD26" s="2917"/>
      <c r="AE26" s="2917"/>
      <c r="AF26" s="2917"/>
      <c r="AG26" s="2917"/>
      <c r="AH26" s="2917"/>
      <c r="AI26" s="2917"/>
      <c r="AJ26" s="2917"/>
      <c r="AK26" s="2917"/>
      <c r="AL26" s="2917"/>
      <c r="AM26" s="2917"/>
      <c r="AN26" s="2917"/>
      <c r="AO26" s="2917"/>
      <c r="AP26" s="2917"/>
      <c r="AQ26" s="2917"/>
      <c r="AR26" s="2917"/>
      <c r="AS26" s="2917"/>
      <c r="AT26" s="2917"/>
      <c r="AU26" s="2917"/>
      <c r="AV26" s="2917"/>
      <c r="AW26" s="2917"/>
      <c r="AX26" s="2917"/>
      <c r="AY26" s="2917"/>
      <c r="AZ26" s="2917"/>
    </row>
    <row r="27" ht="27.75" spans="1:52">
      <c r="A27" s="2932" t="s">
        <v>619</v>
      </c>
      <c r="B27" s="2933">
        <v>180</v>
      </c>
      <c r="C27" s="2934" t="s">
        <v>620</v>
      </c>
      <c r="D27" s="2935"/>
      <c r="E27" s="2936"/>
      <c r="F27" s="2936"/>
      <c r="G27" s="2919"/>
      <c r="H27" s="2919"/>
      <c r="I27" s="2919"/>
      <c r="J27" s="2919"/>
      <c r="K27" s="3003"/>
      <c r="L27" s="3003"/>
      <c r="M27" s="2917"/>
      <c r="N27" s="2917"/>
      <c r="O27" s="2917"/>
      <c r="P27" s="2917"/>
      <c r="Q27" s="2917"/>
      <c r="R27" s="2917"/>
      <c r="S27" s="2917"/>
      <c r="T27" s="2917"/>
      <c r="U27"/>
      <c r="V27"/>
      <c r="W27"/>
      <c r="X27"/>
      <c r="Y27"/>
      <c r="Z27"/>
      <c r="AA27"/>
      <c r="AB27"/>
      <c r="AC27" s="2917"/>
      <c r="AD27" s="2917"/>
      <c r="AE27" s="2917"/>
      <c r="AF27" s="2917"/>
      <c r="AG27" s="2917"/>
      <c r="AH27" s="2917"/>
      <c r="AI27" s="2917"/>
      <c r="AJ27" s="2917"/>
      <c r="AK27" s="2917"/>
      <c r="AL27" s="2917"/>
      <c r="AM27" s="2917"/>
      <c r="AN27" s="2917"/>
      <c r="AO27" s="2917"/>
      <c r="AP27" s="2917"/>
      <c r="AQ27" s="2917"/>
      <c r="AR27" s="2917"/>
      <c r="AS27" s="2917"/>
      <c r="AT27" s="2917"/>
      <c r="AU27" s="2917"/>
      <c r="AV27" s="2917"/>
      <c r="AW27" s="2917"/>
      <c r="AX27" s="2917"/>
      <c r="AY27" s="2917"/>
      <c r="AZ27" s="2917"/>
    </row>
    <row r="28" ht="27.75" spans="1:52">
      <c r="A28" s="2937" t="s">
        <v>621</v>
      </c>
      <c r="B28" s="2938">
        <v>160</v>
      </c>
      <c r="C28" s="2939"/>
      <c r="D28" s="2935"/>
      <c r="E28" s="2936"/>
      <c r="F28" s="2936"/>
      <c r="G28" s="2919"/>
      <c r="H28" s="2919"/>
      <c r="I28" s="2919"/>
      <c r="J28" s="2919"/>
      <c r="K28" s="3003"/>
      <c r="L28" s="3003"/>
      <c r="M28" s="2917"/>
      <c r="N28" s="2917"/>
      <c r="O28" s="2917"/>
      <c r="P28" s="2917"/>
      <c r="Q28" s="2917"/>
      <c r="R28" s="2917"/>
      <c r="S28" s="2917"/>
      <c r="T28" s="2917"/>
      <c r="U28"/>
      <c r="V28"/>
      <c r="W28"/>
      <c r="X28"/>
      <c r="Y28"/>
      <c r="Z28"/>
      <c r="AA28"/>
      <c r="AB28"/>
      <c r="AC28" s="2917"/>
      <c r="AD28" s="2917"/>
      <c r="AE28" s="2917"/>
      <c r="AF28" s="2917"/>
      <c r="AG28" s="2917"/>
      <c r="AH28" s="2917"/>
      <c r="AI28" s="2917"/>
      <c r="AJ28" s="2917"/>
      <c r="AK28" s="2917"/>
      <c r="AL28" s="2917"/>
      <c r="AM28" s="2917"/>
      <c r="AN28" s="2917"/>
      <c r="AO28" s="2917"/>
      <c r="AP28" s="2917"/>
      <c r="AQ28" s="2917"/>
      <c r="AR28" s="2917"/>
      <c r="AS28" s="2917"/>
      <c r="AT28" s="2917"/>
      <c r="AU28" s="2917"/>
      <c r="AV28" s="2917"/>
      <c r="AW28" s="2917"/>
      <c r="AX28" s="2917"/>
      <c r="AY28" s="2917"/>
      <c r="AZ28" s="2917"/>
    </row>
    <row r="29" ht="28.5" spans="1:52">
      <c r="A29" s="2940" t="s">
        <v>622</v>
      </c>
      <c r="B29" s="2941">
        <v>0</v>
      </c>
      <c r="C29" s="2942" t="s">
        <v>623</v>
      </c>
      <c r="D29" s="2935"/>
      <c r="E29" s="2936"/>
      <c r="F29" s="2936"/>
      <c r="G29" s="2919"/>
      <c r="H29" s="2919"/>
      <c r="I29" s="2919"/>
      <c r="J29" s="2919"/>
      <c r="K29" s="3003"/>
      <c r="L29" s="3003"/>
      <c r="M29" s="2917"/>
      <c r="N29" s="2917"/>
      <c r="O29" s="2917"/>
      <c r="P29" s="2917"/>
      <c r="Q29" s="2917"/>
      <c r="R29" s="2917"/>
      <c r="S29" s="2917"/>
      <c r="T29" s="2917"/>
      <c r="U29"/>
      <c r="V29"/>
      <c r="W29"/>
      <c r="X29"/>
      <c r="Y29"/>
      <c r="Z29"/>
      <c r="AA29"/>
      <c r="AB29"/>
      <c r="AC29" s="2917"/>
      <c r="AD29" s="2917"/>
      <c r="AE29" s="2917"/>
      <c r="AF29" s="2917"/>
      <c r="AG29" s="2917"/>
      <c r="AH29" s="2917"/>
      <c r="AI29" s="2917"/>
      <c r="AJ29" s="2917"/>
      <c r="AK29" s="2917"/>
      <c r="AL29" s="2917"/>
      <c r="AM29" s="2917"/>
      <c r="AN29" s="2917"/>
      <c r="AO29" s="2917"/>
      <c r="AP29" s="2917"/>
      <c r="AQ29" s="2917"/>
      <c r="AR29" s="2917"/>
      <c r="AS29" s="2917"/>
      <c r="AT29" s="2917"/>
      <c r="AU29" s="2917"/>
      <c r="AV29" s="2917"/>
      <c r="AW29" s="2917"/>
      <c r="AX29" s="2917"/>
      <c r="AY29" s="2917"/>
      <c r="AZ29" s="2917"/>
    </row>
    <row r="30" ht="27" spans="1:52">
      <c r="A30" s="2943" t="s">
        <v>624</v>
      </c>
      <c r="B30" s="2944">
        <v>300</v>
      </c>
      <c r="C30" s="2939"/>
      <c r="D30" s="2935"/>
      <c r="E30" s="2936"/>
      <c r="F30" s="2936"/>
      <c r="G30" s="2919"/>
      <c r="H30" s="2919"/>
      <c r="I30" s="2919"/>
      <c r="J30" s="2919"/>
      <c r="K30" s="3003"/>
      <c r="L30" s="3003"/>
      <c r="M30" s="2917"/>
      <c r="N30" s="2917"/>
      <c r="O30" s="2917"/>
      <c r="P30" s="2917"/>
      <c r="Q30" s="2917"/>
      <c r="R30" s="2917"/>
      <c r="S30" s="2917"/>
      <c r="T30" s="2917"/>
      <c r="U30"/>
      <c r="V30"/>
      <c r="W30"/>
      <c r="X30"/>
      <c r="Y30"/>
      <c r="Z30"/>
      <c r="AA30"/>
      <c r="AB30"/>
      <c r="AC30" s="2917"/>
      <c r="AD30" s="2917"/>
      <c r="AE30" s="2917"/>
      <c r="AF30" s="2917"/>
      <c r="AG30" s="2917"/>
      <c r="AH30" s="2917"/>
      <c r="AI30" s="2917"/>
      <c r="AJ30" s="2917"/>
      <c r="AK30" s="2917"/>
      <c r="AL30" s="2917"/>
      <c r="AM30" s="2917"/>
      <c r="AN30" s="2917"/>
      <c r="AO30" s="2917"/>
      <c r="AP30" s="2917"/>
      <c r="AQ30" s="2917"/>
      <c r="AR30" s="2917"/>
      <c r="AS30" s="2917"/>
      <c r="AT30" s="2917"/>
      <c r="AU30" s="2917"/>
      <c r="AV30" s="2917"/>
      <c r="AW30" s="2917"/>
      <c r="AX30" s="2917"/>
      <c r="AY30" s="2917"/>
      <c r="AZ30" s="2917"/>
    </row>
    <row r="31" ht="27" spans="1:52">
      <c r="A31" s="2937" t="s">
        <v>625</v>
      </c>
      <c r="B31" s="2945">
        <f>B30-B32</f>
        <v>300</v>
      </c>
      <c r="C31" s="2946"/>
      <c r="D31" s="2935"/>
      <c r="E31" s="2936"/>
      <c r="F31" s="2936"/>
      <c r="G31" s="2919"/>
      <c r="H31" s="2919"/>
      <c r="I31" s="2919"/>
      <c r="J31" s="2919"/>
      <c r="K31" s="3003"/>
      <c r="L31" s="3003"/>
      <c r="M31" s="2917"/>
      <c r="N31" s="2917"/>
      <c r="O31" s="2917"/>
      <c r="P31" s="2917"/>
      <c r="Q31" s="2917"/>
      <c r="R31" s="2917"/>
      <c r="S31" s="2917"/>
      <c r="T31" s="2917"/>
      <c r="U31" s="2917"/>
      <c r="V31" s="2917"/>
      <c r="W31" s="2917"/>
      <c r="X31" s="2917"/>
      <c r="Y31" s="2917"/>
      <c r="Z31" s="2917"/>
      <c r="AA31" s="2917"/>
      <c r="AB31" s="2917"/>
      <c r="AC31" s="2917"/>
      <c r="AD31" s="2917"/>
      <c r="AE31" s="2917"/>
      <c r="AF31" s="2917"/>
      <c r="AG31" s="2917"/>
      <c r="AH31" s="2917"/>
      <c r="AI31" s="2917"/>
      <c r="AJ31" s="2917"/>
      <c r="AK31" s="2917"/>
      <c r="AL31" s="2917"/>
      <c r="AM31" s="2917"/>
      <c r="AN31" s="2917"/>
      <c r="AO31" s="2917"/>
      <c r="AP31" s="2917"/>
      <c r="AQ31" s="2917"/>
      <c r="AR31" s="2917"/>
      <c r="AS31" s="2917"/>
      <c r="AT31" s="2917"/>
      <c r="AU31" s="2917"/>
      <c r="AV31" s="2917"/>
      <c r="AW31" s="2917"/>
      <c r="AX31" s="2917"/>
      <c r="AY31" s="2917"/>
      <c r="AZ31" s="2917"/>
    </row>
    <row r="32" ht="27.75" spans="1:52">
      <c r="A32" s="2947" t="s">
        <v>626</v>
      </c>
      <c r="B32" s="2948">
        <v>0</v>
      </c>
      <c r="C32" s="2939"/>
      <c r="D32" s="2920"/>
      <c r="E32" s="2919"/>
      <c r="F32" s="2919"/>
      <c r="G32" s="2919"/>
      <c r="H32" s="2919"/>
      <c r="I32" s="2919"/>
      <c r="J32" s="2919"/>
      <c r="K32" s="3003"/>
      <c r="L32" s="3003"/>
      <c r="M32" s="2917"/>
      <c r="N32" s="2917"/>
      <c r="O32" s="2917"/>
      <c r="P32" s="2917"/>
      <c r="Q32" s="2917"/>
      <c r="R32" s="2917"/>
      <c r="S32" s="2917"/>
      <c r="T32" s="2917"/>
      <c r="U32" s="2917"/>
      <c r="V32" s="2917"/>
      <c r="W32" s="2917"/>
      <c r="X32" s="2917"/>
      <c r="Y32" s="2917"/>
      <c r="Z32" s="2917"/>
      <c r="AA32" s="2917"/>
      <c r="AB32" s="2917"/>
      <c r="AC32" s="2917"/>
      <c r="AD32" s="2917"/>
      <c r="AE32" s="2917"/>
      <c r="AF32" s="2917"/>
      <c r="AG32" s="2917"/>
      <c r="AH32" s="2917"/>
      <c r="AI32" s="2917"/>
      <c r="AJ32" s="2917"/>
      <c r="AK32" s="2917"/>
      <c r="AL32" s="2917"/>
      <c r="AM32" s="2917"/>
      <c r="AN32" s="2917"/>
      <c r="AO32" s="2917"/>
      <c r="AP32" s="2917"/>
      <c r="AQ32" s="2917"/>
      <c r="AR32" s="2917"/>
      <c r="AS32" s="2917"/>
      <c r="AT32" s="2917"/>
      <c r="AU32" s="2917"/>
      <c r="AV32" s="2917"/>
      <c r="AW32" s="2917"/>
      <c r="AX32" s="2917"/>
      <c r="AY32" s="2917"/>
      <c r="AZ32" s="2917"/>
    </row>
    <row r="33" ht="14.25" spans="1:52">
      <c r="A33" s="2932" t="s">
        <v>627</v>
      </c>
      <c r="B33" s="2949">
        <v>0.03</v>
      </c>
      <c r="C33" s="2950" t="s">
        <v>628</v>
      </c>
      <c r="D33" s="2935"/>
      <c r="E33" s="2936"/>
      <c r="F33" s="2936"/>
      <c r="G33" s="2919"/>
      <c r="H33" s="2919"/>
      <c r="I33" s="2919"/>
      <c r="J33" s="2919"/>
      <c r="K33" s="3003"/>
      <c r="L33" s="3003"/>
      <c r="M33" s="2917"/>
      <c r="N33" s="2917"/>
      <c r="O33" s="2917"/>
      <c r="P33" s="2917"/>
      <c r="Q33" s="2917"/>
      <c r="R33" s="2917"/>
      <c r="S33" s="2917"/>
      <c r="T33" s="2917"/>
      <c r="U33" s="2917"/>
      <c r="V33" s="2917"/>
      <c r="W33" s="2917"/>
      <c r="X33" s="2917"/>
      <c r="Y33" s="2917"/>
      <c r="Z33" s="2917"/>
      <c r="AA33" s="2917"/>
      <c r="AB33" s="2917"/>
      <c r="AC33" s="2917"/>
      <c r="AD33" s="2917"/>
      <c r="AE33" s="2917"/>
      <c r="AF33" s="2917"/>
      <c r="AG33" s="2917"/>
      <c r="AH33" s="2917"/>
      <c r="AI33" s="2917"/>
      <c r="AJ33" s="2917"/>
      <c r="AK33" s="2917"/>
      <c r="AL33" s="2917"/>
      <c r="AM33" s="2917"/>
      <c r="AN33" s="2917"/>
      <c r="AO33" s="2917"/>
      <c r="AP33" s="2917"/>
      <c r="AQ33" s="2917"/>
      <c r="AR33" s="2917"/>
      <c r="AS33" s="2917"/>
      <c r="AT33" s="2917"/>
      <c r="AU33" s="2917"/>
      <c r="AV33" s="2917"/>
      <c r="AW33" s="2917"/>
      <c r="AX33" s="2917"/>
      <c r="AY33" s="2917"/>
      <c r="AZ33" s="2917"/>
    </row>
    <row r="34" ht="14.25" spans="1:52">
      <c r="A34" s="2937" t="s">
        <v>629</v>
      </c>
      <c r="B34" s="2951">
        <v>0.05</v>
      </c>
      <c r="C34" s="2950" t="s">
        <v>630</v>
      </c>
      <c r="D34" s="2952" t="s">
        <v>631</v>
      </c>
      <c r="E34" s="2917"/>
      <c r="F34" s="2919"/>
      <c r="G34" s="2919"/>
      <c r="H34" s="2919"/>
      <c r="I34" s="2919"/>
      <c r="J34" s="2919"/>
      <c r="K34" s="3003"/>
      <c r="L34" s="3003"/>
      <c r="M34" s="2917"/>
      <c r="N34" s="2917"/>
      <c r="O34" s="2917"/>
      <c r="P34" s="2917"/>
      <c r="Q34" s="2917"/>
      <c r="R34" s="2917"/>
      <c r="S34" s="2917"/>
      <c r="T34" s="2917"/>
      <c r="U34" s="2917"/>
      <c r="V34" s="2917"/>
      <c r="W34" s="2917"/>
      <c r="X34" s="2917"/>
      <c r="Y34" s="2917"/>
      <c r="Z34" s="2917"/>
      <c r="AA34" s="2917"/>
      <c r="AB34" s="2917"/>
      <c r="AC34" s="2917"/>
      <c r="AD34" s="2917"/>
      <c r="AE34" s="2917"/>
      <c r="AF34" s="2917"/>
      <c r="AG34" s="2917"/>
      <c r="AH34" s="2917"/>
      <c r="AI34" s="2917"/>
      <c r="AJ34" s="2917"/>
      <c r="AK34" s="2917"/>
      <c r="AL34" s="2917"/>
      <c r="AM34" s="2917"/>
      <c r="AN34" s="2917"/>
      <c r="AO34" s="2917"/>
      <c r="AP34" s="2917"/>
      <c r="AQ34" s="2917"/>
      <c r="AR34" s="2917"/>
      <c r="AS34" s="2917"/>
      <c r="AT34" s="2917"/>
      <c r="AU34" s="2917"/>
      <c r="AV34" s="2917"/>
      <c r="AW34" s="2917"/>
      <c r="AX34" s="2917"/>
      <c r="AY34" s="2917"/>
      <c r="AZ34" s="2917"/>
    </row>
    <row r="35" ht="14.25" spans="1:52">
      <c r="A35" s="2937" t="s">
        <v>632</v>
      </c>
      <c r="B35" s="2938">
        <v>305</v>
      </c>
      <c r="C35" s="2950" t="s">
        <v>633</v>
      </c>
      <c r="D35" s="2920"/>
      <c r="E35" s="2919"/>
      <c r="F35" s="2919"/>
      <c r="G35" s="2919"/>
      <c r="H35" s="2919"/>
      <c r="I35" s="2919"/>
      <c r="J35" s="2919"/>
      <c r="K35" s="3003"/>
      <c r="L35" s="3003"/>
      <c r="M35" s="2917"/>
      <c r="N35" s="2917"/>
      <c r="O35" s="2917"/>
      <c r="P35" s="2917"/>
      <c r="Q35" s="2917"/>
      <c r="R35" s="2917"/>
      <c r="S35" s="2917"/>
      <c r="T35" s="2917"/>
      <c r="U35" s="2917"/>
      <c r="V35" s="2917"/>
      <c r="W35" s="2917"/>
      <c r="X35" s="2917"/>
      <c r="Y35" s="2917"/>
      <c r="Z35" s="2917"/>
      <c r="AA35" s="2917"/>
      <c r="AB35" s="2917"/>
      <c r="AC35" s="2917"/>
      <c r="AD35" s="2917"/>
      <c r="AE35" s="2917"/>
      <c r="AF35" s="2917"/>
      <c r="AG35" s="2917"/>
      <c r="AH35" s="2917"/>
      <c r="AI35" s="2917"/>
      <c r="AJ35" s="2917"/>
      <c r="AK35" s="2917"/>
      <c r="AL35" s="2917"/>
      <c r="AM35" s="2917"/>
      <c r="AN35" s="2917"/>
      <c r="AO35" s="2917"/>
      <c r="AP35" s="2917"/>
      <c r="AQ35" s="2917"/>
      <c r="AR35" s="2917"/>
      <c r="AS35" s="2917"/>
      <c r="AT35" s="2917"/>
      <c r="AU35" s="2917"/>
      <c r="AV35" s="2917"/>
      <c r="AW35" s="2917"/>
      <c r="AX35" s="2917"/>
      <c r="AY35" s="2917"/>
      <c r="AZ35" s="2917"/>
    </row>
    <row r="36" ht="15" spans="1:52">
      <c r="A36" s="2940" t="s">
        <v>634</v>
      </c>
      <c r="B36" s="2953">
        <v>0.015</v>
      </c>
      <c r="C36" s="2950" t="s">
        <v>635</v>
      </c>
      <c r="D36" s="2918"/>
      <c r="E36" s="2917"/>
      <c r="F36" s="2919"/>
      <c r="G36" s="2919"/>
      <c r="H36" s="2919"/>
      <c r="I36" s="2919"/>
      <c r="J36" s="2919"/>
      <c r="K36" s="3003"/>
      <c r="L36" s="3003"/>
      <c r="M36" s="2917"/>
      <c r="N36" s="2917"/>
      <c r="O36" s="2917"/>
      <c r="P36" s="2917"/>
      <c r="Q36" s="2917"/>
      <c r="R36" s="2917"/>
      <c r="S36" s="2917"/>
      <c r="T36" s="2917"/>
      <c r="U36" s="2917"/>
      <c r="V36" s="2917"/>
      <c r="W36" s="2917"/>
      <c r="X36" s="2917"/>
      <c r="Y36" s="2917"/>
      <c r="Z36" s="2917"/>
      <c r="AA36" s="2917"/>
      <c r="AB36" s="2917"/>
      <c r="AC36" s="2917"/>
      <c r="AD36" s="2917"/>
      <c r="AE36" s="2917"/>
      <c r="AF36" s="2917"/>
      <c r="AG36" s="2917"/>
      <c r="AH36" s="2917"/>
      <c r="AI36" s="2917"/>
      <c r="AJ36" s="2917"/>
      <c r="AK36" s="2917"/>
      <c r="AL36" s="2917"/>
      <c r="AM36" s="2917"/>
      <c r="AN36" s="2917"/>
      <c r="AO36" s="2917"/>
      <c r="AP36" s="2917"/>
      <c r="AQ36" s="2917"/>
      <c r="AR36" s="2917"/>
      <c r="AS36" s="2917"/>
      <c r="AT36" s="2917"/>
      <c r="AU36" s="2917"/>
      <c r="AV36" s="2917"/>
      <c r="AW36" s="2917"/>
      <c r="AX36" s="2917"/>
      <c r="AY36" s="2917"/>
      <c r="AZ36" s="2917"/>
    </row>
    <row r="37" ht="14.25" spans="1:52">
      <c r="A37" s="2943" t="s">
        <v>636</v>
      </c>
      <c r="B37" s="2954">
        <v>0.03</v>
      </c>
      <c r="C37" s="2950" t="s">
        <v>637</v>
      </c>
      <c r="D37" s="2920"/>
      <c r="E37" s="2919"/>
      <c r="F37" s="2919"/>
      <c r="G37" s="2919"/>
      <c r="H37" s="2919"/>
      <c r="I37" s="2919"/>
      <c r="J37" s="2919"/>
      <c r="K37" s="3003"/>
      <c r="L37" s="3003"/>
      <c r="M37" s="2917"/>
      <c r="N37" s="2917"/>
      <c r="O37" s="2917"/>
      <c r="P37" s="2917"/>
      <c r="Q37" s="2917"/>
      <c r="R37" s="2917"/>
      <c r="S37" s="2917"/>
      <c r="T37" s="2917"/>
      <c r="U37" s="2917"/>
      <c r="V37" s="2917"/>
      <c r="W37" s="2917"/>
      <c r="X37" s="2917"/>
      <c r="Y37" s="2917"/>
      <c r="Z37" s="2917"/>
      <c r="AA37" s="2917"/>
      <c r="AB37" s="2917"/>
      <c r="AC37" s="2917"/>
      <c r="AD37" s="2917"/>
      <c r="AE37" s="2917"/>
      <c r="AF37" s="2917"/>
      <c r="AG37" s="2917"/>
      <c r="AH37" s="2917"/>
      <c r="AI37" s="2917"/>
      <c r="AJ37" s="2917"/>
      <c r="AK37" s="2917"/>
      <c r="AL37" s="2917"/>
      <c r="AM37" s="2917"/>
      <c r="AN37" s="2917"/>
      <c r="AO37" s="2917"/>
      <c r="AP37" s="2917"/>
      <c r="AQ37" s="2917"/>
      <c r="AR37" s="2917"/>
      <c r="AS37" s="2917"/>
      <c r="AT37" s="2917"/>
      <c r="AU37" s="2917"/>
      <c r="AV37" s="2917"/>
      <c r="AW37" s="2917"/>
      <c r="AX37" s="2917"/>
      <c r="AY37" s="2917"/>
      <c r="AZ37" s="2917"/>
    </row>
    <row r="38" ht="14.25" spans="1:52">
      <c r="A38" s="2937" t="s">
        <v>638</v>
      </c>
      <c r="B38" s="2951">
        <v>0.03</v>
      </c>
      <c r="C38" s="2950" t="s">
        <v>637</v>
      </c>
      <c r="D38" s="2920"/>
      <c r="E38" s="2919"/>
      <c r="F38" s="2919"/>
      <c r="G38" s="2919"/>
      <c r="H38" s="2919"/>
      <c r="I38" s="2919"/>
      <c r="J38" s="2919"/>
      <c r="K38" s="3003"/>
      <c r="L38" s="3003"/>
      <c r="M38" s="2917"/>
      <c r="N38" s="2917"/>
      <c r="O38" s="2917"/>
      <c r="P38" s="2917"/>
      <c r="Q38" s="2917"/>
      <c r="R38" s="2917"/>
      <c r="S38" s="2917"/>
      <c r="T38" s="2917"/>
      <c r="U38" s="2917"/>
      <c r="V38" s="2917"/>
      <c r="W38" s="2917"/>
      <c r="X38" s="2917"/>
      <c r="Y38" s="2917"/>
      <c r="Z38" s="2917"/>
      <c r="AA38" s="2917"/>
      <c r="AB38" s="2917"/>
      <c r="AC38" s="2917"/>
      <c r="AD38" s="2917"/>
      <c r="AE38" s="2917"/>
      <c r="AF38" s="2917"/>
      <c r="AG38" s="2917"/>
      <c r="AH38" s="2917"/>
      <c r="AI38" s="2917"/>
      <c r="AJ38" s="2917"/>
      <c r="AK38" s="2917"/>
      <c r="AL38" s="2917"/>
      <c r="AM38" s="2917"/>
      <c r="AN38" s="2917"/>
      <c r="AO38" s="2917"/>
      <c r="AP38" s="2917"/>
      <c r="AQ38" s="2917"/>
      <c r="AR38" s="2917"/>
      <c r="AS38" s="2917"/>
      <c r="AT38" s="2917"/>
      <c r="AU38" s="2917"/>
      <c r="AV38" s="2917"/>
      <c r="AW38" s="2917"/>
      <c r="AX38" s="2917"/>
      <c r="AY38" s="2917"/>
      <c r="AZ38" s="2917"/>
    </row>
    <row r="39" ht="14.25" spans="1:52">
      <c r="A39" s="2955" t="s">
        <v>639</v>
      </c>
      <c r="B39" s="853">
        <f ca="1">存贷款利率!C4</f>
        <v>0.015</v>
      </c>
      <c r="C39" s="2956"/>
      <c r="D39" s="2920"/>
      <c r="E39" s="2919"/>
      <c r="F39" s="2919"/>
      <c r="G39" s="2919"/>
      <c r="H39" s="2919"/>
      <c r="I39" s="2919"/>
      <c r="J39" s="2919"/>
      <c r="K39" s="3003"/>
      <c r="L39" s="3003"/>
      <c r="M39" s="2917"/>
      <c r="N39" s="2917"/>
      <c r="O39" s="2917"/>
      <c r="P39" s="2917"/>
      <c r="Q39" s="2917"/>
      <c r="R39" s="2917"/>
      <c r="S39" s="2917"/>
      <c r="T39" s="2917"/>
      <c r="U39" s="2917"/>
      <c r="V39" s="2917"/>
      <c r="W39" s="2917"/>
      <c r="X39" s="2917"/>
      <c r="Y39" s="2917"/>
      <c r="Z39" s="2917"/>
      <c r="AA39" s="2917"/>
      <c r="AB39" s="2917"/>
      <c r="AC39" s="2917"/>
      <c r="AD39" s="2917"/>
      <c r="AE39" s="2917"/>
      <c r="AF39" s="2917"/>
      <c r="AG39" s="2917"/>
      <c r="AH39" s="2917"/>
      <c r="AI39" s="2917"/>
      <c r="AJ39" s="2917"/>
      <c r="AK39" s="2917"/>
      <c r="AL39" s="2917"/>
      <c r="AM39" s="2917"/>
      <c r="AN39" s="2917"/>
      <c r="AO39" s="2917"/>
      <c r="AP39" s="2917"/>
      <c r="AQ39" s="2917"/>
      <c r="AR39" s="2917"/>
      <c r="AS39" s="2917"/>
      <c r="AT39" s="2917"/>
      <c r="AU39" s="2917"/>
      <c r="AV39" s="2917"/>
      <c r="AW39" s="2917"/>
      <c r="AX39" s="2917"/>
      <c r="AY39" s="2917"/>
      <c r="AZ39" s="2917"/>
    </row>
    <row r="40" ht="15" spans="1:52">
      <c r="A40" s="2955" t="s">
        <v>640</v>
      </c>
      <c r="B40" s="2957">
        <f ca="1">存贷款利率!E2</f>
        <v>0.0475</v>
      </c>
      <c r="C40" s="2950" t="s">
        <v>641</v>
      </c>
      <c r="D40" s="2920"/>
      <c r="E40" s="2919"/>
      <c r="F40" s="2919"/>
      <c r="G40" s="2919"/>
      <c r="H40" s="2919"/>
      <c r="I40" s="2919"/>
      <c r="J40" s="2919"/>
      <c r="K40" s="3003"/>
      <c r="L40" s="3003"/>
      <c r="M40" s="2917"/>
      <c r="N40" s="2917"/>
      <c r="O40" s="2917"/>
      <c r="P40" s="2917"/>
      <c r="Q40" s="2917"/>
      <c r="R40" s="2917"/>
      <c r="S40" s="2917"/>
      <c r="T40" s="2917"/>
      <c r="U40" s="2917"/>
      <c r="V40" s="2917"/>
      <c r="W40" s="2917"/>
      <c r="X40" s="2917"/>
      <c r="Y40" s="2917"/>
      <c r="Z40" s="2917"/>
      <c r="AA40" s="2917"/>
      <c r="AB40" s="2917"/>
      <c r="AC40" s="2917"/>
      <c r="AD40" s="2917"/>
      <c r="AE40" s="2917"/>
      <c r="AF40" s="2917"/>
      <c r="AG40" s="2917"/>
      <c r="AH40" s="2917"/>
      <c r="AI40" s="2917"/>
      <c r="AJ40" s="2917"/>
      <c r="AK40" s="2917"/>
      <c r="AL40" s="2917"/>
      <c r="AM40" s="2917"/>
      <c r="AN40" s="2917"/>
      <c r="AO40" s="2917"/>
      <c r="AP40" s="2917"/>
      <c r="AQ40" s="2917"/>
      <c r="AR40" s="2917"/>
      <c r="AS40" s="2917"/>
      <c r="AT40" s="2917"/>
      <c r="AU40" s="2917"/>
      <c r="AV40" s="2917"/>
      <c r="AW40" s="2917"/>
      <c r="AX40" s="2917"/>
      <c r="AY40" s="2917"/>
      <c r="AZ40" s="2917"/>
    </row>
    <row r="41" ht="14.25" spans="1:52">
      <c r="A41" s="2932" t="s">
        <v>642</v>
      </c>
      <c r="B41" s="2958">
        <f>B42+B43</f>
        <v>0.056</v>
      </c>
      <c r="C41" s="2946"/>
      <c r="D41" s="2920"/>
      <c r="E41" s="2919"/>
      <c r="F41" s="2919"/>
      <c r="G41" s="2919"/>
      <c r="H41" s="2919"/>
      <c r="I41" s="2919"/>
      <c r="J41" s="2919"/>
      <c r="K41" s="3003"/>
      <c r="L41" s="3003"/>
      <c r="M41" s="2917"/>
      <c r="N41" s="2917"/>
      <c r="O41" s="2917"/>
      <c r="P41" s="2917"/>
      <c r="Q41" s="2917"/>
      <c r="R41" s="2917"/>
      <c r="S41" s="2917"/>
      <c r="T41" s="2917"/>
      <c r="U41" s="2917"/>
      <c r="V41" s="2917"/>
      <c r="W41" s="2917"/>
      <c r="X41" s="2917"/>
      <c r="Y41" s="2917"/>
      <c r="Z41" s="2917"/>
      <c r="AA41" s="2917"/>
      <c r="AB41" s="2917"/>
      <c r="AC41" s="2917"/>
      <c r="AD41" s="2917"/>
      <c r="AE41" s="2917"/>
      <c r="AF41" s="2917"/>
      <c r="AG41" s="2917"/>
      <c r="AH41" s="2917"/>
      <c r="AI41" s="2917"/>
      <c r="AJ41" s="2917"/>
      <c r="AK41" s="2917"/>
      <c r="AL41" s="2917"/>
      <c r="AM41" s="2917"/>
      <c r="AN41" s="2917"/>
      <c r="AO41" s="2917"/>
      <c r="AP41" s="2917"/>
      <c r="AQ41" s="2917"/>
      <c r="AR41" s="2917"/>
      <c r="AS41" s="2917"/>
      <c r="AT41" s="2917"/>
      <c r="AU41" s="2917"/>
      <c r="AV41" s="2917"/>
      <c r="AW41" s="2917"/>
      <c r="AX41" s="2917"/>
      <c r="AY41" s="2917"/>
      <c r="AZ41" s="2917"/>
    </row>
    <row r="42" ht="14.25" spans="1:52">
      <c r="A42" s="2959" t="s">
        <v>643</v>
      </c>
      <c r="B42" s="2960">
        <v>0.05</v>
      </c>
      <c r="C42" s="2961">
        <f>IF(B2&lt;DATE(2016,5,1),0,B42)</f>
        <v>0.05</v>
      </c>
      <c r="D42" s="2920"/>
      <c r="E42" s="2919"/>
      <c r="F42" s="2919"/>
      <c r="G42" s="2919"/>
      <c r="H42" s="2919"/>
      <c r="I42" s="2919"/>
      <c r="J42" s="2919"/>
      <c r="K42" s="3003"/>
      <c r="L42" s="3003"/>
      <c r="M42" s="2917"/>
      <c r="N42" s="2917"/>
      <c r="O42" s="2917"/>
      <c r="P42" s="2917"/>
      <c r="Q42" s="2917"/>
      <c r="R42" s="2917"/>
      <c r="S42" s="2917"/>
      <c r="T42" s="2917"/>
      <c r="U42" s="2917"/>
      <c r="V42" s="2917"/>
      <c r="W42" s="2917"/>
      <c r="X42" s="2917"/>
      <c r="Y42" s="2917"/>
      <c r="Z42" s="2917"/>
      <c r="AA42" s="2917"/>
      <c r="AB42" s="2917"/>
      <c r="AC42" s="2917"/>
      <c r="AD42" s="2917"/>
      <c r="AE42" s="2917"/>
      <c r="AF42" s="2917"/>
      <c r="AG42" s="2917"/>
      <c r="AH42" s="2917"/>
      <c r="AI42" s="2917"/>
      <c r="AJ42" s="2917"/>
      <c r="AK42" s="2917"/>
      <c r="AL42" s="2917"/>
      <c r="AM42" s="2917"/>
      <c r="AN42" s="2917"/>
      <c r="AO42" s="2917"/>
      <c r="AP42" s="2917"/>
      <c r="AQ42" s="2917"/>
      <c r="AR42" s="2917"/>
      <c r="AS42" s="2917"/>
      <c r="AT42" s="2917"/>
      <c r="AU42" s="2917"/>
      <c r="AV42" s="2917"/>
      <c r="AW42" s="2917"/>
      <c r="AX42" s="2917"/>
      <c r="AY42" s="2917"/>
      <c r="AZ42" s="2917"/>
    </row>
    <row r="43" ht="14.25" spans="1:52">
      <c r="A43" s="2959" t="s">
        <v>644</v>
      </c>
      <c r="B43" s="2962">
        <f>B42*(B44+B45+B46)+B47</f>
        <v>0.006</v>
      </c>
      <c r="C43" s="2946"/>
      <c r="D43" s="2920"/>
      <c r="E43" s="2919"/>
      <c r="F43" s="2919"/>
      <c r="G43" s="2919"/>
      <c r="H43" s="2919"/>
      <c r="I43" s="2919"/>
      <c r="J43" s="2919"/>
      <c r="K43" s="3003"/>
      <c r="L43" s="3003"/>
      <c r="M43" s="2917"/>
      <c r="N43" s="2917"/>
      <c r="O43" s="2917"/>
      <c r="P43" s="2917"/>
      <c r="Q43" s="2917"/>
      <c r="R43" s="2917"/>
      <c r="S43" s="2917"/>
      <c r="T43" s="2917"/>
      <c r="U43" s="2917"/>
      <c r="V43" s="2917"/>
      <c r="W43" s="2917"/>
      <c r="X43" s="2917"/>
      <c r="Y43" s="2917"/>
      <c r="Z43" s="2917"/>
      <c r="AA43" s="2917"/>
      <c r="AB43" s="2917"/>
      <c r="AC43" s="2917"/>
      <c r="AD43" s="2917"/>
      <c r="AE43" s="2917"/>
      <c r="AF43" s="2917"/>
      <c r="AG43" s="2917"/>
      <c r="AH43" s="2917"/>
      <c r="AI43" s="2917"/>
      <c r="AJ43" s="2917"/>
      <c r="AK43" s="2917"/>
      <c r="AL43" s="2917"/>
      <c r="AM43" s="2917"/>
      <c r="AN43" s="2917"/>
      <c r="AO43" s="2917"/>
      <c r="AP43" s="2917"/>
      <c r="AQ43" s="2917"/>
      <c r="AR43" s="2917"/>
      <c r="AS43" s="2917"/>
      <c r="AT43" s="2917"/>
      <c r="AU43" s="2917"/>
      <c r="AV43" s="2917"/>
      <c r="AW43" s="2917"/>
      <c r="AX43" s="2917"/>
      <c r="AY43" s="2917"/>
      <c r="AZ43" s="2917"/>
    </row>
    <row r="44" ht="14.25" spans="1:52">
      <c r="A44" s="2963" t="s">
        <v>645</v>
      </c>
      <c r="B44" s="2964">
        <v>0.07</v>
      </c>
      <c r="C44" s="2950" t="s">
        <v>646</v>
      </c>
      <c r="D44" s="2920"/>
      <c r="E44" s="2919"/>
      <c r="F44" s="2919"/>
      <c r="G44" s="2919"/>
      <c r="H44" s="2919"/>
      <c r="I44" s="2919"/>
      <c r="J44" s="2919"/>
      <c r="K44" s="3003"/>
      <c r="L44" s="3003"/>
      <c r="M44" s="2917"/>
      <c r="N44" s="2917"/>
      <c r="O44" s="2917"/>
      <c r="P44" s="2917"/>
      <c r="Q44" s="2917"/>
      <c r="R44" s="2917"/>
      <c r="S44" s="2917"/>
      <c r="T44" s="2917"/>
      <c r="U44" s="2917"/>
      <c r="V44" s="2917"/>
      <c r="W44" s="2917"/>
      <c r="X44" s="2917"/>
      <c r="Y44" s="2917"/>
      <c r="Z44" s="2917"/>
      <c r="AA44" s="2917"/>
      <c r="AB44" s="2917"/>
      <c r="AC44" s="2917"/>
      <c r="AD44" s="2917"/>
      <c r="AE44" s="2917"/>
      <c r="AF44" s="2917"/>
      <c r="AG44" s="2917"/>
      <c r="AH44" s="2917"/>
      <c r="AI44" s="2917"/>
      <c r="AJ44" s="2917"/>
      <c r="AK44" s="2917"/>
      <c r="AL44" s="2917"/>
      <c r="AM44" s="2917"/>
      <c r="AN44" s="2917"/>
      <c r="AO44" s="2917"/>
      <c r="AP44" s="2917"/>
      <c r="AQ44" s="2917"/>
      <c r="AR44" s="2917"/>
      <c r="AS44" s="2917"/>
      <c r="AT44" s="2917"/>
      <c r="AU44" s="2917"/>
      <c r="AV44" s="2917"/>
      <c r="AW44" s="2917"/>
      <c r="AX44" s="2917"/>
      <c r="AY44" s="2917"/>
      <c r="AZ44" s="2917"/>
    </row>
    <row r="45" ht="14.25" spans="1:52">
      <c r="A45" s="2965" t="s">
        <v>647</v>
      </c>
      <c r="B45" s="2960">
        <v>0.03</v>
      </c>
      <c r="C45" s="2966" t="s">
        <v>648</v>
      </c>
      <c r="D45" s="2920"/>
      <c r="E45" s="2919"/>
      <c r="F45" s="2919"/>
      <c r="G45" s="2919"/>
      <c r="H45" s="2919"/>
      <c r="I45" s="2919"/>
      <c r="J45" s="2919"/>
      <c r="K45" s="3003"/>
      <c r="L45" s="3003"/>
      <c r="M45" s="2917"/>
      <c r="N45" s="2917"/>
      <c r="O45" s="2917"/>
      <c r="P45" s="2917"/>
      <c r="Q45" s="2917"/>
      <c r="R45" s="2917"/>
      <c r="S45" s="2917"/>
      <c r="T45" s="2917"/>
      <c r="U45" s="2917"/>
      <c r="V45" s="2917"/>
      <c r="W45" s="2917"/>
      <c r="X45" s="2917"/>
      <c r="Y45" s="2917"/>
      <c r="Z45" s="2917"/>
      <c r="AA45" s="2917"/>
      <c r="AB45" s="2917"/>
      <c r="AC45" s="2917"/>
      <c r="AD45" s="2917"/>
      <c r="AE45" s="2917"/>
      <c r="AF45" s="2917"/>
      <c r="AG45" s="2917"/>
      <c r="AH45" s="2917"/>
      <c r="AI45" s="2917"/>
      <c r="AJ45" s="2917"/>
      <c r="AK45" s="2917"/>
      <c r="AL45" s="2917"/>
      <c r="AM45" s="2917"/>
      <c r="AN45" s="2917"/>
      <c r="AO45" s="2917"/>
      <c r="AP45" s="2917"/>
      <c r="AQ45" s="2917"/>
      <c r="AR45" s="2917"/>
      <c r="AS45" s="2917"/>
      <c r="AT45" s="2917"/>
      <c r="AU45" s="2917"/>
      <c r="AV45" s="2917"/>
      <c r="AW45" s="2917"/>
      <c r="AX45" s="2917"/>
      <c r="AY45" s="2917"/>
      <c r="AZ45" s="2917"/>
    </row>
    <row r="46" ht="14.25" spans="1:52">
      <c r="A46" s="2965" t="s">
        <v>649</v>
      </c>
      <c r="B46" s="2960">
        <v>0.02</v>
      </c>
      <c r="C46" s="2966" t="s">
        <v>650</v>
      </c>
      <c r="D46" s="2920"/>
      <c r="E46" s="2919"/>
      <c r="F46" s="2919"/>
      <c r="G46" s="2919"/>
      <c r="H46" s="2919"/>
      <c r="I46" s="2919"/>
      <c r="J46" s="2919"/>
      <c r="K46" s="3003"/>
      <c r="L46" s="3003"/>
      <c r="M46" s="2917"/>
      <c r="N46" s="2917"/>
      <c r="O46" s="2917"/>
      <c r="P46" s="2917"/>
      <c r="Q46" s="2917"/>
      <c r="R46" s="2917"/>
      <c r="S46" s="2917"/>
      <c r="T46" s="2917"/>
      <c r="U46" s="2917"/>
      <c r="V46" s="2917"/>
      <c r="W46" s="2917"/>
      <c r="X46" s="2917"/>
      <c r="Y46" s="2917"/>
      <c r="Z46" s="2917"/>
      <c r="AA46" s="2917"/>
      <c r="AB46" s="2917"/>
      <c r="AC46" s="2917"/>
      <c r="AD46" s="2917"/>
      <c r="AE46" s="2917"/>
      <c r="AF46" s="2917"/>
      <c r="AG46" s="2917"/>
      <c r="AH46" s="2917"/>
      <c r="AI46" s="2917"/>
      <c r="AJ46" s="2917"/>
      <c r="AK46" s="2917"/>
      <c r="AL46" s="2917"/>
      <c r="AM46" s="2917"/>
      <c r="AN46" s="2917"/>
      <c r="AO46" s="2917"/>
      <c r="AP46" s="2917"/>
      <c r="AQ46" s="2917"/>
      <c r="AR46" s="2917"/>
      <c r="AS46" s="2917"/>
      <c r="AT46" s="2917"/>
      <c r="AU46" s="2917"/>
      <c r="AV46" s="2917"/>
      <c r="AW46" s="2917"/>
      <c r="AX46" s="2917"/>
      <c r="AY46" s="2917"/>
      <c r="AZ46" s="2917"/>
    </row>
    <row r="47" ht="15" spans="1:52">
      <c r="A47" s="2967" t="s">
        <v>651</v>
      </c>
      <c r="B47" s="2968"/>
      <c r="C47" s="2934" t="s">
        <v>652</v>
      </c>
      <c r="D47" s="2920"/>
      <c r="E47" s="2919"/>
      <c r="F47" s="2919"/>
      <c r="G47" s="2919"/>
      <c r="H47" s="2919"/>
      <c r="I47" s="2919"/>
      <c r="J47" s="2919"/>
      <c r="K47" s="3003"/>
      <c r="L47" s="3003"/>
      <c r="M47" s="2917"/>
      <c r="N47" s="2917"/>
      <c r="O47" s="2917"/>
      <c r="P47" s="2917"/>
      <c r="Q47" s="2917"/>
      <c r="R47" s="2917"/>
      <c r="S47" s="2917"/>
      <c r="T47" s="2917"/>
      <c r="U47" s="2917"/>
      <c r="V47" s="2917"/>
      <c r="W47" s="2917"/>
      <c r="X47" s="2917"/>
      <c r="Y47" s="2917"/>
      <c r="Z47" s="2917"/>
      <c r="AA47" s="2917"/>
      <c r="AB47" s="2917"/>
      <c r="AC47" s="2917"/>
      <c r="AD47" s="2917"/>
      <c r="AE47" s="2917"/>
      <c r="AF47" s="2917"/>
      <c r="AG47" s="2917"/>
      <c r="AH47" s="2917"/>
      <c r="AI47" s="2917"/>
      <c r="AJ47" s="2917"/>
      <c r="AK47" s="2917"/>
      <c r="AL47" s="2917"/>
      <c r="AM47" s="2917"/>
      <c r="AN47" s="2917"/>
      <c r="AO47" s="2917"/>
      <c r="AP47" s="2917"/>
      <c r="AQ47" s="2917"/>
      <c r="AR47" s="2917"/>
      <c r="AS47" s="2917"/>
      <c r="AT47" s="2917"/>
      <c r="AU47" s="2917"/>
      <c r="AV47" s="2917"/>
      <c r="AW47" s="2917"/>
      <c r="AX47" s="2917"/>
      <c r="AY47" s="2917"/>
      <c r="AZ47" s="2917"/>
    </row>
    <row r="48" ht="14.25" spans="1:52">
      <c r="A48" s="2969" t="s">
        <v>653</v>
      </c>
      <c r="B48" s="2970">
        <v>0.03</v>
      </c>
      <c r="C48" s="2966" t="s">
        <v>648</v>
      </c>
      <c r="D48" s="2920"/>
      <c r="E48" s="2919"/>
      <c r="F48" s="2919"/>
      <c r="G48" s="2919"/>
      <c r="H48" s="2919"/>
      <c r="I48" s="2919"/>
      <c r="J48" s="2919"/>
      <c r="K48" s="3003"/>
      <c r="L48" s="3003"/>
      <c r="M48" s="2917"/>
      <c r="N48" s="2917"/>
      <c r="O48" s="2917"/>
      <c r="P48" s="2917"/>
      <c r="Q48" s="2917"/>
      <c r="R48" s="2917"/>
      <c r="S48" s="2917"/>
      <c r="T48" s="2917"/>
      <c r="U48" s="2917"/>
      <c r="V48" s="2917"/>
      <c r="W48" s="2917"/>
      <c r="X48" s="2917"/>
      <c r="Y48" s="2917"/>
      <c r="Z48" s="2917"/>
      <c r="AA48" s="2917"/>
      <c r="AB48" s="2917"/>
      <c r="AC48" s="2917"/>
      <c r="AD48" s="2917"/>
      <c r="AE48" s="2917"/>
      <c r="AF48" s="2917"/>
      <c r="AG48" s="2917"/>
      <c r="AH48" s="2917"/>
      <c r="AI48" s="2917"/>
      <c r="AJ48" s="2917"/>
      <c r="AK48" s="2917"/>
      <c r="AL48" s="2917"/>
      <c r="AM48" s="2917"/>
      <c r="AN48" s="2917"/>
      <c r="AO48" s="2917"/>
      <c r="AP48" s="2917"/>
      <c r="AQ48" s="2917"/>
      <c r="AR48" s="2917"/>
      <c r="AS48" s="2917"/>
      <c r="AT48" s="2917"/>
      <c r="AU48" s="2917"/>
      <c r="AV48" s="2917"/>
      <c r="AW48" s="2917"/>
      <c r="AX48" s="2917"/>
      <c r="AY48" s="2917"/>
      <c r="AZ48" s="2917"/>
    </row>
    <row r="49" ht="15" spans="1:52">
      <c r="A49" s="2947" t="s">
        <v>654</v>
      </c>
      <c r="B49" s="2960">
        <v>0.0005</v>
      </c>
      <c r="C49" s="2966" t="s">
        <v>655</v>
      </c>
      <c r="D49" s="2920"/>
      <c r="E49" s="2919"/>
      <c r="F49" s="2919"/>
      <c r="G49" s="2919"/>
      <c r="H49" s="2919"/>
      <c r="I49" s="2919"/>
      <c r="J49" s="2919"/>
      <c r="K49" s="3003"/>
      <c r="L49" s="3003"/>
      <c r="M49" s="2917"/>
      <c r="N49" s="2917"/>
      <c r="O49" s="2917"/>
      <c r="P49" s="2917"/>
      <c r="Q49" s="2917"/>
      <c r="R49" s="2917"/>
      <c r="S49" s="2917"/>
      <c r="T49" s="2917"/>
      <c r="U49" s="2917"/>
      <c r="V49" s="2917"/>
      <c r="W49" s="2917"/>
      <c r="X49" s="2917"/>
      <c r="Y49" s="2917"/>
      <c r="Z49" s="2917"/>
      <c r="AA49" s="2917"/>
      <c r="AB49" s="2917"/>
      <c r="AC49" s="2917"/>
      <c r="AD49" s="2917"/>
      <c r="AE49" s="2917"/>
      <c r="AF49" s="2917"/>
      <c r="AG49" s="2917"/>
      <c r="AH49" s="2917"/>
      <c r="AI49" s="2917"/>
      <c r="AJ49" s="2917"/>
      <c r="AK49" s="2917"/>
      <c r="AL49" s="2917"/>
      <c r="AM49" s="2917"/>
      <c r="AN49" s="2917"/>
      <c r="AO49" s="2917"/>
      <c r="AP49" s="2917"/>
      <c r="AQ49" s="2917"/>
      <c r="AR49" s="2917"/>
      <c r="AS49" s="2917"/>
      <c r="AT49" s="2917"/>
      <c r="AU49" s="2917"/>
      <c r="AV49" s="2917"/>
      <c r="AW49" s="2917"/>
      <c r="AX49" s="2917"/>
      <c r="AY49" s="2917"/>
      <c r="AZ49" s="2917"/>
    </row>
    <row r="50" ht="14.25" spans="1:52">
      <c r="A50" s="2971" t="s">
        <v>656</v>
      </c>
      <c r="B50" s="2972">
        <v>0.012</v>
      </c>
      <c r="C50" s="2939"/>
      <c r="D50" s="2920"/>
      <c r="E50" s="2919"/>
      <c r="F50" s="2919"/>
      <c r="G50" s="2919"/>
      <c r="H50" s="2919"/>
      <c r="I50" s="2919"/>
      <c r="J50" s="2919"/>
      <c r="K50" s="3003"/>
      <c r="L50" s="3003"/>
      <c r="M50" s="2917"/>
      <c r="N50" s="2917"/>
      <c r="O50" s="2917"/>
      <c r="P50" s="2917"/>
      <c r="Q50" s="2917"/>
      <c r="R50" s="2917"/>
      <c r="S50" s="2917"/>
      <c r="T50" s="2917"/>
      <c r="U50" s="2917"/>
      <c r="V50" s="2917"/>
      <c r="W50" s="2917"/>
      <c r="X50" s="2917"/>
      <c r="Y50" s="2917"/>
      <c r="Z50" s="2917"/>
      <c r="AA50" s="2917"/>
      <c r="AB50" s="2917"/>
      <c r="AC50" s="2917"/>
      <c r="AD50" s="2917"/>
      <c r="AE50" s="2917"/>
      <c r="AF50" s="2917"/>
      <c r="AG50" s="2917"/>
      <c r="AH50" s="2917"/>
      <c r="AI50" s="2917"/>
      <c r="AJ50" s="2917"/>
      <c r="AK50" s="2917"/>
      <c r="AL50" s="2917"/>
      <c r="AM50" s="2917"/>
      <c r="AN50" s="2917"/>
      <c r="AO50" s="2917"/>
      <c r="AP50" s="2917"/>
      <c r="AQ50" s="2917"/>
      <c r="AR50" s="2917"/>
      <c r="AS50" s="2917"/>
      <c r="AT50" s="2917"/>
      <c r="AU50" s="2917"/>
      <c r="AV50" s="2917"/>
      <c r="AW50" s="2917"/>
      <c r="AX50" s="2917"/>
      <c r="AY50" s="2917"/>
      <c r="AZ50" s="2917"/>
    </row>
    <row r="51" ht="15" spans="1:52">
      <c r="A51" s="2940" t="s">
        <v>657</v>
      </c>
      <c r="B51" s="2973">
        <v>0.12</v>
      </c>
      <c r="C51" s="2939"/>
      <c r="D51" s="2920"/>
      <c r="E51" s="2919"/>
      <c r="F51" s="2919"/>
      <c r="G51" s="2919"/>
      <c r="H51" s="2919"/>
      <c r="I51" s="2919"/>
      <c r="J51" s="2919"/>
      <c r="K51" s="3003"/>
      <c r="L51" s="3003"/>
      <c r="M51" s="2917"/>
      <c r="N51" s="2917"/>
      <c r="O51" s="2917"/>
      <c r="P51" s="2917"/>
      <c r="Q51" s="2917"/>
      <c r="R51" s="2917"/>
      <c r="S51" s="2917"/>
      <c r="T51" s="2917"/>
      <c r="U51" s="2917"/>
      <c r="V51" s="2917"/>
      <c r="W51" s="2917"/>
      <c r="X51" s="2917"/>
      <c r="Y51" s="2917"/>
      <c r="Z51" s="2917"/>
      <c r="AA51" s="2917"/>
      <c r="AB51" s="2917"/>
      <c r="AC51" s="2917"/>
      <c r="AD51" s="2917"/>
      <c r="AE51" s="2917"/>
      <c r="AF51" s="2917"/>
      <c r="AG51" s="2917"/>
      <c r="AH51" s="2917"/>
      <c r="AI51" s="2917"/>
      <c r="AJ51" s="2917"/>
      <c r="AK51" s="2917"/>
      <c r="AL51" s="2917"/>
      <c r="AM51" s="2917"/>
      <c r="AN51" s="2917"/>
      <c r="AO51" s="2917"/>
      <c r="AP51" s="2917"/>
      <c r="AQ51" s="2917"/>
      <c r="AR51" s="2917"/>
      <c r="AS51" s="2917"/>
      <c r="AT51" s="2917"/>
      <c r="AU51" s="2917"/>
      <c r="AV51" s="2917"/>
      <c r="AW51" s="2917"/>
      <c r="AX51" s="2917"/>
      <c r="AY51" s="2917"/>
      <c r="AZ51" s="2917"/>
    </row>
    <row r="52" ht="14.25" spans="1:52">
      <c r="A52" s="2971" t="s">
        <v>658</v>
      </c>
      <c r="B52" s="2974">
        <f>SUMIF(A54:A63,B53,B54:B63)</f>
        <v>0</v>
      </c>
      <c r="C52" s="2939"/>
      <c r="D52" s="2920"/>
      <c r="E52" s="2919"/>
      <c r="F52" s="2919"/>
      <c r="G52" s="2919"/>
      <c r="H52" s="2919"/>
      <c r="I52" s="2919"/>
      <c r="J52" s="2919"/>
      <c r="K52" s="3003"/>
      <c r="L52" s="3003"/>
      <c r="M52" s="2917"/>
      <c r="N52" s="2917"/>
      <c r="O52" s="2917"/>
      <c r="P52" s="2917"/>
      <c r="Q52" s="2917"/>
      <c r="R52" s="2917"/>
      <c r="S52" s="2917"/>
      <c r="T52" s="2917"/>
      <c r="U52" s="2917"/>
      <c r="V52" s="2917"/>
      <c r="W52" s="2917"/>
      <c r="X52" s="2917"/>
      <c r="Y52" s="2917"/>
      <c r="Z52" s="2917"/>
      <c r="AA52" s="2917"/>
      <c r="AB52" s="2917"/>
      <c r="AC52" s="2917"/>
      <c r="AD52" s="2917"/>
      <c r="AE52" s="2917"/>
      <c r="AF52" s="2917"/>
      <c r="AG52" s="2917"/>
      <c r="AH52" s="2917"/>
      <c r="AI52" s="2917"/>
      <c r="AJ52" s="2917"/>
      <c r="AK52" s="2917"/>
      <c r="AL52" s="2917"/>
      <c r="AM52" s="2917"/>
      <c r="AN52" s="2917"/>
      <c r="AO52" s="2917"/>
      <c r="AP52" s="2917"/>
      <c r="AQ52" s="2917"/>
      <c r="AR52" s="2917"/>
      <c r="AS52" s="2917"/>
      <c r="AT52" s="2917"/>
      <c r="AU52" s="2917"/>
      <c r="AV52" s="2917"/>
      <c r="AW52" s="2917"/>
      <c r="AX52" s="2917"/>
      <c r="AY52" s="2917"/>
      <c r="AZ52" s="2917"/>
    </row>
    <row r="53" ht="27" spans="1:52">
      <c r="A53" s="2937" t="s">
        <v>659</v>
      </c>
      <c r="B53" s="2975"/>
      <c r="C53" s="2976" t="s">
        <v>660</v>
      </c>
      <c r="D53" s="2977" t="s">
        <v>661</v>
      </c>
      <c r="E53" s="2919"/>
      <c r="F53" s="2919"/>
      <c r="G53" s="2919"/>
      <c r="H53" s="2919"/>
      <c r="I53" s="2919"/>
      <c r="J53" s="2919"/>
      <c r="K53" s="3003"/>
      <c r="L53" s="3003"/>
      <c r="M53" s="2917"/>
      <c r="N53" s="2917"/>
      <c r="O53" s="2917"/>
      <c r="P53" s="2917"/>
      <c r="Q53" s="2917"/>
      <c r="R53" s="2917"/>
      <c r="S53" s="2917"/>
      <c r="T53" s="2917"/>
      <c r="U53" s="2917"/>
      <c r="V53" s="2917"/>
      <c r="W53" s="2917"/>
      <c r="X53" s="2917"/>
      <c r="Y53" s="2917"/>
      <c r="Z53" s="2917"/>
      <c r="AA53" s="2917"/>
      <c r="AB53" s="2917"/>
      <c r="AC53" s="2917"/>
      <c r="AD53" s="2917"/>
      <c r="AE53" s="2917"/>
      <c r="AF53" s="2917"/>
      <c r="AG53" s="2917"/>
      <c r="AH53" s="2917"/>
      <c r="AI53" s="2917"/>
      <c r="AJ53" s="2917"/>
      <c r="AK53" s="2917"/>
      <c r="AL53" s="2917"/>
      <c r="AM53" s="2917"/>
      <c r="AN53" s="2917"/>
      <c r="AO53" s="2917"/>
      <c r="AP53" s="2917"/>
      <c r="AQ53" s="2917"/>
      <c r="AR53" s="2917"/>
      <c r="AS53" s="2917"/>
      <c r="AT53" s="2917"/>
      <c r="AU53" s="2917"/>
      <c r="AV53" s="2917"/>
      <c r="AW53" s="2917"/>
      <c r="AX53" s="2917"/>
      <c r="AY53" s="2917"/>
      <c r="AZ53" s="2917"/>
    </row>
    <row r="54" ht="14.25" spans="1:52">
      <c r="A54" s="2978" t="s">
        <v>240</v>
      </c>
      <c r="B54" s="2979"/>
      <c r="C54" s="2936">
        <v>30</v>
      </c>
      <c r="D54" s="2980"/>
      <c r="E54" s="2919"/>
      <c r="F54" s="2919"/>
      <c r="G54" s="2919"/>
      <c r="H54" s="2919"/>
      <c r="I54" s="2919"/>
      <c r="J54" s="2919"/>
      <c r="K54" s="3003"/>
      <c r="L54" s="3003"/>
      <c r="M54" s="2917"/>
      <c r="N54" s="2917"/>
      <c r="O54" s="2917"/>
      <c r="P54" s="2917"/>
      <c r="Q54" s="2917"/>
      <c r="R54" s="2917"/>
      <c r="S54" s="2917"/>
      <c r="T54" s="2917"/>
      <c r="U54" s="2917"/>
      <c r="V54" s="2917"/>
      <c r="W54" s="2917"/>
      <c r="X54" s="2917"/>
      <c r="Y54" s="2917"/>
      <c r="Z54" s="2917"/>
      <c r="AA54" s="2917"/>
      <c r="AB54" s="2917"/>
      <c r="AC54" s="2917"/>
      <c r="AD54" s="2917"/>
      <c r="AE54" s="2917"/>
      <c r="AF54" s="2917"/>
      <c r="AG54" s="2917"/>
      <c r="AH54" s="2917"/>
      <c r="AI54" s="2917"/>
      <c r="AJ54" s="2917"/>
      <c r="AK54" s="2917"/>
      <c r="AL54" s="2917"/>
      <c r="AM54" s="2917"/>
      <c r="AN54" s="2917"/>
      <c r="AO54" s="2917"/>
      <c r="AP54" s="2917"/>
      <c r="AQ54" s="2917"/>
      <c r="AR54" s="2917"/>
      <c r="AS54" s="2917"/>
      <c r="AT54" s="2917"/>
      <c r="AU54" s="2917"/>
      <c r="AV54" s="2917"/>
      <c r="AW54" s="2917"/>
      <c r="AX54" s="2917"/>
      <c r="AY54" s="2917"/>
      <c r="AZ54" s="2917"/>
    </row>
    <row r="55" ht="14.25" spans="1:52">
      <c r="A55" s="2978" t="s">
        <v>253</v>
      </c>
      <c r="B55" s="2979"/>
      <c r="C55" s="2936">
        <v>24</v>
      </c>
      <c r="D55" s="2980"/>
      <c r="E55" s="2919"/>
      <c r="F55" s="2919"/>
      <c r="G55" s="2919"/>
      <c r="H55" s="2919"/>
      <c r="I55" s="2919"/>
      <c r="J55" s="2919"/>
      <c r="K55" s="3003"/>
      <c r="L55" s="3003"/>
      <c r="M55" s="2917"/>
      <c r="N55" s="2917"/>
      <c r="O55" s="2917"/>
      <c r="P55" s="2917"/>
      <c r="Q55" s="2917"/>
      <c r="R55" s="2917"/>
      <c r="S55" s="2917"/>
      <c r="T55" s="2917"/>
      <c r="U55" s="2917"/>
      <c r="V55" s="2917"/>
      <c r="W55" s="2917"/>
      <c r="X55" s="2917"/>
      <c r="Y55" s="2917"/>
      <c r="Z55" s="2917"/>
      <c r="AA55" s="2917"/>
      <c r="AB55" s="2917"/>
      <c r="AC55" s="2917"/>
      <c r="AD55" s="2917"/>
      <c r="AE55" s="2917"/>
      <c r="AF55" s="2917"/>
      <c r="AG55" s="2917"/>
      <c r="AH55" s="2917"/>
      <c r="AI55" s="2917"/>
      <c r="AJ55" s="2917"/>
      <c r="AK55" s="2917"/>
      <c r="AL55" s="2917"/>
      <c r="AM55" s="2917"/>
      <c r="AN55" s="2917"/>
      <c r="AO55" s="2917"/>
      <c r="AP55" s="2917"/>
      <c r="AQ55" s="2917"/>
      <c r="AR55" s="2917"/>
      <c r="AS55" s="2917"/>
      <c r="AT55" s="2917"/>
      <c r="AU55" s="2917"/>
      <c r="AV55" s="2917"/>
      <c r="AW55" s="2917"/>
      <c r="AX55" s="2917"/>
      <c r="AY55" s="2917"/>
      <c r="AZ55" s="2917"/>
    </row>
    <row r="56" ht="14.25" spans="1:52">
      <c r="A56" s="2978" t="s">
        <v>265</v>
      </c>
      <c r="B56" s="2979"/>
      <c r="C56" s="2936">
        <v>18</v>
      </c>
      <c r="D56" s="2980"/>
      <c r="E56" s="2919"/>
      <c r="F56" s="2919"/>
      <c r="G56" s="2919"/>
      <c r="H56" s="2919"/>
      <c r="I56" s="2919"/>
      <c r="J56" s="2919"/>
      <c r="K56" s="3003"/>
      <c r="L56" s="3003"/>
      <c r="M56" s="2917"/>
      <c r="N56" s="2917"/>
      <c r="O56" s="2917"/>
      <c r="P56" s="2917"/>
      <c r="Q56" s="2917"/>
      <c r="R56" s="2917"/>
      <c r="S56" s="2917"/>
      <c r="T56" s="2917"/>
      <c r="U56" s="2917"/>
      <c r="V56" s="2917"/>
      <c r="W56" s="2917"/>
      <c r="X56" s="2917"/>
      <c r="Y56" s="2917"/>
      <c r="Z56" s="2917"/>
      <c r="AA56" s="2917"/>
      <c r="AB56" s="2917"/>
      <c r="AC56" s="2917"/>
      <c r="AD56" s="2917"/>
      <c r="AE56" s="2917"/>
      <c r="AF56" s="2917"/>
      <c r="AG56" s="2917"/>
      <c r="AH56" s="2917"/>
      <c r="AI56" s="2917"/>
      <c r="AJ56" s="2917"/>
      <c r="AK56" s="2917"/>
      <c r="AL56" s="2917"/>
      <c r="AM56" s="2917"/>
      <c r="AN56" s="2917"/>
      <c r="AO56" s="2917"/>
      <c r="AP56" s="2917"/>
      <c r="AQ56" s="2917"/>
      <c r="AR56" s="2917"/>
      <c r="AS56" s="2917"/>
      <c r="AT56" s="2917"/>
      <c r="AU56" s="2917"/>
      <c r="AV56" s="2917"/>
      <c r="AW56" s="2917"/>
      <c r="AX56" s="2917"/>
      <c r="AY56" s="2917"/>
      <c r="AZ56" s="2917"/>
    </row>
    <row r="57" ht="14.25" spans="1:52">
      <c r="A57" s="2978" t="s">
        <v>275</v>
      </c>
      <c r="B57" s="2979"/>
      <c r="C57" s="2936">
        <v>12</v>
      </c>
      <c r="D57" s="2980"/>
      <c r="E57" s="2919"/>
      <c r="F57" s="2919"/>
      <c r="G57" s="2919"/>
      <c r="H57" s="2919"/>
      <c r="I57" s="2919"/>
      <c r="J57" s="2919"/>
      <c r="K57" s="3003"/>
      <c r="L57" s="3003"/>
      <c r="M57" s="2917"/>
      <c r="N57" s="2917"/>
      <c r="O57" s="2917"/>
      <c r="P57" s="2917"/>
      <c r="Q57" s="2917"/>
      <c r="R57" s="2917"/>
      <c r="S57" s="2917"/>
      <c r="T57" s="2917"/>
      <c r="U57" s="2917"/>
      <c r="V57" s="2917"/>
      <c r="W57" s="2917"/>
      <c r="X57" s="2917"/>
      <c r="Y57" s="2917"/>
      <c r="Z57" s="2917"/>
      <c r="AA57" s="2917"/>
      <c r="AB57" s="2917"/>
      <c r="AC57" s="2917"/>
      <c r="AD57" s="2917"/>
      <c r="AE57" s="2917"/>
      <c r="AF57" s="2917"/>
      <c r="AG57" s="2917"/>
      <c r="AH57" s="2917"/>
      <c r="AI57" s="2917"/>
      <c r="AJ57" s="2917"/>
      <c r="AK57" s="2917"/>
      <c r="AL57" s="2917"/>
      <c r="AM57" s="2917"/>
      <c r="AN57" s="2917"/>
      <c r="AO57" s="2917"/>
      <c r="AP57" s="2917"/>
      <c r="AQ57" s="2917"/>
      <c r="AR57" s="2917"/>
      <c r="AS57" s="2917"/>
      <c r="AT57" s="2917"/>
      <c r="AU57" s="2917"/>
      <c r="AV57" s="2917"/>
      <c r="AW57" s="2917"/>
      <c r="AX57" s="2917"/>
      <c r="AY57" s="2917"/>
      <c r="AZ57" s="2917"/>
    </row>
    <row r="58" ht="14.25" spans="1:52">
      <c r="A58" s="2978" t="s">
        <v>284</v>
      </c>
      <c r="B58" s="2979"/>
      <c r="C58" s="2936">
        <v>3</v>
      </c>
      <c r="D58" s="2980"/>
      <c r="E58" s="2919"/>
      <c r="F58" s="2919"/>
      <c r="G58" s="2919"/>
      <c r="H58" s="2919"/>
      <c r="I58" s="2919"/>
      <c r="J58" s="2919"/>
      <c r="K58" s="3003"/>
      <c r="L58" s="3003"/>
      <c r="M58" s="2917"/>
      <c r="N58" s="2917"/>
      <c r="O58" s="2917"/>
      <c r="P58" s="2917"/>
      <c r="Q58" s="2917"/>
      <c r="R58" s="2917"/>
      <c r="S58" s="2917"/>
      <c r="T58" s="2917"/>
      <c r="U58" s="2917"/>
      <c r="V58" s="2917"/>
      <c r="W58" s="2917"/>
      <c r="X58" s="2917"/>
      <c r="Y58" s="2917"/>
      <c r="Z58" s="2917"/>
      <c r="AA58" s="2917"/>
      <c r="AB58" s="2917"/>
      <c r="AC58" s="2917"/>
      <c r="AD58" s="2917"/>
      <c r="AE58" s="2917"/>
      <c r="AF58" s="2917"/>
      <c r="AG58" s="2917"/>
      <c r="AH58" s="2917"/>
      <c r="AI58" s="2917"/>
      <c r="AJ58" s="2917"/>
      <c r="AK58" s="2917"/>
      <c r="AL58" s="2917"/>
      <c r="AM58" s="2917"/>
      <c r="AN58" s="2917"/>
      <c r="AO58" s="2917"/>
      <c r="AP58" s="2917"/>
      <c r="AQ58" s="2917"/>
      <c r="AR58" s="2917"/>
      <c r="AS58" s="2917"/>
      <c r="AT58" s="2917"/>
      <c r="AU58" s="2917"/>
      <c r="AV58" s="2917"/>
      <c r="AW58" s="2917"/>
      <c r="AX58" s="2917"/>
      <c r="AY58" s="2917"/>
      <c r="AZ58" s="2917"/>
    </row>
    <row r="59" ht="14.25" spans="1:52">
      <c r="A59" s="2978" t="s">
        <v>292</v>
      </c>
      <c r="B59" s="2979"/>
      <c r="C59" s="2936">
        <v>1.5</v>
      </c>
      <c r="D59" s="2980"/>
      <c r="E59" s="2919"/>
      <c r="F59" s="2919"/>
      <c r="G59" s="2919"/>
      <c r="H59" s="2919"/>
      <c r="I59" s="2919"/>
      <c r="J59" s="2919"/>
      <c r="K59" s="3003"/>
      <c r="L59" s="3003"/>
      <c r="M59" s="2917"/>
      <c r="N59" s="2917"/>
      <c r="O59" s="2917"/>
      <c r="P59" s="2917"/>
      <c r="Q59" s="2917"/>
      <c r="R59" s="2917"/>
      <c r="S59" s="2917"/>
      <c r="T59" s="2917"/>
      <c r="U59" s="2917"/>
      <c r="V59" s="2917"/>
      <c r="W59" s="2917"/>
      <c r="X59" s="2917"/>
      <c r="Y59" s="2917"/>
      <c r="Z59" s="2917"/>
      <c r="AA59" s="2917"/>
      <c r="AB59" s="2917"/>
      <c r="AC59" s="2917"/>
      <c r="AD59" s="2917"/>
      <c r="AE59" s="2917"/>
      <c r="AF59" s="2917"/>
      <c r="AG59" s="2917"/>
      <c r="AH59" s="2917"/>
      <c r="AI59" s="2917"/>
      <c r="AJ59" s="2917"/>
      <c r="AK59" s="2917"/>
      <c r="AL59" s="2917"/>
      <c r="AM59" s="2917"/>
      <c r="AN59" s="2917"/>
      <c r="AO59" s="2917"/>
      <c r="AP59" s="2917"/>
      <c r="AQ59" s="2917"/>
      <c r="AR59" s="2917"/>
      <c r="AS59" s="2917"/>
      <c r="AT59" s="2917"/>
      <c r="AU59" s="2917"/>
      <c r="AV59" s="2917"/>
      <c r="AW59" s="2917"/>
      <c r="AX59" s="2917"/>
      <c r="AY59" s="2917"/>
      <c r="AZ59" s="2917"/>
    </row>
    <row r="60" ht="14.25" spans="1:52">
      <c r="A60" s="2978" t="s">
        <v>297</v>
      </c>
      <c r="B60" s="2979"/>
      <c r="C60" s="2919"/>
      <c r="D60" s="2920"/>
      <c r="E60" s="2919"/>
      <c r="F60" s="2919"/>
      <c r="G60" s="2919"/>
      <c r="H60" s="2919"/>
      <c r="I60" s="2919"/>
      <c r="J60" s="2919"/>
      <c r="K60" s="3003"/>
      <c r="L60" s="3003"/>
      <c r="M60" s="2917"/>
      <c r="N60" s="2917"/>
      <c r="O60" s="2917"/>
      <c r="P60" s="2917"/>
      <c r="Q60" s="2917"/>
      <c r="R60" s="2917"/>
      <c r="S60" s="2917"/>
      <c r="T60" s="2917"/>
      <c r="U60" s="2917"/>
      <c r="V60" s="2917"/>
      <c r="W60" s="2917"/>
      <c r="X60" s="2917"/>
      <c r="Y60" s="2917"/>
      <c r="Z60" s="2917"/>
      <c r="AA60" s="2917"/>
      <c r="AB60" s="2917"/>
      <c r="AC60" s="2917"/>
      <c r="AD60" s="2917"/>
      <c r="AE60" s="2917"/>
      <c r="AF60" s="2917"/>
      <c r="AG60" s="2917"/>
      <c r="AH60" s="2917"/>
      <c r="AI60" s="2917"/>
      <c r="AJ60" s="2917"/>
      <c r="AK60" s="2917"/>
      <c r="AL60" s="2917"/>
      <c r="AM60" s="2917"/>
      <c r="AN60" s="2917"/>
      <c r="AO60" s="2917"/>
      <c r="AP60" s="2917"/>
      <c r="AQ60" s="2917"/>
      <c r="AR60" s="2917"/>
      <c r="AS60" s="2917"/>
      <c r="AT60" s="2917"/>
      <c r="AU60" s="2917"/>
      <c r="AV60" s="2917"/>
      <c r="AW60" s="2917"/>
      <c r="AX60" s="2917"/>
      <c r="AY60" s="2917"/>
      <c r="AZ60" s="2917"/>
    </row>
    <row r="61" ht="14.25" spans="1:52">
      <c r="A61" s="2978" t="s">
        <v>302</v>
      </c>
      <c r="B61" s="2979"/>
      <c r="C61" s="2919"/>
      <c r="D61" s="2920"/>
      <c r="E61" s="2919"/>
      <c r="F61" s="2919"/>
      <c r="G61" s="2919"/>
      <c r="H61" s="2919"/>
      <c r="I61" s="2919"/>
      <c r="J61" s="2919"/>
      <c r="K61" s="3003"/>
      <c r="L61" s="3003"/>
      <c r="M61" s="2917"/>
      <c r="N61" s="2917"/>
      <c r="O61" s="2917"/>
      <c r="P61" s="2917"/>
      <c r="Q61" s="2917"/>
      <c r="R61" s="2917"/>
      <c r="S61" s="2917"/>
      <c r="T61" s="2917"/>
      <c r="U61" s="2917"/>
      <c r="V61" s="2917"/>
      <c r="W61" s="2917"/>
      <c r="X61" s="2917"/>
      <c r="Y61" s="2917"/>
      <c r="Z61" s="2917"/>
      <c r="AA61" s="2917"/>
      <c r="AB61" s="2917"/>
      <c r="AC61" s="2917"/>
      <c r="AD61" s="2917"/>
      <c r="AE61" s="2917"/>
      <c r="AF61" s="2917"/>
      <c r="AG61" s="2917"/>
      <c r="AH61" s="2917"/>
      <c r="AI61" s="2917"/>
      <c r="AJ61" s="2917"/>
      <c r="AK61" s="2917"/>
      <c r="AL61" s="2917"/>
      <c r="AM61" s="2917"/>
      <c r="AN61" s="2917"/>
      <c r="AO61" s="2917"/>
      <c r="AP61" s="2917"/>
      <c r="AQ61" s="2917"/>
      <c r="AR61" s="2917"/>
      <c r="AS61" s="2917"/>
      <c r="AT61" s="2917"/>
      <c r="AU61" s="2917"/>
      <c r="AV61" s="2917"/>
      <c r="AW61" s="2917"/>
      <c r="AX61" s="2917"/>
      <c r="AY61" s="2917"/>
      <c r="AZ61" s="2917"/>
    </row>
    <row r="62" ht="14.25" spans="1:52">
      <c r="A62" s="2978" t="s">
        <v>305</v>
      </c>
      <c r="B62" s="2979"/>
      <c r="C62" s="2919"/>
      <c r="D62" s="2920"/>
      <c r="E62" s="2919"/>
      <c r="F62" s="2919"/>
      <c r="G62" s="2919"/>
      <c r="H62" s="2919"/>
      <c r="I62" s="2919"/>
      <c r="J62" s="2919"/>
      <c r="K62" s="3003"/>
      <c r="L62" s="3003"/>
      <c r="M62" s="2917"/>
      <c r="N62" s="2917"/>
      <c r="O62" s="2917"/>
      <c r="P62" s="2917"/>
      <c r="Q62" s="2917"/>
      <c r="R62" s="2917"/>
      <c r="S62" s="2917"/>
      <c r="T62" s="2917"/>
      <c r="U62" s="2917"/>
      <c r="V62" s="2917"/>
      <c r="W62" s="2917"/>
      <c r="X62" s="2917"/>
      <c r="Y62" s="2917"/>
      <c r="Z62" s="2917"/>
      <c r="AA62" s="2917"/>
      <c r="AB62" s="2917"/>
      <c r="AC62" s="2917"/>
      <c r="AD62" s="2917"/>
      <c r="AE62" s="2917"/>
      <c r="AF62" s="2917"/>
      <c r="AG62" s="2917"/>
      <c r="AH62" s="2917"/>
      <c r="AI62" s="2917"/>
      <c r="AJ62" s="2917"/>
      <c r="AK62" s="2917"/>
      <c r="AL62" s="2917"/>
      <c r="AM62" s="2917"/>
      <c r="AN62" s="2917"/>
      <c r="AO62" s="2917"/>
      <c r="AP62" s="2917"/>
      <c r="AQ62" s="2917"/>
      <c r="AR62" s="2917"/>
      <c r="AS62" s="2917"/>
      <c r="AT62" s="2917"/>
      <c r="AU62" s="2917"/>
      <c r="AV62" s="2917"/>
      <c r="AW62" s="2917"/>
      <c r="AX62" s="2917"/>
      <c r="AY62" s="2917"/>
      <c r="AZ62" s="2917"/>
    </row>
    <row r="63" ht="15" spans="1:52">
      <c r="A63" s="2981" t="s">
        <v>308</v>
      </c>
      <c r="B63" s="2982"/>
      <c r="C63" s="2919"/>
      <c r="D63" s="2920"/>
      <c r="E63" s="2919"/>
      <c r="F63" s="2919"/>
      <c r="G63" s="2919"/>
      <c r="H63" s="2919"/>
      <c r="I63" s="2919"/>
      <c r="J63" s="2919"/>
      <c r="K63" s="3003"/>
      <c r="L63" s="3003"/>
      <c r="M63" s="2917"/>
      <c r="N63" s="2917"/>
      <c r="O63" s="2917"/>
      <c r="P63" s="2917"/>
      <c r="Q63" s="2917"/>
      <c r="R63" s="2917"/>
      <c r="S63" s="2917"/>
      <c r="T63" s="2917"/>
      <c r="U63" s="2917"/>
      <c r="V63" s="2917"/>
      <c r="W63" s="2917"/>
      <c r="X63" s="2917"/>
      <c r="Y63" s="2917"/>
      <c r="Z63" s="2917"/>
      <c r="AA63" s="2917"/>
      <c r="AB63" s="2917"/>
      <c r="AC63" s="2917"/>
      <c r="AD63" s="2917"/>
      <c r="AE63" s="2917"/>
      <c r="AF63" s="2917"/>
      <c r="AG63" s="2917"/>
      <c r="AH63" s="2917"/>
      <c r="AI63" s="2917"/>
      <c r="AJ63" s="2917"/>
      <c r="AK63" s="2917"/>
      <c r="AL63" s="2917"/>
      <c r="AM63" s="2917"/>
      <c r="AN63" s="2917"/>
      <c r="AO63" s="2917"/>
      <c r="AP63" s="2917"/>
      <c r="AQ63" s="2917"/>
      <c r="AR63" s="2917"/>
      <c r="AS63" s="2917"/>
      <c r="AT63" s="2917"/>
      <c r="AU63" s="2917"/>
      <c r="AV63" s="2917"/>
      <c r="AW63" s="2917"/>
      <c r="AX63" s="2917"/>
      <c r="AY63" s="2917"/>
      <c r="AZ63" s="2917"/>
    </row>
    <row r="64" s="72" customFormat="1" spans="1:12">
      <c r="A64" s="2550"/>
      <c r="D64" s="2983"/>
      <c r="K64" s="75"/>
      <c r="L64" s="75"/>
    </row>
    <row r="65" s="72" customFormat="1" spans="1:12">
      <c r="A65" s="2550"/>
      <c r="D65" s="2983"/>
      <c r="K65" s="75"/>
      <c r="L65" s="75"/>
    </row>
    <row r="66" s="72" customFormat="1" spans="1:12">
      <c r="A66" s="2550"/>
      <c r="D66" s="2983"/>
      <c r="K66" s="75"/>
      <c r="L66" s="75"/>
    </row>
    <row r="67" s="72" customFormat="1" spans="1:12">
      <c r="A67" s="2550"/>
      <c r="D67" s="2983"/>
      <c r="K67" s="75"/>
      <c r="L67" s="75"/>
    </row>
    <row r="68" s="72" customFormat="1" spans="1:12">
      <c r="A68" s="2550"/>
      <c r="D68" s="2983"/>
      <c r="K68" s="75"/>
      <c r="L68" s="75"/>
    </row>
    <row r="69" s="72" customFormat="1" spans="1:12">
      <c r="A69" s="2550"/>
      <c r="D69" s="2983"/>
      <c r="K69" s="75"/>
      <c r="L69" s="75"/>
    </row>
    <row r="70" s="72" customFormat="1" spans="1:12">
      <c r="A70" s="2550"/>
      <c r="D70" s="2983"/>
      <c r="K70" s="75"/>
      <c r="L70" s="75"/>
    </row>
    <row r="71" s="72" customFormat="1" spans="1:12">
      <c r="A71" s="2550"/>
      <c r="D71" s="2983"/>
      <c r="K71" s="75"/>
      <c r="L71" s="75"/>
    </row>
    <row r="72" s="72" customFormat="1" spans="1:12">
      <c r="A72" s="2550"/>
      <c r="D72" s="2983"/>
      <c r="K72" s="75"/>
      <c r="L72" s="75"/>
    </row>
    <row r="73" s="72" customFormat="1" spans="1:12">
      <c r="A73" s="2550"/>
      <c r="D73" s="2983"/>
      <c r="K73" s="75"/>
      <c r="L73" s="75"/>
    </row>
    <row r="74" s="72" customFormat="1" spans="1:12">
      <c r="A74" s="2550"/>
      <c r="D74" s="2983"/>
      <c r="K74" s="75"/>
      <c r="L74" s="75"/>
    </row>
    <row r="75" s="72" customFormat="1" spans="1:12">
      <c r="A75" s="2550"/>
      <c r="D75" s="2983"/>
      <c r="K75" s="75"/>
      <c r="L75" s="75"/>
    </row>
    <row r="76" s="72" customFormat="1" spans="1:12">
      <c r="A76" s="2550"/>
      <c r="D76" s="2983"/>
      <c r="K76" s="75"/>
      <c r="L76" s="75"/>
    </row>
    <row r="77" s="72" customFormat="1" spans="1:12">
      <c r="A77" s="2550"/>
      <c r="D77" s="2983"/>
      <c r="K77" s="75"/>
      <c r="L77" s="75"/>
    </row>
    <row r="78" s="72" customFormat="1" spans="1:12">
      <c r="A78" s="2550"/>
      <c r="D78" s="2983"/>
      <c r="K78" s="75"/>
      <c r="L78" s="75"/>
    </row>
    <row r="79" s="72" customFormat="1" spans="1:12">
      <c r="A79" s="2550"/>
      <c r="D79" s="2983"/>
      <c r="K79" s="75"/>
      <c r="L79" s="75"/>
    </row>
    <row r="80" s="72" customFormat="1" spans="1:12">
      <c r="A80" s="2550"/>
      <c r="D80" s="2983"/>
      <c r="K80" s="75"/>
      <c r="L80" s="75"/>
    </row>
    <row r="81" s="72" customFormat="1" spans="1:12">
      <c r="A81" s="2550"/>
      <c r="D81" s="2983"/>
      <c r="K81" s="75"/>
      <c r="L81" s="75"/>
    </row>
    <row r="82" s="72" customFormat="1" spans="1:12">
      <c r="A82" s="2550"/>
      <c r="D82" s="2983"/>
      <c r="K82" s="75"/>
      <c r="L82" s="75"/>
    </row>
    <row r="83" s="72" customFormat="1" spans="1:12">
      <c r="A83" s="2550"/>
      <c r="D83" s="2983"/>
      <c r="K83" s="75"/>
      <c r="L83" s="75"/>
    </row>
    <row r="84" s="72" customFormat="1" spans="1:12">
      <c r="A84" s="2550"/>
      <c r="D84" s="2983"/>
      <c r="K84" s="75"/>
      <c r="L84" s="75"/>
    </row>
    <row r="85" s="72" customFormat="1" spans="1:12">
      <c r="A85" s="2550"/>
      <c r="D85" s="2983"/>
      <c r="K85" s="75"/>
      <c r="L85" s="75"/>
    </row>
    <row r="86" s="72" customFormat="1" spans="1:12">
      <c r="A86" s="2550"/>
      <c r="D86" s="2983"/>
      <c r="K86" s="75"/>
      <c r="L86" s="75"/>
    </row>
    <row r="87" s="72" customFormat="1" spans="1:12">
      <c r="A87" s="2550"/>
      <c r="D87" s="2983"/>
      <c r="K87" s="75"/>
      <c r="L87" s="75"/>
    </row>
    <row r="88" s="72" customFormat="1" spans="1:12">
      <c r="A88" s="2550"/>
      <c r="D88" s="2983"/>
      <c r="K88" s="75"/>
      <c r="L88" s="75"/>
    </row>
    <row r="89" s="72" customFormat="1" spans="1:12">
      <c r="A89" s="2550"/>
      <c r="D89" s="2983"/>
      <c r="K89" s="75"/>
      <c r="L89" s="75"/>
    </row>
    <row r="90" s="72" customFormat="1" spans="1:12">
      <c r="A90" s="2550"/>
      <c r="D90" s="2983"/>
      <c r="K90" s="75"/>
      <c r="L90" s="75"/>
    </row>
    <row r="91" s="72" customFormat="1" spans="1:12">
      <c r="A91" s="2550"/>
      <c r="D91" s="2983"/>
      <c r="K91" s="75"/>
      <c r="L91" s="75"/>
    </row>
    <row r="92" s="72" customFormat="1" spans="1:12">
      <c r="A92" s="2550"/>
      <c r="D92" s="2983"/>
      <c r="K92" s="75"/>
      <c r="L92" s="75"/>
    </row>
    <row r="93" s="72" customFormat="1" spans="1:12">
      <c r="A93" s="2550"/>
      <c r="D93" s="2983"/>
      <c r="K93" s="75"/>
      <c r="L93" s="75"/>
    </row>
    <row r="94" s="72" customFormat="1" spans="1:12">
      <c r="A94" s="2550"/>
      <c r="D94" s="2983"/>
      <c r="K94" s="75"/>
      <c r="L94" s="75"/>
    </row>
    <row r="95" s="72" customFormat="1" spans="1:12">
      <c r="A95" s="2550"/>
      <c r="D95" s="2983"/>
      <c r="K95" s="75"/>
      <c r="L95" s="75"/>
    </row>
    <row r="96" s="72" customFormat="1" spans="1:12">
      <c r="A96" s="2550"/>
      <c r="D96" s="2983"/>
      <c r="K96" s="75"/>
      <c r="L96" s="75"/>
    </row>
    <row r="97" s="72" customFormat="1" spans="1:12">
      <c r="A97" s="2550"/>
      <c r="D97" s="2983"/>
      <c r="K97" s="75"/>
      <c r="L97" s="75"/>
    </row>
    <row r="98" s="72" customFormat="1" spans="1:12">
      <c r="A98" s="2550"/>
      <c r="D98" s="2983"/>
      <c r="K98" s="75"/>
      <c r="L98" s="75"/>
    </row>
    <row r="99" s="72" customFormat="1" spans="1:12">
      <c r="A99" s="2550"/>
      <c r="D99" s="2983"/>
      <c r="K99" s="75"/>
      <c r="L99" s="75"/>
    </row>
    <row r="100" s="72" customFormat="1" spans="1:12">
      <c r="A100" s="2550"/>
      <c r="D100" s="2983"/>
      <c r="K100" s="75"/>
      <c r="L100" s="75"/>
    </row>
    <row r="101" s="72" customFormat="1" spans="1:12">
      <c r="A101" s="2550"/>
      <c r="D101" s="2983"/>
      <c r="K101" s="75"/>
      <c r="L101" s="75"/>
    </row>
    <row r="102" s="72" customFormat="1" spans="1:12">
      <c r="A102" s="2550"/>
      <c r="D102" s="2983"/>
      <c r="K102" s="75"/>
      <c r="L102" s="75"/>
    </row>
    <row r="103" s="72" customFormat="1" spans="1:12">
      <c r="A103" s="2550"/>
      <c r="D103" s="2983"/>
      <c r="K103" s="75"/>
      <c r="L103" s="75"/>
    </row>
    <row r="104" s="72" customFormat="1" spans="1:12">
      <c r="A104" s="2550"/>
      <c r="D104" s="2983"/>
      <c r="K104" s="75"/>
      <c r="L104" s="75"/>
    </row>
    <row r="105" s="72" customFormat="1" spans="1:12">
      <c r="A105" s="2550"/>
      <c r="D105" s="2983"/>
      <c r="K105" s="75"/>
      <c r="L105" s="75"/>
    </row>
    <row r="106" s="72" customFormat="1" spans="1:12">
      <c r="A106" s="2550"/>
      <c r="D106" s="2983"/>
      <c r="K106" s="75"/>
      <c r="L106" s="75"/>
    </row>
    <row r="107" s="72" customFormat="1" spans="1:12">
      <c r="A107" s="2550"/>
      <c r="D107" s="2983"/>
      <c r="K107" s="75"/>
      <c r="L107" s="75"/>
    </row>
    <row r="108" s="72" customFormat="1" spans="1:12">
      <c r="A108" s="2550"/>
      <c r="D108" s="2983"/>
      <c r="K108" s="75"/>
      <c r="L108" s="75"/>
    </row>
    <row r="109" s="72" customFormat="1" spans="1:12">
      <c r="A109" s="2550"/>
      <c r="D109" s="2983"/>
      <c r="K109" s="75"/>
      <c r="L109" s="75"/>
    </row>
    <row r="110" s="72" customFormat="1" spans="1:12">
      <c r="A110" s="2550"/>
      <c r="D110" s="2983"/>
      <c r="K110" s="75"/>
      <c r="L110" s="75"/>
    </row>
    <row r="111" s="72" customFormat="1" spans="1:12">
      <c r="A111" s="2550"/>
      <c r="D111" s="2983"/>
      <c r="K111" s="75"/>
      <c r="L111" s="75"/>
    </row>
    <row r="112" s="72" customFormat="1" spans="1:12">
      <c r="A112" s="2550"/>
      <c r="D112" s="2983"/>
      <c r="K112" s="75"/>
      <c r="L112" s="75"/>
    </row>
    <row r="113" s="72" customFormat="1" spans="1:12">
      <c r="A113" s="2550"/>
      <c r="D113" s="2983"/>
      <c r="K113" s="75"/>
      <c r="L113" s="75"/>
    </row>
    <row r="114" s="72" customFormat="1" spans="1:12">
      <c r="A114" s="2550"/>
      <c r="D114" s="2983"/>
      <c r="K114" s="75"/>
      <c r="L114" s="75"/>
    </row>
    <row r="115" s="72" customFormat="1" spans="1:12">
      <c r="A115" s="2550"/>
      <c r="D115" s="2983"/>
      <c r="K115" s="75"/>
      <c r="L115" s="75"/>
    </row>
    <row r="116" s="72" customFormat="1" spans="1:12">
      <c r="A116" s="2550"/>
      <c r="D116" s="2983"/>
      <c r="K116" s="75"/>
      <c r="L116" s="75"/>
    </row>
    <row r="117" s="72" customFormat="1" spans="1:12">
      <c r="A117" s="2550"/>
      <c r="D117" s="2983"/>
      <c r="K117" s="75"/>
      <c r="L117" s="75"/>
    </row>
    <row r="118" s="72" customFormat="1" spans="1:12">
      <c r="A118" s="2550"/>
      <c r="D118" s="2983"/>
      <c r="K118" s="75"/>
      <c r="L118" s="75"/>
    </row>
    <row r="119" s="72" customFormat="1" spans="1:12">
      <c r="A119" s="2550"/>
      <c r="D119" s="2983"/>
      <c r="K119" s="75"/>
      <c r="L119" s="75"/>
    </row>
    <row r="120" s="72" customFormat="1" spans="1:12">
      <c r="A120" s="2550"/>
      <c r="D120" s="2983"/>
      <c r="K120" s="75"/>
      <c r="L120" s="75"/>
    </row>
    <row r="121" s="72" customFormat="1" spans="1:12">
      <c r="A121" s="2550"/>
      <c r="D121" s="2983"/>
      <c r="K121" s="75"/>
      <c r="L121" s="75"/>
    </row>
    <row r="122" s="72" customFormat="1" spans="1:12">
      <c r="A122" s="2550"/>
      <c r="D122" s="2983"/>
      <c r="K122" s="75"/>
      <c r="L122" s="75"/>
    </row>
    <row r="123" s="72" customFormat="1" spans="1:12">
      <c r="A123" s="2550"/>
      <c r="D123" s="2983"/>
      <c r="K123" s="75"/>
      <c r="L123" s="75"/>
    </row>
    <row r="124" s="72" customFormat="1" spans="1:12">
      <c r="A124" s="2550"/>
      <c r="D124" s="2983"/>
      <c r="K124" s="75"/>
      <c r="L124" s="75"/>
    </row>
    <row r="125" s="72" customFormat="1" spans="1:12">
      <c r="A125" s="2550"/>
      <c r="D125" s="2983"/>
      <c r="K125" s="75"/>
      <c r="L125" s="75"/>
    </row>
    <row r="126" s="72" customFormat="1" spans="1:12">
      <c r="A126" s="2550"/>
      <c r="D126" s="2983"/>
      <c r="K126" s="75"/>
      <c r="L126" s="75"/>
    </row>
    <row r="127" s="72" customFormat="1" spans="1:12">
      <c r="A127" s="2550"/>
      <c r="D127" s="2983"/>
      <c r="K127" s="75"/>
      <c r="L127" s="75"/>
    </row>
    <row r="128" s="72" customFormat="1" spans="1:12">
      <c r="A128" s="2550"/>
      <c r="D128" s="2983"/>
      <c r="K128" s="75"/>
      <c r="L128" s="75"/>
    </row>
    <row r="129" s="72" customFormat="1" spans="1:12">
      <c r="A129" s="2550"/>
      <c r="D129" s="2983"/>
      <c r="K129" s="75"/>
      <c r="L129" s="75"/>
    </row>
    <row r="130" s="72" customFormat="1" spans="1:12">
      <c r="A130" s="2550"/>
      <c r="D130" s="2983"/>
      <c r="K130" s="75"/>
      <c r="L130" s="75"/>
    </row>
    <row r="131" s="72" customFormat="1" spans="1:12">
      <c r="A131" s="2550"/>
      <c r="D131" s="2983"/>
      <c r="K131" s="75"/>
      <c r="L131" s="75"/>
    </row>
    <row r="132" s="72" customFormat="1" spans="1:12">
      <c r="A132" s="2550"/>
      <c r="D132" s="2983"/>
      <c r="K132" s="75"/>
      <c r="L132" s="75"/>
    </row>
    <row r="133" s="72" customFormat="1" spans="1:12">
      <c r="A133" s="2550"/>
      <c r="D133" s="2983"/>
      <c r="K133" s="75"/>
      <c r="L133" s="75"/>
    </row>
    <row r="134" s="72" customFormat="1" spans="1:12">
      <c r="A134" s="2550"/>
      <c r="D134" s="2983"/>
      <c r="K134" s="75"/>
      <c r="L134" s="75"/>
    </row>
    <row r="135" s="72" customFormat="1" spans="1:12">
      <c r="A135" s="2550"/>
      <c r="D135" s="2983"/>
      <c r="K135" s="75"/>
      <c r="L135" s="75"/>
    </row>
    <row r="136" s="72" customFormat="1" spans="1:12">
      <c r="A136" s="2550"/>
      <c r="D136" s="2983"/>
      <c r="K136" s="75"/>
      <c r="L136" s="75"/>
    </row>
    <row r="137" s="72" customFormat="1" spans="1:12">
      <c r="A137" s="2550"/>
      <c r="D137" s="2983"/>
      <c r="K137" s="75"/>
      <c r="L137" s="75"/>
    </row>
    <row r="138" s="72" customFormat="1" spans="1:12">
      <c r="A138" s="2550"/>
      <c r="D138" s="2983"/>
      <c r="K138" s="75"/>
      <c r="L138" s="75"/>
    </row>
    <row r="139" s="72" customFormat="1" spans="1:12">
      <c r="A139" s="2550"/>
      <c r="D139" s="2983"/>
      <c r="K139" s="75"/>
      <c r="L139" s="75"/>
    </row>
    <row r="140" s="72" customFormat="1" spans="1:12">
      <c r="A140" s="2550"/>
      <c r="D140" s="2983"/>
      <c r="K140" s="75"/>
      <c r="L140" s="75"/>
    </row>
    <row r="141" s="72" customFormat="1" spans="1:12">
      <c r="A141" s="2550"/>
      <c r="D141" s="2983"/>
      <c r="K141" s="75"/>
      <c r="L141" s="75"/>
    </row>
    <row r="142" s="72" customFormat="1" spans="1:12">
      <c r="A142" s="2550"/>
      <c r="D142" s="2983"/>
      <c r="K142" s="75"/>
      <c r="L142" s="75"/>
    </row>
    <row r="143" s="72" customFormat="1" spans="1:12">
      <c r="A143" s="2550"/>
      <c r="D143" s="2983"/>
      <c r="K143" s="75"/>
      <c r="L143" s="75"/>
    </row>
    <row r="144" s="72" customFormat="1" spans="1:12">
      <c r="A144" s="2550"/>
      <c r="D144" s="2983"/>
      <c r="K144" s="75"/>
      <c r="L144" s="75"/>
    </row>
    <row r="145" s="72" customFormat="1" spans="1:12">
      <c r="A145" s="2550"/>
      <c r="D145" s="2983"/>
      <c r="K145" s="75"/>
      <c r="L145" s="75"/>
    </row>
    <row r="146" s="72" customFormat="1" spans="1:12">
      <c r="A146" s="2550"/>
      <c r="D146" s="2983"/>
      <c r="K146" s="75"/>
      <c r="L146" s="75"/>
    </row>
    <row r="147" s="72" customFormat="1" spans="1:12">
      <c r="A147" s="2550"/>
      <c r="D147" s="2983"/>
      <c r="K147" s="75"/>
      <c r="L147" s="75"/>
    </row>
    <row r="148" s="72" customFormat="1" spans="1:12">
      <c r="A148" s="2550"/>
      <c r="D148" s="2983"/>
      <c r="K148" s="75"/>
      <c r="L148" s="75"/>
    </row>
    <row r="149" s="72" customFormat="1" spans="1:12">
      <c r="A149" s="2550"/>
      <c r="D149" s="2983"/>
      <c r="K149" s="75"/>
      <c r="L149" s="75"/>
    </row>
    <row r="150" s="72" customFormat="1" spans="1:12">
      <c r="A150" s="2550"/>
      <c r="D150" s="2983"/>
      <c r="K150" s="75"/>
      <c r="L150" s="75"/>
    </row>
    <row r="151" s="72" customFormat="1" spans="1:12">
      <c r="A151" s="2550"/>
      <c r="D151" s="2983"/>
      <c r="K151" s="75"/>
      <c r="L151" s="75"/>
    </row>
    <row r="152" s="72" customFormat="1" spans="1:12">
      <c r="A152" s="2550"/>
      <c r="D152" s="2983"/>
      <c r="K152" s="75"/>
      <c r="L152" s="75"/>
    </row>
    <row r="153" s="72" customFormat="1" spans="1:12">
      <c r="A153" s="2550"/>
      <c r="D153" s="2983"/>
      <c r="K153" s="75"/>
      <c r="L153" s="75"/>
    </row>
    <row r="154" s="72" customFormat="1" spans="1:12">
      <c r="A154" s="2550"/>
      <c r="D154" s="2983"/>
      <c r="K154" s="75"/>
      <c r="L154" s="75"/>
    </row>
    <row r="155" s="72" customFormat="1" spans="1:12">
      <c r="A155" s="2550"/>
      <c r="D155" s="2983"/>
      <c r="K155" s="75"/>
      <c r="L155" s="75"/>
    </row>
    <row r="156" s="72" customFormat="1" spans="1:12">
      <c r="A156" s="2550"/>
      <c r="D156" s="2983"/>
      <c r="K156" s="75"/>
      <c r="L156" s="75"/>
    </row>
    <row r="157" s="72" customFormat="1" spans="1:12">
      <c r="A157" s="2550"/>
      <c r="D157" s="2983"/>
      <c r="K157" s="75"/>
      <c r="L157" s="75"/>
    </row>
    <row r="158" s="72" customFormat="1" spans="1:12">
      <c r="A158" s="2550"/>
      <c r="D158" s="2983"/>
      <c r="K158" s="75"/>
      <c r="L158" s="75"/>
    </row>
    <row r="159" s="72" customFormat="1" spans="1:12">
      <c r="A159" s="2550"/>
      <c r="D159" s="2983"/>
      <c r="K159" s="75"/>
      <c r="L159" s="75"/>
    </row>
    <row r="160" s="72" customFormat="1" spans="1:12">
      <c r="A160" s="2550"/>
      <c r="D160" s="2983"/>
      <c r="K160" s="75"/>
      <c r="L160" s="75"/>
    </row>
    <row r="161" s="72" customFormat="1" spans="1:12">
      <c r="A161" s="2550"/>
      <c r="D161" s="2983"/>
      <c r="K161" s="75"/>
      <c r="L161" s="75"/>
    </row>
    <row r="162" s="72" customFormat="1" spans="1:12">
      <c r="A162" s="2550"/>
      <c r="D162" s="2983"/>
      <c r="K162" s="75"/>
      <c r="L162" s="75"/>
    </row>
    <row r="163" s="72" customFormat="1" spans="1:12">
      <c r="A163" s="2550"/>
      <c r="D163" s="2983"/>
      <c r="K163" s="75"/>
      <c r="L163" s="75"/>
    </row>
    <row r="164" s="72" customFormat="1" spans="1:12">
      <c r="A164" s="2550"/>
      <c r="D164" s="2983"/>
      <c r="K164" s="75"/>
      <c r="L164" s="75"/>
    </row>
    <row r="165" s="72" customFormat="1" spans="1:12">
      <c r="A165" s="2550"/>
      <c r="D165" s="2983"/>
      <c r="K165" s="75"/>
      <c r="L165" s="75"/>
    </row>
    <row r="166" s="72" customFormat="1" spans="1:12">
      <c r="A166" s="2550"/>
      <c r="D166" s="2983"/>
      <c r="K166" s="75"/>
      <c r="L166" s="75"/>
    </row>
    <row r="167" s="72" customFormat="1" spans="1:12">
      <c r="A167" s="2550"/>
      <c r="D167" s="2983"/>
      <c r="K167" s="75"/>
      <c r="L167" s="75"/>
    </row>
    <row r="168" s="72" customFormat="1" spans="1:12">
      <c r="A168" s="2550"/>
      <c r="D168" s="2983"/>
      <c r="K168" s="75"/>
      <c r="L168" s="75"/>
    </row>
    <row r="169" s="72" customFormat="1" spans="1:12">
      <c r="A169" s="2550"/>
      <c r="D169" s="2983"/>
      <c r="K169" s="75"/>
      <c r="L169" s="75"/>
    </row>
    <row r="170" s="72" customFormat="1" spans="1:12">
      <c r="A170" s="2550"/>
      <c r="D170" s="2983"/>
      <c r="K170" s="75"/>
      <c r="L170" s="75"/>
    </row>
    <row r="171" s="72" customFormat="1" spans="1:12">
      <c r="A171" s="2550"/>
      <c r="D171" s="2983"/>
      <c r="K171" s="75"/>
      <c r="L171" s="75"/>
    </row>
    <row r="172" s="72" customFormat="1" spans="1:12">
      <c r="A172" s="2550"/>
      <c r="D172" s="2983"/>
      <c r="K172" s="75"/>
      <c r="L172" s="75"/>
    </row>
    <row r="173" s="72" customFormat="1" spans="1:12">
      <c r="A173" s="2550"/>
      <c r="D173" s="2983"/>
      <c r="K173" s="75"/>
      <c r="L173" s="75"/>
    </row>
    <row r="174" s="72" customFormat="1" spans="1:12">
      <c r="A174" s="2550"/>
      <c r="D174" s="2983"/>
      <c r="K174" s="75"/>
      <c r="L174" s="75"/>
    </row>
    <row r="175" s="72" customFormat="1" spans="1:12">
      <c r="A175" s="2550"/>
      <c r="D175" s="2983"/>
      <c r="K175" s="75"/>
      <c r="L175" s="75"/>
    </row>
    <row r="176" s="72" customFormat="1" spans="1:12">
      <c r="A176" s="2550"/>
      <c r="D176" s="2983"/>
      <c r="K176" s="75"/>
      <c r="L176" s="75"/>
    </row>
    <row r="177" s="72" customFormat="1" spans="1:12">
      <c r="A177" s="2550"/>
      <c r="D177" s="2983"/>
      <c r="K177" s="75"/>
      <c r="L177" s="75"/>
    </row>
    <row r="178" s="72" customFormat="1" spans="1:12">
      <c r="A178" s="2550"/>
      <c r="D178" s="2983"/>
      <c r="K178" s="75"/>
      <c r="L178" s="75"/>
    </row>
    <row r="179" s="72" customFormat="1" spans="1:12">
      <c r="A179" s="2550"/>
      <c r="D179" s="2983"/>
      <c r="K179" s="75"/>
      <c r="L179" s="75"/>
    </row>
    <row r="180" s="72" customFormat="1" spans="1:12">
      <c r="A180" s="2550"/>
      <c r="D180" s="2983"/>
      <c r="K180" s="75"/>
      <c r="L180" s="75"/>
    </row>
    <row r="181" s="72" customFormat="1" spans="1:12">
      <c r="A181" s="2550"/>
      <c r="D181" s="2983"/>
      <c r="K181" s="75"/>
      <c r="L181" s="75"/>
    </row>
    <row r="182" s="72" customFormat="1" spans="1:12">
      <c r="A182" s="2550"/>
      <c r="D182" s="2983"/>
      <c r="K182" s="75"/>
      <c r="L182" s="75"/>
    </row>
    <row r="183" s="72" customFormat="1" spans="1:12">
      <c r="A183" s="2550"/>
      <c r="D183" s="2983"/>
      <c r="K183" s="75"/>
      <c r="L183" s="75"/>
    </row>
    <row r="184" s="72" customFormat="1" spans="1:12">
      <c r="A184" s="2550"/>
      <c r="D184" s="2983"/>
      <c r="K184" s="75"/>
      <c r="L184" s="75"/>
    </row>
    <row r="185" s="72" customFormat="1" spans="1:12">
      <c r="A185" s="2550"/>
      <c r="D185" s="2983"/>
      <c r="K185" s="75"/>
      <c r="L185" s="75"/>
    </row>
    <row r="186" s="72" customFormat="1" spans="1:12">
      <c r="A186" s="2550"/>
      <c r="D186" s="2983"/>
      <c r="K186" s="75"/>
      <c r="L186" s="75"/>
    </row>
    <row r="187" s="72" customFormat="1" spans="1:12">
      <c r="A187" s="2550"/>
      <c r="D187" s="2983"/>
      <c r="K187" s="75"/>
      <c r="L187" s="75"/>
    </row>
    <row r="188" s="72" customFormat="1" spans="1:12">
      <c r="A188" s="2550"/>
      <c r="D188" s="2983"/>
      <c r="K188" s="75"/>
      <c r="L188" s="75"/>
    </row>
    <row r="189" s="72" customFormat="1" spans="1:12">
      <c r="A189" s="2550"/>
      <c r="D189" s="2983"/>
      <c r="K189" s="75"/>
      <c r="L189" s="75"/>
    </row>
    <row r="190" s="72" customFormat="1" spans="1:12">
      <c r="A190" s="2550"/>
      <c r="D190" s="2983"/>
      <c r="K190" s="75"/>
      <c r="L190" s="75"/>
    </row>
    <row r="191" s="72" customFormat="1" spans="1:12">
      <c r="A191" s="2550"/>
      <c r="D191" s="2983"/>
      <c r="K191" s="75"/>
      <c r="L191" s="75"/>
    </row>
    <row r="192" s="72" customFormat="1" spans="1:12">
      <c r="A192" s="2550"/>
      <c r="D192" s="2983"/>
      <c r="K192" s="75"/>
      <c r="L192" s="75"/>
    </row>
  </sheetData>
  <sheetProtection formatCells="0" formatColumns="0" formatRows="0"/>
  <conditionalFormatting sqref="T6:T13">
    <cfRule type="containsText" dxfId="5" priority="10" stopIfTrue="1" operator="between" text="自行计算">
      <formula>NOT(ISERROR(SEARCH("自行计算",T6)))</formula>
    </cfRule>
    <cfRule type="containsText" dxfId="6" priority="11" stopIfTrue="1" operator="between" text="自行计算">
      <formula>NOT(ISERROR(SEARCH("自行计算",T6)))</formula>
    </cfRule>
  </conditionalFormatting>
  <conditionalFormatting sqref="T6:T15">
    <cfRule type="expression" dxfId="7" priority="1" stopIfTrue="1">
      <formula>$T$4="按面积比例"</formula>
    </cfRule>
    <cfRule type="containsText" dxfId="5" priority="12" stopIfTrue="1" operator="between" text="自行计算">
      <formula>NOT(ISERROR(SEARCH("自行计算",T6)))</formula>
    </cfRule>
    <cfRule type="containsText" dxfId="6" priority="13" stopIfTrue="1" operator="between" text="自行计算">
      <formula>NOT(ISERROR(SEARCH("自行计算",T6)))</formula>
    </cfRule>
  </conditionalFormatting>
  <conditionalFormatting sqref="T12:T13">
    <cfRule type="containsText" dxfId="5" priority="2" stopIfTrue="1" operator="between" text="自行计算">
      <formula>NOT(ISERROR(SEARCH("自行计算",T12)))</formula>
    </cfRule>
    <cfRule type="containsText" dxfId="6" priority="3" stopIfTrue="1" operator="between" text="自行计算">
      <formula>NOT(ISERROR(SEARCH("自行计算",T12)))</formula>
    </cfRule>
    <cfRule type="containsText" dxfId="5" priority="4" stopIfTrue="1" operator="between" text="自行计算">
      <formula>NOT(ISERROR(SEARCH("自行计算",T12)))</formula>
    </cfRule>
    <cfRule type="containsText" dxfId="6" priority="5" stopIfTrue="1" operator="between" text="自行计算">
      <formula>NOT(ISERROR(SEARCH("自行计算",T12)))</formula>
    </cfRule>
  </conditionalFormatting>
  <dataValidations count="7">
    <dataValidation type="list" allowBlank="1" showInputMessage="1" showErrorMessage="1" sqref="N5">
      <formula1>"工程进度,成新度"</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headerFooter/>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R37"/>
  <sheetViews>
    <sheetView view="pageBreakPreview" zoomScale="70" zoomScaleNormal="80" workbookViewId="0">
      <pane xSplit="1" ySplit="2" topLeftCell="B3" activePane="bottomRight" state="frozen"/>
      <selection/>
      <selection pane="topRight"/>
      <selection pane="bottomLeft"/>
      <selection pane="bottomRight" activeCell="K16" sqref="K16"/>
    </sheetView>
  </sheetViews>
  <sheetFormatPr defaultColWidth="9" defaultRowHeight="13.5"/>
  <cols>
    <col min="1" max="1" width="9.45" style="2815" customWidth="1"/>
    <col min="2" max="2" width="23.45" style="2816" customWidth="1"/>
    <col min="3" max="3" width="32.2666666666667" style="2816" customWidth="1"/>
    <col min="4" max="4" width="2.63333333333333" style="2816" customWidth="1"/>
    <col min="5" max="5" width="5.90833333333333" style="2816" customWidth="1"/>
    <col min="6" max="6" width="23.6333333333333" style="2816" customWidth="1"/>
    <col min="7" max="7" width="33.3666666666667" style="2816" customWidth="1"/>
    <col min="8" max="8" width="11.9083333333333" style="2816" customWidth="1"/>
    <col min="9" max="9" width="16.725" style="2816" customWidth="1"/>
    <col min="10" max="10" width="2.63333333333333" style="2816" customWidth="1"/>
    <col min="11" max="11" width="11.9083333333333" style="2816" customWidth="1"/>
    <col min="12" max="12" width="16.725" style="2816" customWidth="1"/>
    <col min="13" max="13" width="2.63333333333333" style="2816" customWidth="1"/>
    <col min="14" max="14" width="11.9083333333333" style="2816" customWidth="1"/>
    <col min="15" max="15" width="16.725" style="2816" customWidth="1"/>
    <col min="16" max="16" width="2.63333333333333" style="2816" customWidth="1"/>
    <col min="17" max="17" width="11.9083333333333" style="2816" customWidth="1"/>
    <col min="18" max="18" width="16.725" style="2815" customWidth="1"/>
    <col min="19" max="16384" width="9" style="2815"/>
  </cols>
  <sheetData>
    <row r="1" s="2814" customFormat="1" ht="19.5" spans="1:17">
      <c r="A1" s="2817" t="s">
        <v>662</v>
      </c>
      <c r="B1" s="2818"/>
      <c r="C1" s="2818"/>
      <c r="D1" s="2818"/>
      <c r="E1" s="2818"/>
      <c r="F1" s="2818"/>
      <c r="G1" s="2818"/>
      <c r="H1" s="2819"/>
      <c r="I1" s="2819"/>
      <c r="J1" s="2819"/>
      <c r="K1" s="2819"/>
      <c r="L1" s="2819"/>
      <c r="M1" s="2819"/>
      <c r="N1" s="2819"/>
      <c r="O1" s="2819"/>
      <c r="P1" s="2819"/>
      <c r="Q1" s="2873"/>
    </row>
    <row r="2" ht="14.25" spans="1:17">
      <c r="A2" s="2820"/>
      <c r="B2" s="2821"/>
      <c r="C2" s="2822" t="s">
        <v>663</v>
      </c>
      <c r="D2" s="2823"/>
      <c r="E2" s="2820"/>
      <c r="F2" s="2824"/>
      <c r="G2" s="2822" t="s">
        <v>164</v>
      </c>
      <c r="H2" s="2815"/>
      <c r="I2" s="2815"/>
      <c r="J2" s="2815"/>
      <c r="K2" s="2815"/>
      <c r="L2" s="2815"/>
      <c r="M2" s="2815"/>
      <c r="N2" s="2815"/>
      <c r="O2" s="2815"/>
      <c r="P2" s="2815"/>
      <c r="Q2" s="2815"/>
    </row>
    <row r="3" ht="40.5" spans="1:17">
      <c r="A3" s="2825" t="s">
        <v>664</v>
      </c>
      <c r="B3" s="2826" t="s">
        <v>665</v>
      </c>
      <c r="C3" s="2827" t="s">
        <v>666</v>
      </c>
      <c r="D3" s="2828"/>
      <c r="E3" s="2829" t="s">
        <v>664</v>
      </c>
      <c r="F3" s="2830" t="s">
        <v>667</v>
      </c>
      <c r="G3" s="2831" t="s">
        <v>668</v>
      </c>
      <c r="H3" s="2815"/>
      <c r="I3" s="2815"/>
      <c r="J3" s="2815"/>
      <c r="K3" s="2815"/>
      <c r="L3" s="2815"/>
      <c r="M3" s="2815"/>
      <c r="N3" s="2815"/>
      <c r="O3" s="2815"/>
      <c r="P3" s="2815"/>
      <c r="Q3" s="2815"/>
    </row>
    <row r="4" ht="40.5" spans="1:17">
      <c r="A4" s="2829"/>
      <c r="B4" s="2832" t="s">
        <v>669</v>
      </c>
      <c r="C4" s="2833" t="s">
        <v>670</v>
      </c>
      <c r="D4" s="2828"/>
      <c r="E4" s="2834"/>
      <c r="F4" s="2835" t="s">
        <v>671</v>
      </c>
      <c r="G4" s="2836" t="s">
        <v>672</v>
      </c>
      <c r="H4" s="2815"/>
      <c r="I4" s="2815"/>
      <c r="J4" s="2815"/>
      <c r="K4" s="2815"/>
      <c r="L4" s="2815"/>
      <c r="M4" s="2815"/>
      <c r="N4" s="2815"/>
      <c r="O4" s="2815"/>
      <c r="P4" s="2815"/>
      <c r="Q4" s="2815"/>
    </row>
    <row r="5" ht="41.25" spans="1:17">
      <c r="A5" s="2829"/>
      <c r="B5" s="2832" t="s">
        <v>673</v>
      </c>
      <c r="C5" s="2833" t="s">
        <v>674</v>
      </c>
      <c r="D5" s="2828"/>
      <c r="E5" s="2834"/>
      <c r="F5" s="2832" t="s">
        <v>231</v>
      </c>
      <c r="G5" s="2836" t="s">
        <v>675</v>
      </c>
      <c r="H5" s="2815"/>
      <c r="I5" s="2815"/>
      <c r="J5" s="2815"/>
      <c r="K5" s="2815"/>
      <c r="L5" s="2815"/>
      <c r="M5" s="2815"/>
      <c r="N5" s="2815"/>
      <c r="O5" s="2815"/>
      <c r="P5" s="2815"/>
      <c r="Q5" s="2815"/>
    </row>
    <row r="6" ht="40.5" spans="1:17">
      <c r="A6" s="2829"/>
      <c r="B6" s="2832" t="s">
        <v>671</v>
      </c>
      <c r="C6" s="2836" t="s">
        <v>672</v>
      </c>
      <c r="D6" s="2828"/>
      <c r="E6" s="2834"/>
      <c r="F6" s="2832" t="s">
        <v>232</v>
      </c>
      <c r="G6" s="2836" t="s">
        <v>676</v>
      </c>
      <c r="H6" s="2815"/>
      <c r="I6" s="2815"/>
      <c r="J6" s="2815"/>
      <c r="K6" s="2815"/>
      <c r="L6" s="2815"/>
      <c r="M6" s="2815"/>
      <c r="N6" s="2815"/>
      <c r="O6" s="2815"/>
      <c r="P6" s="2815"/>
      <c r="Q6" s="2815"/>
    </row>
    <row r="7" ht="27.75" spans="1:17">
      <c r="A7" s="2829"/>
      <c r="B7" s="2832" t="s">
        <v>231</v>
      </c>
      <c r="C7" s="2836" t="s">
        <v>675</v>
      </c>
      <c r="D7" s="2837"/>
      <c r="E7" s="2838"/>
      <c r="F7" s="2839" t="s">
        <v>677</v>
      </c>
      <c r="G7" s="2840" t="s">
        <v>678</v>
      </c>
      <c r="H7" s="2815"/>
      <c r="I7" s="2815"/>
      <c r="J7" s="2815"/>
      <c r="K7" s="2815"/>
      <c r="L7" s="2815"/>
      <c r="M7" s="2815"/>
      <c r="N7" s="2815"/>
      <c r="O7" s="2815"/>
      <c r="P7" s="2815"/>
      <c r="Q7" s="2815"/>
    </row>
    <row r="8" spans="1:17">
      <c r="A8" s="2829"/>
      <c r="B8" s="2832" t="s">
        <v>232</v>
      </c>
      <c r="C8" s="2836" t="s">
        <v>676</v>
      </c>
      <c r="D8" s="2837"/>
      <c r="E8" s="2837"/>
      <c r="F8" s="2841"/>
      <c r="G8" s="2841"/>
      <c r="H8" s="2815"/>
      <c r="I8" s="2815"/>
      <c r="J8" s="2815"/>
      <c r="K8" s="2815"/>
      <c r="L8" s="2815"/>
      <c r="M8" s="2815"/>
      <c r="N8" s="2815"/>
      <c r="O8" s="2815"/>
      <c r="P8" s="2815"/>
      <c r="Q8" s="2815"/>
    </row>
    <row r="9" ht="27" spans="1:17">
      <c r="A9" s="2829"/>
      <c r="B9" s="2832" t="s">
        <v>679</v>
      </c>
      <c r="C9" s="2833" t="s">
        <v>680</v>
      </c>
      <c r="D9" s="2828"/>
      <c r="E9" s="2837"/>
      <c r="F9" s="2841"/>
      <c r="G9" s="2841"/>
      <c r="H9" s="2815"/>
      <c r="I9" s="2815"/>
      <c r="J9" s="2815"/>
      <c r="K9" s="2815"/>
      <c r="L9" s="2815"/>
      <c r="M9" s="2815"/>
      <c r="N9" s="2815"/>
      <c r="O9" s="2815"/>
      <c r="P9" s="2815"/>
      <c r="Q9" s="2815"/>
    </row>
    <row r="10" ht="15" spans="1:18">
      <c r="A10" s="2842"/>
      <c r="B10" s="2843" t="s">
        <v>681</v>
      </c>
      <c r="C10" s="2844"/>
      <c r="D10" s="2828"/>
      <c r="E10" s="2828"/>
      <c r="F10" s="2841"/>
      <c r="G10" s="2841"/>
      <c r="J10" s="2870"/>
      <c r="M10" s="2870"/>
      <c r="P10" s="2870"/>
      <c r="R10" s="2816"/>
    </row>
    <row r="11" spans="1:18">
      <c r="A11" s="2845"/>
      <c r="B11" s="2837"/>
      <c r="C11" s="2828"/>
      <c r="D11" s="2828"/>
      <c r="E11" s="2828"/>
      <c r="F11" s="2837"/>
      <c r="G11" s="2837"/>
      <c r="J11" s="2870"/>
      <c r="M11" s="2870"/>
      <c r="P11" s="2870"/>
      <c r="R11" s="2816"/>
    </row>
    <row r="12" s="2814" customFormat="1" ht="18.75" spans="1:17">
      <c r="A12" s="2845"/>
      <c r="B12" s="2837"/>
      <c r="C12" s="2828"/>
      <c r="D12" s="2846"/>
      <c r="E12" s="2828"/>
      <c r="F12" s="2837"/>
      <c r="G12" s="2837"/>
      <c r="H12" s="2847"/>
      <c r="I12" s="2847"/>
      <c r="J12" s="2847"/>
      <c r="K12" s="2847"/>
      <c r="L12" s="2871"/>
      <c r="M12" s="2847"/>
      <c r="N12" s="2872"/>
      <c r="O12" s="2872"/>
      <c r="P12" s="2872"/>
      <c r="Q12" s="2872"/>
    </row>
    <row r="13" ht="19.5" spans="1:7">
      <c r="A13" s="2848" t="s">
        <v>682</v>
      </c>
      <c r="B13" s="2846"/>
      <c r="C13" s="2846"/>
      <c r="D13" s="2823"/>
      <c r="E13" s="2846"/>
      <c r="F13" s="2846"/>
      <c r="G13" s="2846"/>
    </row>
    <row r="14" ht="14.25" spans="1:7">
      <c r="A14" s="2849"/>
      <c r="B14" s="2849"/>
      <c r="C14" s="2850" t="s">
        <v>663</v>
      </c>
      <c r="D14" s="2828"/>
      <c r="E14" s="2851"/>
      <c r="F14" s="2851"/>
      <c r="G14" s="2822" t="s">
        <v>164</v>
      </c>
    </row>
    <row r="15" ht="40.5" spans="1:7">
      <c r="A15" s="2852" t="s">
        <v>664</v>
      </c>
      <c r="B15" s="2853" t="s">
        <v>665</v>
      </c>
      <c r="C15" s="2854" t="str">
        <f>C3</f>
        <v>估价对象周边居住用地比例、居住小区规模和社区发展完善程度，综合评价居住社区成熟度一般</v>
      </c>
      <c r="D15" s="2828"/>
      <c r="E15" s="2855" t="s">
        <v>664</v>
      </c>
      <c r="F15" s="2853" t="s">
        <v>667</v>
      </c>
      <c r="G15" s="2856" t="str">
        <f>G3</f>
        <v>估价对象位于XX开发区，园区建设成熟度XX，产业集聚程度XX</v>
      </c>
    </row>
    <row r="16" ht="40.5" spans="1:7">
      <c r="A16" s="2857"/>
      <c r="B16" s="2858" t="s">
        <v>669</v>
      </c>
      <c r="C16" s="2859" t="str">
        <f>C4</f>
        <v>估价对象位于XX商圈，周边商业氛围成熟，人流量大，商业繁华度好</v>
      </c>
      <c r="D16" s="2828"/>
      <c r="E16" s="2860"/>
      <c r="F16" s="2861" t="s">
        <v>671</v>
      </c>
      <c r="G16" s="2862" t="str">
        <f>G4</f>
        <v>估价对象周边道路状况、公共交通通达情况、停车便捷程度，综合评价交通便捷度较好</v>
      </c>
    </row>
    <row r="17" ht="40.5" spans="1:7">
      <c r="A17" s="2857"/>
      <c r="B17" s="2858" t="s">
        <v>673</v>
      </c>
      <c r="C17" s="2859" t="str">
        <f>C5</f>
        <v>估价对象位于XX商圈，周边办公楼项目较多，入驻率高，办公集聚程度较好</v>
      </c>
      <c r="D17" s="2837"/>
      <c r="E17" s="2860"/>
      <c r="F17" s="2861" t="s">
        <v>683</v>
      </c>
      <c r="G17" s="2863"/>
    </row>
    <row r="18" ht="40.5" spans="1:7">
      <c r="A18" s="2857"/>
      <c r="B18" s="2861" t="s">
        <v>671</v>
      </c>
      <c r="C18" s="2862" t="str">
        <f>C6</f>
        <v>估价对象周边道路状况、公共交通通达情况、停车便捷程度，综合评价交通便捷度较好</v>
      </c>
      <c r="D18" s="2837"/>
      <c r="E18" s="2860"/>
      <c r="F18" s="2861" t="s">
        <v>677</v>
      </c>
      <c r="G18" s="2862" t="str">
        <f>G7</f>
        <v>该园区内是否有污染型企业，绿化情况，卫生条件，整体环境状况判断</v>
      </c>
    </row>
    <row r="19" ht="27" spans="1:7">
      <c r="A19" s="2857"/>
      <c r="B19" s="2861" t="s">
        <v>683</v>
      </c>
      <c r="C19" s="2863"/>
      <c r="D19" s="2828"/>
      <c r="E19" s="2860"/>
      <c r="F19" s="2832" t="s">
        <v>231</v>
      </c>
      <c r="G19" s="2862" t="str">
        <f>G5</f>
        <v>估价对象所在区域公共配套设施齐备情况</v>
      </c>
    </row>
    <row r="20" ht="27" spans="1:7">
      <c r="A20" s="2857"/>
      <c r="B20" s="2861" t="s">
        <v>684</v>
      </c>
      <c r="C20" s="2859" t="str">
        <f>C9</f>
        <v>区域自然环境：；人文环境；综合评价环境状况一般</v>
      </c>
      <c r="D20" s="2837"/>
      <c r="E20" s="2860"/>
      <c r="F20" s="2832" t="s">
        <v>232</v>
      </c>
      <c r="G20" s="2862" t="str">
        <f>G6</f>
        <v>估价对象所在区域基础设施水平</v>
      </c>
    </row>
    <row r="21" ht="27" spans="1:7">
      <c r="A21" s="2857"/>
      <c r="B21" s="2832" t="s">
        <v>231</v>
      </c>
      <c r="C21" s="2862" t="str">
        <f>C7</f>
        <v>估价对象所在区域公共配套设施齐备情况</v>
      </c>
      <c r="D21" s="2828"/>
      <c r="E21" s="2860"/>
      <c r="F21" s="2861" t="s">
        <v>685</v>
      </c>
      <c r="G21" s="2864"/>
    </row>
    <row r="22" ht="14.25" spans="1:7">
      <c r="A22" s="2857"/>
      <c r="B22" s="2832" t="s">
        <v>232</v>
      </c>
      <c r="C22" s="2862" t="str">
        <f>C8</f>
        <v>估价对象所在区域基础设施水平</v>
      </c>
      <c r="D22" s="2828"/>
      <c r="E22" s="2860"/>
      <c r="F22" s="2861" t="s">
        <v>681</v>
      </c>
      <c r="G22" s="2863"/>
    </row>
    <row r="23" ht="15" spans="1:7">
      <c r="A23" s="2857"/>
      <c r="B23" s="2861" t="s">
        <v>685</v>
      </c>
      <c r="C23" s="2864"/>
      <c r="E23" s="2865"/>
      <c r="F23" s="2866" t="s">
        <v>217</v>
      </c>
      <c r="G23" s="2867"/>
    </row>
    <row r="24" ht="14.25" spans="1:7">
      <c r="A24" s="2868"/>
      <c r="B24" s="2866" t="s">
        <v>681</v>
      </c>
      <c r="C24" s="2869">
        <f>C10</f>
        <v>0</v>
      </c>
      <c r="E24" s="2837"/>
      <c r="F24" s="2837"/>
      <c r="G24" s="2837"/>
    </row>
    <row r="25" spans="5:7">
      <c r="E25" s="2815"/>
      <c r="F25" s="2815"/>
      <c r="G25" s="2815"/>
    </row>
    <row r="26" spans="5:7">
      <c r="E26" s="2815"/>
      <c r="F26" s="2815"/>
      <c r="G26" s="2815"/>
    </row>
    <row r="27" spans="5:7">
      <c r="E27" s="2815"/>
      <c r="F27" s="2815"/>
      <c r="G27" s="2815"/>
    </row>
    <row r="28" spans="5:7">
      <c r="E28" s="2815"/>
      <c r="F28" s="2815"/>
      <c r="G28" s="2815"/>
    </row>
    <row r="29" spans="5:7">
      <c r="E29" s="2815"/>
      <c r="F29" s="2815"/>
      <c r="G29" s="2815"/>
    </row>
    <row r="30" spans="5:7">
      <c r="E30" s="2815"/>
      <c r="F30" s="2815"/>
      <c r="G30" s="2815"/>
    </row>
    <row r="31" spans="5:7">
      <c r="E31" s="2815"/>
      <c r="F31" s="2815"/>
      <c r="G31" s="2815"/>
    </row>
    <row r="32" spans="5:7">
      <c r="E32" s="2815"/>
      <c r="F32" s="2815"/>
      <c r="G32" s="2815"/>
    </row>
    <row r="33" spans="5:7">
      <c r="E33" s="2815"/>
      <c r="F33" s="2815"/>
      <c r="G33" s="2815"/>
    </row>
    <row r="34" spans="5:7">
      <c r="E34" s="2815"/>
      <c r="F34" s="2815"/>
      <c r="G34" s="2815"/>
    </row>
    <row r="35" spans="5:7">
      <c r="E35" s="2815"/>
      <c r="F35" s="2815"/>
      <c r="G35" s="2815"/>
    </row>
    <row r="36" spans="5:7">
      <c r="E36" s="2815"/>
      <c r="F36" s="2815"/>
      <c r="G36" s="2815"/>
    </row>
    <row r="37" spans="5:7">
      <c r="E37" s="2815"/>
      <c r="F37" s="2815"/>
      <c r="G37" s="2815"/>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68"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J26"/>
  <sheetViews>
    <sheetView view="pageBreakPreview" zoomScale="80" zoomScaleNormal="80" workbookViewId="0">
      <selection activeCell="C35" sqref="C35"/>
    </sheetView>
  </sheetViews>
  <sheetFormatPr defaultColWidth="14.6333333333333" defaultRowHeight="13.5"/>
  <cols>
    <col min="1" max="1" width="24.3666666666667" style="2804" customWidth="1"/>
    <col min="2" max="16384" width="14.6333333333333" style="2804"/>
  </cols>
  <sheetData>
    <row r="1" ht="16.5" spans="1:10">
      <c r="A1" s="2805" t="s">
        <v>686</v>
      </c>
      <c r="B1" s="2805">
        <f>SUM(B14:B23)</f>
        <v>207099.61</v>
      </c>
      <c r="C1" s="2806"/>
      <c r="D1" s="2806"/>
      <c r="E1" s="2806"/>
      <c r="F1" s="2806"/>
      <c r="G1" s="2807"/>
      <c r="H1" s="2807"/>
      <c r="I1" s="2807"/>
      <c r="J1" s="2807"/>
    </row>
    <row r="2" ht="16.5" spans="1:10">
      <c r="A2" s="2805" t="s">
        <v>687</v>
      </c>
      <c r="B2" s="2805">
        <f>SUM(C14:C23)</f>
        <v>101349.03</v>
      </c>
      <c r="C2" s="2806"/>
      <c r="D2" s="2806"/>
      <c r="E2" s="2806"/>
      <c r="F2" s="2806"/>
      <c r="G2" s="2807"/>
      <c r="H2" s="2807"/>
      <c r="I2" s="2807"/>
      <c r="J2" s="2807"/>
    </row>
    <row r="3" ht="16.5" spans="1:10">
      <c r="A3" s="2805" t="s">
        <v>688</v>
      </c>
      <c r="B3" s="2808">
        <f>项目基本情况!D3</f>
        <v>45252</v>
      </c>
      <c r="C3" s="2806"/>
      <c r="D3" s="2806"/>
      <c r="E3" s="2806"/>
      <c r="F3" s="2806"/>
      <c r="G3" s="2807"/>
      <c r="H3" s="2807"/>
      <c r="I3" s="2807"/>
      <c r="J3" s="2807"/>
    </row>
    <row r="4" ht="33" spans="1:10">
      <c r="A4" s="2805" t="s">
        <v>366</v>
      </c>
      <c r="B4" s="2805" t="s">
        <v>689</v>
      </c>
      <c r="C4" s="2805" t="s">
        <v>690</v>
      </c>
      <c r="D4" s="2805" t="s">
        <v>691</v>
      </c>
      <c r="E4" s="2806"/>
      <c r="F4" s="2806"/>
      <c r="G4" s="2807"/>
      <c r="H4" s="2807"/>
      <c r="I4" s="2807"/>
      <c r="J4" s="2807"/>
    </row>
    <row r="5" ht="16.5" spans="1:10">
      <c r="A5" s="2805" t="s">
        <v>692</v>
      </c>
      <c r="B5" s="2805">
        <f ca="1">SUM(D14:D23)</f>
        <v>92014.57</v>
      </c>
      <c r="C5" s="2805">
        <f ca="1">ROUND(B5*10000/$B$1,0)</f>
        <v>4443</v>
      </c>
      <c r="D5" s="2805">
        <f ca="1">ROUND(B5*10000/$B$2,0)</f>
        <v>9079</v>
      </c>
      <c r="E5" s="2806"/>
      <c r="F5" s="2806"/>
      <c r="G5" s="2807"/>
      <c r="H5" s="2807"/>
      <c r="I5" s="2807"/>
      <c r="J5" s="2807"/>
    </row>
    <row r="6" ht="16.5" spans="1:10">
      <c r="A6" s="2805" t="s">
        <v>693</v>
      </c>
      <c r="B6" s="2805">
        <f ca="1">SUM(G14:G23)</f>
        <v>0</v>
      </c>
      <c r="C6" s="2805">
        <f ca="1" t="shared" ref="C6:C8" si="0">ROUND(B6*10000/$B$1,0)</f>
        <v>0</v>
      </c>
      <c r="D6" s="2805">
        <f ca="1" t="shared" ref="D6:D8" si="1">ROUND(B6*10000/$B$2,0)</f>
        <v>0</v>
      </c>
      <c r="E6" s="2806"/>
      <c r="F6" s="2806"/>
      <c r="G6" s="2807"/>
      <c r="H6" s="2807"/>
      <c r="I6" s="2807"/>
      <c r="J6" s="2807"/>
    </row>
    <row r="7" ht="16.5" spans="1:10">
      <c r="A7" s="2805" t="s">
        <v>694</v>
      </c>
      <c r="B7" s="2805">
        <f ca="1">SUM(H14:H23)</f>
        <v>0</v>
      </c>
      <c r="C7" s="2805">
        <f ca="1" t="shared" si="0"/>
        <v>0</v>
      </c>
      <c r="D7" s="2805">
        <f ca="1" t="shared" si="1"/>
        <v>0</v>
      </c>
      <c r="E7" s="2806"/>
      <c r="F7" s="2806"/>
      <c r="G7" s="2807"/>
      <c r="H7" s="2807"/>
      <c r="I7" s="2807"/>
      <c r="J7" s="2807"/>
    </row>
    <row r="8" ht="16.5" spans="1:10">
      <c r="A8" s="2805" t="s">
        <v>352</v>
      </c>
      <c r="B8" s="2805">
        <f ca="1">SUM(I14:I23)</f>
        <v>0</v>
      </c>
      <c r="C8" s="2805">
        <f ca="1" t="shared" si="0"/>
        <v>0</v>
      </c>
      <c r="D8" s="2805">
        <f ca="1" t="shared" si="1"/>
        <v>0</v>
      </c>
      <c r="E8" s="2806"/>
      <c r="F8" s="2806"/>
      <c r="G8" s="2807"/>
      <c r="H8" s="2807"/>
      <c r="I8" s="2807"/>
      <c r="J8" s="2807"/>
    </row>
    <row r="9" ht="16.5" spans="1:10">
      <c r="A9" s="2805" t="s">
        <v>695</v>
      </c>
      <c r="B9" s="2809"/>
      <c r="C9" s="2806"/>
      <c r="D9" s="2806"/>
      <c r="E9" s="2806"/>
      <c r="F9" s="2806"/>
      <c r="G9" s="2807"/>
      <c r="H9" s="2807"/>
      <c r="I9" s="2807"/>
      <c r="J9" s="2807"/>
    </row>
    <row r="10" ht="16.5" spans="1:10">
      <c r="A10" s="2805" t="s">
        <v>696</v>
      </c>
      <c r="B10" s="2809"/>
      <c r="C10" s="2806"/>
      <c r="D10" s="2806"/>
      <c r="E10" s="2806"/>
      <c r="F10" s="2806"/>
      <c r="G10" s="2807"/>
      <c r="H10" s="2807"/>
      <c r="I10" s="2807"/>
      <c r="J10" s="2807"/>
    </row>
    <row r="11" ht="16.5" spans="1:10">
      <c r="A11" s="2805" t="s">
        <v>697</v>
      </c>
      <c r="B11" s="2809"/>
      <c r="C11" s="2806"/>
      <c r="D11" s="2806"/>
      <c r="E11" s="2806"/>
      <c r="F11" s="2806"/>
      <c r="G11" s="2807"/>
      <c r="H11" s="2807"/>
      <c r="I11" s="2807"/>
      <c r="J11" s="2807"/>
    </row>
    <row r="12" ht="16.5" spans="1:10">
      <c r="A12" s="2806"/>
      <c r="B12" s="2806"/>
      <c r="C12" s="2806"/>
      <c r="D12" s="2806"/>
      <c r="E12" s="2806"/>
      <c r="F12" s="2806"/>
      <c r="G12" s="2807"/>
      <c r="H12" s="2807"/>
      <c r="I12" s="2807"/>
      <c r="J12" s="2807"/>
    </row>
    <row r="13" ht="33" spans="1:10">
      <c r="A13" s="2810" t="s">
        <v>698</v>
      </c>
      <c r="B13" s="2811" t="s">
        <v>686</v>
      </c>
      <c r="C13" s="2811" t="s">
        <v>687</v>
      </c>
      <c r="D13" s="2811" t="s">
        <v>699</v>
      </c>
      <c r="E13" s="2805" t="s">
        <v>690</v>
      </c>
      <c r="F13" s="2805" t="s">
        <v>691</v>
      </c>
      <c r="G13" s="2811" t="s">
        <v>700</v>
      </c>
      <c r="H13" s="2811" t="s">
        <v>701</v>
      </c>
      <c r="I13" s="2811" t="s">
        <v>702</v>
      </c>
      <c r="J13" s="2807"/>
    </row>
    <row r="14" ht="16.5" spans="1:10">
      <c r="A14" s="2812" t="s">
        <v>703</v>
      </c>
      <c r="B14" s="2813">
        <f>地块信息表!M25</f>
        <v>207099.61</v>
      </c>
      <c r="C14" s="2813">
        <f>地块信息表!D23</f>
        <v>101349.03</v>
      </c>
      <c r="D14" s="2813">
        <f ca="1">汇总表!E26</f>
        <v>92014.57</v>
      </c>
      <c r="E14" s="2813">
        <f ca="1">汇总表!E27</f>
        <v>4443</v>
      </c>
      <c r="F14" s="2813">
        <f ca="1">汇总表!E28</f>
        <v>9079</v>
      </c>
      <c r="G14" s="2813" t="str">
        <f ca="1">结果表!C44</f>
        <v>——</v>
      </c>
      <c r="H14" s="2813" t="str">
        <f ca="1">结果表!C45</f>
        <v>——</v>
      </c>
      <c r="I14" s="2813" t="str">
        <f ca="1">结果表!C46</f>
        <v>——</v>
      </c>
      <c r="J14" s="2807"/>
    </row>
    <row r="15" ht="16.5" spans="1:10">
      <c r="A15" s="2812" t="s">
        <v>704</v>
      </c>
      <c r="B15" s="2812"/>
      <c r="C15" s="2812"/>
      <c r="D15" s="2812"/>
      <c r="E15" s="2813" t="e">
        <f t="shared" ref="E15:E23" si="2">ROUND(D15*10000/B15,0)</f>
        <v>#DIV/0!</v>
      </c>
      <c r="F15" s="2813" t="e">
        <f t="shared" ref="F15:F23" si="3">ROUND(D15*10000/C15,0)</f>
        <v>#DIV/0!</v>
      </c>
      <c r="G15" s="2809"/>
      <c r="H15" s="2809"/>
      <c r="I15" s="2812"/>
      <c r="J15" s="2807"/>
    </row>
    <row r="16" ht="16.5" spans="1:10">
      <c r="A16" s="2812" t="s">
        <v>705</v>
      </c>
      <c r="B16" s="2812"/>
      <c r="C16" s="2812"/>
      <c r="D16" s="2812"/>
      <c r="E16" s="2813" t="e">
        <f t="shared" si="2"/>
        <v>#DIV/0!</v>
      </c>
      <c r="F16" s="2813" t="e">
        <f t="shared" si="3"/>
        <v>#DIV/0!</v>
      </c>
      <c r="G16" s="2809"/>
      <c r="H16" s="2809"/>
      <c r="I16" s="2812"/>
      <c r="J16" s="2807"/>
    </row>
    <row r="17" ht="16.5" spans="1:10">
      <c r="A17" s="2812" t="s">
        <v>706</v>
      </c>
      <c r="B17" s="2812"/>
      <c r="C17" s="2812"/>
      <c r="D17" s="2812"/>
      <c r="E17" s="2813" t="e">
        <f t="shared" si="2"/>
        <v>#DIV/0!</v>
      </c>
      <c r="F17" s="2813" t="e">
        <f t="shared" si="3"/>
        <v>#DIV/0!</v>
      </c>
      <c r="G17" s="2809"/>
      <c r="H17" s="2809"/>
      <c r="I17" s="2812"/>
      <c r="J17" s="2807"/>
    </row>
    <row r="18" ht="16.5" spans="1:10">
      <c r="A18" s="2812" t="s">
        <v>707</v>
      </c>
      <c r="B18" s="2812"/>
      <c r="C18" s="2812"/>
      <c r="D18" s="2812"/>
      <c r="E18" s="2813" t="e">
        <f t="shared" si="2"/>
        <v>#DIV/0!</v>
      </c>
      <c r="F18" s="2813" t="e">
        <f t="shared" si="3"/>
        <v>#DIV/0!</v>
      </c>
      <c r="G18" s="2812"/>
      <c r="H18" s="2812"/>
      <c r="I18" s="2812"/>
      <c r="J18" s="2807"/>
    </row>
    <row r="19" ht="16.5" spans="1:10">
      <c r="A19" s="2812" t="s">
        <v>708</v>
      </c>
      <c r="B19" s="2812"/>
      <c r="C19" s="2812"/>
      <c r="D19" s="2812"/>
      <c r="E19" s="2813" t="e">
        <f t="shared" si="2"/>
        <v>#DIV/0!</v>
      </c>
      <c r="F19" s="2813" t="e">
        <f t="shared" si="3"/>
        <v>#DIV/0!</v>
      </c>
      <c r="G19" s="2812"/>
      <c r="H19" s="2812"/>
      <c r="I19" s="2812"/>
      <c r="J19" s="2807"/>
    </row>
    <row r="20" ht="16.5" spans="1:10">
      <c r="A20" s="2812" t="s">
        <v>709</v>
      </c>
      <c r="B20" s="2812"/>
      <c r="C20" s="2812"/>
      <c r="D20" s="2812"/>
      <c r="E20" s="2813" t="e">
        <f t="shared" si="2"/>
        <v>#DIV/0!</v>
      </c>
      <c r="F20" s="2813" t="e">
        <f t="shared" si="3"/>
        <v>#DIV/0!</v>
      </c>
      <c r="G20" s="2812"/>
      <c r="H20" s="2812"/>
      <c r="I20" s="2812"/>
      <c r="J20" s="2807"/>
    </row>
    <row r="21" ht="16.5" spans="1:10">
      <c r="A21" s="2812" t="s">
        <v>710</v>
      </c>
      <c r="B21" s="2812"/>
      <c r="C21" s="2812"/>
      <c r="D21" s="2812"/>
      <c r="E21" s="2813" t="e">
        <f t="shared" si="2"/>
        <v>#DIV/0!</v>
      </c>
      <c r="F21" s="2813" t="e">
        <f t="shared" si="3"/>
        <v>#DIV/0!</v>
      </c>
      <c r="G21" s="2812"/>
      <c r="H21" s="2812"/>
      <c r="I21" s="2812"/>
      <c r="J21" s="2807"/>
    </row>
    <row r="22" ht="16.5" spans="1:10">
      <c r="A22" s="2812" t="s">
        <v>711</v>
      </c>
      <c r="B22" s="2812"/>
      <c r="C22" s="2812"/>
      <c r="D22" s="2812"/>
      <c r="E22" s="2813" t="e">
        <f t="shared" si="2"/>
        <v>#DIV/0!</v>
      </c>
      <c r="F22" s="2813" t="e">
        <f t="shared" si="3"/>
        <v>#DIV/0!</v>
      </c>
      <c r="G22" s="2812"/>
      <c r="H22" s="2812"/>
      <c r="I22" s="2812"/>
      <c r="J22" s="2807"/>
    </row>
    <row r="23" ht="16.5" spans="1:10">
      <c r="A23" s="2812" t="s">
        <v>712</v>
      </c>
      <c r="B23" s="2812"/>
      <c r="C23" s="2812"/>
      <c r="D23" s="2812"/>
      <c r="E23" s="2809" t="e">
        <f t="shared" si="2"/>
        <v>#DIV/0!</v>
      </c>
      <c r="F23" s="2809" t="e">
        <f t="shared" si="3"/>
        <v>#DIV/0!</v>
      </c>
      <c r="G23" s="2812"/>
      <c r="H23" s="2812"/>
      <c r="I23" s="2812"/>
      <c r="J23" s="2807"/>
    </row>
    <row r="24" spans="1:10">
      <c r="A24" s="2807"/>
      <c r="B24" s="2807"/>
      <c r="C24" s="2807"/>
      <c r="D24" s="2807"/>
      <c r="E24" s="2807"/>
      <c r="F24" s="2807"/>
      <c r="G24" s="2807"/>
      <c r="H24" s="2807"/>
      <c r="I24" s="2807"/>
      <c r="J24" s="2807"/>
    </row>
    <row r="25" spans="1:10">
      <c r="A25" s="2807"/>
      <c r="B25" s="2807"/>
      <c r="C25" s="2807"/>
      <c r="D25" s="2807"/>
      <c r="E25" s="2807"/>
      <c r="F25" s="2807"/>
      <c r="G25" s="2807"/>
      <c r="H25" s="2807"/>
      <c r="I25" s="2807"/>
      <c r="J25" s="2807"/>
    </row>
    <row r="26" spans="1:10">
      <c r="A26" s="2807"/>
      <c r="B26" s="2807"/>
      <c r="C26" s="2807"/>
      <c r="D26" s="2807"/>
      <c r="E26" s="2807"/>
      <c r="F26" s="2807"/>
      <c r="G26" s="2807"/>
      <c r="H26" s="2807"/>
      <c r="I26" s="2807"/>
      <c r="J26" s="2807"/>
    </row>
  </sheetData>
  <sheetProtection password="CEE9" sheet="1" formatCells="0" formatColumns="0" formatRows="0" objects="1" scenarios="1"/>
  <pageMargins left="0.7" right="0.7" top="0.75" bottom="0.75" header="0.3" footer="0.3"/>
  <pageSetup paperSize="9" scale="85"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pageSetUpPr fitToPage="1"/>
  </sheetPr>
  <dimension ref="A1:Z206"/>
  <sheetViews>
    <sheetView view="pageBreakPreview" zoomScale="70" zoomScalePageLayoutView="80" zoomScaleNormal="100" workbookViewId="0">
      <selection activeCell="T33" sqref="T33"/>
    </sheetView>
  </sheetViews>
  <sheetFormatPr defaultColWidth="12.6333333333333" defaultRowHeight="21.75" customHeight="1"/>
  <cols>
    <col min="1" max="2" width="12.725" style="78" customWidth="1"/>
    <col min="3" max="4" width="12.6333333333333" style="78" customWidth="1"/>
    <col min="5" max="9" width="12.725" style="78" customWidth="1"/>
    <col min="10" max="10" width="2.26666666666667" style="72" customWidth="1"/>
    <col min="11" max="12" width="12.6333333333333" style="72" customWidth="1"/>
    <col min="13" max="13" width="12.6333333333333" style="72"/>
    <col min="14" max="14" width="15.6333333333333" style="72" customWidth="1"/>
    <col min="15" max="19" width="12.725" style="72" customWidth="1"/>
    <col min="20" max="26" width="12.6333333333333" style="72"/>
    <col min="27" max="16384" width="12.6333333333333" style="78"/>
  </cols>
  <sheetData>
    <row r="1" customHeight="1" spans="1:22">
      <c r="A1" s="2427" t="s">
        <v>713</v>
      </c>
      <c r="B1" s="2428"/>
      <c r="C1" s="2429" t="s">
        <v>714</v>
      </c>
      <c r="D1" s="2430"/>
      <c r="E1" s="2429" t="s">
        <v>715</v>
      </c>
      <c r="F1" s="2431"/>
      <c r="G1" s="119"/>
      <c r="H1" s="119"/>
      <c r="I1" s="119"/>
      <c r="J1" s="183"/>
      <c r="K1" s="183"/>
      <c r="L1" s="183"/>
      <c r="M1" s="183"/>
      <c r="N1" s="183"/>
      <c r="O1" s="183"/>
      <c r="P1" s="183"/>
      <c r="Q1" s="183"/>
      <c r="R1" s="183"/>
      <c r="S1" s="183"/>
      <c r="T1" s="183"/>
      <c r="U1" s="183"/>
      <c r="V1" s="183"/>
    </row>
    <row r="2" customHeight="1" spans="1:22">
      <c r="A2" s="2432" t="str">
        <f>项目基本情况!K2</f>
        <v>出让国有建设用地使用权</v>
      </c>
      <c r="B2" s="2433"/>
      <c r="C2" s="2434"/>
      <c r="D2" s="2434"/>
      <c r="E2" s="2434"/>
      <c r="F2" s="2434"/>
      <c r="G2" s="2433"/>
      <c r="H2" s="2433"/>
      <c r="I2" s="2564"/>
      <c r="J2" s="2565"/>
      <c r="K2" s="183"/>
      <c r="L2" s="183"/>
      <c r="M2" s="183"/>
      <c r="N2" s="183"/>
      <c r="O2" s="183"/>
      <c r="P2" s="183"/>
      <c r="Q2" s="183"/>
      <c r="R2" s="183"/>
      <c r="S2" s="183"/>
      <c r="T2" s="183"/>
      <c r="U2" s="183"/>
      <c r="V2" s="183"/>
    </row>
    <row r="3" ht="14.25" spans="1:22">
      <c r="A3" s="2435" t="s">
        <v>716</v>
      </c>
      <c r="B3" s="805"/>
      <c r="C3" s="805"/>
      <c r="D3" s="805"/>
      <c r="E3" s="805"/>
      <c r="F3" s="805"/>
      <c r="G3" s="805"/>
      <c r="H3" s="805"/>
      <c r="I3" s="805"/>
      <c r="J3" s="2565"/>
      <c r="K3" s="183"/>
      <c r="L3" s="183"/>
      <c r="M3" s="183"/>
      <c r="N3" s="183"/>
      <c r="O3" s="183"/>
      <c r="P3" s="183"/>
      <c r="Q3" s="183"/>
      <c r="R3" s="183"/>
      <c r="S3" s="183"/>
      <c r="T3" s="183"/>
      <c r="U3" s="183"/>
      <c r="V3" s="183"/>
    </row>
    <row r="4" ht="14.25" spans="1:22">
      <c r="A4" s="2436" t="s">
        <v>717</v>
      </c>
      <c r="B4" s="2394" t="s">
        <v>718</v>
      </c>
      <c r="C4" s="2437"/>
      <c r="D4" s="2437"/>
      <c r="E4" s="2438" t="s">
        <v>719</v>
      </c>
      <c r="F4" s="964"/>
      <c r="G4" s="964"/>
      <c r="H4" s="964"/>
      <c r="I4" s="2566"/>
      <c r="J4" s="2565"/>
      <c r="K4" s="183"/>
      <c r="L4" s="1109" t="str">
        <f>IF(ISNUMBER(FIND("比较法",C4)),"比较法",IF(ISNUMBER(FIND("成本法",C4)),"成本法",IF(ISNUMBER(FIND("剩余法",C4)),"剩余法",IF(ISNUMBER(FIND("收益法",C4)),"收益法","基准地价系数修正法"))))</f>
        <v>基准地价系数修正法</v>
      </c>
      <c r="M4" s="120" t="str">
        <f>IF(ISNUMBER(FIND("比较法",D4)),"比较法",IF(ISNUMBER(FIND("成本法",D4)),"成本法",IF(ISNUMBER(FIND("剩余法",D4)),"剩余法",IF(ISNUMBER(FIND("收益法",D4)),"收益法","基准地价系数修正法"))))</f>
        <v>基准地价系数修正法</v>
      </c>
      <c r="N4" s="183"/>
      <c r="O4" s="183"/>
      <c r="P4" s="183"/>
      <c r="Q4" s="183"/>
      <c r="R4" s="183"/>
      <c r="S4" s="183"/>
      <c r="T4" s="183"/>
      <c r="U4" s="183"/>
      <c r="V4" s="183"/>
    </row>
    <row r="5" ht="14.25" spans="1:22">
      <c r="A5" s="2439" t="s">
        <v>720</v>
      </c>
      <c r="B5" s="466">
        <v>25</v>
      </c>
      <c r="C5" s="2440"/>
      <c r="D5" s="2441"/>
      <c r="E5" s="785" t="s">
        <v>721</v>
      </c>
      <c r="F5" s="2442"/>
      <c r="G5" s="2442"/>
      <c r="H5" s="2442"/>
      <c r="I5" s="2567"/>
      <c r="J5" s="2565"/>
      <c r="K5" s="183"/>
      <c r="L5" s="183"/>
      <c r="M5" s="183"/>
      <c r="N5" s="183"/>
      <c r="O5" s="183"/>
      <c r="P5" s="183"/>
      <c r="Q5" s="183"/>
      <c r="R5" s="183"/>
      <c r="S5" s="183"/>
      <c r="T5" s="183"/>
      <c r="U5" s="183"/>
      <c r="V5" s="183"/>
    </row>
    <row r="6" ht="14.25" spans="1:22">
      <c r="A6" s="2439"/>
      <c r="B6" s="466"/>
      <c r="C6" s="2443"/>
      <c r="D6" s="2441"/>
      <c r="E6" s="785" t="s">
        <v>722</v>
      </c>
      <c r="F6" s="2442"/>
      <c r="G6" s="2442"/>
      <c r="H6" s="2442"/>
      <c r="I6" s="2567"/>
      <c r="J6" s="2565"/>
      <c r="K6" s="183"/>
      <c r="L6" s="183"/>
      <c r="M6" s="183"/>
      <c r="N6" s="183"/>
      <c r="O6" s="183"/>
      <c r="P6" s="183"/>
      <c r="Q6" s="183"/>
      <c r="R6" s="183"/>
      <c r="S6" s="183"/>
      <c r="T6" s="183"/>
      <c r="U6" s="183"/>
      <c r="V6" s="183"/>
    </row>
    <row r="7" ht="14.25" spans="1:22">
      <c r="A7" s="2439"/>
      <c r="B7" s="466"/>
      <c r="C7" s="2444"/>
      <c r="D7" s="2441"/>
      <c r="E7" s="785" t="s">
        <v>723</v>
      </c>
      <c r="F7" s="2442"/>
      <c r="G7" s="2442"/>
      <c r="H7" s="2442"/>
      <c r="I7" s="2567"/>
      <c r="J7" s="2565"/>
      <c r="K7" s="183"/>
      <c r="L7" s="183"/>
      <c r="M7" s="183"/>
      <c r="N7" s="183"/>
      <c r="O7" s="183"/>
      <c r="P7" s="183"/>
      <c r="Q7" s="183"/>
      <c r="R7" s="183"/>
      <c r="S7" s="183"/>
      <c r="T7" s="183"/>
      <c r="U7" s="183"/>
      <c r="V7" s="183"/>
    </row>
    <row r="8" ht="14.25" spans="1:22">
      <c r="A8" s="2439" t="s">
        <v>724</v>
      </c>
      <c r="B8" s="466">
        <v>15</v>
      </c>
      <c r="C8" s="2440"/>
      <c r="D8" s="2441"/>
      <c r="E8" s="785" t="s">
        <v>725</v>
      </c>
      <c r="F8" s="2442"/>
      <c r="G8" s="2442"/>
      <c r="H8" s="2442"/>
      <c r="I8" s="2567"/>
      <c r="J8" s="2565"/>
      <c r="K8" s="183"/>
      <c r="L8" s="183"/>
      <c r="M8" s="183"/>
      <c r="N8" s="183"/>
      <c r="O8" s="183"/>
      <c r="P8" s="183"/>
      <c r="Q8" s="183"/>
      <c r="R8" s="183"/>
      <c r="S8" s="183"/>
      <c r="T8" s="183"/>
      <c r="U8" s="183"/>
      <c r="V8" s="183"/>
    </row>
    <row r="9" ht="14.25" spans="1:22">
      <c r="A9" s="2439"/>
      <c r="B9" s="466"/>
      <c r="C9" s="2444"/>
      <c r="D9" s="2441"/>
      <c r="E9" s="785" t="s">
        <v>726</v>
      </c>
      <c r="F9" s="2442"/>
      <c r="G9" s="2442"/>
      <c r="H9" s="2442"/>
      <c r="I9" s="2567"/>
      <c r="J9" s="2565"/>
      <c r="K9" s="183"/>
      <c r="L9" s="183"/>
      <c r="M9" s="183"/>
      <c r="N9" s="183"/>
      <c r="O9" s="183"/>
      <c r="P9" s="183"/>
      <c r="Q9" s="183"/>
      <c r="R9" s="183"/>
      <c r="S9" s="183"/>
      <c r="T9" s="183"/>
      <c r="U9" s="183"/>
      <c r="V9" s="183"/>
    </row>
    <row r="10" ht="14.25" spans="1:22">
      <c r="A10" s="2439" t="s">
        <v>727</v>
      </c>
      <c r="B10" s="466">
        <v>15</v>
      </c>
      <c r="C10" s="2440"/>
      <c r="D10" s="2441"/>
      <c r="E10" s="785" t="s">
        <v>728</v>
      </c>
      <c r="F10" s="2442"/>
      <c r="G10" s="2442"/>
      <c r="H10" s="2442"/>
      <c r="I10" s="2567"/>
      <c r="J10" s="2565"/>
      <c r="K10" s="183"/>
      <c r="L10" s="183"/>
      <c r="M10" s="183"/>
      <c r="N10" s="183"/>
      <c r="O10" s="183"/>
      <c r="P10" s="183"/>
      <c r="Q10" s="183"/>
      <c r="R10" s="183"/>
      <c r="S10" s="183"/>
      <c r="T10" s="183"/>
      <c r="U10" s="183"/>
      <c r="V10" s="183"/>
    </row>
    <row r="11" ht="14.25" spans="1:22">
      <c r="A11" s="2439"/>
      <c r="B11" s="466"/>
      <c r="C11" s="2444"/>
      <c r="D11" s="2441"/>
      <c r="E11" s="785" t="s">
        <v>729</v>
      </c>
      <c r="F11" s="2442"/>
      <c r="G11" s="2442"/>
      <c r="H11" s="2442"/>
      <c r="I11" s="2567"/>
      <c r="J11" s="2565"/>
      <c r="K11" s="183"/>
      <c r="L11" s="183"/>
      <c r="M11" s="183"/>
      <c r="N11" s="183"/>
      <c r="O11" s="183"/>
      <c r="P11" s="183"/>
      <c r="Q11" s="183"/>
      <c r="R11" s="183"/>
      <c r="S11" s="183"/>
      <c r="T11" s="183"/>
      <c r="U11" s="183"/>
      <c r="V11" s="183"/>
    </row>
    <row r="12" ht="14.25" spans="1:22">
      <c r="A12" s="2439" t="s">
        <v>730</v>
      </c>
      <c r="B12" s="466">
        <v>15</v>
      </c>
      <c r="C12" s="2440"/>
      <c r="D12" s="2441"/>
      <c r="E12" s="785" t="s">
        <v>731</v>
      </c>
      <c r="F12" s="2442"/>
      <c r="G12" s="2442"/>
      <c r="H12" s="2442"/>
      <c r="I12" s="2567"/>
      <c r="J12" s="2565"/>
      <c r="K12" s="183"/>
      <c r="L12" s="183"/>
      <c r="M12" s="183"/>
      <c r="N12" s="183"/>
      <c r="O12" s="183"/>
      <c r="P12" s="183"/>
      <c r="Q12" s="183"/>
      <c r="R12" s="183"/>
      <c r="S12" s="183"/>
      <c r="T12" s="183"/>
      <c r="U12" s="183"/>
      <c r="V12" s="183"/>
    </row>
    <row r="13" ht="14.25" spans="1:22">
      <c r="A13" s="2439"/>
      <c r="B13" s="466"/>
      <c r="C13" s="2444"/>
      <c r="D13" s="2441"/>
      <c r="E13" s="785" t="s">
        <v>732</v>
      </c>
      <c r="F13" s="2442"/>
      <c r="G13" s="2442"/>
      <c r="H13" s="2442"/>
      <c r="I13" s="2567"/>
      <c r="J13" s="2565"/>
      <c r="K13" s="183"/>
      <c r="L13" s="183"/>
      <c r="M13" s="183"/>
      <c r="N13" s="183"/>
      <c r="O13" s="183"/>
      <c r="P13" s="183"/>
      <c r="Q13" s="183"/>
      <c r="R13" s="183"/>
      <c r="S13" s="183"/>
      <c r="T13" s="183"/>
      <c r="U13" s="183"/>
      <c r="V13" s="183"/>
    </row>
    <row r="14" ht="14.25" spans="1:22">
      <c r="A14" s="2439" t="s">
        <v>733</v>
      </c>
      <c r="B14" s="466">
        <v>30</v>
      </c>
      <c r="C14" s="2440"/>
      <c r="D14" s="2441"/>
      <c r="E14" s="785" t="s">
        <v>734</v>
      </c>
      <c r="F14" s="2442"/>
      <c r="G14" s="2442"/>
      <c r="H14" s="2442"/>
      <c r="I14" s="2567"/>
      <c r="J14" s="2565"/>
      <c r="K14" s="183"/>
      <c r="L14" s="183"/>
      <c r="M14" s="183"/>
      <c r="N14" s="183"/>
      <c r="O14" s="183"/>
      <c r="P14" s="183"/>
      <c r="Q14" s="183"/>
      <c r="R14" s="183"/>
      <c r="S14" s="183"/>
      <c r="T14" s="183"/>
      <c r="U14" s="183"/>
      <c r="V14" s="183"/>
    </row>
    <row r="15" ht="14.25" spans="1:22">
      <c r="A15" s="2439"/>
      <c r="B15" s="466"/>
      <c r="C15" s="2443"/>
      <c r="D15" s="2441"/>
      <c r="E15" s="785" t="s">
        <v>735</v>
      </c>
      <c r="F15" s="2442"/>
      <c r="G15" s="2442"/>
      <c r="H15" s="2442"/>
      <c r="I15" s="2567"/>
      <c r="J15" s="2565"/>
      <c r="K15" s="183"/>
      <c r="L15" s="183"/>
      <c r="M15" s="183"/>
      <c r="N15" s="183"/>
      <c r="O15" s="183"/>
      <c r="P15" s="183"/>
      <c r="Q15" s="183"/>
      <c r="R15" s="183"/>
      <c r="S15" s="183"/>
      <c r="T15" s="183"/>
      <c r="U15" s="183"/>
      <c r="V15" s="183"/>
    </row>
    <row r="16" ht="14.25" spans="1:22">
      <c r="A16" s="2439"/>
      <c r="B16" s="466"/>
      <c r="C16" s="2444"/>
      <c r="D16" s="2441"/>
      <c r="E16" s="785" t="s">
        <v>736</v>
      </c>
      <c r="F16" s="2442"/>
      <c r="G16" s="2442"/>
      <c r="H16" s="2442"/>
      <c r="I16" s="2567"/>
      <c r="J16" s="2565"/>
      <c r="K16" s="183"/>
      <c r="L16" s="183"/>
      <c r="M16" s="183"/>
      <c r="N16" s="183"/>
      <c r="O16" s="183"/>
      <c r="P16" s="183"/>
      <c r="Q16" s="183"/>
      <c r="R16" s="183"/>
      <c r="S16" s="183"/>
      <c r="T16" s="183"/>
      <c r="U16" s="183"/>
      <c r="V16" s="183"/>
    </row>
    <row r="17" ht="14.25" spans="1:22">
      <c r="A17" s="2445" t="s">
        <v>737</v>
      </c>
      <c r="B17" s="2446"/>
      <c r="C17" s="2447">
        <f>SUM(C5:C16)</f>
        <v>0</v>
      </c>
      <c r="D17" s="2447">
        <f>SUM(D5:D16)</f>
        <v>0</v>
      </c>
      <c r="E17" s="119"/>
      <c r="F17" s="119"/>
      <c r="G17" s="119"/>
      <c r="H17" s="119"/>
      <c r="I17" s="119"/>
      <c r="J17" s="2565"/>
      <c r="K17" s="183"/>
      <c r="L17" s="183"/>
      <c r="M17" s="183"/>
      <c r="N17" s="183"/>
      <c r="O17" s="183"/>
      <c r="P17" s="183"/>
      <c r="Q17" s="183"/>
      <c r="R17" s="183"/>
      <c r="S17" s="183"/>
      <c r="T17" s="183"/>
      <c r="U17" s="183"/>
      <c r="V17" s="183"/>
    </row>
    <row r="18" ht="32.5" customHeight="1" spans="1:22">
      <c r="A18" s="2448" t="s">
        <v>738</v>
      </c>
      <c r="B18" s="2449"/>
      <c r="C18" s="2450" t="e">
        <f>ROUND(C17/SUM(C17:D17),2)</f>
        <v>#DIV/0!</v>
      </c>
      <c r="D18" s="2450" t="e">
        <f>1-C18</f>
        <v>#DIV/0!</v>
      </c>
      <c r="E18" s="2451" t="s">
        <v>739</v>
      </c>
      <c r="F18" s="2452"/>
      <c r="G18" s="2452"/>
      <c r="H18" s="2452"/>
      <c r="I18" s="2452"/>
      <c r="J18" s="183"/>
      <c r="K18" s="183"/>
      <c r="L18" s="183"/>
      <c r="M18" s="183"/>
      <c r="N18" s="183"/>
      <c r="O18" s="183"/>
      <c r="P18" s="183"/>
      <c r="Q18" s="183"/>
      <c r="R18" s="183"/>
      <c r="S18" s="183"/>
      <c r="T18" s="183"/>
      <c r="U18" s="183"/>
      <c r="V18" s="183"/>
    </row>
    <row r="19" ht="14.25" spans="1:22">
      <c r="A19" s="2453" t="s">
        <v>740</v>
      </c>
      <c r="B19" s="2454" t="s">
        <v>741</v>
      </c>
      <c r="C19" s="2455" t="e">
        <f ca="1">SUMIF(INDIRECT("'"&amp;C4&amp;"'"&amp;"!A:A"),结果表!B19,INDIRECT("'"&amp;C4&amp;"'"&amp;"!B:B"))</f>
        <v>#REF!</v>
      </c>
      <c r="D19" s="2456" t="e">
        <f ca="1">SUMIF(INDIRECT("'"&amp;D4&amp;"'"&amp;"!A:A"),结果表!B19,INDIRECT("'"&amp;D4&amp;"'"&amp;"!B:B"))</f>
        <v>#REF!</v>
      </c>
      <c r="E19" s="2453" t="s">
        <v>742</v>
      </c>
      <c r="F19" s="2454" t="s">
        <v>741</v>
      </c>
      <c r="G19" s="2457" t="e">
        <f ca="1">ROUND(C19*$C$18+D19*$D$18,0)</f>
        <v>#REF!</v>
      </c>
      <c r="H19" s="2458" t="s">
        <v>743</v>
      </c>
      <c r="I19" s="119"/>
      <c r="J19" s="183"/>
      <c r="K19" s="183"/>
      <c r="L19" s="183"/>
      <c r="M19" s="183"/>
      <c r="N19" s="183"/>
      <c r="O19" s="183"/>
      <c r="P19" s="183"/>
      <c r="Q19" s="183"/>
      <c r="R19" s="183"/>
      <c r="S19" s="183"/>
      <c r="T19" s="183"/>
      <c r="U19" s="183"/>
      <c r="V19" s="183"/>
    </row>
    <row r="20" ht="15" spans="1:22">
      <c r="A20" s="2459"/>
      <c r="B20" s="2460" t="s">
        <v>261</v>
      </c>
      <c r="C20" s="2461" t="e">
        <f ca="1">SUMIF(INDIRECT("'"&amp;C4&amp;"'"&amp;"!A:A"),结果表!B20,INDIRECT("'"&amp;C4&amp;"'"&amp;"!B:B"))</f>
        <v>#REF!</v>
      </c>
      <c r="D20" s="2462" t="e">
        <f ca="1">SUMIF(INDIRECT("'"&amp;D4&amp;"'"&amp;"!A:A"),结果表!B20,INDIRECT("'"&amp;D4&amp;"'"&amp;"!B:B"))</f>
        <v>#REF!</v>
      </c>
      <c r="E20" s="2459"/>
      <c r="F20" s="2460" t="s">
        <v>261</v>
      </c>
      <c r="G20" s="2463" t="e">
        <f ca="1">ROUND(C20*$C$18+D20*$D$18,0)</f>
        <v>#REF!</v>
      </c>
      <c r="H20" s="1085" t="s">
        <v>744</v>
      </c>
      <c r="I20" s="119"/>
      <c r="J20" s="183"/>
      <c r="K20" s="183"/>
      <c r="L20" s="183"/>
      <c r="M20" s="183"/>
      <c r="N20" s="183"/>
      <c r="O20" s="183"/>
      <c r="P20" s="183"/>
      <c r="Q20" s="183"/>
      <c r="R20" s="183"/>
      <c r="S20" s="183"/>
      <c r="T20" s="183"/>
      <c r="U20" s="183"/>
      <c r="V20" s="183"/>
    </row>
    <row r="21" ht="15" customHeight="1" spans="1:22">
      <c r="A21" s="2459"/>
      <c r="B21" s="2464" t="s">
        <v>249</v>
      </c>
      <c r="C21" s="2465" t="e">
        <f ca="1">SUMIF(INDIRECT("'"&amp;C4&amp;"'"&amp;"!A:A"),结果表!B21,INDIRECT("'"&amp;C4&amp;"'"&amp;"!B:B"))</f>
        <v>#REF!</v>
      </c>
      <c r="D21" s="2466" t="e">
        <f ca="1">SUMIF(INDIRECT("'"&amp;D4&amp;"'"&amp;"!A:A"),结果表!B21,INDIRECT("'"&amp;D4&amp;"'"&amp;"!B:B"))</f>
        <v>#REF!</v>
      </c>
      <c r="E21" s="2459"/>
      <c r="F21" s="2464" t="s">
        <v>249</v>
      </c>
      <c r="G21" s="2467" t="e">
        <f ca="1">ROUND(C21*$C$18+D21*$D$18,0)</f>
        <v>#REF!</v>
      </c>
      <c r="H21" s="1085" t="s">
        <v>744</v>
      </c>
      <c r="I21" s="119"/>
      <c r="J21" s="183"/>
      <c r="K21" s="183"/>
      <c r="L21" s="183"/>
      <c r="M21" s="183"/>
      <c r="N21" s="183"/>
      <c r="O21" s="183"/>
      <c r="P21" s="183"/>
      <c r="Q21" s="183"/>
      <c r="R21" s="183"/>
      <c r="S21" s="183"/>
      <c r="T21" s="183"/>
      <c r="U21" s="183"/>
      <c r="V21" s="183"/>
    </row>
    <row r="22" ht="15.75" spans="1:22">
      <c r="A22" s="2468" t="s">
        <v>745</v>
      </c>
      <c r="B22" s="1021"/>
      <c r="C22" s="785"/>
      <c r="D22" s="2469" t="e">
        <f ca="1">IF(C19&lt;D19,D19/C19-1,C19/D19-1)</f>
        <v>#REF!</v>
      </c>
      <c r="E22" s="350"/>
      <c r="F22" s="2470"/>
      <c r="G22" s="2471" t="e">
        <f ca="1">ROUND(G19/('数据-汇总表'!D3/666.67),0)</f>
        <v>#REF!</v>
      </c>
      <c r="H22" s="2472" t="s">
        <v>746</v>
      </c>
      <c r="I22" s="119"/>
      <c r="J22" s="183"/>
      <c r="K22" s="183"/>
      <c r="L22" s="183"/>
      <c r="M22" s="183"/>
      <c r="N22" s="183"/>
      <c r="O22" s="183"/>
      <c r="P22" s="183"/>
      <c r="Q22" s="183"/>
      <c r="R22" s="183"/>
      <c r="S22" s="183"/>
      <c r="T22" s="183"/>
      <c r="U22" s="183"/>
      <c r="V22" s="183"/>
    </row>
    <row r="23" ht="14.25" spans="1:22">
      <c r="A23" s="119"/>
      <c r="B23" s="119"/>
      <c r="C23" s="119"/>
      <c r="D23" s="119"/>
      <c r="E23" s="119"/>
      <c r="F23" s="119"/>
      <c r="G23" s="119"/>
      <c r="H23" s="119"/>
      <c r="I23" s="119"/>
      <c r="J23" s="183"/>
      <c r="K23" s="183"/>
      <c r="L23" s="183"/>
      <c r="M23" s="183"/>
      <c r="N23" s="183"/>
      <c r="O23" s="183"/>
      <c r="P23" s="183"/>
      <c r="Q23" s="183"/>
      <c r="R23" s="183"/>
      <c r="S23" s="183"/>
      <c r="T23" s="183"/>
      <c r="U23" s="183"/>
      <c r="V23" s="183"/>
    </row>
    <row r="24" ht="15" spans="1:22">
      <c r="A24" s="2473" t="s">
        <v>747</v>
      </c>
      <c r="B24" s="2454" t="s">
        <v>741</v>
      </c>
      <c r="C24" s="2474">
        <f>IF(B30=0,0,D30)</f>
        <v>0</v>
      </c>
      <c r="D24" s="2475"/>
      <c r="E24" s="119"/>
      <c r="F24" s="119"/>
      <c r="G24" s="119"/>
      <c r="H24" s="119"/>
      <c r="I24" s="119"/>
      <c r="J24" s="183"/>
      <c r="K24" s="183"/>
      <c r="L24" s="183"/>
      <c r="M24" s="183"/>
      <c r="N24" s="183"/>
      <c r="O24" s="183"/>
      <c r="P24" s="183"/>
      <c r="Q24" s="183"/>
      <c r="R24" s="183"/>
      <c r="S24" s="183"/>
      <c r="T24" s="183"/>
      <c r="U24" s="183"/>
      <c r="V24" s="183"/>
    </row>
    <row r="25" ht="18" spans="1:22">
      <c r="A25" s="2476"/>
      <c r="B25" s="2477" t="s">
        <v>261</v>
      </c>
      <c r="C25" s="2478">
        <f>IF(B30=0,0,C30)</f>
        <v>0</v>
      </c>
      <c r="D25" s="2479"/>
      <c r="E25" s="119"/>
      <c r="F25" s="119"/>
      <c r="G25" s="119"/>
      <c r="H25" s="119"/>
      <c r="I25" s="119"/>
      <c r="J25" s="183"/>
      <c r="K25" s="2568" t="e">
        <f ca="1">项目基本情况!B16&amp;"国有建设用地使用权价格："&amp;O38&amp;"万元"</f>
        <v>#REF!</v>
      </c>
      <c r="L25" s="2569"/>
      <c r="M25" s="2569"/>
      <c r="N25" s="2569"/>
      <c r="O25" s="2570"/>
      <c r="P25" s="183"/>
      <c r="Q25" s="183"/>
      <c r="R25" s="183"/>
      <c r="S25" s="183"/>
      <c r="T25" s="183"/>
      <c r="U25" s="183"/>
      <c r="V25" s="183"/>
    </row>
    <row r="26" ht="18" spans="1:22">
      <c r="A26" s="2480" t="s">
        <v>748</v>
      </c>
      <c r="B26" s="2481" t="s">
        <v>749</v>
      </c>
      <c r="C26" s="2481" t="s">
        <v>750</v>
      </c>
      <c r="D26" s="2482" t="s">
        <v>751</v>
      </c>
      <c r="E26" s="119"/>
      <c r="F26" s="119"/>
      <c r="G26" s="119"/>
      <c r="H26" s="119"/>
      <c r="I26" s="119"/>
      <c r="J26" s="183"/>
      <c r="K26" s="2571" t="e">
        <f ca="1">"大写金额：人民币"&amp;NUMBERSTRING(INT(O38*10000),2)&amp;"元整"</f>
        <v>#REF!</v>
      </c>
      <c r="L26" s="1021"/>
      <c r="M26" s="1021"/>
      <c r="N26" s="1021"/>
      <c r="O26" s="1085"/>
      <c r="P26" s="183"/>
      <c r="Q26" s="183"/>
      <c r="R26" s="183"/>
      <c r="S26" s="183"/>
      <c r="T26" s="183"/>
      <c r="U26" s="183"/>
      <c r="V26" s="183"/>
    </row>
    <row r="27" ht="18" spans="1:22">
      <c r="A27" s="2480"/>
      <c r="B27" s="2481"/>
      <c r="C27" s="2481"/>
      <c r="D27" s="2482"/>
      <c r="E27" s="119"/>
      <c r="F27" s="119"/>
      <c r="G27" s="119"/>
      <c r="H27" s="119"/>
      <c r="I27" s="119"/>
      <c r="J27" s="183"/>
      <c r="K27" s="2571" t="e">
        <f ca="1">"单位面积地价："&amp;M38&amp;"元/平方米"</f>
        <v>#REF!</v>
      </c>
      <c r="L27" s="1021"/>
      <c r="M27" s="1021"/>
      <c r="N27" s="1021"/>
      <c r="O27" s="1085"/>
      <c r="P27" s="183"/>
      <c r="Q27" s="183"/>
      <c r="R27" s="183"/>
      <c r="S27" s="183"/>
      <c r="T27" s="183"/>
      <c r="U27" s="183"/>
      <c r="V27" s="183"/>
    </row>
    <row r="28" ht="18.75" customHeight="1" spans="1:22">
      <c r="A28" s="2480"/>
      <c r="B28" s="2481"/>
      <c r="C28" s="2481"/>
      <c r="D28" s="2482"/>
      <c r="E28" s="119"/>
      <c r="F28" s="119"/>
      <c r="G28" s="119"/>
      <c r="H28" s="119"/>
      <c r="I28" s="119"/>
      <c r="J28" s="183"/>
      <c r="K28" s="2571" t="e">
        <f ca="1">"楼面地价："&amp;N38&amp;"元/平方米"</f>
        <v>#REF!</v>
      </c>
      <c r="L28" s="1021"/>
      <c r="M28" s="1021"/>
      <c r="N28" s="1021"/>
      <c r="O28" s="1085"/>
      <c r="P28" s="183"/>
      <c r="V28" s="183"/>
    </row>
    <row r="29" ht="18" spans="1:22">
      <c r="A29" s="2480"/>
      <c r="B29" s="2481"/>
      <c r="C29" s="2481"/>
      <c r="D29" s="2482"/>
      <c r="E29" s="119"/>
      <c r="F29" s="119"/>
      <c r="G29" s="119"/>
      <c r="H29" s="119"/>
      <c r="I29" s="119"/>
      <c r="J29" s="183"/>
      <c r="K29" s="2571" t="str">
        <f ca="1">IF(OR(项目基本情况!E8="抵押价格",项目基本情况!E8="已注销及未注销"),"抵押价格："&amp;O39&amp;"万元","——")</f>
        <v>——</v>
      </c>
      <c r="L29" s="1021"/>
      <c r="M29" s="1021"/>
      <c r="N29" s="1021"/>
      <c r="O29" s="1085"/>
      <c r="P29" s="183"/>
      <c r="V29" s="183"/>
    </row>
    <row r="30" ht="18.75" spans="1:22">
      <c r="A30" s="2483" t="s">
        <v>752</v>
      </c>
      <c r="B30" s="2484"/>
      <c r="C30" s="2484"/>
      <c r="D30" s="2485"/>
      <c r="E30" s="2486" t="s">
        <v>753</v>
      </c>
      <c r="F30" s="119"/>
      <c r="G30" s="119"/>
      <c r="H30" s="119"/>
      <c r="I30" s="119"/>
      <c r="J30" s="183"/>
      <c r="K30" s="2571" t="str">
        <f ca="1">IF(K29="——","——","大写金额：人民币"&amp;NUMBERSTRING(INT(O39*10000),2)&amp;"元整")</f>
        <v>——</v>
      </c>
      <c r="L30" s="1021"/>
      <c r="M30" s="1021"/>
      <c r="N30" s="1021"/>
      <c r="O30" s="1085"/>
      <c r="P30" s="183"/>
      <c r="V30" s="183"/>
    </row>
    <row r="31" ht="24" customHeight="1" spans="1:22">
      <c r="A31" s="2487" t="s">
        <v>754</v>
      </c>
      <c r="B31" s="2487"/>
      <c r="C31" s="2487"/>
      <c r="D31" s="2487"/>
      <c r="E31" s="2487"/>
      <c r="F31" s="2487"/>
      <c r="G31" s="2487"/>
      <c r="H31" s="2487"/>
      <c r="I31" s="2487"/>
      <c r="J31" s="183"/>
      <c r="K31" s="2572" t="str">
        <f ca="1">IF(项目基本情况!E8="抵押价格","——","抵押担保权已注销时的抵押价格："&amp;O40&amp;"万元")</f>
        <v>抵押担保权已注销时的抵押价格：——万元</v>
      </c>
      <c r="L31" s="2573"/>
      <c r="M31" s="2573"/>
      <c r="N31" s="2573"/>
      <c r="O31" s="2574"/>
      <c r="P31" s="183"/>
      <c r="V31" s="183"/>
    </row>
    <row r="32" ht="19.5" spans="1:22">
      <c r="A32" s="2459" t="s">
        <v>755</v>
      </c>
      <c r="B32" s="2488" t="s">
        <v>756</v>
      </c>
      <c r="C32" s="2448" t="e">
        <f ca="1">G19-C24</f>
        <v>#REF!</v>
      </c>
      <c r="D32" s="2489" t="s">
        <v>757</v>
      </c>
      <c r="E32" s="119"/>
      <c r="F32" s="119"/>
      <c r="G32" s="119"/>
      <c r="H32" s="119"/>
      <c r="I32" s="119"/>
      <c r="J32" s="183"/>
      <c r="K32" s="2575" t="e">
        <f ca="1">IF(K31="——","——","大写金额：人民币"&amp;NUMBERSTRING(INT(O40*10000),2)&amp;"元整")</f>
        <v>#VALUE!</v>
      </c>
      <c r="L32" s="183"/>
      <c r="M32" s="183"/>
      <c r="N32" s="183"/>
      <c r="O32" s="2576"/>
      <c r="P32" s="183"/>
      <c r="V32" s="183"/>
    </row>
    <row r="33" ht="18.75" spans="1:22">
      <c r="A33" s="2490" t="s">
        <v>758</v>
      </c>
      <c r="B33" s="2491" t="s">
        <v>759</v>
      </c>
      <c r="C33" s="2445" t="e">
        <f ca="1">ROUND(C32*10000/'数据-汇总表'!E3,0)</f>
        <v>#REF!</v>
      </c>
      <c r="D33" s="2492" t="s">
        <v>760</v>
      </c>
      <c r="E33" s="2473" t="s">
        <v>761</v>
      </c>
      <c r="F33" s="2493" t="s">
        <v>762</v>
      </c>
      <c r="G33" s="2494"/>
      <c r="H33" s="2495"/>
      <c r="I33" s="2577"/>
      <c r="J33" s="183"/>
      <c r="K33" s="2571" t="str">
        <f ca="1">IF(项目基本情况!E9="——","——","抵押净值："&amp;C46&amp;"万元")</f>
        <v>抵押净值：——万元</v>
      </c>
      <c r="L33" s="1021"/>
      <c r="M33" s="1021"/>
      <c r="N33" s="1021"/>
      <c r="O33" s="1085"/>
      <c r="P33" s="183"/>
      <c r="V33" s="183"/>
    </row>
    <row r="34" ht="18.75" spans="1:22">
      <c r="A34" s="2496"/>
      <c r="B34" s="2497" t="s">
        <v>763</v>
      </c>
      <c r="C34" s="2445" t="e">
        <f ca="1">ROUND(C32*10000/'数据-汇总表'!D3,0)</f>
        <v>#REF!</v>
      </c>
      <c r="D34" s="2492" t="s">
        <v>760</v>
      </c>
      <c r="E34" s="2498"/>
      <c r="F34" s="2499" t="s">
        <v>764</v>
      </c>
      <c r="G34" s="2500"/>
      <c r="H34" s="2449"/>
      <c r="I34" s="119"/>
      <c r="J34" s="183"/>
      <c r="K34" s="2578" t="e">
        <f ca="1">IF(K33="——","——","大写金额：人民币"&amp;NUMBERSTRING(INT(O41*10000),2)&amp;"元整")</f>
        <v>#VALUE!</v>
      </c>
      <c r="L34" s="2579"/>
      <c r="M34" s="2579"/>
      <c r="N34" s="2579"/>
      <c r="O34" s="2580"/>
      <c r="P34" s="183"/>
      <c r="V34" s="183"/>
    </row>
    <row r="35" ht="15.75" spans="1:22">
      <c r="A35" s="350"/>
      <c r="B35" s="2501"/>
      <c r="C35" s="2502" t="e">
        <f ca="1">ROUND(C32/('数据-汇总表'!D3/666.67),0)</f>
        <v>#REF!</v>
      </c>
      <c r="D35" s="2503" t="s">
        <v>765</v>
      </c>
      <c r="E35" s="2504"/>
      <c r="F35" s="2505" t="s">
        <v>766</v>
      </c>
      <c r="G35" s="2506"/>
      <c r="H35" s="2507" t="s">
        <v>767</v>
      </c>
      <c r="I35" s="119"/>
      <c r="J35" s="183"/>
      <c r="K35" s="2581" t="s">
        <v>768</v>
      </c>
      <c r="L35" s="2581" t="s">
        <v>769</v>
      </c>
      <c r="M35" s="2582" t="s">
        <v>770</v>
      </c>
      <c r="N35" s="2581" t="s">
        <v>771</v>
      </c>
      <c r="O35" s="2581" t="s">
        <v>772</v>
      </c>
      <c r="P35" s="183"/>
      <c r="V35" s="183"/>
    </row>
    <row r="36" ht="16.5" customHeight="1" spans="1:22">
      <c r="A36" s="2508" t="s">
        <v>773</v>
      </c>
      <c r="B36" s="2509" t="s">
        <v>749</v>
      </c>
      <c r="C36" s="2510" t="s">
        <v>750</v>
      </c>
      <c r="D36" s="2510" t="s">
        <v>774</v>
      </c>
      <c r="E36" s="2511" t="s">
        <v>751</v>
      </c>
      <c r="F36" s="119"/>
      <c r="G36" s="119"/>
      <c r="H36" s="119"/>
      <c r="I36" s="119"/>
      <c r="J36" s="2583"/>
      <c r="K36" s="2584"/>
      <c r="L36" s="2584"/>
      <c r="M36" s="2585" t="s">
        <v>775</v>
      </c>
      <c r="N36" s="2584"/>
      <c r="O36" s="2584"/>
      <c r="P36" s="183"/>
      <c r="V36" s="183"/>
    </row>
    <row r="37" ht="16.5" customHeight="1" spans="1:22">
      <c r="A37" s="2512" t="s">
        <v>776</v>
      </c>
      <c r="B37" s="2480"/>
      <c r="C37" s="2481"/>
      <c r="D37" s="2481"/>
      <c r="E37" s="2482"/>
      <c r="F37" s="119"/>
      <c r="G37" s="119"/>
      <c r="H37" s="119"/>
      <c r="I37" s="119"/>
      <c r="J37" s="2583"/>
      <c r="K37" s="2586"/>
      <c r="L37" s="2586"/>
      <c r="M37" s="2587"/>
      <c r="N37" s="2586"/>
      <c r="O37" s="2586"/>
      <c r="P37" s="183"/>
      <c r="V37" s="183"/>
    </row>
    <row r="38" ht="16.5" customHeight="1" spans="1:22">
      <c r="A38" s="2512" t="s">
        <v>777</v>
      </c>
      <c r="B38" s="2480"/>
      <c r="C38" s="2481"/>
      <c r="D38" s="2481"/>
      <c r="E38" s="2482"/>
      <c r="F38" s="119"/>
      <c r="G38" s="119"/>
      <c r="H38" s="119"/>
      <c r="I38" s="119"/>
      <c r="J38" s="2583"/>
      <c r="K38" s="2588">
        <f>'数据-汇总表'!D3</f>
        <v>101349.03</v>
      </c>
      <c r="L38" s="2589">
        <f>'数据-汇总表'!E3</f>
        <v>220401.41</v>
      </c>
      <c r="M38" s="2589" t="e">
        <f ca="1">C34</f>
        <v>#REF!</v>
      </c>
      <c r="N38" s="2589" t="e">
        <f ca="1">C33</f>
        <v>#REF!</v>
      </c>
      <c r="O38" s="2590" t="e">
        <f ca="1">C32</f>
        <v>#REF!</v>
      </c>
      <c r="P38" s="183"/>
      <c r="V38" s="183"/>
    </row>
    <row r="39" ht="16.5" customHeight="1" spans="1:22">
      <c r="A39" s="2513"/>
      <c r="B39" s="2514"/>
      <c r="C39" s="2484"/>
      <c r="D39" s="2484"/>
      <c r="E39" s="2485"/>
      <c r="F39" s="119"/>
      <c r="G39" s="119"/>
      <c r="H39" s="119"/>
      <c r="I39" s="119"/>
      <c r="J39" s="2583"/>
      <c r="K39" s="2591" t="str">
        <f>MID(A44,3,LEN(A44)-2)</f>
        <v/>
      </c>
      <c r="L39" s="2592"/>
      <c r="M39" s="2592"/>
      <c r="N39" s="2593"/>
      <c r="O39" s="2594" t="str">
        <f ca="1">C44</f>
        <v>——</v>
      </c>
      <c r="P39" s="183"/>
      <c r="V39" s="183"/>
    </row>
    <row r="40" ht="19.5" spans="1:22">
      <c r="A40" s="2515" t="s">
        <v>778</v>
      </c>
      <c r="B40" s="119"/>
      <c r="C40" s="119"/>
      <c r="D40" s="119"/>
      <c r="E40" s="119"/>
      <c r="F40" s="119"/>
      <c r="G40" s="119"/>
      <c r="H40" s="119"/>
      <c r="I40" s="119"/>
      <c r="J40" s="2583"/>
      <c r="K40" s="2591" t="str">
        <f t="shared" ref="K40:K41" si="0">MID(A45,3,LEN(A45)-2)</f>
        <v/>
      </c>
      <c r="L40" s="2592"/>
      <c r="M40" s="2592"/>
      <c r="N40" s="2593"/>
      <c r="O40" s="2594" t="str">
        <f ca="1">C45</f>
        <v>——</v>
      </c>
      <c r="P40" s="183"/>
      <c r="V40" s="183"/>
    </row>
    <row r="41" ht="16.5" spans="1:22">
      <c r="A41" s="2516" t="s">
        <v>779</v>
      </c>
      <c r="B41" s="2517"/>
      <c r="C41" s="2518" t="s">
        <v>780</v>
      </c>
      <c r="D41" s="2519" t="s">
        <v>781</v>
      </c>
      <c r="E41" s="2519" t="s">
        <v>782</v>
      </c>
      <c r="F41" s="2520" t="s">
        <v>783</v>
      </c>
      <c r="G41" s="119"/>
      <c r="H41" s="119"/>
      <c r="I41" s="119"/>
      <c r="J41" s="2583"/>
      <c r="K41" s="2591" t="str">
        <f t="shared" si="0"/>
        <v/>
      </c>
      <c r="L41" s="2592"/>
      <c r="M41" s="2592"/>
      <c r="N41" s="2593"/>
      <c r="O41" s="2594" t="str">
        <f ca="1">C46</f>
        <v>——</v>
      </c>
      <c r="P41" s="183"/>
      <c r="V41" s="183"/>
    </row>
    <row r="42" ht="29.25" spans="1:22">
      <c r="A42" s="2521" t="s">
        <v>784</v>
      </c>
      <c r="B42" s="2522"/>
      <c r="C42" s="2445" t="e">
        <f ca="1">C32</f>
        <v>#REF!</v>
      </c>
      <c r="D42" s="2523" t="e">
        <f ca="1">C33</f>
        <v>#REF!</v>
      </c>
      <c r="E42" s="2523" t="e">
        <f ca="1">C34</f>
        <v>#REF!</v>
      </c>
      <c r="F42" s="2524" t="e">
        <f ca="1">C35</f>
        <v>#REF!</v>
      </c>
      <c r="G42" s="119"/>
      <c r="H42" s="119"/>
      <c r="I42" s="2595"/>
      <c r="J42" s="2583"/>
      <c r="K42" s="2596" t="s">
        <v>785</v>
      </c>
      <c r="L42" s="2597" t="s">
        <v>786</v>
      </c>
      <c r="M42" s="2598" t="s">
        <v>787</v>
      </c>
      <c r="N42" s="2599" t="s">
        <v>788</v>
      </c>
      <c r="O42" s="2600" t="s">
        <v>789</v>
      </c>
      <c r="P42" s="183"/>
      <c r="V42" s="183"/>
    </row>
    <row r="43" ht="18" spans="1:22">
      <c r="A43" s="2525" t="s">
        <v>790</v>
      </c>
      <c r="B43" s="2526"/>
      <c r="C43" s="2445">
        <f>IF(H33="正常操作",G33+G34+G35,G34+G35)</f>
        <v>0</v>
      </c>
      <c r="D43" s="2523" t="s">
        <v>138</v>
      </c>
      <c r="E43" s="2523" t="s">
        <v>138</v>
      </c>
      <c r="F43" s="2524" t="s">
        <v>138</v>
      </c>
      <c r="G43" s="2527" t="s">
        <v>138</v>
      </c>
      <c r="H43" s="119"/>
      <c r="I43" s="2595"/>
      <c r="J43" s="2583"/>
      <c r="K43" s="2601">
        <f>C4</f>
        <v>0</v>
      </c>
      <c r="L43" s="2602" t="e">
        <f ca="1">IF(L42="估价结果/万元",C19,C20)</f>
        <v>#REF!</v>
      </c>
      <c r="M43" s="2603" t="e">
        <f>C18</f>
        <v>#DIV/0!</v>
      </c>
      <c r="N43" s="2604" t="e">
        <f ca="1">IF(N42="测算结果/万元",G19,G20)</f>
        <v>#REF!</v>
      </c>
      <c r="O43" s="2605" t="e">
        <f ca="1">IF(O42="最终结果/万元",C32,C33)</f>
        <v>#REF!</v>
      </c>
      <c r="P43" s="183"/>
      <c r="V43" s="183"/>
    </row>
    <row r="44" ht="18.75" spans="1:22">
      <c r="A44" s="2521" t="str">
        <f>IF(OR(项目基本情况!E8="抵押价格",项目基本情况!E8="已注销及未注销"),"3.抵押价格","——")</f>
        <v>——</v>
      </c>
      <c r="B44" s="2522"/>
      <c r="C44" s="2445" t="str">
        <f ca="1">IF(A44="——","——",C42-C43)</f>
        <v>——</v>
      </c>
      <c r="D44" s="2523" t="e">
        <f ca="1">ROUND(C44*10000/'数据-汇总表'!E3,0)</f>
        <v>#VALUE!</v>
      </c>
      <c r="E44" s="2523" t="e">
        <f ca="1">ROUND(C44*10000/'数据-汇总表'!D3,0)</f>
        <v>#VALUE!</v>
      </c>
      <c r="F44" s="2524" t="e">
        <f ca="1">ROUND(C44/('数据-汇总表'!D3/666.67),0)</f>
        <v>#VALUE!</v>
      </c>
      <c r="G44" s="119"/>
      <c r="H44" s="119"/>
      <c r="I44" s="2595"/>
      <c r="J44" s="2583"/>
      <c r="K44" s="2606">
        <f>D4</f>
        <v>0</v>
      </c>
      <c r="L44" s="2607" t="e">
        <f ca="1">IF(L42="估价结果/万元",D19,D20)</f>
        <v>#REF!</v>
      </c>
      <c r="M44" s="2608" t="e">
        <f>D18</f>
        <v>#DIV/0!</v>
      </c>
      <c r="N44" s="2609"/>
      <c r="O44" s="2610"/>
      <c r="P44" s="183"/>
      <c r="V44" s="183"/>
    </row>
    <row r="45" ht="15" spans="1:22">
      <c r="A45" s="2528" t="str">
        <f>IF(项目基本情况!E8="已注销及未注销","4.抵押担保权已注销时的抵押价格",IF(项目基本情况!E8="已注销","3.抵押担保权已注销时的抵押价格","——"))</f>
        <v>——</v>
      </c>
      <c r="B45" s="2529"/>
      <c r="C45" s="2530" t="str">
        <f ca="1">IF(A45="——","——",IF(项目基本情况!E8="抵押价格","——",C32-G34-G35))</f>
        <v>——</v>
      </c>
      <c r="D45" s="2523" t="e">
        <f ca="1">ROUND(C45*10000/'数据-汇总表'!E3,0)</f>
        <v>#VALUE!</v>
      </c>
      <c r="E45" s="2523" t="e">
        <f ca="1">ROUND(C45*10000/'数据-汇总表'!D3,0)</f>
        <v>#VALUE!</v>
      </c>
      <c r="F45" s="2524" t="e">
        <f ca="1">ROUND(C45/('数据-汇总表'!D3/666.67),0)</f>
        <v>#VALUE!</v>
      </c>
      <c r="G45" s="119"/>
      <c r="H45" s="119"/>
      <c r="I45" s="2595"/>
      <c r="J45" s="2583"/>
      <c r="K45" s="183"/>
      <c r="L45" s="183"/>
      <c r="M45" s="183"/>
      <c r="N45" s="183"/>
      <c r="O45" s="183"/>
      <c r="P45" s="183"/>
      <c r="V45" s="183"/>
    </row>
    <row r="46" ht="15.75" spans="1:22">
      <c r="A46" s="2531" t="str">
        <f>IF(项目基本情况!E9="抵押净值",IF(A45="——","4.抵押净值","5.抵押净值"),"——")</f>
        <v>——</v>
      </c>
      <c r="B46" s="2532"/>
      <c r="C46" s="2533" t="str">
        <f ca="1">IF(A46="——","——",O79)</f>
        <v>——</v>
      </c>
      <c r="D46" s="2523" t="e">
        <f ca="1">ROUND(C46*10000/'数据-汇总表'!E3,0)</f>
        <v>#VALUE!</v>
      </c>
      <c r="E46" s="2523" t="e">
        <f ca="1">ROUND(C46*10000/'数据-汇总表'!D3,0)</f>
        <v>#VALUE!</v>
      </c>
      <c r="F46" s="2524" t="e">
        <f ca="1">ROUND(C46/('数据-汇总表'!D3/666.67),0)</f>
        <v>#VALUE!</v>
      </c>
      <c r="G46" s="119"/>
      <c r="H46" s="119"/>
      <c r="I46" s="2595"/>
      <c r="J46" s="2583"/>
      <c r="K46" s="183"/>
      <c r="L46" s="183"/>
      <c r="M46" s="183"/>
      <c r="N46" s="183"/>
      <c r="O46" s="183"/>
      <c r="P46" s="183"/>
      <c r="Q46" s="183"/>
      <c r="R46" s="183"/>
      <c r="S46" s="183"/>
      <c r="T46" s="183"/>
      <c r="U46" s="183"/>
      <c r="V46" s="183"/>
    </row>
    <row r="47" ht="15" spans="1:22">
      <c r="A47" s="2534" t="s">
        <v>791</v>
      </c>
      <c r="B47" s="2535"/>
      <c r="C47" s="2536" t="s">
        <v>792</v>
      </c>
      <c r="D47" s="185"/>
      <c r="E47" s="185"/>
      <c r="F47" s="185"/>
      <c r="G47" s="2537"/>
      <c r="H47" s="2538"/>
      <c r="I47" s="2611"/>
      <c r="J47" s="2583"/>
      <c r="K47" s="119" t="str">
        <f>IF(C43=0,"本次评估"&amp;IF(G43="设定","设定估价对象","")&amp;"不存在"&amp;MID(A43,3,LEN(A43)-2),"本次评估"&amp;IF(G43="设定","设定","")&amp;MID(A43,3,LEN(A43)-2)&amp;"为人民币"&amp;C43&amp;"万元整。")</f>
        <v>本次评估不存在估价师知悉的法定优先受偿款</v>
      </c>
      <c r="L47" s="183"/>
      <c r="M47" s="183"/>
      <c r="N47" s="183"/>
      <c r="O47" s="183"/>
      <c r="P47" s="183"/>
      <c r="Q47" s="183"/>
      <c r="R47" s="183"/>
      <c r="S47" s="183"/>
      <c r="T47" s="183"/>
      <c r="U47" s="183"/>
      <c r="V47" s="183"/>
    </row>
    <row r="48" ht="13.5" spans="1:22">
      <c r="A48" s="2539">
        <v>1</v>
      </c>
      <c r="B48" s="2540"/>
      <c r="C48" s="2540"/>
      <c r="D48" s="185"/>
      <c r="E48" s="185"/>
      <c r="F48" s="185"/>
      <c r="G48" s="185"/>
      <c r="H48" s="75"/>
      <c r="I48" s="2612"/>
      <c r="J48" s="2583"/>
      <c r="K48" s="183"/>
      <c r="L48" s="183"/>
      <c r="M48" s="183"/>
      <c r="N48" s="183"/>
      <c r="O48" s="183"/>
      <c r="P48" s="183"/>
      <c r="Q48" s="183"/>
      <c r="R48" s="183"/>
      <c r="S48" s="183"/>
      <c r="T48" s="183"/>
      <c r="U48" s="183"/>
      <c r="V48" s="183"/>
    </row>
    <row r="49" ht="13.5" spans="1:22">
      <c r="A49" s="2539">
        <v>2</v>
      </c>
      <c r="B49" s="2540"/>
      <c r="C49" s="2540"/>
      <c r="D49" s="185"/>
      <c r="E49" s="185"/>
      <c r="F49" s="185"/>
      <c r="G49" s="185"/>
      <c r="H49" s="75"/>
      <c r="I49" s="2612"/>
      <c r="J49" s="2613"/>
      <c r="K49" s="183"/>
      <c r="L49" s="183"/>
      <c r="M49" s="183"/>
      <c r="N49" s="183"/>
      <c r="O49" s="183"/>
      <c r="P49" s="183"/>
      <c r="Q49" s="183"/>
      <c r="R49" s="183"/>
      <c r="S49" s="183"/>
      <c r="T49" s="183"/>
      <c r="U49" s="183"/>
      <c r="V49" s="183"/>
    </row>
    <row r="50" ht="13.5" spans="1:22">
      <c r="A50" s="2539">
        <v>3</v>
      </c>
      <c r="B50" s="2540"/>
      <c r="C50" s="2540"/>
      <c r="D50" s="185"/>
      <c r="E50" s="185"/>
      <c r="F50" s="185"/>
      <c r="G50" s="185"/>
      <c r="H50" s="75"/>
      <c r="I50" s="2612"/>
      <c r="J50" s="2613"/>
      <c r="K50" s="183"/>
      <c r="L50" s="183"/>
      <c r="M50" s="183"/>
      <c r="N50" s="183"/>
      <c r="O50" s="183"/>
      <c r="P50" s="183"/>
      <c r="Q50" s="183"/>
      <c r="R50" s="183"/>
      <c r="S50" s="183"/>
      <c r="T50" s="183"/>
      <c r="U50" s="183"/>
      <c r="V50" s="183"/>
    </row>
    <row r="51" ht="13.5" spans="1:22">
      <c r="A51" s="2541"/>
      <c r="B51" s="2542"/>
      <c r="C51" s="2542"/>
      <c r="D51" s="2543"/>
      <c r="E51" s="2543"/>
      <c r="F51" s="2543"/>
      <c r="G51" s="2543"/>
      <c r="H51" s="2544"/>
      <c r="I51" s="2614"/>
      <c r="J51" s="2613"/>
      <c r="K51" s="183"/>
      <c r="L51" s="183"/>
      <c r="M51" s="183"/>
      <c r="N51" s="183"/>
      <c r="O51" s="183"/>
      <c r="P51" s="183"/>
      <c r="Q51" s="183"/>
      <c r="R51" s="183"/>
      <c r="S51" s="183"/>
      <c r="T51" s="183"/>
      <c r="U51" s="183"/>
      <c r="V51" s="183"/>
    </row>
    <row r="52" ht="13.5" spans="1:22">
      <c r="A52" s="2540"/>
      <c r="B52" s="2540"/>
      <c r="C52" s="2540"/>
      <c r="D52" s="185"/>
      <c r="E52" s="185"/>
      <c r="F52" s="185"/>
      <c r="G52" s="185"/>
      <c r="H52" s="75"/>
      <c r="I52" s="72"/>
      <c r="J52" s="2613"/>
      <c r="K52" s="183"/>
      <c r="L52" s="183"/>
      <c r="M52" s="183"/>
      <c r="N52" s="183"/>
      <c r="O52" s="183"/>
      <c r="P52" s="183"/>
      <c r="Q52" s="183"/>
      <c r="R52" s="183"/>
      <c r="S52" s="183"/>
      <c r="T52" s="183"/>
      <c r="U52" s="183"/>
      <c r="V52" s="183"/>
    </row>
    <row r="53" ht="13.5" spans="1:22">
      <c r="A53" s="72"/>
      <c r="B53" s="72"/>
      <c r="C53" s="72"/>
      <c r="D53" s="72"/>
      <c r="E53" s="72"/>
      <c r="F53" s="2545" t="s">
        <v>793</v>
      </c>
      <c r="G53" s="2546"/>
      <c r="H53" s="2546"/>
      <c r="I53" s="2615" t="s">
        <v>794</v>
      </c>
      <c r="J53" s="2613"/>
      <c r="K53" s="183"/>
      <c r="L53" s="183"/>
      <c r="M53" s="183"/>
      <c r="N53" s="183"/>
      <c r="O53" s="183"/>
      <c r="P53" s="183"/>
      <c r="Q53" s="183"/>
      <c r="R53" s="183"/>
      <c r="S53" s="183"/>
      <c r="T53" s="183"/>
      <c r="U53" s="183"/>
      <c r="V53" s="183"/>
    </row>
    <row r="54" ht="13.5" spans="1:22">
      <c r="A54" s="72"/>
      <c r="B54" s="2547" t="s">
        <v>795</v>
      </c>
      <c r="C54" s="72"/>
      <c r="D54" s="72"/>
      <c r="E54" s="72"/>
      <c r="F54" s="72"/>
      <c r="G54" s="72"/>
      <c r="H54" s="72"/>
      <c r="I54" s="72"/>
      <c r="J54" s="2613"/>
      <c r="K54" s="183"/>
      <c r="L54" s="183"/>
      <c r="M54" s="183"/>
      <c r="N54" s="183"/>
      <c r="O54" s="183"/>
      <c r="P54" s="183"/>
      <c r="Q54" s="183"/>
      <c r="R54" s="183"/>
      <c r="S54" s="183"/>
      <c r="T54" s="183"/>
      <c r="U54" s="183"/>
      <c r="V54" s="183"/>
    </row>
    <row r="55" ht="13.5" spans="1:22">
      <c r="A55" s="72"/>
      <c r="B55" s="72"/>
      <c r="C55" s="72"/>
      <c r="D55" s="72"/>
      <c r="E55" s="72"/>
      <c r="F55" s="72"/>
      <c r="G55" s="72"/>
      <c r="H55" s="72"/>
      <c r="I55" s="72"/>
      <c r="J55" s="2613"/>
      <c r="K55" s="183"/>
      <c r="L55" s="183"/>
      <c r="M55" s="183"/>
      <c r="N55" s="183"/>
      <c r="O55" s="183"/>
      <c r="P55" s="183"/>
      <c r="Q55" s="183"/>
      <c r="R55" s="183"/>
      <c r="S55" s="183"/>
      <c r="T55" s="183"/>
      <c r="U55" s="183"/>
      <c r="V55" s="183"/>
    </row>
    <row r="56" ht="13.5" spans="1:22">
      <c r="A56" s="72"/>
      <c r="B56" s="2546"/>
      <c r="C56" s="2546"/>
      <c r="D56" s="2546"/>
      <c r="E56" s="2546"/>
      <c r="F56" s="2546"/>
      <c r="G56" s="2546"/>
      <c r="H56" s="2546"/>
      <c r="I56" s="2615" t="s">
        <v>796</v>
      </c>
      <c r="J56" s="2613"/>
      <c r="K56" s="183"/>
      <c r="L56" s="183"/>
      <c r="M56" s="183"/>
      <c r="N56" s="183"/>
      <c r="O56" s="183"/>
      <c r="P56" s="183"/>
      <c r="Q56" s="183"/>
      <c r="R56" s="183"/>
      <c r="S56" s="183"/>
      <c r="T56" s="183"/>
      <c r="U56" s="183"/>
      <c r="V56" s="183"/>
    </row>
    <row r="57" ht="13.5" spans="1:22">
      <c r="A57" s="72"/>
      <c r="B57" s="2547" t="s">
        <v>797</v>
      </c>
      <c r="C57" s="72"/>
      <c r="D57" s="72"/>
      <c r="E57" s="72"/>
      <c r="F57" s="72"/>
      <c r="G57" s="72"/>
      <c r="H57" s="72"/>
      <c r="I57" s="72"/>
      <c r="J57" s="2613"/>
      <c r="K57" s="183"/>
      <c r="L57" s="183"/>
      <c r="M57" s="183"/>
      <c r="N57" s="183"/>
      <c r="O57" s="183"/>
      <c r="P57" s="183"/>
      <c r="Q57" s="183"/>
      <c r="R57" s="183"/>
      <c r="S57" s="183"/>
      <c r="T57" s="183"/>
      <c r="U57" s="183"/>
      <c r="V57" s="183"/>
    </row>
    <row r="58" ht="13.5" spans="1:22">
      <c r="A58" s="72"/>
      <c r="B58" s="2547"/>
      <c r="C58" s="72"/>
      <c r="D58" s="72"/>
      <c r="E58" s="72"/>
      <c r="F58" s="72"/>
      <c r="G58" s="72"/>
      <c r="H58" s="72"/>
      <c r="I58" s="72"/>
      <c r="J58" s="2613"/>
      <c r="K58" s="183"/>
      <c r="L58" s="183"/>
      <c r="M58" s="183"/>
      <c r="N58" s="183"/>
      <c r="O58" s="183"/>
      <c r="P58" s="183"/>
      <c r="Q58" s="183"/>
      <c r="R58" s="183"/>
      <c r="S58" s="183"/>
      <c r="T58" s="183"/>
      <c r="U58" s="183"/>
      <c r="V58" s="183"/>
    </row>
    <row r="59" ht="13.5" spans="1:22">
      <c r="A59" s="72"/>
      <c r="B59" s="2546"/>
      <c r="C59" s="2546"/>
      <c r="D59" s="2546"/>
      <c r="E59" s="2546"/>
      <c r="F59" s="2546"/>
      <c r="G59" s="2546"/>
      <c r="H59" s="2546"/>
      <c r="I59" s="2615" t="s">
        <v>796</v>
      </c>
      <c r="J59" s="2613"/>
      <c r="K59" s="183"/>
      <c r="L59" s="183"/>
      <c r="M59" s="183"/>
      <c r="N59" s="183"/>
      <c r="O59" s="183"/>
      <c r="P59" s="183"/>
      <c r="Q59" s="183"/>
      <c r="R59" s="183"/>
      <c r="S59" s="183"/>
      <c r="T59" s="183"/>
      <c r="U59" s="183"/>
      <c r="V59" s="183"/>
    </row>
    <row r="60" ht="13.5" spans="1:22">
      <c r="A60" s="72"/>
      <c r="B60" s="72"/>
      <c r="C60" s="72"/>
      <c r="D60" s="72"/>
      <c r="E60" s="72"/>
      <c r="F60" s="72"/>
      <c r="G60" s="72"/>
      <c r="H60" s="72"/>
      <c r="I60" s="72"/>
      <c r="J60" s="2613"/>
      <c r="K60" s="183"/>
      <c r="L60" s="183"/>
      <c r="M60" s="183"/>
      <c r="N60" s="183"/>
      <c r="O60" s="183"/>
      <c r="P60" s="183"/>
      <c r="Q60" s="183"/>
      <c r="R60" s="183"/>
      <c r="S60" s="183"/>
      <c r="T60" s="183"/>
      <c r="U60" s="183"/>
      <c r="V60" s="183"/>
    </row>
    <row r="61" ht="13.5" spans="1:22">
      <c r="A61" s="72"/>
      <c r="B61" s="2547"/>
      <c r="C61" s="2548"/>
      <c r="D61" s="2549"/>
      <c r="E61" s="2549"/>
      <c r="F61" s="2550"/>
      <c r="G61" s="72"/>
      <c r="H61" s="72"/>
      <c r="I61" s="72"/>
      <c r="J61" s="2613"/>
      <c r="K61" s="183"/>
      <c r="L61" s="183"/>
      <c r="M61" s="183"/>
      <c r="N61" s="183"/>
      <c r="O61" s="183"/>
      <c r="P61" s="183"/>
      <c r="Q61" s="183"/>
      <c r="R61" s="183"/>
      <c r="S61" s="183"/>
      <c r="T61" s="183"/>
      <c r="U61" s="183"/>
      <c r="V61" s="183"/>
    </row>
    <row r="62" ht="18.75" spans="1:22">
      <c r="A62" s="2551" t="s">
        <v>798</v>
      </c>
      <c r="B62" s="2552"/>
      <c r="C62" s="2552"/>
      <c r="D62" s="2553"/>
      <c r="E62" s="2553"/>
      <c r="F62" s="2554"/>
      <c r="G62" s="2554"/>
      <c r="H62" s="2554"/>
      <c r="I62" s="2554"/>
      <c r="J62" s="2616"/>
      <c r="K62" s="183"/>
      <c r="L62" s="183"/>
      <c r="M62" s="183"/>
      <c r="N62" s="183"/>
      <c r="O62" s="183"/>
      <c r="P62" s="183"/>
      <c r="Q62" s="183"/>
      <c r="R62" s="183"/>
      <c r="S62" s="183"/>
      <c r="T62" s="183"/>
      <c r="U62" s="183"/>
      <c r="V62" s="183"/>
    </row>
    <row r="63" ht="14.25" customHeight="1" spans="1:22">
      <c r="A63" s="2555" t="s">
        <v>799</v>
      </c>
      <c r="B63" s="2556"/>
      <c r="C63" s="2557"/>
      <c r="D63" s="814" t="e">
        <f ca="1">ROUND(C42*F63,0)</f>
        <v>#REF!</v>
      </c>
      <c r="E63" s="2558" t="s">
        <v>800</v>
      </c>
      <c r="F63" s="2559">
        <v>1</v>
      </c>
      <c r="G63" s="1515" t="s">
        <v>801</v>
      </c>
      <c r="H63" s="119"/>
      <c r="I63" s="119"/>
      <c r="J63" s="183"/>
      <c r="K63" s="183"/>
      <c r="L63" s="183"/>
      <c r="M63" s="183"/>
      <c r="N63" s="183"/>
      <c r="O63" s="183"/>
      <c r="P63" s="183"/>
      <c r="Q63" s="183"/>
      <c r="R63" s="183"/>
      <c r="S63" s="183"/>
      <c r="T63" s="183"/>
      <c r="U63" s="183"/>
      <c r="V63" s="183"/>
    </row>
    <row r="64" ht="14.25" customHeight="1" spans="1:22">
      <c r="A64" s="2560" t="s">
        <v>802</v>
      </c>
      <c r="B64" s="2561"/>
      <c r="C64" s="2561"/>
      <c r="D64" s="2561"/>
      <c r="E64" s="2561"/>
      <c r="F64" s="2561"/>
      <c r="G64" s="2562"/>
      <c r="H64" s="2563"/>
      <c r="I64" s="120"/>
      <c r="J64" s="121"/>
      <c r="K64" s="2617" t="s">
        <v>803</v>
      </c>
      <c r="L64" s="2618"/>
      <c r="M64" s="2618"/>
      <c r="N64" s="2618"/>
      <c r="O64" s="2618"/>
      <c r="P64" s="119"/>
      <c r="Q64" s="183"/>
      <c r="R64" s="183"/>
      <c r="S64" s="183"/>
      <c r="T64" s="183"/>
      <c r="U64" s="183"/>
      <c r="V64" s="183"/>
    </row>
    <row r="65" ht="12" customHeight="1" spans="1:22">
      <c r="A65" s="2619" t="s">
        <v>804</v>
      </c>
      <c r="B65" s="2620"/>
      <c r="C65" s="2621"/>
      <c r="D65" s="2622" t="s">
        <v>805</v>
      </c>
      <c r="E65" s="125" t="s">
        <v>806</v>
      </c>
      <c r="F65" s="2623" t="s">
        <v>807</v>
      </c>
      <c r="G65" s="2624" t="s">
        <v>808</v>
      </c>
      <c r="H65" s="2563"/>
      <c r="I65" s="120"/>
      <c r="J65" s="121"/>
      <c r="K65" s="2735"/>
      <c r="L65" s="2736"/>
      <c r="M65" s="2736"/>
      <c r="N65" s="2737" t="s">
        <v>809</v>
      </c>
      <c r="O65" s="2738"/>
      <c r="P65" s="2739"/>
      <c r="Q65" s="183"/>
      <c r="R65" s="183"/>
      <c r="S65" s="183"/>
      <c r="T65" s="183"/>
      <c r="U65" s="183"/>
      <c r="V65" s="183"/>
    </row>
    <row r="66" ht="24.75" spans="1:22">
      <c r="A66" s="2625" t="s">
        <v>810</v>
      </c>
      <c r="B66" s="808"/>
      <c r="C66" s="808"/>
      <c r="D66" s="785" t="b">
        <f ca="1">IF(H66="情况1",0,IF(H66="情况2",D70,IF(H66="情况3",D71,IF(H66="情况4",D72))))</f>
        <v>0</v>
      </c>
      <c r="E66" s="808" t="str">
        <f>IF(H66="情况4","(销售额-原购置价)×税（费）率","销售额×税（费）率")</f>
        <v>销售额×税（费）率</v>
      </c>
      <c r="F66" s="2626">
        <f>IF(H66="情况1","免征",'数据-取费表'!B41)</f>
        <v>0.056</v>
      </c>
      <c r="G66" s="2627" t="s">
        <v>811</v>
      </c>
      <c r="H66" s="2628"/>
      <c r="I66" s="2563"/>
      <c r="J66" s="2740"/>
      <c r="K66" s="2741">
        <v>1</v>
      </c>
      <c r="L66" s="2742" t="s">
        <v>812</v>
      </c>
      <c r="M66" s="2743"/>
      <c r="N66" s="2744"/>
      <c r="O66" s="2745"/>
      <c r="P66" s="2746"/>
      <c r="Q66" s="183"/>
      <c r="R66" s="183"/>
      <c r="S66" s="183"/>
      <c r="T66" s="183"/>
      <c r="U66" s="183"/>
      <c r="V66" s="183"/>
    </row>
    <row r="67" ht="25.5" customHeight="1" spans="1:22">
      <c r="A67" s="2629" t="s">
        <v>813</v>
      </c>
      <c r="B67" s="777" t="s">
        <v>814</v>
      </c>
      <c r="C67" s="777"/>
      <c r="D67" s="2630">
        <v>0</v>
      </c>
      <c r="E67" s="2631" t="s">
        <v>815</v>
      </c>
      <c r="F67" s="2632" t="s">
        <v>138</v>
      </c>
      <c r="G67" s="2633"/>
      <c r="H67" s="2634" t="s">
        <v>816</v>
      </c>
      <c r="I67" s="2747"/>
      <c r="J67" s="2748"/>
      <c r="K67" s="2749">
        <v>2</v>
      </c>
      <c r="L67" s="2750" t="s">
        <v>817</v>
      </c>
      <c r="M67" s="2750"/>
      <c r="N67" s="2751">
        <f>'数据-取费表'!B2</f>
        <v>45252</v>
      </c>
      <c r="O67" s="2751"/>
      <c r="P67" s="2751"/>
      <c r="Q67" s="183"/>
      <c r="R67" s="183"/>
      <c r="S67" s="183"/>
      <c r="T67" s="183"/>
      <c r="U67" s="183"/>
      <c r="V67" s="183"/>
    </row>
    <row r="68" ht="25.5" customHeight="1" spans="1:22">
      <c r="A68" s="2635"/>
      <c r="B68" s="777" t="s">
        <v>818</v>
      </c>
      <c r="C68" s="777"/>
      <c r="D68" s="2636"/>
      <c r="E68" s="2637"/>
      <c r="F68" s="1518"/>
      <c r="G68" s="2638"/>
      <c r="H68" s="2639" t="s">
        <v>819</v>
      </c>
      <c r="I68" s="2747"/>
      <c r="J68" s="2748"/>
      <c r="K68" s="2749">
        <v>3</v>
      </c>
      <c r="L68" s="2750" t="s">
        <v>820</v>
      </c>
      <c r="M68" s="2750"/>
      <c r="N68" s="2752" t="e">
        <f ca="1">C42</f>
        <v>#REF!</v>
      </c>
      <c r="O68" s="2752"/>
      <c r="P68" s="2752"/>
      <c r="Q68" s="183"/>
      <c r="R68" s="183"/>
      <c r="S68" s="183"/>
      <c r="T68" s="183"/>
      <c r="U68" s="183"/>
      <c r="V68" s="183"/>
    </row>
    <row r="69" ht="23.5" customHeight="1" spans="1:22">
      <c r="A69" s="2640"/>
      <c r="B69" s="777" t="s">
        <v>821</v>
      </c>
      <c r="C69" s="777"/>
      <c r="D69" s="2641"/>
      <c r="E69" s="2642"/>
      <c r="F69" s="1518"/>
      <c r="G69" s="2643"/>
      <c r="H69" s="2639" t="s">
        <v>822</v>
      </c>
      <c r="I69" s="2747"/>
      <c r="J69" s="2748"/>
      <c r="K69" s="2753">
        <v>4</v>
      </c>
      <c r="L69" s="2754" t="s">
        <v>823</v>
      </c>
      <c r="M69" s="2755"/>
      <c r="N69" s="2756" t="str">
        <f ca="1">C44</f>
        <v>——</v>
      </c>
      <c r="O69" s="2756"/>
      <c r="P69" s="2756"/>
      <c r="Q69" s="183"/>
      <c r="R69" s="183"/>
      <c r="S69" s="183"/>
      <c r="T69" s="183"/>
      <c r="U69" s="183"/>
      <c r="V69" s="183"/>
    </row>
    <row r="70" ht="24" customHeight="1" spans="1:22">
      <c r="A70" s="2644" t="s">
        <v>824</v>
      </c>
      <c r="B70" s="777" t="s">
        <v>825</v>
      </c>
      <c r="C70" s="777"/>
      <c r="D70" s="2641" t="e">
        <f ca="1">ROUND(D63*'数据-取费表'!B41/(1+'数据-取费表'!C42),0)</f>
        <v>#REF!</v>
      </c>
      <c r="E70" s="128" t="s">
        <v>826</v>
      </c>
      <c r="F70" s="2645">
        <f>'数据-取费表'!B41</f>
        <v>0.056</v>
      </c>
      <c r="G70" s="2646"/>
      <c r="H70" s="119"/>
      <c r="I70" s="2757"/>
      <c r="J70" s="2748"/>
      <c r="K70" s="2758"/>
      <c r="L70" s="2759"/>
      <c r="M70" s="2759"/>
      <c r="N70" s="2760" t="s">
        <v>802</v>
      </c>
      <c r="O70" s="2759"/>
      <c r="P70" s="2761"/>
      <c r="Q70" s="183"/>
      <c r="R70" s="183"/>
      <c r="S70" s="183"/>
      <c r="T70" s="183"/>
      <c r="U70" s="183"/>
      <c r="V70" s="183"/>
    </row>
    <row r="71" ht="12" customHeight="1" spans="1:22">
      <c r="A71" s="2644" t="s">
        <v>827</v>
      </c>
      <c r="B71" s="776" t="s">
        <v>828</v>
      </c>
      <c r="C71" s="2647"/>
      <c r="D71" s="2641" t="e">
        <f ca="1">ROUND(D63*'数据-取费表'!B41/(1+'数据-取费表'!C42),0)</f>
        <v>#REF!</v>
      </c>
      <c r="E71" s="128" t="s">
        <v>826</v>
      </c>
      <c r="F71" s="2645">
        <f>'数据-取费表'!B41</f>
        <v>0.056</v>
      </c>
      <c r="G71" s="2646"/>
      <c r="H71" s="119"/>
      <c r="I71" s="2757"/>
      <c r="J71" s="2748"/>
      <c r="K71" s="2762" t="s">
        <v>829</v>
      </c>
      <c r="L71" s="2762" t="s">
        <v>804</v>
      </c>
      <c r="M71" s="2762"/>
      <c r="N71" s="2762" t="s">
        <v>830</v>
      </c>
      <c r="O71" s="2762" t="s">
        <v>831</v>
      </c>
      <c r="P71" s="2762" t="s">
        <v>807</v>
      </c>
      <c r="Q71" s="183"/>
      <c r="R71" s="183"/>
      <c r="S71" s="183"/>
      <c r="T71" s="183"/>
      <c r="U71" s="183"/>
      <c r="V71" s="183"/>
    </row>
    <row r="72" ht="12" customHeight="1" spans="1:22">
      <c r="A72" s="2644" t="s">
        <v>832</v>
      </c>
      <c r="B72" s="776" t="s">
        <v>833</v>
      </c>
      <c r="C72" s="2647"/>
      <c r="D72" s="2641" t="e">
        <f ca="1">C86</f>
        <v>#REF!</v>
      </c>
      <c r="E72" s="2642" t="s">
        <v>834</v>
      </c>
      <c r="F72" s="2645">
        <f>'数据-取费表'!B41</f>
        <v>0.056</v>
      </c>
      <c r="G72" s="2646"/>
      <c r="H72" s="2648"/>
      <c r="I72" s="2757"/>
      <c r="J72" s="2748"/>
      <c r="K72" s="2749">
        <v>1</v>
      </c>
      <c r="L72" s="1712" t="s">
        <v>835</v>
      </c>
      <c r="M72" s="1712"/>
      <c r="N72" s="2763" t="b">
        <f ca="1">D66</f>
        <v>0</v>
      </c>
      <c r="O72" s="1712" t="str">
        <f>E66</f>
        <v>销售额×税（费）率</v>
      </c>
      <c r="P72" s="2764">
        <f>F66</f>
        <v>0.056</v>
      </c>
      <c r="Q72" s="183"/>
      <c r="R72" s="183"/>
      <c r="S72" s="183"/>
      <c r="T72" s="183"/>
      <c r="U72" s="183"/>
      <c r="V72" s="183"/>
    </row>
    <row r="73" ht="24" customHeight="1" spans="1:22">
      <c r="A73" s="2649" t="s">
        <v>836</v>
      </c>
      <c r="B73" s="808"/>
      <c r="C73" s="808"/>
      <c r="D73" s="2650" t="e">
        <f ca="1">IF(H73="个人住宅",0,ROUND(D63*I73,0))</f>
        <v>#REF!</v>
      </c>
      <c r="E73" s="128" t="s">
        <v>837</v>
      </c>
      <c r="F73" s="2645" t="str">
        <f>IF(H73="正常",I73,"免征")</f>
        <v>免征</v>
      </c>
      <c r="G73" s="2646"/>
      <c r="H73" s="2628"/>
      <c r="I73" s="2645">
        <f>'数据-取费表'!B49</f>
        <v>0.0005</v>
      </c>
      <c r="J73" s="2748"/>
      <c r="K73" s="2749">
        <v>2</v>
      </c>
      <c r="L73" s="1712" t="s">
        <v>838</v>
      </c>
      <c r="M73" s="1712"/>
      <c r="N73" s="2763" t="e">
        <f ca="1" t="shared" ref="N73:P74" si="1">D73</f>
        <v>#REF!</v>
      </c>
      <c r="O73" s="1712" t="str">
        <f t="shared" si="1"/>
        <v>销售额×税（费）率</v>
      </c>
      <c r="P73" s="2764" t="str">
        <f t="shared" si="1"/>
        <v>免征</v>
      </c>
      <c r="Q73" s="183"/>
      <c r="R73" s="183"/>
      <c r="S73" s="183"/>
      <c r="T73" s="183"/>
      <c r="U73" s="183"/>
      <c r="V73" s="183"/>
    </row>
    <row r="74" ht="24.75" spans="1:22">
      <c r="A74" s="2649" t="s">
        <v>839</v>
      </c>
      <c r="B74" s="808"/>
      <c r="C74" s="808"/>
      <c r="D74" s="2650" t="e">
        <f ca="1">IF(H74="个人住宅",D75,D76)</f>
        <v>#REF!</v>
      </c>
      <c r="E74" s="128" t="s">
        <v>840</v>
      </c>
      <c r="F74" s="2645" t="str">
        <f>IF(H74="正常",F76,"免征")</f>
        <v>免征</v>
      </c>
      <c r="G74" s="2651" t="s">
        <v>811</v>
      </c>
      <c r="H74" s="2652"/>
      <c r="I74" s="2654"/>
      <c r="J74" s="2748"/>
      <c r="K74" s="2749">
        <v>3</v>
      </c>
      <c r="L74" s="1712" t="s">
        <v>841</v>
      </c>
      <c r="M74" s="1712"/>
      <c r="N74" s="2763" t="e">
        <f ca="1" t="shared" si="1"/>
        <v>#REF!</v>
      </c>
      <c r="O74" s="1712" t="str">
        <f t="shared" si="1"/>
        <v>增值额×税（费）率</v>
      </c>
      <c r="P74" s="2765" t="str">
        <f t="shared" si="1"/>
        <v>免征</v>
      </c>
      <c r="Q74" s="183"/>
      <c r="R74" s="183"/>
      <c r="S74" s="183"/>
      <c r="T74" s="183"/>
      <c r="U74" s="183"/>
      <c r="V74" s="183"/>
    </row>
    <row r="75" ht="13.5" spans="1:22">
      <c r="A75" s="2644" t="s">
        <v>813</v>
      </c>
      <c r="B75" s="2438" t="s">
        <v>842</v>
      </c>
      <c r="C75" s="2566"/>
      <c r="D75" s="2653">
        <v>0</v>
      </c>
      <c r="E75" s="2631" t="s">
        <v>815</v>
      </c>
      <c r="F75" s="80"/>
      <c r="G75" s="2646"/>
      <c r="H75" s="2654"/>
      <c r="I75" s="2654"/>
      <c r="J75" s="2748"/>
      <c r="K75" s="2749">
        <f>IF(H77="非个人房产","",4)</f>
        <v>4</v>
      </c>
      <c r="L75" s="1712" t="str">
        <f>IF(H77="非个人房产","——","个人所得税")</f>
        <v>个人所得税</v>
      </c>
      <c r="M75" s="1712"/>
      <c r="N75" s="2766">
        <f ca="1">D77</f>
        <v>0</v>
      </c>
      <c r="O75" s="1725" t="str">
        <f>E77</f>
        <v>差额计税</v>
      </c>
      <c r="P75" s="2767">
        <f>F77</f>
        <v>0.01</v>
      </c>
      <c r="Q75" s="183"/>
      <c r="R75" s="183"/>
      <c r="S75" s="183"/>
      <c r="T75" s="183"/>
      <c r="U75" s="183"/>
      <c r="V75" s="183"/>
    </row>
    <row r="76" ht="24.75" spans="1:22">
      <c r="A76" s="2644" t="s">
        <v>824</v>
      </c>
      <c r="B76" s="2438" t="s">
        <v>843</v>
      </c>
      <c r="C76" s="964"/>
      <c r="D76" s="2650" t="e">
        <f ca="1">IF(H76="转让取得",C99,C115)</f>
        <v>#REF!</v>
      </c>
      <c r="E76" s="128" t="s">
        <v>840</v>
      </c>
      <c r="F76" s="125" t="s">
        <v>138</v>
      </c>
      <c r="G76" s="2646"/>
      <c r="H76" s="2652"/>
      <c r="I76" s="2654"/>
      <c r="J76" s="2748"/>
      <c r="K76" s="2749" t="str">
        <f>IF(项目基本情况!K6="上海银行",IF(K75="",4,K75+1),"")</f>
        <v/>
      </c>
      <c r="L76" s="2768" t="str">
        <f>IF(项目基本情况!K6="上海银行","其他处置费用","")</f>
        <v/>
      </c>
      <c r="M76" s="2769"/>
      <c r="N76" s="2763" t="str">
        <f ca="1">IF(项目基本情况!K6="上海银行",N89,"")</f>
        <v/>
      </c>
      <c r="O76" s="2770" t="str">
        <f>IF(项目基本情况!K6="上海银行","包含处置中涉及的律师、诉讼、拍卖、评估等费用","")</f>
        <v/>
      </c>
      <c r="P76" s="2771"/>
      <c r="Q76" s="183"/>
      <c r="R76" s="183"/>
      <c r="S76" s="183"/>
      <c r="T76" s="183"/>
      <c r="U76" s="183"/>
      <c r="V76" s="183"/>
    </row>
    <row r="77" ht="24.75" spans="1:22">
      <c r="A77" s="2655" t="s">
        <v>844</v>
      </c>
      <c r="B77" s="2656"/>
      <c r="C77" s="2656"/>
      <c r="D77" s="2657">
        <f ca="1">IF(H77="非个人房产","——",IF(H77="个人住宅（满五唯一有凭证）",0,IF(H77="个人其他（无凭证）",ROUND(D63*F77,0),ROUND(C84*F77,0))))</f>
        <v>0</v>
      </c>
      <c r="E77" s="2658" t="str">
        <f>IF(H77="非个人房产","——",IF(H77="个人其他（无凭证）","销售额×税（费）率",IF(H77="个人住宅（满五唯一有凭证）","免征","差额计税")))</f>
        <v>差额计税</v>
      </c>
      <c r="F77" s="2659">
        <f>IF(OR(H77="非个人房产",H77="个人住宅（满五唯一有凭证）"),"——",IF(H77="个人其他（有凭证）",20%,1%))</f>
        <v>0.01</v>
      </c>
      <c r="G77" s="2660" t="s">
        <v>811</v>
      </c>
      <c r="H77" s="2661"/>
      <c r="I77" s="2772" t="s">
        <v>845</v>
      </c>
      <c r="J77" s="2748"/>
      <c r="K77" s="2749">
        <f>IF(AND(K75="",K76=""),4,IF(项目基本情况!K6="上海银行",K76+1,K75+1))</f>
        <v>5</v>
      </c>
      <c r="L77" s="1712" t="s">
        <v>486</v>
      </c>
      <c r="M77" s="2773" t="s">
        <v>846</v>
      </c>
      <c r="N77" s="2774"/>
      <c r="O77" s="2775">
        <f ca="1">SUMIF(N72:N76,"&lt;9e307")</f>
        <v>0</v>
      </c>
      <c r="P77" s="2776"/>
      <c r="Q77" s="2798" t="e">
        <f ca="1">O77/N69</f>
        <v>#VALUE!</v>
      </c>
      <c r="R77" s="183"/>
      <c r="S77" s="183"/>
      <c r="T77" s="183"/>
      <c r="U77" s="183"/>
      <c r="V77" s="183"/>
    </row>
    <row r="78" ht="12" customHeight="1" spans="1:22">
      <c r="A78" s="2662"/>
      <c r="B78" s="119"/>
      <c r="C78" s="119"/>
      <c r="D78" s="119"/>
      <c r="E78" s="2654"/>
      <c r="F78" s="2654"/>
      <c r="G78" s="2654"/>
      <c r="H78" s="120"/>
      <c r="I78" s="119"/>
      <c r="J78" s="2748"/>
      <c r="K78" s="2749"/>
      <c r="L78" s="1712"/>
      <c r="M78" s="2773" t="s">
        <v>847</v>
      </c>
      <c r="N78" s="2774"/>
      <c r="O78" s="2775" t="str">
        <f ca="1">NUMBERSTRING(INT(O77*10000),2)&amp;"元整"</f>
        <v>零元整</v>
      </c>
      <c r="P78" s="2776"/>
      <c r="Q78" s="183"/>
      <c r="R78" s="183"/>
      <c r="S78" s="183"/>
      <c r="T78" s="183"/>
      <c r="U78" s="183"/>
      <c r="V78" s="183"/>
    </row>
    <row r="79" ht="14.25" spans="1:22">
      <c r="A79" s="2663" t="s">
        <v>848</v>
      </c>
      <c r="B79" s="2663"/>
      <c r="C79" s="2663"/>
      <c r="D79" s="2663"/>
      <c r="E79" s="2663"/>
      <c r="F79" s="2654"/>
      <c r="G79" s="2654"/>
      <c r="H79" s="120"/>
      <c r="I79" s="119"/>
      <c r="J79" s="2748"/>
      <c r="K79" s="2753">
        <f>K77+1</f>
        <v>6</v>
      </c>
      <c r="L79" s="1712" t="s">
        <v>849</v>
      </c>
      <c r="M79" s="2773" t="s">
        <v>846</v>
      </c>
      <c r="N79" s="2774"/>
      <c r="O79" s="2775" t="e">
        <f ca="1">N69-O77</f>
        <v>#VALUE!</v>
      </c>
      <c r="P79" s="2776"/>
      <c r="Q79" s="183"/>
      <c r="R79" s="183"/>
      <c r="S79" s="183"/>
      <c r="T79" s="183"/>
      <c r="U79" s="183"/>
      <c r="V79" s="183"/>
    </row>
    <row r="80" ht="13.5" spans="1:22">
      <c r="A80" s="2664" t="s">
        <v>850</v>
      </c>
      <c r="B80" s="2665"/>
      <c r="C80" s="2665"/>
      <c r="D80" s="2665" t="s">
        <v>851</v>
      </c>
      <c r="E80" s="2666" t="s">
        <v>808</v>
      </c>
      <c r="F80" s="2654"/>
      <c r="G80" s="2654"/>
      <c r="H80" s="120"/>
      <c r="I80" s="119"/>
      <c r="J80" s="183"/>
      <c r="K80" s="2741"/>
      <c r="L80" s="1712"/>
      <c r="M80" s="2773" t="s">
        <v>847</v>
      </c>
      <c r="N80" s="2774"/>
      <c r="O80" s="2775" t="e">
        <f ca="1">NUMBERSTRING(INT(O79*10000),2)&amp;"元整"</f>
        <v>#VALUE!</v>
      </c>
      <c r="P80" s="2776"/>
      <c r="Q80" s="183"/>
      <c r="R80" s="183"/>
      <c r="S80" s="183"/>
      <c r="T80" s="183"/>
      <c r="U80" s="183"/>
      <c r="V80" s="183"/>
    </row>
    <row r="81" ht="14.25" spans="1:22">
      <c r="A81" s="2667" t="s">
        <v>852</v>
      </c>
      <c r="B81" s="2668" t="s">
        <v>853</v>
      </c>
      <c r="C81" s="2669" t="e">
        <f ca="1">ROUND((C82+C83)/(1+'数据-取费表'!C42),0)</f>
        <v>#REF!</v>
      </c>
      <c r="D81" s="2670"/>
      <c r="E81" s="2671"/>
      <c r="F81" s="2654"/>
      <c r="G81" s="2654"/>
      <c r="H81" s="120"/>
      <c r="I81" s="119"/>
      <c r="J81" s="183"/>
      <c r="K81" s="2749">
        <f>K79+1</f>
        <v>7</v>
      </c>
      <c r="L81" s="2777" t="s">
        <v>854</v>
      </c>
      <c r="M81" s="2778"/>
      <c r="N81" s="2779"/>
      <c r="O81" s="2780" t="e">
        <f ca="1">ROUND(O79*10000/'数据-汇总表'!E3,0)</f>
        <v>#VALUE!</v>
      </c>
      <c r="P81" s="2781"/>
      <c r="Q81" s="183"/>
      <c r="R81" s="183"/>
      <c r="S81" s="183"/>
      <c r="T81" s="183"/>
      <c r="U81" s="183"/>
      <c r="V81" s="183"/>
    </row>
    <row r="82" ht="14.25" spans="1:22">
      <c r="A82" s="1060" t="s">
        <v>855</v>
      </c>
      <c r="B82" s="2672" t="s">
        <v>856</v>
      </c>
      <c r="C82" s="2673" t="e">
        <f ca="1">D63</f>
        <v>#REF!</v>
      </c>
      <c r="D82" s="1990" t="s">
        <v>138</v>
      </c>
      <c r="E82" s="2674"/>
      <c r="F82" s="2654"/>
      <c r="G82" s="2654"/>
      <c r="H82" s="120"/>
      <c r="I82" s="119"/>
      <c r="J82" s="183"/>
      <c r="K82" s="183"/>
      <c r="L82" s="183"/>
      <c r="M82" s="183"/>
      <c r="N82" s="183"/>
      <c r="O82" s="183"/>
      <c r="P82" s="183"/>
      <c r="Q82" s="183"/>
      <c r="R82" s="183"/>
      <c r="S82" s="183"/>
      <c r="T82" s="183"/>
      <c r="U82" s="183"/>
      <c r="V82" s="183"/>
    </row>
    <row r="83" ht="13.5" spans="1:22">
      <c r="A83" s="1060" t="s">
        <v>857</v>
      </c>
      <c r="B83" s="2672" t="s">
        <v>858</v>
      </c>
      <c r="C83" s="2675"/>
      <c r="D83" s="1990"/>
      <c r="E83" s="2674"/>
      <c r="F83" s="2654"/>
      <c r="G83" s="2654"/>
      <c r="H83" s="120"/>
      <c r="I83" s="119"/>
      <c r="J83" s="183"/>
      <c r="K83" s="2782" t="s">
        <v>859</v>
      </c>
      <c r="L83" s="2782" t="s">
        <v>860</v>
      </c>
      <c r="M83" s="2783" t="e">
        <f ca="1">IF(N69&gt;10000,N69*0.5%,IF(AND(N69&gt;1000,N69&lt;=10000),N69*1%,IF(AND(N69&gt;100,N69&lt;=1000),N69*3%,IF(AND(N69&gt;10,N69&lt;=100),N69*5%,N69*8%))))</f>
        <v>#VALUE!</v>
      </c>
      <c r="N83" s="125" t="e">
        <f ca="1">ROUND(M83,1)</f>
        <v>#VALUE!</v>
      </c>
      <c r="O83" s="2784"/>
      <c r="P83" s="183"/>
      <c r="Q83" s="183"/>
      <c r="R83" s="183"/>
      <c r="S83" s="183"/>
      <c r="T83" s="183"/>
      <c r="U83" s="183"/>
      <c r="V83" s="183"/>
    </row>
    <row r="84" ht="13.5" spans="1:22">
      <c r="A84" s="2667" t="s">
        <v>861</v>
      </c>
      <c r="B84" s="2676" t="s">
        <v>862</v>
      </c>
      <c r="C84" s="2677"/>
      <c r="D84" s="2678" t="s">
        <v>138</v>
      </c>
      <c r="E84" s="2679" t="s">
        <v>863</v>
      </c>
      <c r="F84" s="2654"/>
      <c r="G84" s="2654"/>
      <c r="H84" s="120"/>
      <c r="I84" s="119"/>
      <c r="J84" s="183"/>
      <c r="K84" s="2782"/>
      <c r="L84" s="2782" t="s">
        <v>864</v>
      </c>
      <c r="M84" s="2783" t="e">
        <f ca="1">IF(N69&gt;2000,N69*0.5%,IF(AND(N69&gt;1000,N69&lt;=2000),N69*0.6%,IF(AND(N69&gt;500,N69&lt;=1000),N69*0.7%,IF(AND(N69&gt;200,N69&lt;=500),N69*0.8%,IF(AND(N69&gt;100,N69&lt;=200),N69*0.9%,IF(AND(N69&gt;50,N69&lt;=100),N69*1%,IF(AND(N69&gt;20,N69&lt;=50),N69*1.5%,IF(AND(N69&gt;10,N69&lt;=20),N69*2%,IF(AND(N69&gt;1,N69&lt;=10),N69*2.5%)))))))))</f>
        <v>#VALUE!</v>
      </c>
      <c r="N84" s="125" t="e">
        <f ca="1" t="shared" ref="N84:N85" si="2">ROUND(M84,1)</f>
        <v>#VALUE!</v>
      </c>
      <c r="O84" s="183" t="s">
        <v>865</v>
      </c>
      <c r="P84" s="183"/>
      <c r="Q84" s="183"/>
      <c r="R84" s="183"/>
      <c r="S84" s="183"/>
      <c r="T84" s="183"/>
      <c r="U84" s="183"/>
      <c r="V84" s="183"/>
    </row>
    <row r="85" ht="13.5" spans="1:22">
      <c r="A85" s="2667" t="s">
        <v>866</v>
      </c>
      <c r="B85" s="2676" t="s">
        <v>867</v>
      </c>
      <c r="C85" s="2680" t="e">
        <f ca="1">C81-C84</f>
        <v>#REF!</v>
      </c>
      <c r="D85" s="1990" t="s">
        <v>138</v>
      </c>
      <c r="E85" s="2674"/>
      <c r="F85" s="2654"/>
      <c r="G85" s="2654"/>
      <c r="H85" s="120"/>
      <c r="I85" s="119"/>
      <c r="J85" s="183"/>
      <c r="K85" s="2782"/>
      <c r="L85" s="2782" t="s">
        <v>868</v>
      </c>
      <c r="M85" s="2783" t="e">
        <f ca="1">IF(N69&gt;1000,N69*0.1%,IF(AND(N69&gt;500,N69&lt;=1000),N69*0.5%,IF(AND(N69&gt;50,N69&lt;=500),N69*1%,IF(AND(N69&gt;1,N69&lt;=50),N69*1.5%))))</f>
        <v>#VALUE!</v>
      </c>
      <c r="N85" s="125" t="e">
        <f ca="1" t="shared" si="2"/>
        <v>#VALUE!</v>
      </c>
      <c r="O85" s="183" t="s">
        <v>865</v>
      </c>
      <c r="P85" s="183"/>
      <c r="Q85" s="183"/>
      <c r="R85" s="183"/>
      <c r="S85" s="183"/>
      <c r="T85" s="183"/>
      <c r="U85" s="183"/>
      <c r="V85" s="183"/>
    </row>
    <row r="86" ht="14.25" spans="1:22">
      <c r="A86" s="2681" t="s">
        <v>869</v>
      </c>
      <c r="B86" s="2682" t="s">
        <v>870</v>
      </c>
      <c r="C86" s="2683" t="e">
        <f ca="1">IF(C85&lt;=0,0,ROUND(C85*D86,0))</f>
        <v>#REF!</v>
      </c>
      <c r="D86" s="2684">
        <f>'数据-取费表'!B41</f>
        <v>0.056</v>
      </c>
      <c r="E86" s="2685"/>
      <c r="F86" s="2654"/>
      <c r="G86" s="2654"/>
      <c r="H86" s="120"/>
      <c r="I86" s="119"/>
      <c r="J86" s="183"/>
      <c r="K86" s="2782"/>
      <c r="L86" s="2782" t="s">
        <v>871</v>
      </c>
      <c r="M86" s="2783" t="e">
        <f ca="1">N69*0.5%</f>
        <v>#VALUE!</v>
      </c>
      <c r="N86" s="125" t="e">
        <f ca="1">IF(M86&gt;0.5,0.5,ROUND(M86,0))</f>
        <v>#VALUE!</v>
      </c>
      <c r="O86" s="183" t="s">
        <v>872</v>
      </c>
      <c r="P86" s="183"/>
      <c r="Q86" s="183"/>
      <c r="R86" s="183"/>
      <c r="S86" s="183"/>
      <c r="T86" s="183"/>
      <c r="U86" s="183"/>
      <c r="V86" s="183"/>
    </row>
    <row r="87" ht="14.25" customHeight="1" spans="1:22">
      <c r="A87" s="2686"/>
      <c r="B87" s="2687"/>
      <c r="C87" s="2688"/>
      <c r="D87" s="2689"/>
      <c r="E87" s="1109"/>
      <c r="F87" s="2654"/>
      <c r="G87" s="2654"/>
      <c r="H87" s="120"/>
      <c r="I87" s="119"/>
      <c r="J87" s="183"/>
      <c r="K87" s="2782"/>
      <c r="L87" s="2782" t="s">
        <v>873</v>
      </c>
      <c r="M87" s="2783" t="e">
        <f ca="1">IF(N69&gt;=10000,(8.25+(N69-10000)*0.01%),IF(AND(N69&gt;=8000,N69&lt;10000),(7.85+(N69-8000)*0.02%),IF(AND(N69&gt;=5000,N69&lt;8000),(6.65+(N69-5000)*0.04%),IF(AND(N69&gt;=2000,N69&lt;5000),(4.25+(PN69-2000)*0.08%),IF(AND(N69&gt;=1000,N69&lt;2000),(2.75+(N69-1000)*0.15%),IF(AND(N69&gt;=100,N69&lt;1000),(0.5+(N69-100)*0.25%),IF(AND(N69&gt;0,N69&lt;100),N69*0.5%)))))))</f>
        <v>#VALUE!</v>
      </c>
      <c r="N87" s="125" t="e">
        <f ca="1">ROUND(M87*0.9,1)</f>
        <v>#VALUE!</v>
      </c>
      <c r="O87" s="2784"/>
      <c r="P87" s="183"/>
      <c r="Q87" s="183"/>
      <c r="R87" s="183"/>
      <c r="S87" s="183"/>
      <c r="T87" s="183"/>
      <c r="U87" s="183"/>
      <c r="V87" s="183"/>
    </row>
    <row r="88" s="2426" customFormat="1" ht="15" spans="1:26">
      <c r="A88" s="2690" t="s">
        <v>874</v>
      </c>
      <c r="B88" s="2691"/>
      <c r="C88" s="2691"/>
      <c r="D88" s="2691"/>
      <c r="E88" s="2691"/>
      <c r="F88" s="2691"/>
      <c r="G88" s="2691"/>
      <c r="H88" s="2691"/>
      <c r="I88" s="2785"/>
      <c r="J88" s="2786"/>
      <c r="K88" s="2782"/>
      <c r="L88" s="2782" t="s">
        <v>875</v>
      </c>
      <c r="M88" s="2783" t="e">
        <f ca="1">IF(N69&gt;10000,N69*0.5%,IF(AND(N69&gt;5000,N69&lt;=10000),N69*1%,IF(AND(N69&gt;1000,N69&lt;=5000),N69*2%,IF(AND(N69&gt;200,N69&lt;=1000),N69*3%,N69*5%))))</f>
        <v>#VALUE!</v>
      </c>
      <c r="N88" s="125" t="e">
        <f ca="1">ROUND(M88,1)</f>
        <v>#VALUE!</v>
      </c>
      <c r="O88" s="2784"/>
      <c r="P88" s="428"/>
      <c r="Q88" s="428"/>
      <c r="R88" s="428"/>
      <c r="S88" s="428"/>
      <c r="T88" s="428"/>
      <c r="U88" s="428"/>
      <c r="V88" s="428"/>
      <c r="W88" s="2799"/>
      <c r="X88" s="2799"/>
      <c r="Y88" s="2799"/>
      <c r="Z88" s="2799"/>
    </row>
    <row r="89" s="2426" customFormat="1" ht="14.25" spans="1:26">
      <c r="A89" s="2664" t="s">
        <v>850</v>
      </c>
      <c r="B89" s="2665"/>
      <c r="C89" s="2665"/>
      <c r="D89" s="2665" t="s">
        <v>851</v>
      </c>
      <c r="E89" s="2692" t="s">
        <v>808</v>
      </c>
      <c r="F89" s="2693"/>
      <c r="G89" s="2693"/>
      <c r="H89" s="2694"/>
      <c r="I89" s="2787"/>
      <c r="J89" s="2788"/>
      <c r="K89" s="2782"/>
      <c r="L89" s="2782" t="s">
        <v>452</v>
      </c>
      <c r="M89" s="2789"/>
      <c r="N89" s="125" t="e">
        <f ca="1">ROUND(SUM(N83:N88),0)</f>
        <v>#VALUE!</v>
      </c>
      <c r="O89" s="2790" t="e">
        <f ca="1">N89/N69</f>
        <v>#VALUE!</v>
      </c>
      <c r="P89" s="428"/>
      <c r="Q89" s="428"/>
      <c r="R89" s="428"/>
      <c r="S89" s="428"/>
      <c r="T89" s="428"/>
      <c r="U89" s="428"/>
      <c r="V89" s="428"/>
      <c r="W89" s="2799"/>
      <c r="X89" s="2799"/>
      <c r="Y89" s="2799"/>
      <c r="Z89" s="2799"/>
    </row>
    <row r="90" s="2426" customFormat="1" ht="14.25" spans="1:26">
      <c r="A90" s="2667" t="s">
        <v>852</v>
      </c>
      <c r="B90" s="2676" t="s">
        <v>876</v>
      </c>
      <c r="C90" s="2680" t="e">
        <f ca="1">ROUND(D63/(1+'数据-取费表'!C42),0)</f>
        <v>#REF!</v>
      </c>
      <c r="D90" s="1990" t="s">
        <v>138</v>
      </c>
      <c r="E90" s="776"/>
      <c r="F90" s="777"/>
      <c r="G90" s="777"/>
      <c r="H90" s="2695"/>
      <c r="I90" s="2787"/>
      <c r="J90" s="2788"/>
      <c r="K90" s="428"/>
      <c r="L90" s="428"/>
      <c r="M90" s="428"/>
      <c r="N90" s="428"/>
      <c r="O90" s="428"/>
      <c r="P90" s="428"/>
      <c r="Q90" s="428"/>
      <c r="R90" s="428"/>
      <c r="S90" s="428"/>
      <c r="T90" s="428"/>
      <c r="U90" s="428"/>
      <c r="V90" s="428"/>
      <c r="W90" s="2799"/>
      <c r="X90" s="2799"/>
      <c r="Y90" s="2799"/>
      <c r="Z90" s="2799"/>
    </row>
    <row r="91" s="2426" customFormat="1" ht="14.25" spans="1:26">
      <c r="A91" s="2667" t="s">
        <v>861</v>
      </c>
      <c r="B91" s="2623" t="s">
        <v>877</v>
      </c>
      <c r="C91" s="2680" t="e">
        <f ca="1">C92+C96</f>
        <v>#REF!</v>
      </c>
      <c r="D91" s="1990" t="s">
        <v>138</v>
      </c>
      <c r="E91" s="776"/>
      <c r="F91" s="777"/>
      <c r="G91" s="777"/>
      <c r="H91" s="2695"/>
      <c r="I91" s="2787"/>
      <c r="J91" s="2788"/>
      <c r="K91" s="428"/>
      <c r="L91" s="428"/>
      <c r="M91" s="428"/>
      <c r="N91" s="428"/>
      <c r="O91" s="428"/>
      <c r="P91" s="428"/>
      <c r="Q91" s="428"/>
      <c r="R91" s="428"/>
      <c r="S91" s="428"/>
      <c r="T91" s="428"/>
      <c r="U91" s="428"/>
      <c r="V91" s="428"/>
      <c r="W91" s="2799"/>
      <c r="X91" s="2799"/>
      <c r="Y91" s="2799"/>
      <c r="Z91" s="2799"/>
    </row>
    <row r="92" s="2426" customFormat="1" ht="24" spans="1:26">
      <c r="A92" s="2696" t="s">
        <v>855</v>
      </c>
      <c r="B92" s="2672" t="s">
        <v>878</v>
      </c>
      <c r="C92" s="1990">
        <f>ROUND(IF(G95="2016年5月1日后购买",C93/(1+'数据-取费表'!C30)+C94+C95,C93+C94+C95),0)</f>
        <v>0</v>
      </c>
      <c r="D92" s="1990" t="s">
        <v>138</v>
      </c>
      <c r="E92" s="776"/>
      <c r="F92" s="777"/>
      <c r="G92" s="777"/>
      <c r="H92" s="2695"/>
      <c r="I92" s="2787"/>
      <c r="J92" s="2788"/>
      <c r="K92" s="428"/>
      <c r="L92" s="428"/>
      <c r="M92" s="428"/>
      <c r="N92" s="428"/>
      <c r="O92" s="428"/>
      <c r="P92" s="428"/>
      <c r="Q92" s="428"/>
      <c r="R92" s="428"/>
      <c r="S92" s="428"/>
      <c r="T92" s="428"/>
      <c r="U92" s="428"/>
      <c r="V92" s="428"/>
      <c r="W92" s="2799"/>
      <c r="X92" s="2799"/>
      <c r="Y92" s="2799"/>
      <c r="Z92" s="2799"/>
    </row>
    <row r="93" s="2426" customFormat="1" ht="14.25" spans="1:26">
      <c r="A93" s="2696" t="s">
        <v>879</v>
      </c>
      <c r="B93" s="2672" t="s">
        <v>880</v>
      </c>
      <c r="C93" s="1992"/>
      <c r="D93" s="1990" t="s">
        <v>138</v>
      </c>
      <c r="E93" s="2697" t="s">
        <v>881</v>
      </c>
      <c r="F93" s="2698"/>
      <c r="G93" s="2697" t="s">
        <v>882</v>
      </c>
      <c r="H93" s="2699">
        <v>5</v>
      </c>
      <c r="I93" s="2618"/>
      <c r="J93" s="428"/>
      <c r="K93" s="428"/>
      <c r="L93" s="428"/>
      <c r="M93" s="428"/>
      <c r="N93" s="428"/>
      <c r="O93" s="428"/>
      <c r="P93" s="428"/>
      <c r="Q93" s="428"/>
      <c r="R93" s="428"/>
      <c r="S93" s="428"/>
      <c r="T93" s="428"/>
      <c r="U93" s="428"/>
      <c r="V93" s="428"/>
      <c r="W93" s="2799"/>
      <c r="X93" s="2799"/>
      <c r="Y93" s="2799"/>
      <c r="Z93" s="2799"/>
    </row>
    <row r="94" s="2426" customFormat="1" ht="24.75" customHeight="1" spans="1:26">
      <c r="A94" s="2696" t="s">
        <v>883</v>
      </c>
      <c r="B94" s="2700" t="s">
        <v>884</v>
      </c>
      <c r="C94" s="1990">
        <f>IF(F93="购房发票",ROUND(C93*H93*5%,0),0)</f>
        <v>0</v>
      </c>
      <c r="D94" s="2701">
        <v>0.05</v>
      </c>
      <c r="E94" s="776" t="s">
        <v>885</v>
      </c>
      <c r="F94" s="777"/>
      <c r="G94" s="777"/>
      <c r="H94" s="2702"/>
      <c r="I94" s="2787"/>
      <c r="J94" s="2788"/>
      <c r="K94" s="428"/>
      <c r="L94" s="428"/>
      <c r="M94" s="428"/>
      <c r="N94" s="428"/>
      <c r="O94" s="428"/>
      <c r="P94" s="428"/>
      <c r="Q94" s="428"/>
      <c r="R94" s="428"/>
      <c r="S94" s="428"/>
      <c r="T94" s="428"/>
      <c r="U94" s="428"/>
      <c r="V94" s="428"/>
      <c r="W94" s="2799"/>
      <c r="X94" s="2799"/>
      <c r="Y94" s="2799"/>
      <c r="Z94" s="2799"/>
    </row>
    <row r="95" s="2426" customFormat="1" ht="24.75" customHeight="1" spans="1:26">
      <c r="A95" s="2696" t="s">
        <v>886</v>
      </c>
      <c r="B95" s="2672" t="s">
        <v>887</v>
      </c>
      <c r="C95" s="1990">
        <f>ROUND(IF(G95="个人买卖住房",0,IF(G95="2016年5月1日前购买",C93*D95,C93*D95/(1+'数据-取费表'!C42))),0)</f>
        <v>0</v>
      </c>
      <c r="D95" s="2703">
        <f>'数据-取费表'!B48+'数据-取费表'!B49</f>
        <v>0.0305</v>
      </c>
      <c r="E95" s="857" t="s">
        <v>888</v>
      </c>
      <c r="F95" s="2704"/>
      <c r="G95" s="2705"/>
      <c r="H95" s="2702" t="str">
        <f>IF(G95="个人买卖住房","免征印花税"," ")</f>
        <v> </v>
      </c>
      <c r="I95" s="2787"/>
      <c r="J95" s="2788"/>
      <c r="K95" s="428"/>
      <c r="L95" s="428"/>
      <c r="M95" s="428"/>
      <c r="N95" s="428"/>
      <c r="O95" s="428"/>
      <c r="P95" s="428"/>
      <c r="Q95" s="428"/>
      <c r="R95" s="428"/>
      <c r="S95" s="428"/>
      <c r="T95" s="428"/>
      <c r="U95" s="428"/>
      <c r="V95" s="428"/>
      <c r="W95" s="2799"/>
      <c r="X95" s="2799"/>
      <c r="Y95" s="2799"/>
      <c r="Z95" s="2799"/>
    </row>
    <row r="96" s="2426" customFormat="1" ht="24.75" customHeight="1" spans="1:26">
      <c r="A96" s="2696" t="s">
        <v>857</v>
      </c>
      <c r="B96" s="2672" t="s">
        <v>889</v>
      </c>
      <c r="C96" s="2706" t="e">
        <f ca="1">ROUND(D63*D96/(1+'数据-取费表'!C42),0)</f>
        <v>#REF!</v>
      </c>
      <c r="D96" s="2707">
        <f>'数据-取费表'!B43</f>
        <v>0.006</v>
      </c>
      <c r="E96" s="2708" t="s">
        <v>890</v>
      </c>
      <c r="F96" s="2709"/>
      <c r="G96" s="2709"/>
      <c r="H96" s="2710"/>
      <c r="I96" s="2791"/>
      <c r="J96" s="2792"/>
      <c r="K96" s="428"/>
      <c r="L96" s="428"/>
      <c r="M96" s="428"/>
      <c r="N96" s="428"/>
      <c r="O96" s="428"/>
      <c r="P96" s="428"/>
      <c r="Q96" s="428"/>
      <c r="R96" s="428"/>
      <c r="S96" s="428"/>
      <c r="T96" s="428"/>
      <c r="U96" s="428"/>
      <c r="V96" s="428"/>
      <c r="W96" s="2799"/>
      <c r="X96" s="2799"/>
      <c r="Y96" s="2799"/>
      <c r="Z96" s="2799"/>
    </row>
    <row r="97" s="2426" customFormat="1" ht="14.25" spans="1:26">
      <c r="A97" s="2711" t="s">
        <v>866</v>
      </c>
      <c r="B97" s="2676" t="s">
        <v>891</v>
      </c>
      <c r="C97" s="2680" t="e">
        <f ca="1">C90-C91</f>
        <v>#REF!</v>
      </c>
      <c r="D97" s="1990" t="s">
        <v>138</v>
      </c>
      <c r="E97" s="776"/>
      <c r="F97" s="777"/>
      <c r="G97" s="777"/>
      <c r="H97" s="2695"/>
      <c r="I97" s="2787"/>
      <c r="J97" s="2788"/>
      <c r="K97" s="428"/>
      <c r="L97" s="428"/>
      <c r="M97" s="428"/>
      <c r="N97" s="428"/>
      <c r="O97" s="428"/>
      <c r="P97" s="428"/>
      <c r="Q97" s="428"/>
      <c r="R97" s="428"/>
      <c r="S97" s="428"/>
      <c r="T97" s="428"/>
      <c r="U97" s="428"/>
      <c r="V97" s="428"/>
      <c r="W97" s="2799"/>
      <c r="X97" s="2799"/>
      <c r="Y97" s="2799"/>
      <c r="Z97" s="2799"/>
    </row>
    <row r="98" s="2426" customFormat="1" ht="24" spans="1:26">
      <c r="A98" s="2711" t="s">
        <v>869</v>
      </c>
      <c r="B98" s="2676" t="s">
        <v>892</v>
      </c>
      <c r="C98" s="2712" t="e">
        <f ca="1">IF(C97&lt;=0,0,C97/C91)</f>
        <v>#REF!</v>
      </c>
      <c r="D98" s="1990" t="s">
        <v>138</v>
      </c>
      <c r="E98" s="857" t="e">
        <f ca="1">IF(C98&gt;=200%,"增值额超过扣除项目金额200%",IF(C98&gt;=100%,"增值额超过扣除项目金额100%，未超过200%",IF(C98&gt;=50%,"增值额超过扣除项目金额50%，未超过100%",IF(C98&lt;50%,"增值额未超过扣除项目金额50%"))))</f>
        <v>#REF!</v>
      </c>
      <c r="F98" s="777"/>
      <c r="G98" s="777"/>
      <c r="H98" s="2695"/>
      <c r="I98" s="2787"/>
      <c r="J98" s="2788"/>
      <c r="K98" s="428"/>
      <c r="L98" s="428"/>
      <c r="M98" s="428"/>
      <c r="N98" s="428"/>
      <c r="O98" s="428"/>
      <c r="P98" s="428"/>
      <c r="Q98" s="428"/>
      <c r="R98" s="428"/>
      <c r="S98" s="428"/>
      <c r="T98" s="428"/>
      <c r="U98" s="428"/>
      <c r="V98" s="428"/>
      <c r="W98" s="2799"/>
      <c r="X98" s="2799"/>
      <c r="Y98" s="2799"/>
      <c r="Z98" s="2799"/>
    </row>
    <row r="99" s="2426" customFormat="1" ht="24.75" spans="1:26">
      <c r="A99" s="2713" t="s">
        <v>893</v>
      </c>
      <c r="B99" s="2682" t="s">
        <v>894</v>
      </c>
      <c r="C99" s="2714" t="e">
        <f ca="1">ROUND(IF(C97&lt;=0,0,IF(C98&gt;=200%,C97*60%-C91*35%,IF(C98&gt;=100%,C97*50%-C91*15%,IF(C98&gt;=50%,C97*40%-C91*5%,IF(C98&lt;50%,C97*30%,0))))),0)</f>
        <v>#REF!</v>
      </c>
      <c r="D99" s="2715" t="s">
        <v>138</v>
      </c>
      <c r="E99" s="2716"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2717"/>
      <c r="G99" s="2717"/>
      <c r="H99" s="2718"/>
      <c r="I99" s="2787"/>
      <c r="J99" s="2788"/>
      <c r="K99" s="428"/>
      <c r="L99" s="428"/>
      <c r="M99" s="428"/>
      <c r="N99" s="428"/>
      <c r="O99" s="428"/>
      <c r="P99" s="428"/>
      <c r="Q99" s="428"/>
      <c r="R99" s="428"/>
      <c r="S99" s="428"/>
      <c r="T99" s="428"/>
      <c r="U99" s="428"/>
      <c r="V99" s="428"/>
      <c r="W99" s="2799"/>
      <c r="X99" s="2799"/>
      <c r="Y99" s="2799"/>
      <c r="Z99" s="2799"/>
    </row>
    <row r="100" s="2426" customFormat="1" ht="7.5" customHeight="1" spans="1:26">
      <c r="A100" s="2618"/>
      <c r="B100" s="2719"/>
      <c r="C100" s="2618"/>
      <c r="D100" s="2618"/>
      <c r="E100" s="2719"/>
      <c r="F100" s="2719"/>
      <c r="G100" s="2719"/>
      <c r="H100" s="2720"/>
      <c r="I100" s="2791"/>
      <c r="J100" s="2792"/>
      <c r="K100" s="428"/>
      <c r="L100" s="428"/>
      <c r="M100" s="428"/>
      <c r="N100" s="428"/>
      <c r="O100" s="428"/>
      <c r="P100" s="428"/>
      <c r="Q100" s="428"/>
      <c r="R100" s="428"/>
      <c r="S100" s="428"/>
      <c r="T100" s="428"/>
      <c r="U100" s="428"/>
      <c r="V100" s="428"/>
      <c r="W100" s="2799"/>
      <c r="X100" s="2799"/>
      <c r="Y100" s="2799"/>
      <c r="Z100" s="2799"/>
    </row>
    <row r="101" s="2426" customFormat="1" ht="15" spans="1:26">
      <c r="A101" s="2690" t="s">
        <v>895</v>
      </c>
      <c r="B101" s="2691"/>
      <c r="C101" s="2691"/>
      <c r="D101" s="2691"/>
      <c r="E101" s="2691"/>
      <c r="F101" s="2691"/>
      <c r="G101" s="2691"/>
      <c r="H101" s="2691"/>
      <c r="I101" s="2618"/>
      <c r="J101" s="428"/>
      <c r="K101" s="428"/>
      <c r="L101" s="428"/>
      <c r="M101" s="428"/>
      <c r="N101" s="428"/>
      <c r="O101" s="428"/>
      <c r="P101" s="428"/>
      <c r="Q101" s="428"/>
      <c r="R101" s="428"/>
      <c r="S101" s="428"/>
      <c r="T101" s="428"/>
      <c r="U101" s="428"/>
      <c r="V101" s="428"/>
      <c r="W101" s="2799"/>
      <c r="X101" s="2799"/>
      <c r="Y101" s="2799"/>
      <c r="Z101" s="2799"/>
    </row>
    <row r="102" s="2426" customFormat="1" ht="14.25" spans="1:26">
      <c r="A102" s="2664" t="s">
        <v>850</v>
      </c>
      <c r="B102" s="2665"/>
      <c r="C102" s="2665"/>
      <c r="D102" s="2665" t="s">
        <v>851</v>
      </c>
      <c r="E102" s="2692" t="s">
        <v>808</v>
      </c>
      <c r="F102" s="2693"/>
      <c r="G102" s="2693"/>
      <c r="H102" s="2721"/>
      <c r="I102" s="2618"/>
      <c r="J102" s="428"/>
      <c r="K102" s="428"/>
      <c r="L102" s="428"/>
      <c r="M102" s="428"/>
      <c r="N102" s="428"/>
      <c r="O102" s="428"/>
      <c r="P102" s="428"/>
      <c r="Q102" s="428"/>
      <c r="R102" s="428"/>
      <c r="S102" s="428"/>
      <c r="T102" s="428"/>
      <c r="U102" s="428"/>
      <c r="V102" s="428"/>
      <c r="W102" s="2799"/>
      <c r="X102" s="2799"/>
      <c r="Y102" s="2799"/>
      <c r="Z102" s="2799"/>
    </row>
    <row r="103" s="2426" customFormat="1" ht="14.25" spans="1:26">
      <c r="A103" s="2667" t="s">
        <v>852</v>
      </c>
      <c r="B103" s="2676" t="s">
        <v>876</v>
      </c>
      <c r="C103" s="2680" t="e">
        <f ca="1">ROUND(D63/(1+'数据-取费表'!C42),0)</f>
        <v>#REF!</v>
      </c>
      <c r="D103" s="1990" t="s">
        <v>138</v>
      </c>
      <c r="E103" s="776"/>
      <c r="F103" s="777"/>
      <c r="G103" s="777"/>
      <c r="H103" s="2722"/>
      <c r="I103" s="2618"/>
      <c r="J103" s="428"/>
      <c r="K103" s="428"/>
      <c r="L103" s="428"/>
      <c r="M103" s="428"/>
      <c r="N103" s="428"/>
      <c r="O103" s="428"/>
      <c r="P103" s="428"/>
      <c r="Q103" s="428"/>
      <c r="R103" s="428"/>
      <c r="S103" s="428"/>
      <c r="T103" s="428"/>
      <c r="U103" s="428"/>
      <c r="V103" s="428"/>
      <c r="W103" s="2799"/>
      <c r="X103" s="2799"/>
      <c r="Y103" s="2799"/>
      <c r="Z103" s="2799"/>
    </row>
    <row r="104" s="2426" customFormat="1" ht="14.25" spans="1:26">
      <c r="A104" s="2667" t="s">
        <v>861</v>
      </c>
      <c r="B104" s="2623" t="s">
        <v>877</v>
      </c>
      <c r="C104" s="2680" t="e">
        <f ca="1">IF(H106="仅含出让金",C105+C108+C109+C110+C111+C112,C105+C109+C110+C111+C112)</f>
        <v>#REF!</v>
      </c>
      <c r="D104" s="2723"/>
      <c r="E104" s="776"/>
      <c r="F104" s="777"/>
      <c r="G104" s="777"/>
      <c r="H104" s="2722"/>
      <c r="I104" s="2618"/>
      <c r="J104" s="428"/>
      <c r="K104" s="428"/>
      <c r="L104" s="428"/>
      <c r="M104" s="428"/>
      <c r="N104" s="428"/>
      <c r="O104" s="428"/>
      <c r="P104" s="428"/>
      <c r="Q104" s="428"/>
      <c r="R104" s="428"/>
      <c r="S104" s="428"/>
      <c r="T104" s="428"/>
      <c r="U104" s="428"/>
      <c r="V104" s="428"/>
      <c r="W104" s="2799"/>
      <c r="X104" s="2799"/>
      <c r="Y104" s="2799"/>
      <c r="Z104" s="2799"/>
    </row>
    <row r="105" s="2426" customFormat="1" ht="14.25" spans="1:26">
      <c r="A105" s="2696" t="s">
        <v>855</v>
      </c>
      <c r="B105" s="2672" t="s">
        <v>896</v>
      </c>
      <c r="C105" s="2706">
        <f>C106+C107</f>
        <v>0</v>
      </c>
      <c r="D105" s="2707"/>
      <c r="E105" s="2724"/>
      <c r="F105" s="2709"/>
      <c r="G105" s="2709"/>
      <c r="H105" s="2710"/>
      <c r="I105" s="2618"/>
      <c r="J105" s="428"/>
      <c r="K105" s="428"/>
      <c r="L105" s="428"/>
      <c r="M105" s="428"/>
      <c r="N105" s="428"/>
      <c r="O105" s="428"/>
      <c r="P105" s="428"/>
      <c r="Q105" s="428"/>
      <c r="R105" s="428"/>
      <c r="S105" s="428"/>
      <c r="T105" s="428"/>
      <c r="U105" s="428"/>
      <c r="V105" s="428"/>
      <c r="W105" s="2799"/>
      <c r="X105" s="2799"/>
      <c r="Y105" s="2799"/>
      <c r="Z105" s="2799"/>
    </row>
    <row r="106" s="2426" customFormat="1" ht="14.25" spans="1:26">
      <c r="A106" s="2696" t="s">
        <v>879</v>
      </c>
      <c r="B106" s="2672" t="s">
        <v>897</v>
      </c>
      <c r="C106" s="2725"/>
      <c r="D106" s="2707"/>
      <c r="E106" s="2726" t="s">
        <v>898</v>
      </c>
      <c r="F106" s="2709"/>
      <c r="G106" s="2727" t="s">
        <v>899</v>
      </c>
      <c r="H106" s="2728"/>
      <c r="I106" s="2618"/>
      <c r="J106" s="428"/>
      <c r="K106" s="2793" t="s">
        <v>900</v>
      </c>
      <c r="L106" s="428"/>
      <c r="M106" s="428"/>
      <c r="N106" s="428"/>
      <c r="O106" s="428"/>
      <c r="P106" s="428"/>
      <c r="Q106" s="428"/>
      <c r="R106" s="428"/>
      <c r="S106" s="428"/>
      <c r="T106" s="428"/>
      <c r="U106" s="428"/>
      <c r="V106" s="428"/>
      <c r="W106" s="2799"/>
      <c r="X106" s="2799"/>
      <c r="Y106" s="2799"/>
      <c r="Z106" s="2799"/>
    </row>
    <row r="107" s="2426" customFormat="1" ht="14.25" spans="1:26">
      <c r="A107" s="2696" t="s">
        <v>883</v>
      </c>
      <c r="B107" s="2672" t="s">
        <v>887</v>
      </c>
      <c r="C107" s="2706">
        <f>ROUND(C106*D107,0)</f>
        <v>0</v>
      </c>
      <c r="D107" s="2707">
        <f>'数据-取费表'!B48+'数据-取费表'!B49</f>
        <v>0.0305</v>
      </c>
      <c r="E107" s="2726" t="s">
        <v>901</v>
      </c>
      <c r="F107" s="2709"/>
      <c r="G107" s="2709"/>
      <c r="H107" s="2710"/>
      <c r="I107" s="2618"/>
      <c r="J107" s="428"/>
      <c r="K107" s="428"/>
      <c r="L107" s="428"/>
      <c r="M107" s="428"/>
      <c r="N107" s="428"/>
      <c r="O107" s="428"/>
      <c r="P107" s="428"/>
      <c r="Q107" s="428"/>
      <c r="R107" s="428"/>
      <c r="S107" s="428"/>
      <c r="T107" s="428"/>
      <c r="U107" s="428"/>
      <c r="V107" s="428"/>
      <c r="W107" s="2799"/>
      <c r="X107" s="2799"/>
      <c r="Y107" s="2799"/>
      <c r="Z107" s="2799"/>
    </row>
    <row r="108" s="2426" customFormat="1" ht="14.25" spans="1:26">
      <c r="A108" s="2696" t="s">
        <v>857</v>
      </c>
      <c r="B108" s="2672" t="s">
        <v>902</v>
      </c>
      <c r="C108" s="2725"/>
      <c r="D108" s="2707"/>
      <c r="E108" s="2726" t="str">
        <f>IF(H106="-","土地取得成本中已包含该笔费用"," ")</f>
        <v> </v>
      </c>
      <c r="F108" s="2709"/>
      <c r="G108" s="2729" t="s">
        <v>903</v>
      </c>
      <c r="H108" s="2730"/>
      <c r="I108" s="2794"/>
      <c r="J108" s="428"/>
      <c r="K108" s="2793" t="s">
        <v>904</v>
      </c>
      <c r="L108" s="428"/>
      <c r="M108" s="428"/>
      <c r="N108" s="428"/>
      <c r="O108" s="428"/>
      <c r="P108" s="428"/>
      <c r="Q108" s="428"/>
      <c r="R108" s="428"/>
      <c r="S108" s="428"/>
      <c r="T108" s="428"/>
      <c r="U108" s="428"/>
      <c r="V108" s="428"/>
      <c r="W108" s="2799"/>
      <c r="X108" s="2799"/>
      <c r="Y108" s="2799"/>
      <c r="Z108" s="2799"/>
    </row>
    <row r="109" s="2426" customFormat="1" ht="24" customHeight="1" spans="1:26">
      <c r="A109" s="2731" t="s">
        <v>905</v>
      </c>
      <c r="B109" s="2672" t="s">
        <v>906</v>
      </c>
      <c r="C109" s="2706">
        <f ca="1">IF(H109="——",IF(F1="现房",'剩余法-现房'!C18,0),I109)</f>
        <v>0</v>
      </c>
      <c r="D109" s="2707"/>
      <c r="E109" s="2724" t="s">
        <v>907</v>
      </c>
      <c r="F109" s="2709"/>
      <c r="G109" s="2709"/>
      <c r="H109" s="2732" t="s">
        <v>138</v>
      </c>
      <c r="I109" s="2795"/>
      <c r="J109" s="428"/>
      <c r="K109" s="428"/>
      <c r="L109" s="428"/>
      <c r="M109" s="428"/>
      <c r="N109" s="428"/>
      <c r="O109" s="428"/>
      <c r="P109" s="428"/>
      <c r="Q109" s="428"/>
      <c r="R109" s="428"/>
      <c r="S109" s="428"/>
      <c r="T109" s="428"/>
      <c r="U109" s="428"/>
      <c r="V109" s="428"/>
      <c r="W109" s="2799"/>
      <c r="X109" s="2799"/>
      <c r="Y109" s="2799"/>
      <c r="Z109" s="2799"/>
    </row>
    <row r="110" s="2426" customFormat="1" ht="25.5" customHeight="1" spans="1:26">
      <c r="A110" s="2731" t="s">
        <v>908</v>
      </c>
      <c r="B110" s="2672" t="s">
        <v>909</v>
      </c>
      <c r="C110" s="2706">
        <f ca="1">ROUND((C105+C108+C109)*D110,0)</f>
        <v>0</v>
      </c>
      <c r="D110" s="2733">
        <v>0</v>
      </c>
      <c r="E110" s="2724" t="s">
        <v>910</v>
      </c>
      <c r="F110" s="2709"/>
      <c r="G110" s="2709"/>
      <c r="H110" s="2710"/>
      <c r="I110" s="2618"/>
      <c r="J110" s="428"/>
      <c r="K110" s="2796" t="s">
        <v>911</v>
      </c>
      <c r="L110" s="428"/>
      <c r="M110" s="428"/>
      <c r="N110" s="428"/>
      <c r="O110" s="428"/>
      <c r="P110" s="428"/>
      <c r="Q110" s="428"/>
      <c r="R110" s="428"/>
      <c r="S110" s="428"/>
      <c r="T110" s="428"/>
      <c r="U110" s="428"/>
      <c r="V110" s="428"/>
      <c r="W110" s="2799"/>
      <c r="X110" s="2799"/>
      <c r="Y110" s="2799"/>
      <c r="Z110" s="2799"/>
    </row>
    <row r="111" s="2426" customFormat="1" ht="25.5" customHeight="1" spans="1:26">
      <c r="A111" s="2731" t="s">
        <v>912</v>
      </c>
      <c r="B111" s="2672" t="s">
        <v>889</v>
      </c>
      <c r="C111" s="2706" t="e">
        <f ca="1">ROUND(D63*D111/(1+'数据-取费表'!C42),0)</f>
        <v>#REF!</v>
      </c>
      <c r="D111" s="2707">
        <f>'数据-取费表'!B43</f>
        <v>0.006</v>
      </c>
      <c r="E111" s="2708" t="s">
        <v>890</v>
      </c>
      <c r="F111" s="2709"/>
      <c r="G111" s="2709"/>
      <c r="H111" s="2710"/>
      <c r="I111" s="2618"/>
      <c r="J111" s="428"/>
      <c r="K111" s="428"/>
      <c r="L111" s="428"/>
      <c r="M111" s="428"/>
      <c r="N111" s="428"/>
      <c r="O111" s="428"/>
      <c r="P111" s="428"/>
      <c r="Q111" s="428"/>
      <c r="R111" s="428"/>
      <c r="S111" s="428"/>
      <c r="T111" s="428"/>
      <c r="U111" s="428"/>
      <c r="V111" s="428"/>
      <c r="W111" s="2799"/>
      <c r="X111" s="2799"/>
      <c r="Y111" s="2799"/>
      <c r="Z111" s="2799"/>
    </row>
    <row r="112" s="2426" customFormat="1" ht="25.5" customHeight="1" spans="1:26">
      <c r="A112" s="2731" t="s">
        <v>913</v>
      </c>
      <c r="B112" s="2672" t="s">
        <v>914</v>
      </c>
      <c r="C112" s="2706">
        <f>ROUND(C108*D112,0)</f>
        <v>0</v>
      </c>
      <c r="D112" s="2707">
        <v>0.2</v>
      </c>
      <c r="E112" s="2724" t="s">
        <v>915</v>
      </c>
      <c r="F112" s="2709"/>
      <c r="G112" s="2709"/>
      <c r="H112" s="2710"/>
      <c r="I112" s="2618"/>
      <c r="J112" s="428"/>
      <c r="K112" s="428"/>
      <c r="L112" s="428"/>
      <c r="M112" s="428"/>
      <c r="N112" s="428"/>
      <c r="O112" s="428"/>
      <c r="P112" s="428"/>
      <c r="Q112" s="428"/>
      <c r="R112" s="428"/>
      <c r="S112" s="428"/>
      <c r="T112" s="428"/>
      <c r="U112" s="428"/>
      <c r="V112" s="428"/>
      <c r="W112" s="2799"/>
      <c r="X112" s="2799"/>
      <c r="Y112" s="2799"/>
      <c r="Z112" s="2799"/>
    </row>
    <row r="113" s="2426" customFormat="1" ht="14.25" spans="1:26">
      <c r="A113" s="2711" t="s">
        <v>866</v>
      </c>
      <c r="B113" s="2676" t="s">
        <v>891</v>
      </c>
      <c r="C113" s="2680" t="e">
        <f ca="1">ROUND(C103-C104,0)</f>
        <v>#REF!</v>
      </c>
      <c r="D113" s="1990" t="s">
        <v>138</v>
      </c>
      <c r="E113" s="776"/>
      <c r="F113" s="777"/>
      <c r="G113" s="777"/>
      <c r="H113" s="2722"/>
      <c r="I113" s="2618"/>
      <c r="J113" s="428"/>
      <c r="K113" s="428"/>
      <c r="L113" s="428"/>
      <c r="M113" s="428"/>
      <c r="N113" s="428"/>
      <c r="O113" s="428"/>
      <c r="P113" s="428"/>
      <c r="Q113" s="428"/>
      <c r="R113" s="428"/>
      <c r="S113" s="428"/>
      <c r="T113" s="428"/>
      <c r="U113" s="428"/>
      <c r="V113" s="428"/>
      <c r="W113" s="2799"/>
      <c r="X113" s="2799"/>
      <c r="Y113" s="2799"/>
      <c r="Z113" s="2799"/>
    </row>
    <row r="114" s="2426" customFormat="1" ht="24" spans="1:26">
      <c r="A114" s="2711" t="s">
        <v>869</v>
      </c>
      <c r="B114" s="2676" t="s">
        <v>892</v>
      </c>
      <c r="C114" s="2712" t="e">
        <f ca="1">IF(C113&lt;=0,0,C113/C104)</f>
        <v>#REF!</v>
      </c>
      <c r="D114" s="1990" t="s">
        <v>138</v>
      </c>
      <c r="E114" s="857" t="e">
        <f ca="1">IF(C114&gt;=200%,"增值额超过扣除项目金额200%",IF(C114&gt;=100%,"增值额超过扣除项目金额100%，未超过200%",IF(C114&gt;=50%,"增值额超过扣除项目金额50%，未超过100%",IF(C114&lt;50%,"增值额未超过扣除项目金额50%"))))</f>
        <v>#REF!</v>
      </c>
      <c r="F114" s="777"/>
      <c r="G114" s="777"/>
      <c r="H114" s="2722"/>
      <c r="I114" s="2618"/>
      <c r="J114" s="428"/>
      <c r="K114" s="428"/>
      <c r="L114" s="428"/>
      <c r="M114" s="428"/>
      <c r="N114" s="428"/>
      <c r="O114" s="428"/>
      <c r="P114" s="428"/>
      <c r="Q114" s="428"/>
      <c r="R114" s="428"/>
      <c r="S114" s="428"/>
      <c r="T114" s="428"/>
      <c r="U114" s="428"/>
      <c r="V114" s="428"/>
      <c r="W114" s="2799"/>
      <c r="X114" s="2799"/>
      <c r="Y114" s="2799"/>
      <c r="Z114" s="2799"/>
    </row>
    <row r="115" s="2426" customFormat="1" ht="24.75" spans="1:26">
      <c r="A115" s="2713" t="s">
        <v>893</v>
      </c>
      <c r="B115" s="2682" t="s">
        <v>894</v>
      </c>
      <c r="C115" s="2714" t="e">
        <f ca="1">ROUND(IF(C113&lt;=0,0,IF(C114&gt;=200%,C113*60%-C104*35%,IF(C114&gt;=100%,C113*50%-C104*15%,IF(C114&gt;=50%,C113*40%-C104*5%,IF(C114&lt;50%,C113*30%,0))))),0)</f>
        <v>#REF!</v>
      </c>
      <c r="D115" s="2715" t="s">
        <v>138</v>
      </c>
      <c r="E115" s="2716"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2717"/>
      <c r="G115" s="2717"/>
      <c r="H115" s="2734"/>
      <c r="I115" s="2618"/>
      <c r="J115" s="428"/>
      <c r="K115" s="428"/>
      <c r="L115" s="428"/>
      <c r="M115" s="428"/>
      <c r="N115" s="428"/>
      <c r="O115" s="428"/>
      <c r="P115" s="428"/>
      <c r="Q115" s="428"/>
      <c r="R115" s="428"/>
      <c r="S115" s="428"/>
      <c r="T115" s="428"/>
      <c r="U115" s="428"/>
      <c r="V115" s="428"/>
      <c r="W115" s="2799"/>
      <c r="X115" s="2799"/>
      <c r="Y115" s="2799"/>
      <c r="Z115" s="2799"/>
    </row>
    <row r="116" s="157" customFormat="1" customHeight="1" spans="11:15">
      <c r="K116" s="183"/>
      <c r="L116" s="183"/>
      <c r="M116" s="183"/>
      <c r="N116" s="183"/>
      <c r="O116" s="183"/>
    </row>
    <row r="117" s="157" customFormat="1" customHeight="1"/>
    <row r="118" s="157" customFormat="1" customHeight="1"/>
    <row r="119" s="157" customFormat="1" customHeight="1"/>
    <row r="120" s="157" customFormat="1" customHeight="1"/>
    <row r="121" s="157" customFormat="1" customHeight="1"/>
    <row r="122" s="157" customFormat="1" customHeight="1" spans="10:10">
      <c r="J122" s="2797"/>
    </row>
    <row r="123" s="157" customFormat="1" customHeight="1"/>
    <row r="124" s="157" customFormat="1" customHeight="1"/>
    <row r="125" s="157" customFormat="1" customHeight="1" spans="10:10">
      <c r="J125" s="2797"/>
    </row>
    <row r="126" s="157" customFormat="1" customHeight="1"/>
    <row r="127" s="157" customFormat="1" customHeight="1"/>
    <row r="128" s="157" customFormat="1" customHeight="1" spans="10:10">
      <c r="J128" s="2797"/>
    </row>
    <row r="129" s="157" customFormat="1" customHeight="1"/>
    <row r="130" s="157" customFormat="1" customHeight="1" spans="2:6">
      <c r="B130" s="2800"/>
      <c r="C130" s="2801"/>
      <c r="D130" s="2802"/>
      <c r="E130" s="2802"/>
      <c r="F130" s="2803"/>
    </row>
    <row r="131" s="157" customFormat="1" customHeight="1"/>
    <row r="132" s="157" customFormat="1" customHeight="1"/>
    <row r="133" s="157" customFormat="1" customHeight="1"/>
    <row r="134" s="157" customFormat="1" customHeight="1"/>
    <row r="135" s="157" customFormat="1" customHeight="1"/>
    <row r="136" s="157" customFormat="1" customHeight="1"/>
    <row r="137" s="157" customFormat="1" customHeight="1"/>
    <row r="138" s="157" customFormat="1" customHeight="1"/>
    <row r="139" s="157" customFormat="1" customHeight="1"/>
    <row r="140" s="157" customFormat="1" customHeight="1"/>
    <row r="141" s="157" customFormat="1" customHeight="1"/>
    <row r="142" s="157" customFormat="1" customHeight="1"/>
    <row r="143" s="157" customFormat="1" customHeight="1"/>
    <row r="144" s="157" customFormat="1" customHeight="1"/>
    <row r="145" s="157" customFormat="1" customHeight="1"/>
    <row r="146" s="157" customFormat="1" customHeight="1"/>
    <row r="147" s="157" customFormat="1" customHeight="1"/>
    <row r="148" s="157" customFormat="1" customHeight="1"/>
    <row r="149" s="157" customFormat="1" customHeight="1"/>
    <row r="150" s="157" customFormat="1" customHeight="1"/>
    <row r="151" s="157" customFormat="1" customHeight="1"/>
    <row r="152" s="157" customFormat="1" customHeight="1"/>
    <row r="153" s="157" customFormat="1" customHeight="1"/>
    <row r="154" s="157" customFormat="1" customHeight="1"/>
    <row r="155" s="157" customFormat="1" customHeight="1"/>
    <row r="156" s="157" customFormat="1" customHeight="1"/>
    <row r="157" s="157" customFormat="1" customHeight="1"/>
    <row r="158" s="157" customFormat="1" customHeight="1"/>
    <row r="159" s="157" customFormat="1" customHeight="1"/>
    <row r="160" s="157" customFormat="1" customHeight="1"/>
    <row r="161" s="157" customFormat="1" customHeight="1"/>
    <row r="162" s="157" customFormat="1" customHeight="1"/>
    <row r="163" s="157" customFormat="1" customHeight="1"/>
    <row r="164" s="157" customFormat="1" customHeight="1"/>
    <row r="165" s="157" customFormat="1" customHeight="1"/>
    <row r="166" s="157" customFormat="1" customHeight="1"/>
    <row r="167" s="157" customFormat="1" customHeight="1"/>
    <row r="168" s="157" customFormat="1" customHeight="1"/>
    <row r="169" s="157" customFormat="1" customHeight="1"/>
    <row r="170" s="157" customFormat="1" customHeight="1"/>
    <row r="171" s="157" customFormat="1" customHeight="1"/>
    <row r="172" s="157" customFormat="1" customHeight="1"/>
    <row r="173" s="157" customFormat="1" customHeight="1"/>
    <row r="174" s="157" customFormat="1" customHeight="1"/>
    <row r="175" s="157" customFormat="1" customHeight="1"/>
    <row r="176" s="157" customFormat="1" customHeight="1"/>
    <row r="177" s="157" customFormat="1" customHeight="1"/>
    <row r="178" s="157" customFormat="1" customHeight="1"/>
    <row r="179" s="157" customFormat="1" customHeight="1"/>
    <row r="180" s="157" customFormat="1" customHeight="1"/>
    <row r="181" s="157" customFormat="1" customHeight="1"/>
    <row r="182" s="157" customFormat="1" customHeight="1"/>
    <row r="183" s="157" customFormat="1" customHeight="1"/>
    <row r="184" s="157" customFormat="1" customHeight="1"/>
    <row r="185" s="72" customFormat="1" customHeight="1" spans="11:15">
      <c r="K185" s="157"/>
      <c r="L185" s="157"/>
      <c r="M185" s="157"/>
      <c r="N185" s="157"/>
      <c r="O185" s="157"/>
    </row>
    <row r="186" s="72" customFormat="1" customHeight="1"/>
    <row r="187" s="72" customFormat="1" customHeight="1"/>
    <row r="188" s="72" customFormat="1" customHeight="1"/>
    <row r="189" s="72" customFormat="1" customHeight="1"/>
    <row r="190" s="72" customFormat="1" customHeight="1"/>
    <row r="191" s="72" customFormat="1" customHeight="1"/>
    <row r="192" s="72" customFormat="1" customHeight="1"/>
    <row r="193" s="72" customFormat="1" customHeight="1"/>
    <row r="194" s="72" customFormat="1" customHeight="1"/>
    <row r="195" s="72" customFormat="1" customHeight="1"/>
    <row r="196" s="72" customFormat="1" customHeight="1"/>
    <row r="197" s="72" customFormat="1" customHeight="1"/>
    <row r="198" s="72" customFormat="1" customHeight="1"/>
    <row r="199" s="72" customFormat="1" customHeight="1"/>
    <row r="200" s="72" customFormat="1" customHeight="1"/>
    <row r="201" s="72" customFormat="1" customHeight="1"/>
    <row r="202" s="72" customFormat="1" customHeight="1"/>
    <row r="203" s="72" customFormat="1" customHeight="1"/>
    <row r="204" s="72" customFormat="1" customHeight="1"/>
    <row r="205" s="72" customFormat="1" customHeight="1"/>
    <row r="206" s="72" customFormat="1" customHeight="1"/>
  </sheetData>
  <sheetProtection password="CEE9" sheet="1" formatCells="0" formatColumns="0" formatRows="0" objects="1" scenarios="1"/>
  <mergeCells count="84">
    <mergeCell ref="A2:I2"/>
    <mergeCell ref="A3:I3"/>
    <mergeCell ref="E4:I4"/>
    <mergeCell ref="E18:I18"/>
    <mergeCell ref="A31:I31"/>
    <mergeCell ref="K39:N39"/>
    <mergeCell ref="K40:N40"/>
    <mergeCell ref="K41:N41"/>
    <mergeCell ref="A42:B42"/>
    <mergeCell ref="A43:B43"/>
    <mergeCell ref="A44:B44"/>
    <mergeCell ref="A45:B45"/>
    <mergeCell ref="A46:B46"/>
    <mergeCell ref="A63:C63"/>
    <mergeCell ref="A64:G64"/>
    <mergeCell ref="A66:C66"/>
    <mergeCell ref="L66:M66"/>
    <mergeCell ref="B67:C67"/>
    <mergeCell ref="L67:M67"/>
    <mergeCell ref="B68:C68"/>
    <mergeCell ref="L68:M68"/>
    <mergeCell ref="B69:C69"/>
    <mergeCell ref="L69:M69"/>
    <mergeCell ref="B70:C70"/>
    <mergeCell ref="B71:C71"/>
    <mergeCell ref="L71:M71"/>
    <mergeCell ref="B72:C72"/>
    <mergeCell ref="L72:M72"/>
    <mergeCell ref="A73:C73"/>
    <mergeCell ref="L73:M73"/>
    <mergeCell ref="A74:C74"/>
    <mergeCell ref="L74:M74"/>
    <mergeCell ref="B75:C75"/>
    <mergeCell ref="L75:M75"/>
    <mergeCell ref="B76:C76"/>
    <mergeCell ref="L76:M76"/>
    <mergeCell ref="O76:P76"/>
    <mergeCell ref="A77:C77"/>
    <mergeCell ref="A79:E79"/>
    <mergeCell ref="A80:B80"/>
    <mergeCell ref="L81:M81"/>
    <mergeCell ref="A88:H88"/>
    <mergeCell ref="A89:B89"/>
    <mergeCell ref="E94:H94"/>
    <mergeCell ref="E96:H96"/>
    <mergeCell ref="A101:H101"/>
    <mergeCell ref="A102:B102"/>
    <mergeCell ref="G108:H108"/>
    <mergeCell ref="E109:G109"/>
    <mergeCell ref="E110:H110"/>
    <mergeCell ref="E111:H111"/>
    <mergeCell ref="E112:H112"/>
    <mergeCell ref="A5:A7"/>
    <mergeCell ref="A8:A9"/>
    <mergeCell ref="A10:A11"/>
    <mergeCell ref="A12:A13"/>
    <mergeCell ref="A14:A16"/>
    <mergeCell ref="A24:A25"/>
    <mergeCell ref="B5:B7"/>
    <mergeCell ref="B8:B9"/>
    <mergeCell ref="B10:B11"/>
    <mergeCell ref="B12:B13"/>
    <mergeCell ref="B14:B16"/>
    <mergeCell ref="C5:C7"/>
    <mergeCell ref="C8:C9"/>
    <mergeCell ref="C10:C11"/>
    <mergeCell ref="C12:C13"/>
    <mergeCell ref="C14:C16"/>
    <mergeCell ref="D5:D7"/>
    <mergeCell ref="D8:D9"/>
    <mergeCell ref="D10:D11"/>
    <mergeCell ref="D12:D13"/>
    <mergeCell ref="D14:D16"/>
    <mergeCell ref="E33:E35"/>
    <mergeCell ref="G67:G69"/>
    <mergeCell ref="K35:K37"/>
    <mergeCell ref="K77:K78"/>
    <mergeCell ref="K79:K80"/>
    <mergeCell ref="K83:K89"/>
    <mergeCell ref="L35:L37"/>
    <mergeCell ref="L77:L78"/>
    <mergeCell ref="L79:L80"/>
    <mergeCell ref="N35:N37"/>
    <mergeCell ref="O35:O37"/>
  </mergeCells>
  <conditionalFormatting sqref="I33">
    <cfRule type="expression" dxfId="8" priority="1" stopIfTrue="1">
      <formula>$H$33="同一抵押权人同一抵押物续贷"</formula>
    </cfRule>
  </conditionalFormatting>
  <conditionalFormatting sqref="C108">
    <cfRule type="expression" dxfId="7" priority="3" stopIfTrue="1">
      <formula>$H$106&lt;&gt;"仅含出让金"</formula>
    </cfRule>
  </conditionalFormatting>
  <conditionalFormatting sqref="C109">
    <cfRule type="expression" dxfId="9" priority="2" stopIfTrue="1">
      <formula>$H$109="由企业提供"</formula>
    </cfRule>
  </conditionalFormatting>
  <conditionalFormatting sqref="C5:D7">
    <cfRule type="cellIs" dxfId="4" priority="10" stopIfTrue="1" operator="equal">
      <formula>25</formula>
    </cfRule>
  </conditionalFormatting>
  <conditionalFormatting sqref="C8:D13">
    <cfRule type="cellIs" dxfId="4" priority="8" stopIfTrue="1" operator="equal">
      <formula>15</formula>
    </cfRule>
  </conditionalFormatting>
  <conditionalFormatting sqref="C14:D16">
    <cfRule type="cellIs" dxfId="4" priority="6" stopIfTrue="1" operator="equal">
      <formula>30</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"100%,80%,60%,64%"</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3070866141732" right="0.433070866141732" top="0.354330708661417" bottom="0.15748031496063" header="0.31496062992126" footer="0.31496062992126"/>
  <pageSetup paperSize="9" scale="84" fitToHeight="0" orientation="portrait"/>
  <headerFooter/>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C259"/>
  <sheetViews>
    <sheetView view="pageBreakPreview" zoomScale="60" zoomScaleNormal="95" workbookViewId="0">
      <selection activeCell="T114" sqref="T114"/>
    </sheetView>
  </sheetViews>
  <sheetFormatPr defaultColWidth="9" defaultRowHeight="14.25"/>
  <cols>
    <col min="1" max="1" width="15.6333333333333" style="194" customWidth="1"/>
    <col min="2" max="2" width="15.725" style="194" customWidth="1"/>
    <col min="3" max="3" width="15.2666666666667" style="194" customWidth="1"/>
    <col min="4" max="4" width="12.2666666666667" style="194" customWidth="1"/>
    <col min="5" max="5" width="16.0916666666667" style="194" customWidth="1"/>
    <col min="6" max="6" width="12.2666666666667" style="194" customWidth="1"/>
    <col min="7" max="7" width="15.6333333333333" style="194" customWidth="1"/>
    <col min="8" max="8" width="12.2666666666667" style="194" customWidth="1"/>
    <col min="9" max="9" width="15.6333333333333"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916</v>
      </c>
      <c r="B1" s="539"/>
      <c r="C1" s="199" t="s">
        <v>917</v>
      </c>
      <c r="D1" s="2174" t="s">
        <v>918</v>
      </c>
      <c r="E1" s="201"/>
      <c r="F1" s="990"/>
      <c r="G1" s="201"/>
      <c r="H1" s="201"/>
      <c r="I1" s="201"/>
      <c r="J1" s="201"/>
      <c r="K1" s="377"/>
      <c r="L1" s="378"/>
      <c r="M1" s="379"/>
      <c r="N1" s="379"/>
      <c r="O1" s="379"/>
      <c r="P1" s="380"/>
      <c r="Q1" s="380"/>
      <c r="R1" s="380"/>
      <c r="S1" s="380"/>
      <c r="T1" s="380"/>
      <c r="U1" s="380"/>
      <c r="V1" s="380"/>
      <c r="W1" s="380"/>
      <c r="X1" s="380"/>
      <c r="Y1" s="380"/>
      <c r="Z1" s="380"/>
      <c r="AA1" s="380"/>
      <c r="AB1" s="380"/>
      <c r="AC1" s="477"/>
    </row>
    <row r="2" s="188" customFormat="1" ht="28.5" customHeight="1" spans="1:29">
      <c r="A2" s="204" t="s">
        <v>919</v>
      </c>
      <c r="B2" s="2176">
        <f>F68</f>
        <v>85248</v>
      </c>
      <c r="C2" s="2386"/>
      <c r="D2" s="2386"/>
      <c r="E2" s="2177"/>
      <c r="F2" s="2178"/>
      <c r="G2" s="2177"/>
      <c r="H2" s="2177"/>
      <c r="I2" s="2177"/>
      <c r="J2" s="2177"/>
      <c r="K2" s="2236"/>
      <c r="L2" s="382"/>
      <c r="M2" s="380"/>
      <c r="N2" s="380"/>
      <c r="O2" s="380"/>
      <c r="P2" s="380"/>
      <c r="Q2" s="380"/>
      <c r="R2" s="380"/>
      <c r="S2" s="380"/>
      <c r="T2" s="380"/>
      <c r="U2" s="380"/>
      <c r="V2" s="380"/>
      <c r="W2" s="380"/>
      <c r="X2" s="380"/>
      <c r="Y2" s="380"/>
      <c r="Z2" s="380"/>
      <c r="AA2" s="380"/>
      <c r="AB2" s="380"/>
      <c r="AC2" s="477"/>
    </row>
    <row r="3" s="188" customFormat="1" ht="28.5" customHeight="1" spans="1:29">
      <c r="A3" s="646" t="s">
        <v>920</v>
      </c>
      <c r="B3" s="210">
        <f>ROUND(B2*10000/'数据-汇总表'!E3,0)</f>
        <v>3868</v>
      </c>
      <c r="C3" s="649"/>
      <c r="D3" s="2387"/>
      <c r="E3" s="649"/>
      <c r="F3" s="649"/>
      <c r="G3" s="2177"/>
      <c r="H3" s="2177"/>
      <c r="I3" s="2177"/>
      <c r="J3" s="2177"/>
      <c r="K3" s="2236"/>
      <c r="L3" s="382"/>
      <c r="M3" s="380"/>
      <c r="N3" s="380"/>
      <c r="O3" s="380"/>
      <c r="P3" s="380"/>
      <c r="Q3" s="380"/>
      <c r="R3" s="380"/>
      <c r="S3" s="380"/>
      <c r="T3" s="380"/>
      <c r="U3" s="380"/>
      <c r="V3" s="380"/>
      <c r="W3" s="380"/>
      <c r="X3" s="380"/>
      <c r="Y3" s="380"/>
      <c r="Z3" s="380"/>
      <c r="AA3" s="380"/>
      <c r="AB3" s="478"/>
      <c r="AC3" s="477"/>
    </row>
    <row r="4" s="188" customFormat="1" ht="28.5" customHeight="1" spans="1:29">
      <c r="A4" s="2180" t="s">
        <v>921</v>
      </c>
      <c r="B4" s="648">
        <f>IF(B48="单位面积地价",C50,ROUND(B2*10000/'数据-汇总表'!D3,0))</f>
        <v>8411</v>
      </c>
      <c r="C4" s="649"/>
      <c r="D4" s="2387"/>
      <c r="E4" s="649"/>
      <c r="F4" s="649"/>
      <c r="G4" s="2177"/>
      <c r="H4" s="2177"/>
      <c r="I4" s="2177"/>
      <c r="J4" s="2177"/>
      <c r="K4" s="2236"/>
      <c r="L4" s="382"/>
      <c r="M4" s="380"/>
      <c r="N4" s="380"/>
      <c r="O4" s="380"/>
      <c r="P4" s="380"/>
      <c r="Q4" s="380"/>
      <c r="R4" s="380"/>
      <c r="S4" s="380"/>
      <c r="T4" s="380"/>
      <c r="U4" s="380"/>
      <c r="V4" s="380"/>
      <c r="W4" s="380"/>
      <c r="X4" s="380"/>
      <c r="Y4" s="380"/>
      <c r="Z4" s="380"/>
      <c r="AA4" s="380"/>
      <c r="AB4" s="380"/>
      <c r="AC4" s="477"/>
    </row>
    <row r="5" s="188" customFormat="1" ht="28.5" customHeight="1" spans="1:29">
      <c r="A5" s="650"/>
      <c r="B5" s="651">
        <f>ROUND(B2/('数据-汇总表'!D3/666.67),0)</f>
        <v>561</v>
      </c>
      <c r="C5" s="652" t="s">
        <v>922</v>
      </c>
      <c r="D5" s="649"/>
      <c r="E5" s="649"/>
      <c r="F5" s="649"/>
      <c r="G5" s="2177"/>
      <c r="H5" s="2177"/>
      <c r="I5" s="2177"/>
      <c r="J5" s="2177"/>
      <c r="K5" s="2236"/>
      <c r="L5" s="382"/>
      <c r="M5" s="380"/>
      <c r="N5" s="380"/>
      <c r="O5" s="380"/>
      <c r="P5" s="380"/>
      <c r="Q5" s="380"/>
      <c r="R5" s="380"/>
      <c r="S5" s="380"/>
      <c r="T5" s="380"/>
      <c r="U5" s="380"/>
      <c r="V5" s="380"/>
      <c r="W5" s="380"/>
      <c r="X5" s="380"/>
      <c r="Y5" s="380"/>
      <c r="Z5" s="380"/>
      <c r="AA5" s="380"/>
      <c r="AB5" s="380"/>
      <c r="AC5" s="477"/>
    </row>
    <row r="6" ht="20.25" spans="1:29">
      <c r="A6" s="213" t="s">
        <v>923</v>
      </c>
      <c r="B6" s="214"/>
      <c r="C6" s="215" t="s">
        <v>924</v>
      </c>
      <c r="D6" s="216"/>
      <c r="E6" s="215" t="s">
        <v>925</v>
      </c>
      <c r="F6" s="216"/>
      <c r="G6" s="215" t="s">
        <v>926</v>
      </c>
      <c r="H6" s="216"/>
      <c r="I6" s="215" t="s">
        <v>927</v>
      </c>
      <c r="J6" s="216"/>
      <c r="K6" s="383" t="s">
        <v>928</v>
      </c>
      <c r="L6" s="384"/>
      <c r="M6" s="380"/>
      <c r="N6" s="380"/>
      <c r="O6" s="338"/>
      <c r="P6" s="276" t="s">
        <v>929</v>
      </c>
      <c r="Q6" s="450"/>
      <c r="R6" s="451" t="s">
        <v>925</v>
      </c>
      <c r="S6" s="452"/>
      <c r="T6" s="451" t="s">
        <v>926</v>
      </c>
      <c r="U6" s="452"/>
      <c r="V6" s="453" t="s">
        <v>927</v>
      </c>
      <c r="W6" s="453"/>
      <c r="X6" s="454"/>
      <c r="Y6" s="451" t="s">
        <v>929</v>
      </c>
      <c r="Z6" s="452"/>
      <c r="AA6" s="479" t="s">
        <v>925</v>
      </c>
      <c r="AB6" s="454" t="s">
        <v>926</v>
      </c>
      <c r="AC6" s="479" t="s">
        <v>927</v>
      </c>
    </row>
    <row r="7" ht="20.25" spans="1:29">
      <c r="A7" s="219"/>
      <c r="B7" s="220"/>
      <c r="C7" s="221" t="s">
        <v>930</v>
      </c>
      <c r="D7" s="222"/>
      <c r="E7" s="221" t="str">
        <f>土地案例汇总表!D16</f>
        <v>XAQD-0022</v>
      </c>
      <c r="F7" s="222"/>
      <c r="G7" s="221" t="str">
        <f>土地案例汇总表!D17</f>
        <v>XAQD-0023</v>
      </c>
      <c r="H7" s="222"/>
      <c r="I7" s="221" t="str">
        <f>土地案例汇总表!D20</f>
        <v>XACR-2021-031</v>
      </c>
      <c r="J7" s="222"/>
      <c r="K7" s="383"/>
      <c r="L7" s="384"/>
      <c r="M7" s="380"/>
      <c r="N7" s="380"/>
      <c r="O7" s="338"/>
      <c r="P7" s="282"/>
      <c r="Q7" s="455"/>
      <c r="R7" s="456"/>
      <c r="S7" s="457"/>
      <c r="T7" s="456"/>
      <c r="U7" s="457"/>
      <c r="V7" s="453"/>
      <c r="W7" s="453"/>
      <c r="X7" s="454"/>
      <c r="Y7" s="456"/>
      <c r="Z7" s="457"/>
      <c r="AA7" s="454"/>
      <c r="AB7" s="454"/>
      <c r="AC7" s="454"/>
    </row>
    <row r="8" ht="21" spans="1:29">
      <c r="A8" s="219"/>
      <c r="B8" s="220"/>
      <c r="C8" s="509" t="s">
        <v>931</v>
      </c>
      <c r="D8" s="510"/>
      <c r="E8" s="509" t="s">
        <v>931</v>
      </c>
      <c r="F8" s="510"/>
      <c r="G8" s="227" t="s">
        <v>931</v>
      </c>
      <c r="H8" s="228"/>
      <c r="I8" s="227" t="s">
        <v>931</v>
      </c>
      <c r="J8" s="228"/>
      <c r="K8" s="383" t="s">
        <v>932</v>
      </c>
      <c r="L8" s="384"/>
      <c r="M8" s="380"/>
      <c r="N8" s="380"/>
      <c r="O8" s="338"/>
      <c r="P8" s="270"/>
      <c r="Q8" s="458"/>
      <c r="R8" s="456"/>
      <c r="S8" s="457"/>
      <c r="T8" s="459"/>
      <c r="U8" s="460"/>
      <c r="V8" s="453"/>
      <c r="W8" s="453"/>
      <c r="X8" s="454"/>
      <c r="Y8" s="459"/>
      <c r="Z8" s="460"/>
      <c r="AA8" s="480"/>
      <c r="AB8" s="480"/>
      <c r="AC8" s="480"/>
    </row>
    <row r="9" s="189" customFormat="1" ht="21" spans="1:29">
      <c r="A9" s="231"/>
      <c r="B9" s="232" t="s">
        <v>933</v>
      </c>
      <c r="C9" s="2388">
        <f>'数据-取费表'!B2</f>
        <v>45252</v>
      </c>
      <c r="D9" s="234">
        <v>100</v>
      </c>
      <c r="E9" s="235">
        <f>土地案例汇总表!F16</f>
        <v>44299</v>
      </c>
      <c r="F9" s="236">
        <f>SUMIF(72:72,YEAR(E9)&amp;"-"&amp;INT((MONTH(E9)+2)/3),73:73)</f>
        <v>95</v>
      </c>
      <c r="G9" s="237">
        <f>土地案例汇总表!F17</f>
        <v>44299</v>
      </c>
      <c r="H9" s="234">
        <f>SUMIF(72:72,YEAR(G9)&amp;"-"&amp;INT((MONTH(G9)+2)/3),73:73)</f>
        <v>95</v>
      </c>
      <c r="I9" s="237">
        <f>土地案例汇总表!F20</f>
        <v>44468</v>
      </c>
      <c r="J9" s="234">
        <f>SUMIF(72:72,YEAR(I9)&amp;"-"&amp;INT((MONTH(I9)+2)/3),73:73)</f>
        <v>95.5</v>
      </c>
      <c r="K9" s="385"/>
      <c r="L9" s="386"/>
      <c r="M9" s="380"/>
      <c r="N9" s="380"/>
      <c r="O9" s="387"/>
      <c r="P9" s="388" t="s">
        <v>934</v>
      </c>
      <c r="Q9" s="461"/>
      <c r="R9" s="462" t="s">
        <v>935</v>
      </c>
      <c r="S9" s="463">
        <f t="shared" ref="S9:S17" si="0">F9</f>
        <v>95</v>
      </c>
      <c r="T9" s="462" t="s">
        <v>935</v>
      </c>
      <c r="U9" s="463">
        <f t="shared" ref="U9:U17" si="1">H9</f>
        <v>95</v>
      </c>
      <c r="V9" s="462" t="s">
        <v>935</v>
      </c>
      <c r="W9" s="463">
        <f t="shared" ref="W9:W17" si="2">J9</f>
        <v>95.5</v>
      </c>
      <c r="X9" s="464"/>
      <c r="Y9" s="388" t="s">
        <v>934</v>
      </c>
      <c r="Z9" s="465"/>
      <c r="AA9" s="481">
        <f>D9/F9</f>
        <v>1.05263157894737</v>
      </c>
      <c r="AB9" s="481">
        <f>D9/H9</f>
        <v>1.05263157894737</v>
      </c>
      <c r="AC9" s="481">
        <f>D9/J9</f>
        <v>1.04712041884817</v>
      </c>
    </row>
    <row r="10" s="189" customFormat="1" ht="21" spans="1:29">
      <c r="A10" s="238"/>
      <c r="B10" s="239" t="s">
        <v>936</v>
      </c>
      <c r="C10" s="1159" t="s">
        <v>937</v>
      </c>
      <c r="D10" s="234">
        <v>100</v>
      </c>
      <c r="E10" s="240" t="s">
        <v>938</v>
      </c>
      <c r="F10" s="236">
        <f>SUMIF(75:75,E10,76:76)-SUMIF(75:75,C10,76:76)+100</f>
        <v>100</v>
      </c>
      <c r="G10" s="240" t="s">
        <v>938</v>
      </c>
      <c r="H10" s="234">
        <f>SUMIF(75:75,G10,76:76)-SUMIF(75:75,C10,76:76)+100</f>
        <v>100</v>
      </c>
      <c r="I10" s="240" t="s">
        <v>938</v>
      </c>
      <c r="J10" s="234">
        <f>SUMIF(75:75,I10,76:76)-SUMIF(75:75,C10,76:76)+100</f>
        <v>100</v>
      </c>
      <c r="K10" s="385"/>
      <c r="L10" s="386"/>
      <c r="M10" s="380"/>
      <c r="N10" s="380"/>
      <c r="O10" s="387"/>
      <c r="P10" s="388" t="s">
        <v>939</v>
      </c>
      <c r="Q10" s="465"/>
      <c r="R10" s="462" t="s">
        <v>935</v>
      </c>
      <c r="S10" s="463">
        <f t="shared" si="0"/>
        <v>100</v>
      </c>
      <c r="T10" s="462" t="s">
        <v>935</v>
      </c>
      <c r="U10" s="463">
        <f t="shared" si="1"/>
        <v>100</v>
      </c>
      <c r="V10" s="462" t="s">
        <v>935</v>
      </c>
      <c r="W10" s="463">
        <f t="shared" si="2"/>
        <v>100</v>
      </c>
      <c r="X10" s="464"/>
      <c r="Y10" s="388" t="s">
        <v>939</v>
      </c>
      <c r="Z10" s="465"/>
      <c r="AA10" s="481">
        <f t="shared" ref="AA10:AA47" si="3">D10/F10</f>
        <v>1</v>
      </c>
      <c r="AB10" s="481">
        <f t="shared" ref="AB10:AB47" si="4">D10/H10</f>
        <v>1</v>
      </c>
      <c r="AC10" s="481">
        <f t="shared" ref="AC10:AC47" si="5">D10/J10</f>
        <v>1</v>
      </c>
    </row>
    <row r="11" s="189" customFormat="1" ht="20.25" spans="1:29">
      <c r="A11" s="241"/>
      <c r="B11" s="242" t="s">
        <v>940</v>
      </c>
      <c r="C11" s="2389" t="s">
        <v>377</v>
      </c>
      <c r="D11" s="244">
        <v>100</v>
      </c>
      <c r="E11" s="2181" t="s">
        <v>377</v>
      </c>
      <c r="F11" s="244">
        <f>SUMIF(77:77,E11,78:78)-SUMIF(77:77,C11,78:78)+100</f>
        <v>100</v>
      </c>
      <c r="G11" s="2181" t="s">
        <v>377</v>
      </c>
      <c r="H11" s="244">
        <f>SUMIF(77:77,G11,78:78)-SUMIF(77:77,C11,78:78)+100</f>
        <v>100</v>
      </c>
      <c r="I11" s="2181" t="s">
        <v>377</v>
      </c>
      <c r="J11" s="244">
        <f>SUMIF(77:77,I11,78:78)-SUMIF(77:77,C11,78:78)+100</f>
        <v>100</v>
      </c>
      <c r="K11" s="385"/>
      <c r="L11" s="386"/>
      <c r="M11" s="380"/>
      <c r="N11" s="380"/>
      <c r="O11" s="389"/>
      <c r="P11" s="390" t="s">
        <v>941</v>
      </c>
      <c r="Q11" s="466" t="str">
        <f t="shared" ref="Q11:Q17" si="6">B11</f>
        <v>用途</v>
      </c>
      <c r="R11" s="462" t="s">
        <v>935</v>
      </c>
      <c r="S11" s="463">
        <f t="shared" si="0"/>
        <v>100</v>
      </c>
      <c r="T11" s="462" t="s">
        <v>935</v>
      </c>
      <c r="U11" s="463">
        <f t="shared" si="1"/>
        <v>100</v>
      </c>
      <c r="V11" s="462" t="s">
        <v>935</v>
      </c>
      <c r="W11" s="463">
        <f t="shared" si="2"/>
        <v>100</v>
      </c>
      <c r="X11" s="464"/>
      <c r="Y11" s="466" t="s">
        <v>942</v>
      </c>
      <c r="Z11" s="481" t="str">
        <f t="shared" ref="Z11:Z17" si="7">Q11</f>
        <v>用途</v>
      </c>
      <c r="AA11" s="481">
        <f t="shared" si="3"/>
        <v>1</v>
      </c>
      <c r="AB11" s="481">
        <f t="shared" si="4"/>
        <v>1</v>
      </c>
      <c r="AC11" s="481">
        <f t="shared" si="5"/>
        <v>1</v>
      </c>
    </row>
    <row r="12" s="190" customFormat="1" ht="27" spans="1:29">
      <c r="A12" s="246"/>
      <c r="B12" s="239" t="s">
        <v>943</v>
      </c>
      <c r="C12" s="571"/>
      <c r="D12" s="248">
        <v>100</v>
      </c>
      <c r="E12" s="1164"/>
      <c r="F12" s="248">
        <f>ROUND(100/'数据-取费表'!G16,0)</f>
        <v>100</v>
      </c>
      <c r="G12" s="1163"/>
      <c r="H12" s="248">
        <f>ROUND(100/'数据-取费表'!G16,0)</f>
        <v>100</v>
      </c>
      <c r="I12" s="1163"/>
      <c r="J12" s="248">
        <f>ROUND(100/'数据-取费表'!G16,0)</f>
        <v>100</v>
      </c>
      <c r="K12" s="2237"/>
      <c r="L12" s="392"/>
      <c r="M12" s="380"/>
      <c r="N12" s="380"/>
      <c r="O12" s="394"/>
      <c r="P12" s="390"/>
      <c r="Q12" s="466" t="str">
        <f t="shared" si="6"/>
        <v>土地使用年限（年）</v>
      </c>
      <c r="R12" s="462" t="s">
        <v>935</v>
      </c>
      <c r="S12" s="463">
        <f t="shared" si="0"/>
        <v>100</v>
      </c>
      <c r="T12" s="462" t="s">
        <v>935</v>
      </c>
      <c r="U12" s="463">
        <f t="shared" si="1"/>
        <v>100</v>
      </c>
      <c r="V12" s="462" t="s">
        <v>935</v>
      </c>
      <c r="W12" s="463">
        <f t="shared" si="2"/>
        <v>100</v>
      </c>
      <c r="X12" s="464"/>
      <c r="Y12" s="466"/>
      <c r="Z12" s="481" t="str">
        <f t="shared" si="7"/>
        <v>土地使用年限（年）</v>
      </c>
      <c r="AA12" s="481">
        <f t="shared" si="3"/>
        <v>1</v>
      </c>
      <c r="AB12" s="481">
        <f t="shared" si="4"/>
        <v>1</v>
      </c>
      <c r="AC12" s="481">
        <f t="shared" si="5"/>
        <v>1</v>
      </c>
    </row>
    <row r="13" ht="20.25" spans="1:29">
      <c r="A13" s="540"/>
      <c r="B13" s="239" t="s">
        <v>944</v>
      </c>
      <c r="C13" s="542">
        <f>'数据-汇总表'!I4</f>
        <v>2.17</v>
      </c>
      <c r="D13" s="248">
        <v>100</v>
      </c>
      <c r="E13" s="541">
        <f>土地案例汇总表!M16</f>
        <v>1.87</v>
      </c>
      <c r="F13" s="248">
        <f>LOOKUP(E13,82:82,83:83)-LOOKUP(C13,82:82,83:83)+100</f>
        <v>100.5</v>
      </c>
      <c r="G13" s="542">
        <f>土地案例汇总表!M17</f>
        <v>1.93</v>
      </c>
      <c r="H13" s="248">
        <f>LOOKUP(G13,82:82,83:83)-LOOKUP(C13,82:82,83:83)+100</f>
        <v>100.5</v>
      </c>
      <c r="I13" s="541">
        <f>土地案例汇总表!M20</f>
        <v>1.96</v>
      </c>
      <c r="J13" s="248">
        <f>LOOKUP(I13,82:82,83:83)-LOOKUP(C13,82:82,83:83)+100</f>
        <v>100.5</v>
      </c>
      <c r="K13" s="2238">
        <v>0.5</v>
      </c>
      <c r="L13" s="396"/>
      <c r="M13" s="380"/>
      <c r="N13" s="380"/>
      <c r="O13" s="397"/>
      <c r="P13" s="390"/>
      <c r="Q13" s="466" t="str">
        <f t="shared" si="6"/>
        <v>容积率</v>
      </c>
      <c r="R13" s="462" t="s">
        <v>935</v>
      </c>
      <c r="S13" s="463">
        <f t="shared" si="0"/>
        <v>100.5</v>
      </c>
      <c r="T13" s="462" t="s">
        <v>935</v>
      </c>
      <c r="U13" s="463">
        <f t="shared" si="1"/>
        <v>100.5</v>
      </c>
      <c r="V13" s="462" t="s">
        <v>935</v>
      </c>
      <c r="W13" s="463">
        <f t="shared" si="2"/>
        <v>100.5</v>
      </c>
      <c r="X13" s="464"/>
      <c r="Y13" s="466"/>
      <c r="Z13" s="481" t="str">
        <f t="shared" si="7"/>
        <v>容积率</v>
      </c>
      <c r="AA13" s="481">
        <f t="shared" si="3"/>
        <v>0.995024875621891</v>
      </c>
      <c r="AB13" s="481">
        <f t="shared" si="4"/>
        <v>0.995024875621891</v>
      </c>
      <c r="AC13" s="481">
        <f t="shared" si="5"/>
        <v>0.995024875621891</v>
      </c>
    </row>
    <row r="14" s="189" customFormat="1" ht="20.25" spans="1:29">
      <c r="A14" s="238"/>
      <c r="B14" s="2390" t="s">
        <v>945</v>
      </c>
      <c r="C14" s="2391"/>
      <c r="D14" s="254">
        <v>100</v>
      </c>
      <c r="E14" s="2392"/>
      <c r="F14" s="248">
        <f>SUMIF(84:84,E14,85:85)-SUMIF(84:84,C14,85:85)+100</f>
        <v>100</v>
      </c>
      <c r="G14" s="1163"/>
      <c r="H14" s="248">
        <f>SUMIF(84:84,G14,85:85)-SUMIF(84:84,C14,85:85)+100</f>
        <v>100</v>
      </c>
      <c r="I14" s="1164"/>
      <c r="J14" s="248">
        <f>SUMIF(84:84,I14,85:85)-SUMIF(84:84,C14,85:85)+100</f>
        <v>100</v>
      </c>
      <c r="K14" s="2237"/>
      <c r="L14" s="386"/>
      <c r="M14" s="380"/>
      <c r="N14" s="380"/>
      <c r="O14" s="389"/>
      <c r="P14" s="390"/>
      <c r="Q14" s="466" t="str">
        <f t="shared" si="6"/>
        <v>配建</v>
      </c>
      <c r="R14" s="462" t="s">
        <v>935</v>
      </c>
      <c r="S14" s="463">
        <f t="shared" si="0"/>
        <v>100</v>
      </c>
      <c r="T14" s="462" t="s">
        <v>935</v>
      </c>
      <c r="U14" s="463">
        <f t="shared" si="1"/>
        <v>100</v>
      </c>
      <c r="V14" s="462" t="s">
        <v>935</v>
      </c>
      <c r="W14" s="463">
        <f t="shared" si="2"/>
        <v>100</v>
      </c>
      <c r="X14" s="464"/>
      <c r="Y14" s="466"/>
      <c r="Z14" s="481" t="str">
        <f t="shared" si="7"/>
        <v>配建</v>
      </c>
      <c r="AA14" s="481">
        <f t="shared" si="3"/>
        <v>1</v>
      </c>
      <c r="AB14" s="481">
        <f t="shared" si="4"/>
        <v>1</v>
      </c>
      <c r="AC14" s="481">
        <f t="shared" si="5"/>
        <v>1</v>
      </c>
    </row>
    <row r="15" ht="20.25" spans="1:29">
      <c r="A15" s="250"/>
      <c r="B15" s="251">
        <v>111</v>
      </c>
      <c r="C15" s="576"/>
      <c r="D15" s="258">
        <v>100</v>
      </c>
      <c r="E15" s="368"/>
      <c r="F15" s="248">
        <f>SUMIF(86:86,E15,87:87)-SUMIF(86:86,C15,87:87)+100</f>
        <v>100</v>
      </c>
      <c r="G15" s="2182"/>
      <c r="H15" s="258">
        <f>SUMIF(86:86,G15,87:87)-SUMIF(86:86,C15,87:87)+100</f>
        <v>100</v>
      </c>
      <c r="I15" s="2182"/>
      <c r="J15" s="258">
        <f>SUMIF(86:86,I15,87:87)-SUMIF(86:86,C15,87:87)+100</f>
        <v>100</v>
      </c>
      <c r="K15" s="2237"/>
      <c r="L15" s="398"/>
      <c r="M15" s="380"/>
      <c r="N15" s="380"/>
      <c r="O15" s="397"/>
      <c r="P15" s="390"/>
      <c r="Q15" s="466">
        <f t="shared" si="6"/>
        <v>111</v>
      </c>
      <c r="R15" s="462" t="s">
        <v>935</v>
      </c>
      <c r="S15" s="463">
        <f t="shared" si="0"/>
        <v>100</v>
      </c>
      <c r="T15" s="462" t="s">
        <v>935</v>
      </c>
      <c r="U15" s="463">
        <f t="shared" si="1"/>
        <v>100</v>
      </c>
      <c r="V15" s="462" t="s">
        <v>935</v>
      </c>
      <c r="W15" s="463">
        <f t="shared" si="2"/>
        <v>100</v>
      </c>
      <c r="X15" s="464"/>
      <c r="Y15" s="466"/>
      <c r="Z15" s="481">
        <f t="shared" si="7"/>
        <v>111</v>
      </c>
      <c r="AA15" s="481">
        <f t="shared" si="3"/>
        <v>1</v>
      </c>
      <c r="AB15" s="481">
        <f t="shared" si="4"/>
        <v>1</v>
      </c>
      <c r="AC15" s="481">
        <f t="shared" si="5"/>
        <v>1</v>
      </c>
    </row>
    <row r="16" ht="21" spans="1:29">
      <c r="A16" s="255"/>
      <c r="B16" s="256">
        <v>111</v>
      </c>
      <c r="C16" s="581"/>
      <c r="D16" s="308">
        <v>100</v>
      </c>
      <c r="E16" s="368"/>
      <c r="F16" s="308">
        <f>SUMIF(88:88,E16,89:89)-SUMIF(88:88,C16,89:89)+100</f>
        <v>100</v>
      </c>
      <c r="G16" s="2182"/>
      <c r="H16" s="308">
        <f>SUMIF(88:88,G16,89:89)-SUMIF(88:88,C16,89:89)+100</f>
        <v>100</v>
      </c>
      <c r="I16" s="2182"/>
      <c r="J16" s="308">
        <f>SUMIF(88:88,I16,89:89)-SUMIF(88:88,C16,89:89)+100</f>
        <v>100</v>
      </c>
      <c r="K16" s="2237"/>
      <c r="L16" s="398"/>
      <c r="M16" s="380"/>
      <c r="N16" s="380"/>
      <c r="O16" s="397"/>
      <c r="P16" s="390"/>
      <c r="Q16" s="466">
        <f t="shared" si="6"/>
        <v>111</v>
      </c>
      <c r="R16" s="462" t="s">
        <v>935</v>
      </c>
      <c r="S16" s="463">
        <f t="shared" si="0"/>
        <v>100</v>
      </c>
      <c r="T16" s="462" t="s">
        <v>935</v>
      </c>
      <c r="U16" s="463">
        <f t="shared" si="1"/>
        <v>100</v>
      </c>
      <c r="V16" s="462" t="s">
        <v>935</v>
      </c>
      <c r="W16" s="463">
        <f t="shared" si="2"/>
        <v>100</v>
      </c>
      <c r="X16" s="464"/>
      <c r="Y16" s="466"/>
      <c r="Z16" s="481">
        <f t="shared" si="7"/>
        <v>111</v>
      </c>
      <c r="AA16" s="481">
        <f t="shared" si="3"/>
        <v>1</v>
      </c>
      <c r="AB16" s="481">
        <f t="shared" si="4"/>
        <v>1</v>
      </c>
      <c r="AC16" s="481">
        <f t="shared" si="5"/>
        <v>1</v>
      </c>
    </row>
    <row r="17" ht="94.5" spans="1:29">
      <c r="A17" s="259" t="s">
        <v>946</v>
      </c>
      <c r="B17" s="284" t="s">
        <v>225</v>
      </c>
      <c r="C17" s="572" t="str">
        <f>估价对象房地状况!C15</f>
        <v>估价对象周边居住用地比例、居住小区规模和社区发展完善程度，综合评价居住社区成熟度一般</v>
      </c>
      <c r="D17" s="264">
        <v>100</v>
      </c>
      <c r="E17" s="265"/>
      <c r="F17" s="262">
        <f>SUMIF(90:90,E18,91:91)-SUMIF(90:90,C18,91:91)+100</f>
        <v>100</v>
      </c>
      <c r="G17" s="263"/>
      <c r="H17" s="262">
        <f>SUMIF(90:90,G18,91:91)-SUMIF(90:90,C18,91:91)+100</f>
        <v>100</v>
      </c>
      <c r="I17" s="265"/>
      <c r="J17" s="262">
        <f>SUMIF(90:90,I18,91:91)-SUMIF(90:90,C18,91:91)+100</f>
        <v>100</v>
      </c>
      <c r="K17" s="2238"/>
      <c r="L17" s="398"/>
      <c r="M17" s="380"/>
      <c r="N17" s="380"/>
      <c r="O17" s="397"/>
      <c r="P17" s="400" t="s">
        <v>947</v>
      </c>
      <c r="Q17" s="390" t="str">
        <f t="shared" si="6"/>
        <v>居住社区成熟度</v>
      </c>
      <c r="R17" s="467" t="s">
        <v>935</v>
      </c>
      <c r="S17" s="468">
        <f t="shared" si="0"/>
        <v>100</v>
      </c>
      <c r="T17" s="467" t="s">
        <v>935</v>
      </c>
      <c r="U17" s="468">
        <f t="shared" si="1"/>
        <v>100</v>
      </c>
      <c r="V17" s="467" t="s">
        <v>935</v>
      </c>
      <c r="W17" s="468">
        <f t="shared" si="2"/>
        <v>100</v>
      </c>
      <c r="X17" s="454"/>
      <c r="Y17" s="400" t="s">
        <v>947</v>
      </c>
      <c r="Z17" s="453" t="str">
        <f t="shared" si="7"/>
        <v>居住社区成熟度</v>
      </c>
      <c r="AA17" s="453">
        <f t="shared" si="3"/>
        <v>1</v>
      </c>
      <c r="AB17" s="453">
        <f t="shared" si="4"/>
        <v>1</v>
      </c>
      <c r="AC17" s="453">
        <f t="shared" si="5"/>
        <v>1</v>
      </c>
    </row>
    <row r="18" ht="20.25" spans="1:29">
      <c r="A18" s="266"/>
      <c r="B18" s="573"/>
      <c r="C18" s="574" t="s">
        <v>948</v>
      </c>
      <c r="D18" s="270"/>
      <c r="E18" s="547" t="s">
        <v>948</v>
      </c>
      <c r="F18" s="269"/>
      <c r="G18" s="546" t="s">
        <v>948</v>
      </c>
      <c r="H18" s="271"/>
      <c r="I18" s="547" t="s">
        <v>948</v>
      </c>
      <c r="J18" s="269"/>
      <c r="K18" s="2237"/>
      <c r="L18" s="398"/>
      <c r="M18" s="380"/>
      <c r="N18" s="380"/>
      <c r="O18" s="397"/>
      <c r="P18" s="367"/>
      <c r="Q18" s="390"/>
      <c r="R18" s="467"/>
      <c r="S18" s="468"/>
      <c r="T18" s="467"/>
      <c r="U18" s="468"/>
      <c r="V18" s="467"/>
      <c r="W18" s="468"/>
      <c r="X18" s="454"/>
      <c r="Y18" s="367"/>
      <c r="Z18" s="453"/>
      <c r="AA18" s="453">
        <v>1</v>
      </c>
      <c r="AB18" s="453">
        <v>1</v>
      </c>
      <c r="AC18" s="453">
        <v>1</v>
      </c>
    </row>
    <row r="19" ht="68.25" hidden="1" spans="1:29">
      <c r="A19" s="266"/>
      <c r="B19" s="514" t="s">
        <v>226</v>
      </c>
      <c r="C19" s="2393" t="str">
        <f>估价对象房地状况!C16</f>
        <v>估价对象位于XX商圈，周边商业氛围成熟，人流量大，商业繁华度好</v>
      </c>
      <c r="D19" s="282">
        <v>100</v>
      </c>
      <c r="E19" s="283"/>
      <c r="F19" s="271">
        <f>SUMIF(92:92,E20,93:93)-SUMIF(92:92,C20,93:93)+100</f>
        <v>100</v>
      </c>
      <c r="G19" s="281"/>
      <c r="H19" s="274">
        <f>SUMIF(92:92,G20,93:93)-SUMIF(92:92,C20,93:93)+100</f>
        <v>100</v>
      </c>
      <c r="I19" s="283"/>
      <c r="J19" s="274">
        <f>SUMIF(92:92,I20,93:93)-SUMIF(92:92,C20,93:93)+100</f>
        <v>100</v>
      </c>
      <c r="K19" s="2238"/>
      <c r="L19" s="398"/>
      <c r="M19" s="380"/>
      <c r="N19" s="380"/>
      <c r="O19" s="397"/>
      <c r="P19" s="367"/>
      <c r="Q19" s="390" t="str">
        <f>B19</f>
        <v>商业繁华度</v>
      </c>
      <c r="R19" s="467" t="s">
        <v>935</v>
      </c>
      <c r="S19" s="468">
        <f>F19</f>
        <v>100</v>
      </c>
      <c r="T19" s="467" t="s">
        <v>935</v>
      </c>
      <c r="U19" s="468">
        <f>H19</f>
        <v>100</v>
      </c>
      <c r="V19" s="467" t="s">
        <v>935</v>
      </c>
      <c r="W19" s="468">
        <f>J19</f>
        <v>100</v>
      </c>
      <c r="X19" s="454"/>
      <c r="Y19" s="367"/>
      <c r="Z19" s="453" t="str">
        <f>Q19</f>
        <v>商业繁华度</v>
      </c>
      <c r="AA19" s="453">
        <f t="shared" si="3"/>
        <v>1</v>
      </c>
      <c r="AB19" s="453">
        <f t="shared" si="4"/>
        <v>1</v>
      </c>
      <c r="AC19" s="453">
        <f t="shared" si="5"/>
        <v>1</v>
      </c>
    </row>
    <row r="20" ht="20.25" hidden="1" spans="1:29">
      <c r="A20" s="266"/>
      <c r="B20" s="278"/>
      <c r="C20" s="575"/>
      <c r="D20" s="282"/>
      <c r="E20" s="545"/>
      <c r="F20" s="271"/>
      <c r="G20" s="544"/>
      <c r="H20" s="269"/>
      <c r="I20" s="545"/>
      <c r="J20" s="269"/>
      <c r="K20" s="2237"/>
      <c r="L20" s="398"/>
      <c r="M20" s="380"/>
      <c r="N20" s="380"/>
      <c r="O20" s="397"/>
      <c r="P20" s="367"/>
      <c r="Q20" s="390"/>
      <c r="R20" s="467"/>
      <c r="S20" s="468"/>
      <c r="T20" s="467"/>
      <c r="U20" s="468"/>
      <c r="V20" s="467"/>
      <c r="W20" s="468"/>
      <c r="X20" s="454"/>
      <c r="Y20" s="367"/>
      <c r="Z20" s="453"/>
      <c r="AA20" s="453">
        <v>1</v>
      </c>
      <c r="AB20" s="453">
        <v>1</v>
      </c>
      <c r="AC20" s="453">
        <v>1</v>
      </c>
    </row>
    <row r="21" ht="68.25" hidden="1" spans="1:29">
      <c r="A21" s="266"/>
      <c r="B21" s="514" t="s">
        <v>227</v>
      </c>
      <c r="C21" s="2393" t="str">
        <f>估价对象房地状况!C17</f>
        <v>估价对象位于XX商圈，周边办公楼项目较多，入驻率高，办公集聚程度较好</v>
      </c>
      <c r="D21" s="276">
        <v>100</v>
      </c>
      <c r="E21" s="277"/>
      <c r="F21" s="274">
        <f>SUMIF(94:94,E22,95:95)-SUMIF(94:94,C22,95:95)+100</f>
        <v>100</v>
      </c>
      <c r="G21" s="275"/>
      <c r="H21" s="271">
        <f>SUMIF(94:94,G22,95:95)-SUMIF(94:94,C22,95:95)+100</f>
        <v>100</v>
      </c>
      <c r="I21" s="277"/>
      <c r="J21" s="271">
        <f>SUMIF(94:94,I22,95:95)-SUMIF(94:94,C22,95:95)+100</f>
        <v>100</v>
      </c>
      <c r="K21" s="2238"/>
      <c r="L21" s="398"/>
      <c r="M21" s="380"/>
      <c r="N21" s="380"/>
      <c r="O21" s="397"/>
      <c r="P21" s="367"/>
      <c r="Q21" s="390" t="str">
        <f>B21</f>
        <v>办公集聚程度</v>
      </c>
      <c r="R21" s="467" t="s">
        <v>935</v>
      </c>
      <c r="S21" s="468">
        <f>F21</f>
        <v>100</v>
      </c>
      <c r="T21" s="467" t="s">
        <v>935</v>
      </c>
      <c r="U21" s="468">
        <f>H21</f>
        <v>100</v>
      </c>
      <c r="V21" s="467" t="s">
        <v>935</v>
      </c>
      <c r="W21" s="468">
        <f>J21</f>
        <v>100</v>
      </c>
      <c r="X21" s="454"/>
      <c r="Y21" s="367"/>
      <c r="Z21" s="453" t="str">
        <f>Q21</f>
        <v>办公集聚程度</v>
      </c>
      <c r="AA21" s="453">
        <f t="shared" si="3"/>
        <v>1</v>
      </c>
      <c r="AB21" s="453">
        <f t="shared" si="4"/>
        <v>1</v>
      </c>
      <c r="AC21" s="453">
        <f t="shared" si="5"/>
        <v>1</v>
      </c>
    </row>
    <row r="22" ht="20.25" hidden="1" spans="1:29">
      <c r="A22" s="266"/>
      <c r="B22" s="278"/>
      <c r="C22" s="574"/>
      <c r="D22" s="270"/>
      <c r="E22" s="547"/>
      <c r="F22" s="269"/>
      <c r="G22" s="546"/>
      <c r="H22" s="269"/>
      <c r="I22" s="547"/>
      <c r="J22" s="269"/>
      <c r="K22" s="2237"/>
      <c r="L22" s="398"/>
      <c r="M22" s="380"/>
      <c r="N22" s="380"/>
      <c r="O22" s="397"/>
      <c r="P22" s="367"/>
      <c r="Q22" s="390"/>
      <c r="R22" s="467"/>
      <c r="S22" s="468"/>
      <c r="T22" s="467"/>
      <c r="U22" s="468"/>
      <c r="V22" s="467"/>
      <c r="W22" s="468"/>
      <c r="X22" s="454"/>
      <c r="Y22" s="367"/>
      <c r="Z22" s="453"/>
      <c r="AA22" s="453">
        <v>1</v>
      </c>
      <c r="AB22" s="453">
        <v>1</v>
      </c>
      <c r="AC22" s="453">
        <v>1</v>
      </c>
    </row>
    <row r="23" ht="81" spans="1:29">
      <c r="A23" s="266"/>
      <c r="B23" s="514" t="s">
        <v>229</v>
      </c>
      <c r="C23" s="450" t="str">
        <f>估价对象房地状况!C18</f>
        <v>估价对象周边道路状况、公共交通通达情况、停车便捷程度，综合评价交通便捷度较好</v>
      </c>
      <c r="D23" s="282">
        <v>100</v>
      </c>
      <c r="E23" s="283"/>
      <c r="F23" s="274">
        <f>SUMIF(96:96,E24,97:97)-SUMIF(96:96,C24,97:97)+100</f>
        <v>100</v>
      </c>
      <c r="G23" s="281"/>
      <c r="H23" s="271">
        <f>SUMIF(96:96,G24,97:97)-SUMIF(96:96,C24,97:97)+100</f>
        <v>100</v>
      </c>
      <c r="I23" s="283"/>
      <c r="J23" s="271">
        <f>SUMIF(96:96,I24,97:97)-SUMIF(96:96,C24,97:97)+100</f>
        <v>100</v>
      </c>
      <c r="K23" s="2238"/>
      <c r="L23" s="398"/>
      <c r="M23" s="380"/>
      <c r="N23" s="380"/>
      <c r="O23" s="397"/>
      <c r="P23" s="367"/>
      <c r="Q23" s="390" t="str">
        <f>B23</f>
        <v>交通便捷度</v>
      </c>
      <c r="R23" s="467" t="s">
        <v>935</v>
      </c>
      <c r="S23" s="468">
        <f>F23</f>
        <v>100</v>
      </c>
      <c r="T23" s="467" t="s">
        <v>935</v>
      </c>
      <c r="U23" s="468">
        <f>H23</f>
        <v>100</v>
      </c>
      <c r="V23" s="467" t="s">
        <v>935</v>
      </c>
      <c r="W23" s="468">
        <f>J23</f>
        <v>100</v>
      </c>
      <c r="X23" s="454"/>
      <c r="Y23" s="367"/>
      <c r="Z23" s="453" t="str">
        <f>Q23</f>
        <v>交通便捷度</v>
      </c>
      <c r="AA23" s="453">
        <f t="shared" si="3"/>
        <v>1</v>
      </c>
      <c r="AB23" s="453">
        <f t="shared" si="4"/>
        <v>1</v>
      </c>
      <c r="AC23" s="453">
        <f t="shared" si="5"/>
        <v>1</v>
      </c>
    </row>
    <row r="24" ht="20.25" spans="1:29">
      <c r="A24" s="266"/>
      <c r="B24" s="284"/>
      <c r="C24" s="574" t="s">
        <v>948</v>
      </c>
      <c r="D24" s="270"/>
      <c r="E24" s="547" t="s">
        <v>948</v>
      </c>
      <c r="F24" s="269"/>
      <c r="G24" s="546" t="s">
        <v>948</v>
      </c>
      <c r="H24" s="269"/>
      <c r="I24" s="547" t="s">
        <v>948</v>
      </c>
      <c r="J24" s="269"/>
      <c r="K24" s="2237"/>
      <c r="L24" s="398"/>
      <c r="M24" s="380"/>
      <c r="N24" s="380"/>
      <c r="O24" s="397"/>
      <c r="P24" s="367"/>
      <c r="Q24" s="390"/>
      <c r="R24" s="467"/>
      <c r="S24" s="468"/>
      <c r="T24" s="467"/>
      <c r="U24" s="468"/>
      <c r="V24" s="467"/>
      <c r="W24" s="468"/>
      <c r="X24" s="454"/>
      <c r="Y24" s="367"/>
      <c r="Z24" s="453"/>
      <c r="AA24" s="453">
        <v>1</v>
      </c>
      <c r="AB24" s="453">
        <v>1</v>
      </c>
      <c r="AC24" s="453">
        <v>1</v>
      </c>
    </row>
    <row r="25" ht="20.25" spans="1:29">
      <c r="A25" s="219"/>
      <c r="B25" s="2394" t="s">
        <v>230</v>
      </c>
      <c r="C25" s="450">
        <f>估价对象房地状况!C19</f>
        <v>0</v>
      </c>
      <c r="D25" s="282">
        <v>100</v>
      </c>
      <c r="E25" s="283"/>
      <c r="F25" s="274">
        <f>SUMIF(98:98,E26,99:99)-SUMIF(98:98,C26,99:99)+100</f>
        <v>100</v>
      </c>
      <c r="G25" s="281"/>
      <c r="H25" s="271">
        <f>SUMIF(98:98,G26,99:99)-SUMIF(98:98,C26,99:99)+100</f>
        <v>100</v>
      </c>
      <c r="I25" s="283"/>
      <c r="J25" s="271">
        <f>SUMIF(98:98,I26,99:99)-SUMIF(98:98,C26,99:99)+100</f>
        <v>100</v>
      </c>
      <c r="K25" s="2238"/>
      <c r="L25" s="398"/>
      <c r="M25" s="380"/>
      <c r="N25" s="380"/>
      <c r="O25" s="397"/>
      <c r="P25" s="367"/>
      <c r="Q25" s="390" t="str">
        <f t="shared" ref="Q25:Q40" si="8">B25</f>
        <v>区域土地利用方向</v>
      </c>
      <c r="R25" s="467" t="s">
        <v>935</v>
      </c>
      <c r="S25" s="468">
        <f>F25</f>
        <v>100</v>
      </c>
      <c r="T25" s="467" t="s">
        <v>935</v>
      </c>
      <c r="U25" s="468">
        <f>H25</f>
        <v>100</v>
      </c>
      <c r="V25" s="467" t="s">
        <v>935</v>
      </c>
      <c r="W25" s="468">
        <f>J25</f>
        <v>100</v>
      </c>
      <c r="X25" s="454"/>
      <c r="Y25" s="367"/>
      <c r="Z25" s="453" t="str">
        <f>Q25</f>
        <v>区域土地利用方向</v>
      </c>
      <c r="AA25" s="453">
        <f t="shared" si="3"/>
        <v>1</v>
      </c>
      <c r="AB25" s="453">
        <f t="shared" si="4"/>
        <v>1</v>
      </c>
      <c r="AC25" s="453">
        <f t="shared" si="5"/>
        <v>1</v>
      </c>
    </row>
    <row r="26" ht="20.25" spans="1:29">
      <c r="A26" s="219"/>
      <c r="B26" s="2395"/>
      <c r="C26" s="574" t="s">
        <v>949</v>
      </c>
      <c r="D26" s="270"/>
      <c r="E26" s="547" t="s">
        <v>949</v>
      </c>
      <c r="F26" s="269"/>
      <c r="G26" s="546" t="s">
        <v>949</v>
      </c>
      <c r="H26" s="269"/>
      <c r="I26" s="547" t="s">
        <v>949</v>
      </c>
      <c r="J26" s="269"/>
      <c r="K26" s="2237"/>
      <c r="L26" s="398"/>
      <c r="M26" s="380"/>
      <c r="N26" s="380"/>
      <c r="O26" s="397"/>
      <c r="P26" s="367"/>
      <c r="Q26" s="390"/>
      <c r="R26" s="467"/>
      <c r="S26" s="468"/>
      <c r="T26" s="467"/>
      <c r="U26" s="468"/>
      <c r="V26" s="467"/>
      <c r="W26" s="468"/>
      <c r="X26" s="454"/>
      <c r="Y26" s="367"/>
      <c r="Z26" s="453"/>
      <c r="AA26" s="453"/>
      <c r="AB26" s="453"/>
      <c r="AC26" s="453"/>
    </row>
    <row r="27" ht="54" spans="1:29">
      <c r="A27" s="219"/>
      <c r="B27" s="284" t="s">
        <v>950</v>
      </c>
      <c r="C27" s="2393" t="str">
        <f>估价对象房地状况!C20</f>
        <v>区域自然环境：；人文环境；综合评价环境状况一般</v>
      </c>
      <c r="D27" s="282">
        <v>100</v>
      </c>
      <c r="E27" s="283"/>
      <c r="F27" s="271">
        <f>SUMIF(100:100,E28,101:101)-SUMIF(100:100,C28,101:101)+100</f>
        <v>100</v>
      </c>
      <c r="G27" s="281"/>
      <c r="H27" s="271">
        <f>SUMIF(100:100,G28,101:101)-SUMIF(100:100,C28,101:101)+100</f>
        <v>100</v>
      </c>
      <c r="I27" s="283"/>
      <c r="J27" s="271">
        <f>SUMIF(100:100,I28,101:101)-SUMIF(100:100,C28,101:101)+100</f>
        <v>100</v>
      </c>
      <c r="K27" s="2238"/>
      <c r="L27" s="398"/>
      <c r="M27" s="380"/>
      <c r="N27" s="380"/>
      <c r="O27" s="397"/>
      <c r="P27" s="367"/>
      <c r="Q27" s="390" t="str">
        <f t="shared" si="8"/>
        <v>自然及人文环境状况</v>
      </c>
      <c r="R27" s="467" t="s">
        <v>935</v>
      </c>
      <c r="S27" s="468">
        <f>F27</f>
        <v>100</v>
      </c>
      <c r="T27" s="467" t="s">
        <v>935</v>
      </c>
      <c r="U27" s="468">
        <f>H27</f>
        <v>100</v>
      </c>
      <c r="V27" s="467" t="s">
        <v>935</v>
      </c>
      <c r="W27" s="468">
        <f>J27</f>
        <v>100</v>
      </c>
      <c r="X27" s="454"/>
      <c r="Y27" s="367"/>
      <c r="Z27" s="453" t="str">
        <f>Q27</f>
        <v>自然及人文环境状况</v>
      </c>
      <c r="AA27" s="453">
        <f t="shared" si="3"/>
        <v>1</v>
      </c>
      <c r="AB27" s="453">
        <f t="shared" si="4"/>
        <v>1</v>
      </c>
      <c r="AC27" s="453">
        <f t="shared" si="5"/>
        <v>1</v>
      </c>
    </row>
    <row r="28" ht="20.25" spans="1:29">
      <c r="A28" s="219"/>
      <c r="B28" s="278"/>
      <c r="C28" s="574" t="s">
        <v>951</v>
      </c>
      <c r="D28" s="270"/>
      <c r="E28" s="268" t="s">
        <v>951</v>
      </c>
      <c r="F28" s="269"/>
      <c r="G28" s="574" t="s">
        <v>951</v>
      </c>
      <c r="H28" s="269"/>
      <c r="I28" s="268" t="s">
        <v>951</v>
      </c>
      <c r="J28" s="269"/>
      <c r="K28" s="2237"/>
      <c r="L28" s="398"/>
      <c r="M28" s="380"/>
      <c r="N28" s="380"/>
      <c r="O28" s="397"/>
      <c r="P28" s="367"/>
      <c r="Q28" s="390"/>
      <c r="R28" s="467"/>
      <c r="S28" s="468"/>
      <c r="T28" s="467"/>
      <c r="U28" s="468"/>
      <c r="V28" s="467"/>
      <c r="W28" s="468"/>
      <c r="X28" s="454"/>
      <c r="Y28" s="367"/>
      <c r="Z28" s="453"/>
      <c r="AA28" s="453">
        <v>1</v>
      </c>
      <c r="AB28" s="453">
        <v>1</v>
      </c>
      <c r="AC28" s="453">
        <v>1</v>
      </c>
    </row>
    <row r="29" s="189" customFormat="1" ht="40.5" spans="1:29">
      <c r="A29" s="346"/>
      <c r="B29" s="280" t="s">
        <v>231</v>
      </c>
      <c r="C29" s="450" t="str">
        <f>估价对象房地状况!C21</f>
        <v>估价对象所在区域公共配套设施齐备情况</v>
      </c>
      <c r="D29" s="282">
        <v>100</v>
      </c>
      <c r="E29" s="283"/>
      <c r="F29" s="271">
        <f>SUMIF(102:102,E30,103:103)-SUMIF(102:102,C30,103:103)+100</f>
        <v>100</v>
      </c>
      <c r="G29" s="281"/>
      <c r="H29" s="271">
        <f>SUMIF(102:102,G30,103:103)-SUMIF(102:102,C30,103:103)+100</f>
        <v>100</v>
      </c>
      <c r="I29" s="283"/>
      <c r="J29" s="271">
        <f>SUMIF(102:102,I30,103:103)-SUMIF(102:102,C30,103:103)+100</f>
        <v>100</v>
      </c>
      <c r="K29" s="2238"/>
      <c r="L29" s="386"/>
      <c r="M29" s="380"/>
      <c r="N29" s="380"/>
      <c r="O29" s="389"/>
      <c r="P29" s="367"/>
      <c r="Q29" s="466" t="str">
        <f t="shared" si="8"/>
        <v>公共配套设施</v>
      </c>
      <c r="R29" s="462" t="s">
        <v>935</v>
      </c>
      <c r="S29" s="463">
        <f>F29</f>
        <v>100</v>
      </c>
      <c r="T29" s="462" t="s">
        <v>935</v>
      </c>
      <c r="U29" s="463">
        <f>H29</f>
        <v>100</v>
      </c>
      <c r="V29" s="462" t="s">
        <v>935</v>
      </c>
      <c r="W29" s="463">
        <f>J29</f>
        <v>100</v>
      </c>
      <c r="X29" s="464"/>
      <c r="Y29" s="367"/>
      <c r="Z29" s="481" t="str">
        <f>Q29</f>
        <v>公共配套设施</v>
      </c>
      <c r="AA29" s="453">
        <f>D29/F29</f>
        <v>1</v>
      </c>
      <c r="AB29" s="453">
        <f>D29/H29</f>
        <v>1</v>
      </c>
      <c r="AC29" s="453">
        <f>D29/J29</f>
        <v>1</v>
      </c>
    </row>
    <row r="30" s="189" customFormat="1" ht="20.25" spans="1:29">
      <c r="A30" s="346"/>
      <c r="B30" s="278"/>
      <c r="C30" s="2184" t="s">
        <v>948</v>
      </c>
      <c r="D30" s="270"/>
      <c r="E30" s="268" t="s">
        <v>948</v>
      </c>
      <c r="F30" s="269"/>
      <c r="G30" s="574" t="s">
        <v>948</v>
      </c>
      <c r="H30" s="269"/>
      <c r="I30" s="268" t="s">
        <v>948</v>
      </c>
      <c r="J30" s="269"/>
      <c r="K30" s="2237"/>
      <c r="L30" s="386"/>
      <c r="M30" s="380"/>
      <c r="N30" s="380"/>
      <c r="O30" s="389"/>
      <c r="P30" s="367"/>
      <c r="Q30" s="466"/>
      <c r="R30" s="462"/>
      <c r="S30" s="463"/>
      <c r="T30" s="462"/>
      <c r="U30" s="463"/>
      <c r="V30" s="462"/>
      <c r="W30" s="463"/>
      <c r="X30" s="464"/>
      <c r="Y30" s="367"/>
      <c r="Z30" s="481"/>
      <c r="AA30" s="453">
        <v>1</v>
      </c>
      <c r="AB30" s="453">
        <v>1</v>
      </c>
      <c r="AC30" s="453">
        <v>1</v>
      </c>
    </row>
    <row r="31" s="189" customFormat="1" ht="27" spans="1:29">
      <c r="A31" s="346"/>
      <c r="B31" s="280" t="s">
        <v>232</v>
      </c>
      <c r="C31" s="450" t="str">
        <f>估价对象房地状况!C22</f>
        <v>估价对象所在区域基础设施水平</v>
      </c>
      <c r="D31" s="282">
        <v>100</v>
      </c>
      <c r="E31" s="283"/>
      <c r="F31" s="271">
        <f>SUMIF(104:104,E32,105:105)-SUMIF(104:104,C32,105:105)+100</f>
        <v>100</v>
      </c>
      <c r="G31" s="281"/>
      <c r="H31" s="271">
        <f>SUMIF(104:104,G32,105:105)-SUMIF(104:104,C32,105:105)+100</f>
        <v>100</v>
      </c>
      <c r="I31" s="283"/>
      <c r="J31" s="271">
        <f>SUMIF(104:104,I32,105:105)-SUMIF(104:104,C32,105:105)+100</f>
        <v>100</v>
      </c>
      <c r="K31" s="2238"/>
      <c r="L31" s="386"/>
      <c r="M31" s="380"/>
      <c r="N31" s="380"/>
      <c r="O31" s="389"/>
      <c r="P31" s="367"/>
      <c r="Q31" s="466" t="str">
        <f t="shared" ref="Q31" si="9">B31</f>
        <v>基础设施水平</v>
      </c>
      <c r="R31" s="462" t="s">
        <v>935</v>
      </c>
      <c r="S31" s="463">
        <f>F31</f>
        <v>100</v>
      </c>
      <c r="T31" s="462" t="s">
        <v>935</v>
      </c>
      <c r="U31" s="463">
        <f>H31</f>
        <v>100</v>
      </c>
      <c r="V31" s="462" t="s">
        <v>935</v>
      </c>
      <c r="W31" s="463">
        <f>J31</f>
        <v>100</v>
      </c>
      <c r="X31" s="464"/>
      <c r="Y31" s="367"/>
      <c r="Z31" s="481" t="str">
        <f>Q31</f>
        <v>基础设施水平</v>
      </c>
      <c r="AA31" s="453">
        <f>D31/F31</f>
        <v>1</v>
      </c>
      <c r="AB31" s="453">
        <f>D31/H31</f>
        <v>1</v>
      </c>
      <c r="AC31" s="453">
        <f>D31/J31</f>
        <v>1</v>
      </c>
    </row>
    <row r="32" s="189" customFormat="1" ht="20.25" spans="1:29">
      <c r="A32" s="346"/>
      <c r="B32" s="278"/>
      <c r="C32" s="2184" t="s">
        <v>247</v>
      </c>
      <c r="D32" s="270"/>
      <c r="E32" s="2183" t="s">
        <v>247</v>
      </c>
      <c r="F32" s="269"/>
      <c r="G32" s="2184" t="s">
        <v>247</v>
      </c>
      <c r="H32" s="269"/>
      <c r="I32" s="2184" t="s">
        <v>247</v>
      </c>
      <c r="J32" s="269"/>
      <c r="K32" s="2237"/>
      <c r="L32" s="386"/>
      <c r="M32" s="380"/>
      <c r="N32" s="380"/>
      <c r="O32" s="389"/>
      <c r="P32" s="367"/>
      <c r="Q32" s="466"/>
      <c r="R32" s="462"/>
      <c r="S32" s="463"/>
      <c r="T32" s="462"/>
      <c r="U32" s="463"/>
      <c r="V32" s="462"/>
      <c r="W32" s="463"/>
      <c r="X32" s="464"/>
      <c r="Y32" s="367"/>
      <c r="Z32" s="481"/>
      <c r="AA32" s="453">
        <v>1</v>
      </c>
      <c r="AB32" s="453">
        <v>1</v>
      </c>
      <c r="AC32" s="453">
        <v>1</v>
      </c>
    </row>
    <row r="33" ht="20.25" spans="1:29">
      <c r="A33" s="266"/>
      <c r="B33" s="278" t="s">
        <v>234</v>
      </c>
      <c r="C33" s="577"/>
      <c r="D33" s="288">
        <v>100</v>
      </c>
      <c r="E33" s="287"/>
      <c r="F33" s="258">
        <f>SUMIF(106:106,E33,107:107)-SUMIF(106:106,C33,107:107)+100</f>
        <v>100</v>
      </c>
      <c r="G33" s="577"/>
      <c r="H33" s="258">
        <f>SUMIF(106:106,G33,107:107)-SUMIF(106:106,C33,107:107)+100</f>
        <v>100</v>
      </c>
      <c r="I33" s="577"/>
      <c r="J33" s="258">
        <f>SUMIF(106:106,I33,107:107)-SUMIF(106:106,C33,107:107)+100</f>
        <v>100</v>
      </c>
      <c r="K33" s="2238"/>
      <c r="L33" s="398"/>
      <c r="M33" s="380"/>
      <c r="N33" s="380"/>
      <c r="O33" s="397"/>
      <c r="P33" s="367"/>
      <c r="Q33" s="390" t="str">
        <f t="shared" si="8"/>
        <v>临街状况</v>
      </c>
      <c r="R33" s="467" t="s">
        <v>935</v>
      </c>
      <c r="S33" s="468">
        <f t="shared" ref="S33:S47" si="10">F33</f>
        <v>100</v>
      </c>
      <c r="T33" s="467" t="s">
        <v>935</v>
      </c>
      <c r="U33" s="468">
        <f t="shared" ref="U33:U47" si="11">H33</f>
        <v>100</v>
      </c>
      <c r="V33" s="467" t="s">
        <v>935</v>
      </c>
      <c r="W33" s="468">
        <f t="shared" ref="W33:W47" si="12">J33</f>
        <v>100</v>
      </c>
      <c r="X33" s="454"/>
      <c r="Y33" s="367"/>
      <c r="Z33" s="453" t="str">
        <f t="shared" ref="Z33:Z47" si="13">Q33</f>
        <v>临街状况</v>
      </c>
      <c r="AA33" s="453">
        <f t="shared" si="3"/>
        <v>1</v>
      </c>
      <c r="AB33" s="453">
        <f t="shared" si="4"/>
        <v>1</v>
      </c>
      <c r="AC33" s="453">
        <f t="shared" si="5"/>
        <v>1</v>
      </c>
    </row>
    <row r="34" ht="27" spans="1:29">
      <c r="A34" s="266"/>
      <c r="B34" s="284" t="s">
        <v>952</v>
      </c>
      <c r="C34" s="281"/>
      <c r="D34" s="282">
        <v>100</v>
      </c>
      <c r="E34" s="283"/>
      <c r="F34" s="271">
        <f>SUMIF(108:108,E35,109:109)-SUMIF(108:108,C35,109:109)+100</f>
        <v>100</v>
      </c>
      <c r="G34" s="281"/>
      <c r="H34" s="271">
        <f>SUMIF(108:108,G35,109:109)-SUMIF(108:108,C35,109:109)+100</f>
        <v>100</v>
      </c>
      <c r="I34" s="283"/>
      <c r="J34" s="271">
        <f>SUMIF(108:108,I35,109:109)-SUMIF(108:108,C35,109:109)+100</f>
        <v>100</v>
      </c>
      <c r="K34" s="2238"/>
      <c r="L34" s="398"/>
      <c r="M34" s="380"/>
      <c r="N34" s="380"/>
      <c r="O34" s="397"/>
      <c r="P34" s="367"/>
      <c r="Q34" s="390" t="str">
        <f t="shared" si="8"/>
        <v>毗邻道路的类型与等级</v>
      </c>
      <c r="R34" s="467" t="s">
        <v>935</v>
      </c>
      <c r="S34" s="468">
        <f t="shared" si="10"/>
        <v>100</v>
      </c>
      <c r="T34" s="467" t="s">
        <v>935</v>
      </c>
      <c r="U34" s="468">
        <f t="shared" si="11"/>
        <v>100</v>
      </c>
      <c r="V34" s="467" t="s">
        <v>935</v>
      </c>
      <c r="W34" s="468">
        <f t="shared" si="12"/>
        <v>100</v>
      </c>
      <c r="X34" s="454"/>
      <c r="Y34" s="367"/>
      <c r="Z34" s="453" t="str">
        <f t="shared" si="13"/>
        <v>毗邻道路的类型与等级</v>
      </c>
      <c r="AA34" s="453">
        <f t="shared" si="3"/>
        <v>1</v>
      </c>
      <c r="AB34" s="453">
        <f t="shared" si="4"/>
        <v>1</v>
      </c>
      <c r="AC34" s="453">
        <f t="shared" si="5"/>
        <v>1</v>
      </c>
    </row>
    <row r="35" ht="20.25" spans="1:29">
      <c r="A35" s="266"/>
      <c r="B35" s="278"/>
      <c r="C35" s="574"/>
      <c r="D35" s="270"/>
      <c r="E35" s="268"/>
      <c r="F35" s="269"/>
      <c r="G35" s="574"/>
      <c r="H35" s="269"/>
      <c r="I35" s="268"/>
      <c r="J35" s="269"/>
      <c r="K35" s="395"/>
      <c r="L35" s="398"/>
      <c r="M35" s="380"/>
      <c r="N35" s="380"/>
      <c r="O35" s="397"/>
      <c r="P35" s="367"/>
      <c r="Q35" s="390"/>
      <c r="R35" s="467"/>
      <c r="S35" s="468"/>
      <c r="T35" s="467"/>
      <c r="U35" s="468"/>
      <c r="V35" s="467"/>
      <c r="W35" s="468"/>
      <c r="X35" s="454"/>
      <c r="Y35" s="367"/>
      <c r="Z35" s="453"/>
      <c r="AA35" s="453">
        <v>1</v>
      </c>
      <c r="AB35" s="453">
        <v>1</v>
      </c>
      <c r="AC35" s="453">
        <v>1</v>
      </c>
    </row>
    <row r="36" ht="20.25" spans="1:29">
      <c r="A36" s="266"/>
      <c r="B36" s="248" t="s">
        <v>953</v>
      </c>
      <c r="C36" s="577"/>
      <c r="D36" s="288">
        <v>100</v>
      </c>
      <c r="E36" s="287"/>
      <c r="F36" s="258">
        <f>SUMIF(110:110,E36,111:111)-SUMIF(110:110,C36,111:111)+100</f>
        <v>100</v>
      </c>
      <c r="G36" s="577"/>
      <c r="H36" s="258">
        <f>SUMIF(110:110,G36,111:111)-SUMIF(110:110,C36,111:111)+100</f>
        <v>100</v>
      </c>
      <c r="I36" s="287"/>
      <c r="J36" s="258">
        <f>SUMIF(110:110,I36,111:111)-SUMIF(110:110,C36,111:111)+100</f>
        <v>100</v>
      </c>
      <c r="K36" s="391"/>
      <c r="L36" s="398"/>
      <c r="M36" s="380"/>
      <c r="N36" s="380"/>
      <c r="O36" s="397"/>
      <c r="P36" s="367"/>
      <c r="Q36" s="390" t="str">
        <f t="shared" si="8"/>
        <v>土地级别</v>
      </c>
      <c r="R36" s="467" t="s">
        <v>935</v>
      </c>
      <c r="S36" s="468">
        <f t="shared" si="10"/>
        <v>100</v>
      </c>
      <c r="T36" s="467" t="s">
        <v>935</v>
      </c>
      <c r="U36" s="468">
        <f t="shared" si="11"/>
        <v>100</v>
      </c>
      <c r="V36" s="467" t="s">
        <v>935</v>
      </c>
      <c r="W36" s="468">
        <f t="shared" si="12"/>
        <v>100</v>
      </c>
      <c r="X36" s="454"/>
      <c r="Y36" s="367"/>
      <c r="Z36" s="453" t="str">
        <f t="shared" si="13"/>
        <v>土地级别</v>
      </c>
      <c r="AA36" s="453">
        <f t="shared" si="3"/>
        <v>1</v>
      </c>
      <c r="AB36" s="453">
        <f t="shared" si="4"/>
        <v>1</v>
      </c>
      <c r="AC36" s="453">
        <f t="shared" si="5"/>
        <v>1</v>
      </c>
    </row>
    <row r="37" ht="20.25" spans="1:29">
      <c r="A37" s="219"/>
      <c r="B37" s="580">
        <v>111</v>
      </c>
      <c r="C37" s="1180"/>
      <c r="D37" s="288">
        <v>100</v>
      </c>
      <c r="E37" s="2182"/>
      <c r="F37" s="258">
        <f>SUMIF(112:112,E37,113:113)-SUMIF(112:112,C37,113:113)+100</f>
        <v>100</v>
      </c>
      <c r="G37" s="1180"/>
      <c r="H37" s="258">
        <f>SUMIF(112:112,G37,113:113)-SUMIF(112:112,C37,113:113)+100</f>
        <v>100</v>
      </c>
      <c r="I37" s="2182"/>
      <c r="J37" s="258">
        <f>SUMIF(112:112,I37,113:113)-SUMIF(112:112,C37,113:113)+100</f>
        <v>100</v>
      </c>
      <c r="K37" s="395"/>
      <c r="L37" s="398"/>
      <c r="M37" s="380"/>
      <c r="N37" s="380"/>
      <c r="O37" s="397"/>
      <c r="P37" s="367"/>
      <c r="Q37" s="390">
        <f t="shared" si="8"/>
        <v>111</v>
      </c>
      <c r="R37" s="467" t="s">
        <v>935</v>
      </c>
      <c r="S37" s="468">
        <f t="shared" si="10"/>
        <v>100</v>
      </c>
      <c r="T37" s="467" t="s">
        <v>935</v>
      </c>
      <c r="U37" s="468">
        <f t="shared" si="11"/>
        <v>100</v>
      </c>
      <c r="V37" s="467" t="s">
        <v>935</v>
      </c>
      <c r="W37" s="468">
        <f t="shared" si="12"/>
        <v>100</v>
      </c>
      <c r="X37" s="454"/>
      <c r="Y37" s="367"/>
      <c r="Z37" s="453">
        <f t="shared" si="13"/>
        <v>111</v>
      </c>
      <c r="AA37" s="453">
        <f t="shared" si="3"/>
        <v>1</v>
      </c>
      <c r="AB37" s="453">
        <f t="shared" si="4"/>
        <v>1</v>
      </c>
      <c r="AC37" s="453">
        <f t="shared" si="5"/>
        <v>1</v>
      </c>
    </row>
    <row r="38" ht="20.25" spans="1:29">
      <c r="A38" s="2187"/>
      <c r="B38" s="2396">
        <v>111</v>
      </c>
      <c r="C38" s="1180"/>
      <c r="D38" s="288">
        <v>100</v>
      </c>
      <c r="E38" s="2182"/>
      <c r="F38" s="258">
        <f>SUMIF(114:114,E39,115:115)-SUMIF(114:114,C39,115:115)+100</f>
        <v>100</v>
      </c>
      <c r="G38" s="1180"/>
      <c r="H38" s="258">
        <f>SUMIF(114:114,G38,115:115)-SUMIF(114:114,C38,115:115)+100</f>
        <v>100</v>
      </c>
      <c r="I38" s="2182"/>
      <c r="J38" s="258">
        <f>SUMIF(114:114,I38,115:115)-SUMIF(114:114,C38,115:115)+100</f>
        <v>100</v>
      </c>
      <c r="K38" s="395"/>
      <c r="L38" s="398"/>
      <c r="M38" s="380"/>
      <c r="N38" s="380"/>
      <c r="O38" s="397"/>
      <c r="P38" s="403" t="s">
        <v>954</v>
      </c>
      <c r="Q38" s="390">
        <f t="shared" si="8"/>
        <v>111</v>
      </c>
      <c r="R38" s="467" t="s">
        <v>935</v>
      </c>
      <c r="S38" s="468">
        <f t="shared" si="10"/>
        <v>100</v>
      </c>
      <c r="T38" s="467" t="s">
        <v>935</v>
      </c>
      <c r="U38" s="468">
        <f t="shared" si="11"/>
        <v>100</v>
      </c>
      <c r="V38" s="467" t="s">
        <v>935</v>
      </c>
      <c r="W38" s="468">
        <f t="shared" si="12"/>
        <v>100</v>
      </c>
      <c r="X38" s="454"/>
      <c r="Y38" s="406" t="s">
        <v>954</v>
      </c>
      <c r="Z38" s="453">
        <f t="shared" si="13"/>
        <v>111</v>
      </c>
      <c r="AA38" s="453">
        <f t="shared" si="3"/>
        <v>1</v>
      </c>
      <c r="AB38" s="453">
        <f t="shared" si="4"/>
        <v>1</v>
      </c>
      <c r="AC38" s="453">
        <f t="shared" si="5"/>
        <v>1</v>
      </c>
    </row>
    <row r="39" s="191" customFormat="1" ht="21" spans="1:29">
      <c r="A39" s="2189"/>
      <c r="B39" s="2397">
        <v>111</v>
      </c>
      <c r="C39" s="2398"/>
      <c r="D39" s="285">
        <v>100</v>
      </c>
      <c r="E39" s="2191"/>
      <c r="F39" s="308">
        <f>SUMIF(116:116,E39,117:117)-SUMIF(116:116,C39,117:117)+100</f>
        <v>100</v>
      </c>
      <c r="G39" s="2193"/>
      <c r="H39" s="308">
        <f>SUMIF(116:116,G39,117:117)-SUMIF(116:116,C39,117:117)+100</f>
        <v>100</v>
      </c>
      <c r="I39" s="2191"/>
      <c r="J39" s="308">
        <f>SUMIF(116:116,I39,117:117)-SUMIF(116:116,C39,117:117)+100</f>
        <v>100</v>
      </c>
      <c r="K39" s="395"/>
      <c r="L39" s="396"/>
      <c r="M39" s="380"/>
      <c r="N39" s="380"/>
      <c r="O39" s="405"/>
      <c r="P39" s="406"/>
      <c r="Q39" s="390">
        <f t="shared" si="8"/>
        <v>111</v>
      </c>
      <c r="R39" s="470" t="s">
        <v>935</v>
      </c>
      <c r="S39" s="471">
        <f t="shared" si="10"/>
        <v>100</v>
      </c>
      <c r="T39" s="470" t="s">
        <v>935</v>
      </c>
      <c r="U39" s="471">
        <f t="shared" si="11"/>
        <v>100</v>
      </c>
      <c r="V39" s="470" t="s">
        <v>935</v>
      </c>
      <c r="W39" s="471">
        <f t="shared" si="12"/>
        <v>100</v>
      </c>
      <c r="X39" s="472"/>
      <c r="Y39" s="406"/>
      <c r="Z39" s="482">
        <f t="shared" si="13"/>
        <v>111</v>
      </c>
      <c r="AA39" s="453">
        <f t="shared" si="3"/>
        <v>1</v>
      </c>
      <c r="AB39" s="453">
        <f t="shared" si="4"/>
        <v>1</v>
      </c>
      <c r="AC39" s="453">
        <f t="shared" si="5"/>
        <v>1</v>
      </c>
    </row>
    <row r="40" ht="20.25" spans="1:29">
      <c r="A40" s="293" t="s">
        <v>955</v>
      </c>
      <c r="B40" s="286" t="s">
        <v>956</v>
      </c>
      <c r="C40" s="2194">
        <f>地块信息表!E13</f>
        <v>27585.81</v>
      </c>
      <c r="D40" s="216">
        <v>100</v>
      </c>
      <c r="E40" s="2194">
        <f>土地案例汇总表!G16</f>
        <v>120582.44</v>
      </c>
      <c r="F40" s="216">
        <f>LOOKUP(E40,119:119,120:120)-LOOKUP(C40,119:119,120:120)+100</f>
        <v>102</v>
      </c>
      <c r="G40" s="2194">
        <f>土地案例汇总表!G17</f>
        <v>149012.3</v>
      </c>
      <c r="H40" s="216">
        <f>LOOKUP(G40,119:119,120:120)-LOOKUP(C40,119:119,120:120)+100</f>
        <v>102</v>
      </c>
      <c r="I40" s="360">
        <f>土地案例汇总表!G20</f>
        <v>130592.62</v>
      </c>
      <c r="J40" s="216">
        <f>LOOKUP(I40,119:119,120:120)-LOOKUP(C40,119:119,120:120)+100</f>
        <v>102</v>
      </c>
      <c r="K40" s="395"/>
      <c r="L40" s="398"/>
      <c r="M40" s="380"/>
      <c r="N40" s="380"/>
      <c r="O40" s="397"/>
      <c r="P40" s="406"/>
      <c r="Q40" s="390" t="str">
        <f t="shared" si="8"/>
        <v>宗地面积</v>
      </c>
      <c r="R40" s="467" t="s">
        <v>935</v>
      </c>
      <c r="S40" s="468">
        <f t="shared" si="10"/>
        <v>102</v>
      </c>
      <c r="T40" s="467" t="s">
        <v>935</v>
      </c>
      <c r="U40" s="468">
        <f t="shared" si="11"/>
        <v>102</v>
      </c>
      <c r="V40" s="467" t="s">
        <v>935</v>
      </c>
      <c r="W40" s="468">
        <f t="shared" si="12"/>
        <v>102</v>
      </c>
      <c r="X40" s="454"/>
      <c r="Y40" s="406"/>
      <c r="Z40" s="453" t="str">
        <f t="shared" si="13"/>
        <v>宗地面积</v>
      </c>
      <c r="AA40" s="453">
        <f t="shared" si="3"/>
        <v>0.980392156862745</v>
      </c>
      <c r="AB40" s="453">
        <f t="shared" si="4"/>
        <v>0.980392156862745</v>
      </c>
      <c r="AC40" s="453">
        <f t="shared" si="5"/>
        <v>0.980392156862745</v>
      </c>
    </row>
    <row r="41" ht="20.25" spans="1:29">
      <c r="A41" s="301"/>
      <c r="B41" s="297" t="s">
        <v>957</v>
      </c>
      <c r="C41" s="582"/>
      <c r="D41" s="258">
        <v>100</v>
      </c>
      <c r="E41" s="582"/>
      <c r="F41" s="258">
        <f>SUMIF(121:121,E41,122:122)-SUMIF(121:121,C41,122:122)+100</f>
        <v>100</v>
      </c>
      <c r="G41" s="582"/>
      <c r="H41" s="258">
        <f>SUMIF(121:121,G41,122:122)-SUMIF(121:121,C41,122:122)+100</f>
        <v>100</v>
      </c>
      <c r="I41" s="582"/>
      <c r="J41" s="258">
        <f>SUMIF(121:121,I41,122:122)-SUMIF(121:121,C41,122:122)+100</f>
        <v>100</v>
      </c>
      <c r="K41" s="391"/>
      <c r="L41" s="398"/>
      <c r="M41" s="380"/>
      <c r="N41" s="380"/>
      <c r="O41" s="397"/>
      <c r="P41" s="406"/>
      <c r="Q41" s="390" t="str">
        <f t="shared" ref="Q41:Q47" si="14">B41</f>
        <v>宗地形状</v>
      </c>
      <c r="R41" s="467" t="s">
        <v>935</v>
      </c>
      <c r="S41" s="468">
        <f t="shared" si="10"/>
        <v>100</v>
      </c>
      <c r="T41" s="467" t="s">
        <v>935</v>
      </c>
      <c r="U41" s="468">
        <f t="shared" si="11"/>
        <v>100</v>
      </c>
      <c r="V41" s="467" t="s">
        <v>935</v>
      </c>
      <c r="W41" s="468">
        <f t="shared" si="12"/>
        <v>100</v>
      </c>
      <c r="X41" s="454"/>
      <c r="Y41" s="406"/>
      <c r="Z41" s="453" t="str">
        <f t="shared" si="13"/>
        <v>宗地形状</v>
      </c>
      <c r="AA41" s="453">
        <f t="shared" si="3"/>
        <v>1</v>
      </c>
      <c r="AB41" s="453">
        <f t="shared" si="4"/>
        <v>1</v>
      </c>
      <c r="AC41" s="453">
        <f t="shared" si="5"/>
        <v>1</v>
      </c>
    </row>
    <row r="42" ht="20.25" spans="1:29">
      <c r="A42" s="301"/>
      <c r="B42" s="297" t="s">
        <v>958</v>
      </c>
      <c r="C42" s="582" t="s">
        <v>959</v>
      </c>
      <c r="D42" s="258">
        <v>100</v>
      </c>
      <c r="E42" s="582" t="s">
        <v>959</v>
      </c>
      <c r="F42" s="258">
        <f>SUMIF(123:123,E42,124:124)-SUMIF(123:123,C42,124:124)+100</f>
        <v>100</v>
      </c>
      <c r="G42" s="582" t="s">
        <v>959</v>
      </c>
      <c r="H42" s="258">
        <f>SUMIF(123:123,G42,124:124)-SUMIF(123:123,C42,124:124)+100</f>
        <v>100</v>
      </c>
      <c r="I42" s="582" t="s">
        <v>959</v>
      </c>
      <c r="J42" s="258">
        <f>SUMIF(123:123,I42,124:124)-SUMIF(123:123,C42,124:124)+100</f>
        <v>100</v>
      </c>
      <c r="K42" s="391"/>
      <c r="L42" s="398"/>
      <c r="M42" s="380"/>
      <c r="N42" s="380"/>
      <c r="O42" s="397"/>
      <c r="P42" s="406"/>
      <c r="Q42" s="390" t="str">
        <f t="shared" si="14"/>
        <v>临街宽度及深度</v>
      </c>
      <c r="R42" s="467" t="s">
        <v>935</v>
      </c>
      <c r="S42" s="468">
        <f t="shared" si="10"/>
        <v>100</v>
      </c>
      <c r="T42" s="467" t="s">
        <v>935</v>
      </c>
      <c r="U42" s="468">
        <f t="shared" si="11"/>
        <v>100</v>
      </c>
      <c r="V42" s="467" t="s">
        <v>935</v>
      </c>
      <c r="W42" s="468">
        <f t="shared" si="12"/>
        <v>100</v>
      </c>
      <c r="X42" s="454"/>
      <c r="Y42" s="406"/>
      <c r="Z42" s="453" t="str">
        <f t="shared" si="13"/>
        <v>临街宽度及深度</v>
      </c>
      <c r="AA42" s="453">
        <f t="shared" si="3"/>
        <v>1</v>
      </c>
      <c r="AB42" s="453">
        <f t="shared" si="4"/>
        <v>1</v>
      </c>
      <c r="AC42" s="453">
        <f t="shared" si="5"/>
        <v>1</v>
      </c>
    </row>
    <row r="43" s="189" customFormat="1" ht="20.25" spans="1:29">
      <c r="A43" s="304"/>
      <c r="B43" s="550" t="s">
        <v>960</v>
      </c>
      <c r="C43" s="2195" t="s">
        <v>247</v>
      </c>
      <c r="D43" s="248">
        <v>100</v>
      </c>
      <c r="E43" s="2195" t="s">
        <v>247</v>
      </c>
      <c r="F43" s="258">
        <f>SUMIF(125:125,E43,126:126)-SUMIF(125:125,C43,126:126)+100</f>
        <v>100</v>
      </c>
      <c r="G43" s="2195" t="s">
        <v>247</v>
      </c>
      <c r="H43" s="258">
        <f>SUMIF(125:125,G43,126:126)-SUMIF(125:125,C43,126:126)+100</f>
        <v>100</v>
      </c>
      <c r="I43" s="2195" t="s">
        <v>247</v>
      </c>
      <c r="J43" s="258">
        <f>SUMIF(125:125,I43,126:126)-SUMIF(125:125,C43,126:126)+100</f>
        <v>100</v>
      </c>
      <c r="K43" s="391"/>
      <c r="L43" s="386"/>
      <c r="M43" s="380"/>
      <c r="N43" s="380"/>
      <c r="O43" s="389"/>
      <c r="P43" s="406"/>
      <c r="Q43" s="390" t="str">
        <f t="shared" si="14"/>
        <v>宗地开发程度</v>
      </c>
      <c r="R43" s="462" t="s">
        <v>935</v>
      </c>
      <c r="S43" s="463">
        <f t="shared" si="10"/>
        <v>100</v>
      </c>
      <c r="T43" s="462" t="s">
        <v>935</v>
      </c>
      <c r="U43" s="463">
        <f t="shared" si="11"/>
        <v>100</v>
      </c>
      <c r="V43" s="462" t="s">
        <v>935</v>
      </c>
      <c r="W43" s="463">
        <f t="shared" si="12"/>
        <v>100</v>
      </c>
      <c r="X43" s="464"/>
      <c r="Y43" s="406"/>
      <c r="Z43" s="481" t="str">
        <f t="shared" si="13"/>
        <v>宗地开发程度</v>
      </c>
      <c r="AA43" s="481">
        <f t="shared" si="3"/>
        <v>1</v>
      </c>
      <c r="AB43" s="481">
        <f t="shared" si="4"/>
        <v>1</v>
      </c>
      <c r="AC43" s="481">
        <f t="shared" si="5"/>
        <v>1</v>
      </c>
    </row>
    <row r="44" ht="20.25" spans="1:29">
      <c r="A44" s="301"/>
      <c r="B44" s="297" t="s">
        <v>961</v>
      </c>
      <c r="C44" s="582" t="s">
        <v>949</v>
      </c>
      <c r="D44" s="258">
        <v>100</v>
      </c>
      <c r="E44" s="582" t="s">
        <v>949</v>
      </c>
      <c r="F44" s="258">
        <f>SUMIF(127:127,E44,128:128)-SUMIF(127:127,C44,128:128)+100</f>
        <v>100</v>
      </c>
      <c r="G44" s="582" t="s">
        <v>949</v>
      </c>
      <c r="H44" s="258">
        <f>SUMIF(127:127,G44,128:128)-SUMIF(127:127,C44,128:128)+100</f>
        <v>100</v>
      </c>
      <c r="I44" s="582" t="s">
        <v>949</v>
      </c>
      <c r="J44" s="258">
        <f>SUMIF(127:127,I44,128:128)-SUMIF(127:127,C44,128:128)+100</f>
        <v>100</v>
      </c>
      <c r="K44" s="391"/>
      <c r="L44" s="398"/>
      <c r="M44" s="380"/>
      <c r="N44" s="380"/>
      <c r="O44" s="397"/>
      <c r="P44" s="406" t="s">
        <v>954</v>
      </c>
      <c r="Q44" s="390" t="str">
        <f t="shared" si="14"/>
        <v>工程地质条件</v>
      </c>
      <c r="R44" s="467" t="s">
        <v>935</v>
      </c>
      <c r="S44" s="468">
        <f t="shared" si="10"/>
        <v>100</v>
      </c>
      <c r="T44" s="467" t="s">
        <v>935</v>
      </c>
      <c r="U44" s="468">
        <f t="shared" si="11"/>
        <v>100</v>
      </c>
      <c r="V44" s="467" t="s">
        <v>935</v>
      </c>
      <c r="W44" s="468">
        <f t="shared" si="12"/>
        <v>100</v>
      </c>
      <c r="X44" s="454"/>
      <c r="Y44" s="406" t="s">
        <v>954</v>
      </c>
      <c r="Z44" s="453" t="str">
        <f t="shared" si="13"/>
        <v>工程地质条件</v>
      </c>
      <c r="AA44" s="453">
        <f t="shared" si="3"/>
        <v>1</v>
      </c>
      <c r="AB44" s="453">
        <f t="shared" si="4"/>
        <v>1</v>
      </c>
      <c r="AC44" s="453">
        <f t="shared" si="5"/>
        <v>1</v>
      </c>
    </row>
    <row r="45" ht="20.25" spans="1:29">
      <c r="A45" s="301"/>
      <c r="B45" s="2188">
        <v>111</v>
      </c>
      <c r="C45" s="2182"/>
      <c r="D45" s="258">
        <v>100</v>
      </c>
      <c r="E45" s="2182"/>
      <c r="F45" s="258">
        <f>SUMIF(129:129,E45,130:130)-SUMIF(129:129,C45,130:130)+100</f>
        <v>100</v>
      </c>
      <c r="G45" s="2182"/>
      <c r="H45" s="258">
        <f>SUMIF(129:129,G45,130:130)-SUMIF(129:129,C45,130:130)+100</f>
        <v>100</v>
      </c>
      <c r="I45" s="368"/>
      <c r="J45" s="258">
        <f>SUMIF(129:129,I45,130:130)-SUMIF(129:129,C45,130:130)+100</f>
        <v>100</v>
      </c>
      <c r="K45" s="395"/>
      <c r="L45" s="398"/>
      <c r="M45" s="380"/>
      <c r="N45" s="380"/>
      <c r="O45" s="397"/>
      <c r="P45" s="406"/>
      <c r="Q45" s="390">
        <f t="shared" si="14"/>
        <v>111</v>
      </c>
      <c r="R45" s="467" t="s">
        <v>935</v>
      </c>
      <c r="S45" s="468">
        <f t="shared" si="10"/>
        <v>100</v>
      </c>
      <c r="T45" s="467" t="s">
        <v>935</v>
      </c>
      <c r="U45" s="468">
        <f t="shared" si="11"/>
        <v>100</v>
      </c>
      <c r="V45" s="467" t="s">
        <v>935</v>
      </c>
      <c r="W45" s="468">
        <f t="shared" si="12"/>
        <v>100</v>
      </c>
      <c r="X45" s="454"/>
      <c r="Y45" s="406"/>
      <c r="Z45" s="453">
        <f t="shared" si="13"/>
        <v>111</v>
      </c>
      <c r="AA45" s="453">
        <f t="shared" si="3"/>
        <v>1</v>
      </c>
      <c r="AB45" s="453">
        <f t="shared" si="4"/>
        <v>1</v>
      </c>
      <c r="AC45" s="453">
        <f t="shared" si="5"/>
        <v>1</v>
      </c>
    </row>
    <row r="46" ht="20.25" spans="1:29">
      <c r="A46" s="301"/>
      <c r="B46" s="2188">
        <v>111</v>
      </c>
      <c r="C46" s="2182"/>
      <c r="D46" s="258">
        <v>100</v>
      </c>
      <c r="E46" s="2182"/>
      <c r="F46" s="258">
        <f>SUMIF(131:131,E46,132:132)-SUMIF(131:131,C46,132:132)+100</f>
        <v>100</v>
      </c>
      <c r="G46" s="2182"/>
      <c r="H46" s="258">
        <f>SUMIF(131:131,G46,132:132)-SUMIF(131:131,C46,132:132)+100</f>
        <v>100</v>
      </c>
      <c r="I46" s="368"/>
      <c r="J46" s="258">
        <f>SUMIF(131:131,I46,132:132)-SUMIF(131:131,C46,132:132)+100</f>
        <v>100</v>
      </c>
      <c r="K46" s="395"/>
      <c r="L46" s="398"/>
      <c r="M46" s="380"/>
      <c r="N46" s="380"/>
      <c r="O46" s="397"/>
      <c r="P46" s="406"/>
      <c r="Q46" s="390">
        <f t="shared" si="14"/>
        <v>111</v>
      </c>
      <c r="R46" s="467" t="s">
        <v>935</v>
      </c>
      <c r="S46" s="468">
        <f t="shared" si="10"/>
        <v>100</v>
      </c>
      <c r="T46" s="467" t="s">
        <v>935</v>
      </c>
      <c r="U46" s="468">
        <f t="shared" si="11"/>
        <v>100</v>
      </c>
      <c r="V46" s="467" t="s">
        <v>935</v>
      </c>
      <c r="W46" s="468">
        <f t="shared" si="12"/>
        <v>100</v>
      </c>
      <c r="X46" s="454"/>
      <c r="Y46" s="406"/>
      <c r="Z46" s="453">
        <f t="shared" si="13"/>
        <v>111</v>
      </c>
      <c r="AA46" s="453">
        <f t="shared" si="3"/>
        <v>1</v>
      </c>
      <c r="AB46" s="453">
        <f t="shared" si="4"/>
        <v>1</v>
      </c>
      <c r="AC46" s="453">
        <f t="shared" si="5"/>
        <v>1</v>
      </c>
    </row>
    <row r="47" s="191" customFormat="1" ht="21" spans="1:29">
      <c r="A47" s="296"/>
      <c r="B47" s="2188">
        <v>111</v>
      </c>
      <c r="C47" s="2196"/>
      <c r="D47" s="2399">
        <v>100</v>
      </c>
      <c r="E47" s="2182"/>
      <c r="F47" s="308">
        <f>SUMIF(133:133,E47,134:134)-SUMIF(133:133,C47,134:134)+100</f>
        <v>100</v>
      </c>
      <c r="G47" s="2182"/>
      <c r="H47" s="308">
        <f>SUMIF(133:133,G47,134:134)-SUMIF(133:133,C47,134:134)+100</f>
        <v>100</v>
      </c>
      <c r="I47" s="2182"/>
      <c r="J47" s="308">
        <f>SUMIF(133:133,I47,134:134)-SUMIF(133:133,C47,134:134)+100</f>
        <v>100</v>
      </c>
      <c r="K47" s="2241"/>
      <c r="L47" s="396"/>
      <c r="M47" s="380"/>
      <c r="N47" s="380"/>
      <c r="O47" s="405"/>
      <c r="P47" s="406"/>
      <c r="Q47" s="390">
        <f t="shared" si="14"/>
        <v>111</v>
      </c>
      <c r="R47" s="470" t="s">
        <v>935</v>
      </c>
      <c r="S47" s="471">
        <f t="shared" si="10"/>
        <v>100</v>
      </c>
      <c r="T47" s="470" t="s">
        <v>935</v>
      </c>
      <c r="U47" s="471">
        <f t="shared" si="11"/>
        <v>100</v>
      </c>
      <c r="V47" s="470" t="s">
        <v>935</v>
      </c>
      <c r="W47" s="471">
        <f t="shared" si="12"/>
        <v>100</v>
      </c>
      <c r="X47" s="472"/>
      <c r="Y47" s="406"/>
      <c r="Z47" s="482">
        <f t="shared" si="13"/>
        <v>111</v>
      </c>
      <c r="AA47" s="453">
        <f t="shared" si="3"/>
        <v>1</v>
      </c>
      <c r="AB47" s="453">
        <f t="shared" si="4"/>
        <v>1</v>
      </c>
      <c r="AC47" s="453">
        <f t="shared" si="5"/>
        <v>1</v>
      </c>
    </row>
    <row r="48" ht="20.25" spans="1:29">
      <c r="A48" s="311" t="s">
        <v>962</v>
      </c>
      <c r="B48" s="2197" t="s">
        <v>920</v>
      </c>
      <c r="C48" s="2198" t="s">
        <v>138</v>
      </c>
      <c r="D48" s="314"/>
      <c r="E48" s="315">
        <f>土地案例汇总表!O16</f>
        <v>3635</v>
      </c>
      <c r="F48" s="316"/>
      <c r="G48" s="317">
        <f>土地案例汇总表!O17</f>
        <v>3798</v>
      </c>
      <c r="H48" s="318"/>
      <c r="I48" s="315">
        <f>土地案例汇总表!O20</f>
        <v>4404</v>
      </c>
      <c r="J48" s="318"/>
      <c r="K48" s="2242"/>
      <c r="L48" s="408"/>
      <c r="M48" s="380"/>
      <c r="N48" s="380"/>
      <c r="O48" s="338"/>
      <c r="P48" s="390" t="str">
        <f>A48</f>
        <v>成交单价</v>
      </c>
      <c r="Q48" s="390"/>
      <c r="R48" s="453">
        <f>E48</f>
        <v>3635</v>
      </c>
      <c r="S48" s="453"/>
      <c r="T48" s="453">
        <f>G48</f>
        <v>3798</v>
      </c>
      <c r="U48" s="453"/>
      <c r="V48" s="453">
        <f>I48</f>
        <v>4404</v>
      </c>
      <c r="W48" s="453"/>
      <c r="X48" s="267"/>
      <c r="Y48" s="483"/>
      <c r="Z48" s="267"/>
      <c r="AA48" s="267"/>
      <c r="AB48" s="267"/>
      <c r="AC48" s="267"/>
    </row>
    <row r="49" ht="21" spans="1:29">
      <c r="A49" s="319" t="s">
        <v>963</v>
      </c>
      <c r="B49" s="2199"/>
      <c r="C49" s="2200">
        <f>R50</f>
        <v>4044</v>
      </c>
      <c r="D49" s="322" t="s">
        <v>964</v>
      </c>
      <c r="E49" s="2200">
        <f>R49</f>
        <v>3733</v>
      </c>
      <c r="F49" s="324"/>
      <c r="G49" s="2201">
        <f>T49</f>
        <v>3900</v>
      </c>
      <c r="H49" s="324"/>
      <c r="I49" s="2200">
        <f>V49</f>
        <v>4499</v>
      </c>
      <c r="J49" s="324"/>
      <c r="K49" s="2243">
        <f>F49+H49+J49</f>
        <v>0</v>
      </c>
      <c r="L49" s="408"/>
      <c r="M49" s="380"/>
      <c r="N49" s="380"/>
      <c r="O49" s="338"/>
      <c r="P49" s="390" t="str">
        <f>A49</f>
        <v>比较价格（元/平方米）</v>
      </c>
      <c r="Q49" s="390"/>
      <c r="R49" s="2254">
        <f>ROUND(PRODUCT(R48,AA9:AA47),0)</f>
        <v>3733</v>
      </c>
      <c r="S49" s="2254"/>
      <c r="T49" s="2254">
        <f>ROUND(PRODUCT(T48,AB9:AB47),0)</f>
        <v>3900</v>
      </c>
      <c r="U49" s="2254"/>
      <c r="V49" s="2254">
        <f>ROUND(PRODUCT(V48,AC9:AC47),0)</f>
        <v>4499</v>
      </c>
      <c r="W49" s="2254"/>
      <c r="X49" s="267"/>
      <c r="Y49" s="267"/>
      <c r="Z49" s="267"/>
      <c r="AA49" s="267"/>
      <c r="AB49" s="267"/>
      <c r="AC49" s="267"/>
    </row>
    <row r="50" ht="21" spans="1:29">
      <c r="A50" s="325" t="s">
        <v>965</v>
      </c>
      <c r="B50" s="326"/>
      <c r="C50" s="2202">
        <f>R50</f>
        <v>4044</v>
      </c>
      <c r="D50" s="2202"/>
      <c r="E50" s="2202"/>
      <c r="F50" s="2202"/>
      <c r="G50" s="2202"/>
      <c r="H50" s="2202"/>
      <c r="I50" s="2202"/>
      <c r="J50" s="2202"/>
      <c r="K50" s="2244"/>
      <c r="L50" s="408"/>
      <c r="M50" s="380"/>
      <c r="N50" s="380"/>
      <c r="O50" s="338"/>
      <c r="P50" s="288" t="str">
        <f>A50</f>
        <v>估价对象XX用房的比较价格（楼面单价，元/平方米）</v>
      </c>
      <c r="Q50" s="473"/>
      <c r="R50" s="2409">
        <f>ROUND(IF(D49="简单平均",AVERAGE(R49:W49),R49*F49+T49*H49+V49*J49),0)</f>
        <v>4044</v>
      </c>
      <c r="S50" s="2409"/>
      <c r="T50" s="2409"/>
      <c r="U50" s="2409"/>
      <c r="V50" s="2409"/>
      <c r="W50" s="2409"/>
      <c r="X50" s="267"/>
      <c r="Y50" s="267"/>
      <c r="Z50" s="267"/>
      <c r="AA50" s="267"/>
      <c r="AB50" s="267"/>
      <c r="AC50" s="267"/>
    </row>
    <row r="51" ht="20.25" spans="1:29">
      <c r="A51" s="327"/>
      <c r="B51" s="327"/>
      <c r="C51" s="327"/>
      <c r="D51" s="327"/>
      <c r="E51" s="327"/>
      <c r="F51" s="327"/>
      <c r="G51" s="328"/>
      <c r="H51" s="327"/>
      <c r="I51" s="327"/>
      <c r="J51" s="327"/>
      <c r="K51" s="411"/>
      <c r="L51" s="412"/>
      <c r="M51" s="380"/>
      <c r="N51" s="380"/>
      <c r="O51" s="338"/>
      <c r="P51" s="338"/>
      <c r="Q51" s="338"/>
      <c r="R51" s="338"/>
      <c r="S51" s="338"/>
      <c r="T51" s="338"/>
      <c r="U51" s="338"/>
      <c r="V51" s="338"/>
      <c r="W51" s="338"/>
      <c r="X51" s="338"/>
      <c r="Y51" s="338"/>
      <c r="Z51" s="338"/>
      <c r="AA51" s="338"/>
      <c r="AB51" s="338"/>
      <c r="AC51" s="338"/>
    </row>
    <row r="52" ht="20.25" spans="1:29">
      <c r="A52" s="327"/>
      <c r="B52" s="327"/>
      <c r="C52" s="327"/>
      <c r="D52" s="327"/>
      <c r="E52" s="327"/>
      <c r="F52" s="327"/>
      <c r="G52" s="327"/>
      <c r="H52" s="327"/>
      <c r="I52" s="327"/>
      <c r="J52" s="327"/>
      <c r="K52" s="411"/>
      <c r="L52" s="412"/>
      <c r="M52" s="380"/>
      <c r="N52" s="380"/>
      <c r="O52" s="338"/>
      <c r="P52" s="338"/>
      <c r="Q52" s="338"/>
      <c r="R52" s="338"/>
      <c r="S52" s="338"/>
      <c r="T52" s="338"/>
      <c r="U52" s="338"/>
      <c r="V52" s="338"/>
      <c r="W52" s="338"/>
      <c r="X52" s="338"/>
      <c r="Y52" s="338"/>
      <c r="Z52" s="338"/>
      <c r="AA52" s="338"/>
      <c r="AB52" s="338"/>
      <c r="AC52" s="338"/>
    </row>
    <row r="53" ht="13.5" customHeight="1" spans="1:29">
      <c r="A53" s="327"/>
      <c r="B53" s="327"/>
      <c r="C53" s="329" t="s">
        <v>966</v>
      </c>
      <c r="D53" s="330"/>
      <c r="E53" s="331">
        <f>IF(E48&lt;E49,E49/E48-1,E48/E49-1)</f>
        <v>0.0269601100412655</v>
      </c>
      <c r="F53" s="332" t="str">
        <f>IF(OR(E53&gt;=0.3,E53&lt;=-0.3),"超过30%","")</f>
        <v/>
      </c>
      <c r="G53" s="331">
        <f>IF(G48&lt;G49,G49/G48-1,G48/G49-1)</f>
        <v>0.0268562401263823</v>
      </c>
      <c r="H53" s="332" t="str">
        <f>IF(OR(G53&gt;=0.3,G53&lt;=-0.3),"超过30%","")</f>
        <v/>
      </c>
      <c r="I53" s="331">
        <f>IF(I48&lt;I49,I49/I48-1,I48/I49-1)</f>
        <v>0.0215712988192551</v>
      </c>
      <c r="J53" s="332" t="str">
        <f>IF(OR(I53&gt;=0.3,I53&lt;=-0.3),"超过30%","")</f>
        <v/>
      </c>
      <c r="K53" s="411"/>
      <c r="L53" s="412"/>
      <c r="M53" s="380"/>
      <c r="N53" s="380"/>
      <c r="O53" s="338"/>
      <c r="P53" s="338"/>
      <c r="Q53" s="338"/>
      <c r="R53" s="338"/>
      <c r="S53" s="338"/>
      <c r="T53" s="338"/>
      <c r="U53" s="338"/>
      <c r="V53" s="338"/>
      <c r="W53" s="338"/>
      <c r="X53" s="338"/>
      <c r="Y53" s="338"/>
      <c r="Z53" s="338"/>
      <c r="AA53" s="338"/>
      <c r="AB53" s="338"/>
      <c r="AC53" s="338"/>
    </row>
    <row r="54" ht="13.5" customHeight="1" spans="1:29">
      <c r="A54" s="327"/>
      <c r="B54" s="327"/>
      <c r="C54" s="329" t="s">
        <v>967</v>
      </c>
      <c r="D54" s="333"/>
      <c r="E54" s="331">
        <f>IF(E49&lt;G49,G49/E49-1,E49/G49-1)</f>
        <v>0.0447361371551032</v>
      </c>
      <c r="F54" s="332" t="str">
        <f>IF(OR(E54&gt;=0.2,E54&lt;=-0.2),"超过20%","")</f>
        <v/>
      </c>
      <c r="G54" s="331">
        <f>IF(G49&lt;I49,I49/G49-1,G49/I49-1)</f>
        <v>0.153589743589744</v>
      </c>
      <c r="H54" s="332" t="str">
        <f>IF(OR(G54&gt;=0.2,G54&lt;=-0.2),"超过20%","")</f>
        <v/>
      </c>
      <c r="I54" s="331">
        <f>IF(I49&lt;E49,E49/I49-1,I49/E49-1)</f>
        <v>0.205196892579695</v>
      </c>
      <c r="J54" s="332" t="str">
        <f>IF(OR(I54&gt;=0.2,I54&lt;=-0.2),"超过20%","")</f>
        <v>超过20%</v>
      </c>
      <c r="K54" s="411"/>
      <c r="L54" s="412"/>
      <c r="M54" s="380"/>
      <c r="N54" s="380"/>
      <c r="O54" s="338"/>
      <c r="P54" s="338"/>
      <c r="Q54" s="338"/>
      <c r="R54" s="338"/>
      <c r="S54" s="338"/>
      <c r="T54" s="338"/>
      <c r="U54" s="338"/>
      <c r="V54" s="338"/>
      <c r="W54" s="338"/>
      <c r="X54" s="338"/>
      <c r="Y54" s="338"/>
      <c r="Z54" s="338"/>
      <c r="AA54" s="338"/>
      <c r="AB54" s="338"/>
      <c r="AC54" s="338"/>
    </row>
    <row r="55" s="192" customFormat="1" ht="13.5" customHeight="1" spans="1:29">
      <c r="A55" s="334"/>
      <c r="B55" s="334"/>
      <c r="C55" s="329" t="s">
        <v>968</v>
      </c>
      <c r="D55" s="333"/>
      <c r="E55" s="331">
        <f>IF(E48&lt;G48,G48/E48-1,E48/G48-1)</f>
        <v>0.0448418156808803</v>
      </c>
      <c r="F55" s="332" t="str">
        <f>IF(OR(E55&gt;=0.3,E55&lt;=-0.3),"超过30%","")</f>
        <v/>
      </c>
      <c r="G55" s="331">
        <f>IF(G48&lt;I48,I48/G48-1,G48/I48-1)</f>
        <v>0.15955766192733</v>
      </c>
      <c r="H55" s="332" t="str">
        <f>IF(OR(G55&gt;=0.3,G55&lt;=-0.3),"超过30%","")</f>
        <v/>
      </c>
      <c r="I55" s="331">
        <f>IF(I48&lt;E48,E48/I48-1,I48/E48-1)</f>
        <v>0.211554332874828</v>
      </c>
      <c r="J55" s="332" t="str">
        <f>IF(OR(I55&gt;=0.3,I55&lt;=-0.3),"超过30%","")</f>
        <v/>
      </c>
      <c r="K55" s="413"/>
      <c r="L55" s="414"/>
      <c r="M55" s="380"/>
      <c r="N55" s="380"/>
      <c r="O55" s="335"/>
      <c r="P55" s="335"/>
      <c r="Q55" s="335"/>
      <c r="R55" s="335"/>
      <c r="S55" s="335"/>
      <c r="T55" s="335"/>
      <c r="U55" s="335"/>
      <c r="V55" s="335"/>
      <c r="W55" s="335"/>
      <c r="X55" s="335"/>
      <c r="Y55" s="335"/>
      <c r="Z55" s="335"/>
      <c r="AA55" s="335"/>
      <c r="AB55" s="335"/>
      <c r="AC55" s="335"/>
    </row>
    <row r="56" s="192" customFormat="1" ht="21" spans="1:29">
      <c r="A56" s="335"/>
      <c r="B56" s="336"/>
      <c r="C56" s="337"/>
      <c r="D56" s="335"/>
      <c r="E56" s="335"/>
      <c r="F56" s="335"/>
      <c r="G56" s="335"/>
      <c r="H56" s="335"/>
      <c r="I56" s="335"/>
      <c r="J56" s="335"/>
      <c r="K56" s="413"/>
      <c r="L56" s="414"/>
      <c r="M56" s="380"/>
      <c r="N56" s="380"/>
      <c r="O56" s="335"/>
      <c r="P56" s="335"/>
      <c r="Q56" s="335"/>
      <c r="R56" s="335"/>
      <c r="S56" s="335"/>
      <c r="T56" s="335"/>
      <c r="U56" s="335"/>
      <c r="V56" s="335"/>
      <c r="W56" s="335"/>
      <c r="X56" s="335"/>
      <c r="Y56" s="335"/>
      <c r="Z56" s="335"/>
      <c r="AA56" s="335"/>
      <c r="AB56" s="335"/>
      <c r="AC56" s="335"/>
    </row>
    <row r="57" ht="26.25" customHeight="1" spans="1:29">
      <c r="A57" s="2204" t="s">
        <v>969</v>
      </c>
      <c r="B57" s="2205" t="s">
        <v>970</v>
      </c>
      <c r="C57" s="2206" t="s">
        <v>971</v>
      </c>
      <c r="D57" s="2207" t="s">
        <v>972</v>
      </c>
      <c r="E57" s="2208" t="s">
        <v>973</v>
      </c>
      <c r="F57" s="2400" t="s">
        <v>974</v>
      </c>
      <c r="G57" s="2401" t="s">
        <v>975</v>
      </c>
      <c r="H57" s="2402"/>
      <c r="I57" s="2246" t="s">
        <v>424</v>
      </c>
      <c r="J57" s="2246">
        <f>项目基本情况!F41</f>
        <v>0</v>
      </c>
      <c r="K57" s="2247" t="s">
        <v>976</v>
      </c>
      <c r="L57" s="412"/>
      <c r="M57" s="338"/>
      <c r="N57" s="338"/>
      <c r="O57" s="338"/>
      <c r="P57" s="338"/>
      <c r="Q57" s="338"/>
      <c r="R57" s="338"/>
      <c r="S57" s="338"/>
      <c r="T57" s="338"/>
      <c r="U57" s="338"/>
      <c r="V57" s="338"/>
      <c r="W57" s="338"/>
      <c r="X57" s="338"/>
      <c r="Y57" s="338"/>
      <c r="Z57" s="338"/>
      <c r="AA57" s="338"/>
      <c r="AB57" s="338"/>
      <c r="AC57" s="338"/>
    </row>
    <row r="58" s="2173" customFormat="1" ht="12.75" spans="1:29">
      <c r="A58" s="2212" t="s">
        <v>977</v>
      </c>
      <c r="B58" s="2213">
        <f>C50</f>
        <v>4044</v>
      </c>
      <c r="C58" s="2214">
        <v>1</v>
      </c>
      <c r="D58" s="2215">
        <v>1</v>
      </c>
      <c r="E58" s="2214">
        <f>'数据-汇总表'!E8+'数据-汇总表'!E9</f>
        <v>210801.41</v>
      </c>
      <c r="F58" s="2403">
        <f t="shared" ref="F58:F67" si="15">ROUND(B58*E58/10000,0)</f>
        <v>85248</v>
      </c>
      <c r="G58" s="2404"/>
      <c r="H58" s="2405"/>
      <c r="I58" s="2249">
        <v>1</v>
      </c>
      <c r="J58" s="2249">
        <v>1</v>
      </c>
      <c r="K58" s="2250"/>
      <c r="L58" s="2251"/>
      <c r="M58" s="2251"/>
      <c r="N58" s="2251"/>
      <c r="O58" s="2251"/>
      <c r="P58" s="2251"/>
      <c r="Q58" s="2251"/>
      <c r="R58" s="2251"/>
      <c r="S58" s="2251"/>
      <c r="T58" s="2251"/>
      <c r="U58" s="2251"/>
      <c r="V58" s="2251"/>
      <c r="W58" s="2251"/>
      <c r="X58" s="2251"/>
      <c r="Y58" s="2251"/>
      <c r="Z58" s="2251"/>
      <c r="AA58" s="2251"/>
      <c r="AB58" s="2251"/>
      <c r="AC58" s="2251"/>
    </row>
    <row r="59" s="2173" customFormat="1" ht="12.75" spans="1:29">
      <c r="A59" s="2219" t="s">
        <v>978</v>
      </c>
      <c r="B59" s="2220">
        <f>ROUND($C$50*C59*D59,0)</f>
        <v>0</v>
      </c>
      <c r="C59" s="1990">
        <f t="shared" ref="C59:C67" si="16">IF($C$57="北京市系数",I59,J59)</f>
        <v>0</v>
      </c>
      <c r="D59" s="2221">
        <v>0.25</v>
      </c>
      <c r="E59" s="2222">
        <v>0</v>
      </c>
      <c r="F59" s="2403">
        <f t="shared" si="15"/>
        <v>0</v>
      </c>
      <c r="G59" s="2406" t="s">
        <v>979</v>
      </c>
      <c r="H59" s="2407">
        <f>项目基本情况!B43</f>
        <v>0</v>
      </c>
      <c r="I59" s="2249">
        <f>SUMIF(修正!$A$45:$A$56,H59,修正!B45:B56)</f>
        <v>0</v>
      </c>
      <c r="J59" s="2252"/>
      <c r="K59" s="2250"/>
      <c r="L59" s="2251"/>
      <c r="M59" s="2251"/>
      <c r="N59" s="2251"/>
      <c r="O59" s="2251"/>
      <c r="P59" s="2251"/>
      <c r="Q59" s="2251"/>
      <c r="R59" s="2251"/>
      <c r="S59" s="2251"/>
      <c r="T59" s="2251"/>
      <c r="U59" s="2251"/>
      <c r="V59" s="2251"/>
      <c r="W59" s="2251"/>
      <c r="X59" s="2251"/>
      <c r="Y59" s="2251"/>
      <c r="Z59" s="2251"/>
      <c r="AA59" s="2251"/>
      <c r="AB59" s="2251"/>
      <c r="AC59" s="2251"/>
    </row>
    <row r="60" s="2173" customFormat="1" ht="12.75" spans="1:29">
      <c r="A60" s="2219" t="s">
        <v>980</v>
      </c>
      <c r="B60" s="2220">
        <f t="shared" ref="B60:B67" si="17">ROUND($C$50*C60*D60,0)</f>
        <v>0</v>
      </c>
      <c r="C60" s="1990">
        <f t="shared" si="16"/>
        <v>0</v>
      </c>
      <c r="D60" s="2221">
        <v>0.25</v>
      </c>
      <c r="E60" s="2222">
        <v>0</v>
      </c>
      <c r="F60" s="2403">
        <f t="shared" si="15"/>
        <v>0</v>
      </c>
      <c r="G60" s="2406"/>
      <c r="H60" s="2407">
        <f>项目基本情况!B43</f>
        <v>0</v>
      </c>
      <c r="I60" s="2249">
        <f>SUMIF(修正!$A$45:$A$56,H60,修正!C45:C56)</f>
        <v>0</v>
      </c>
      <c r="J60" s="2252"/>
      <c r="K60" s="2250"/>
      <c r="L60" s="2251"/>
      <c r="M60" s="2251"/>
      <c r="N60" s="2251"/>
      <c r="O60" s="2251"/>
      <c r="P60" s="2251"/>
      <c r="Q60" s="2251"/>
      <c r="R60" s="2251"/>
      <c r="S60" s="2251"/>
      <c r="T60" s="2251"/>
      <c r="U60" s="2251"/>
      <c r="V60" s="2251"/>
      <c r="W60" s="2251"/>
      <c r="X60" s="2251"/>
      <c r="Y60" s="2251"/>
      <c r="Z60" s="2251"/>
      <c r="AA60" s="2251"/>
      <c r="AB60" s="2251"/>
      <c r="AC60" s="2251"/>
    </row>
    <row r="61" s="2173" customFormat="1" ht="12.75" spans="1:29">
      <c r="A61" s="2219" t="s">
        <v>981</v>
      </c>
      <c r="B61" s="2220">
        <f t="shared" si="17"/>
        <v>0</v>
      </c>
      <c r="C61" s="1990">
        <f t="shared" si="16"/>
        <v>0</v>
      </c>
      <c r="D61" s="2221">
        <v>0.25</v>
      </c>
      <c r="E61" s="2222">
        <v>0</v>
      </c>
      <c r="F61" s="2403">
        <f t="shared" si="15"/>
        <v>0</v>
      </c>
      <c r="G61" s="2406"/>
      <c r="H61" s="2407">
        <f>项目基本情况!B43</f>
        <v>0</v>
      </c>
      <c r="I61" s="2249">
        <f>SUMIF(修正!$A$45:$A$56,H61,修正!D45:D56)</f>
        <v>0</v>
      </c>
      <c r="J61" s="2252"/>
      <c r="K61" s="2250"/>
      <c r="L61" s="2251"/>
      <c r="M61" s="2251"/>
      <c r="N61" s="2251"/>
      <c r="O61" s="2251"/>
      <c r="P61" s="2251"/>
      <c r="Q61" s="2251"/>
      <c r="R61" s="2251"/>
      <c r="S61" s="2251"/>
      <c r="T61" s="2251"/>
      <c r="U61" s="2251"/>
      <c r="V61" s="2251"/>
      <c r="W61" s="2251"/>
      <c r="X61" s="2251"/>
      <c r="Y61" s="2251"/>
      <c r="Z61" s="2251"/>
      <c r="AA61" s="2251"/>
      <c r="AB61" s="2251"/>
      <c r="AC61" s="2251"/>
    </row>
    <row r="62" s="2173" customFormat="1" ht="12.75" spans="1:29">
      <c r="A62" s="2219" t="s">
        <v>982</v>
      </c>
      <c r="B62" s="2220">
        <f t="shared" si="17"/>
        <v>0</v>
      </c>
      <c r="C62" s="1990">
        <f t="shared" si="16"/>
        <v>0</v>
      </c>
      <c r="D62" s="2221">
        <v>0.25</v>
      </c>
      <c r="E62" s="2222">
        <v>0</v>
      </c>
      <c r="F62" s="2403">
        <f t="shared" si="15"/>
        <v>0</v>
      </c>
      <c r="G62" s="2406"/>
      <c r="H62" s="2407">
        <f>项目基本情况!B43</f>
        <v>0</v>
      </c>
      <c r="I62" s="2249">
        <f>SUMIF(修正!$A$45:$A$56,H62,修正!E45:E56)</f>
        <v>0</v>
      </c>
      <c r="J62" s="2252"/>
      <c r="K62" s="2250"/>
      <c r="L62" s="2251"/>
      <c r="M62" s="2251"/>
      <c r="N62" s="2251"/>
      <c r="O62" s="2251"/>
      <c r="P62" s="2251"/>
      <c r="Q62" s="2251"/>
      <c r="R62" s="2251"/>
      <c r="S62" s="2251"/>
      <c r="T62" s="2251"/>
      <c r="U62" s="2251"/>
      <c r="V62" s="2251"/>
      <c r="W62" s="2251"/>
      <c r="X62" s="2251"/>
      <c r="Y62" s="2251"/>
      <c r="Z62" s="2251"/>
      <c r="AA62" s="2251"/>
      <c r="AB62" s="2251"/>
      <c r="AC62" s="2251"/>
    </row>
    <row r="63" s="2173" customFormat="1" ht="12.75" spans="1:29">
      <c r="A63" s="2226" t="s">
        <v>528</v>
      </c>
      <c r="B63" s="2220">
        <f t="shared" si="17"/>
        <v>0</v>
      </c>
      <c r="C63" s="1990">
        <f t="shared" si="16"/>
        <v>0</v>
      </c>
      <c r="D63" s="2221">
        <v>0.25</v>
      </c>
      <c r="E63" s="2227">
        <f>'数据-汇总表'!E11</f>
        <v>0</v>
      </c>
      <c r="F63" s="2403">
        <f t="shared" si="15"/>
        <v>0</v>
      </c>
      <c r="G63" s="2406" t="s">
        <v>983</v>
      </c>
      <c r="H63" s="2407">
        <f>项目基本情况!C43</f>
        <v>0</v>
      </c>
      <c r="I63" s="2249">
        <f>SUMIF(修正!$A$45:$A$56,H63,修正!F45:F56)</f>
        <v>0</v>
      </c>
      <c r="J63" s="2252"/>
      <c r="K63" s="2250"/>
      <c r="L63" s="2251"/>
      <c r="M63" s="2251"/>
      <c r="N63" s="2251"/>
      <c r="O63" s="2251"/>
      <c r="P63" s="2251"/>
      <c r="Q63" s="2251"/>
      <c r="R63" s="2251"/>
      <c r="S63" s="2251"/>
      <c r="T63" s="2251"/>
      <c r="U63" s="2251"/>
      <c r="V63" s="2251"/>
      <c r="W63" s="2251"/>
      <c r="X63" s="2251"/>
      <c r="Y63" s="2251"/>
      <c r="Z63" s="2251"/>
      <c r="AA63" s="2251"/>
      <c r="AB63" s="2251"/>
      <c r="AC63" s="2251"/>
    </row>
    <row r="64" s="2173" customFormat="1" ht="12.75" spans="1:29">
      <c r="A64" s="2219" t="s">
        <v>984</v>
      </c>
      <c r="B64" s="2220">
        <f t="shared" si="17"/>
        <v>0</v>
      </c>
      <c r="C64" s="1990">
        <f t="shared" si="16"/>
        <v>0</v>
      </c>
      <c r="D64" s="2221">
        <v>0.25</v>
      </c>
      <c r="E64" s="2227">
        <f>'数据-汇总表'!E12</f>
        <v>0</v>
      </c>
      <c r="F64" s="2403">
        <f t="shared" si="15"/>
        <v>0</v>
      </c>
      <c r="G64" s="2228" t="s">
        <v>379</v>
      </c>
      <c r="H64" s="2408">
        <f>IF(G64="商业",项目基本情况!B43,IF(G64="办公",项目基本情况!C43,IF(G64="住宅",项目基本情况!D43,项目基本情况!E43)))</f>
        <v>0</v>
      </c>
      <c r="I64" s="2249">
        <f>SUMIF(修正!$A$45:$A$56,H64,修正!G45:G56)</f>
        <v>0</v>
      </c>
      <c r="J64" s="2252"/>
      <c r="K64" s="2250"/>
      <c r="L64" s="2251"/>
      <c r="M64" s="2251"/>
      <c r="N64" s="2251"/>
      <c r="O64" s="2251"/>
      <c r="P64" s="2251"/>
      <c r="Q64" s="2251"/>
      <c r="R64" s="2251"/>
      <c r="S64" s="2251"/>
      <c r="T64" s="2251"/>
      <c r="U64" s="2251"/>
      <c r="V64" s="2251"/>
      <c r="W64" s="2251"/>
      <c r="X64" s="2251"/>
      <c r="Y64" s="2251"/>
      <c r="Z64" s="2251"/>
      <c r="AA64" s="2251"/>
      <c r="AB64" s="2251"/>
      <c r="AC64" s="2251"/>
    </row>
    <row r="65" s="2173" customFormat="1" ht="12.75" spans="1:29">
      <c r="A65" s="2219" t="s">
        <v>985</v>
      </c>
      <c r="B65" s="2220">
        <f t="shared" si="17"/>
        <v>0</v>
      </c>
      <c r="C65" s="1990">
        <f t="shared" si="16"/>
        <v>0</v>
      </c>
      <c r="D65" s="2221">
        <v>0.25</v>
      </c>
      <c r="E65" s="2227">
        <f>'数据-汇总表'!E13</f>
        <v>0</v>
      </c>
      <c r="F65" s="2403">
        <f t="shared" si="15"/>
        <v>0</v>
      </c>
      <c r="G65" s="2228" t="s">
        <v>377</v>
      </c>
      <c r="H65" s="2408">
        <f>IF(G65="商业",项目基本情况!B43,IF(G65="办公",项目基本情况!C43,IF(G65="住宅",项目基本情况!D43,项目基本情况!E43)))</f>
        <v>0</v>
      </c>
      <c r="I65" s="2249">
        <f>SUMIF(修正!$A$45:$A$56,H65,修正!H45:H56)</f>
        <v>0</v>
      </c>
      <c r="J65" s="2252"/>
      <c r="K65" s="2250"/>
      <c r="L65" s="2251"/>
      <c r="M65" s="2251"/>
      <c r="N65" s="2251"/>
      <c r="O65" s="2251"/>
      <c r="P65" s="2251"/>
      <c r="Q65" s="2251"/>
      <c r="R65" s="2251"/>
      <c r="S65" s="2251"/>
      <c r="T65" s="2251"/>
      <c r="U65" s="2251"/>
      <c r="V65" s="2251"/>
      <c r="W65" s="2251"/>
      <c r="X65" s="2251"/>
      <c r="Y65" s="2251"/>
      <c r="Z65" s="2251"/>
      <c r="AA65" s="2251"/>
      <c r="AB65" s="2251"/>
      <c r="AC65" s="2251"/>
    </row>
    <row r="66" s="2173" customFormat="1" ht="12.75" spans="1:29">
      <c r="A66" s="2219" t="s">
        <v>986</v>
      </c>
      <c r="B66" s="2220">
        <f t="shared" si="17"/>
        <v>0</v>
      </c>
      <c r="C66" s="1990">
        <f t="shared" si="16"/>
        <v>0</v>
      </c>
      <c r="D66" s="2221">
        <v>0.25</v>
      </c>
      <c r="E66" s="2227">
        <f>'数据-汇总表'!E14</f>
        <v>0</v>
      </c>
      <c r="F66" s="2403">
        <f t="shared" si="15"/>
        <v>0</v>
      </c>
      <c r="G66" s="2406" t="s">
        <v>979</v>
      </c>
      <c r="H66" s="2407">
        <f>项目基本情况!B43</f>
        <v>0</v>
      </c>
      <c r="I66" s="2249">
        <f>SUMIF(修正!$A$45:$A$56,H66,修正!H45:H56)</f>
        <v>0</v>
      </c>
      <c r="J66" s="2252"/>
      <c r="K66" s="2250"/>
      <c r="L66" s="2251"/>
      <c r="M66" s="2251"/>
      <c r="N66" s="2251"/>
      <c r="O66" s="2251"/>
      <c r="P66" s="2251"/>
      <c r="Q66" s="2251"/>
      <c r="R66" s="2251"/>
      <c r="S66" s="2251"/>
      <c r="T66" s="2251"/>
      <c r="U66" s="2251"/>
      <c r="V66" s="2251"/>
      <c r="W66" s="2251"/>
      <c r="X66" s="2251"/>
      <c r="Y66" s="2251"/>
      <c r="Z66" s="2251"/>
      <c r="AA66" s="2251"/>
      <c r="AB66" s="2251"/>
      <c r="AC66" s="2251"/>
    </row>
    <row r="67" s="2173" customFormat="1" ht="13.5" spans="1:29">
      <c r="A67" s="2219" t="s">
        <v>987</v>
      </c>
      <c r="B67" s="2220">
        <f t="shared" si="17"/>
        <v>0</v>
      </c>
      <c r="C67" s="1990">
        <f t="shared" si="16"/>
        <v>0</v>
      </c>
      <c r="D67" s="2221">
        <v>0.25</v>
      </c>
      <c r="E67" s="2227">
        <f>'数据-汇总表'!E15</f>
        <v>0</v>
      </c>
      <c r="F67" s="2403">
        <f t="shared" si="15"/>
        <v>0</v>
      </c>
      <c r="G67" s="2410" t="s">
        <v>983</v>
      </c>
      <c r="H67" s="2411">
        <f>项目基本情况!C43</f>
        <v>0</v>
      </c>
      <c r="I67" s="2249">
        <f>SUMIF(修正!$A$45:$A$56,H67,修正!H45:H56)</f>
        <v>0</v>
      </c>
      <c r="J67" s="2252"/>
      <c r="K67" s="2250"/>
      <c r="L67" s="2251"/>
      <c r="M67" s="2251"/>
      <c r="N67" s="2251"/>
      <c r="O67" s="2251"/>
      <c r="P67" s="2251"/>
      <c r="Q67" s="2251"/>
      <c r="R67" s="2251"/>
      <c r="S67" s="2251"/>
      <c r="T67" s="2251"/>
      <c r="U67" s="2251"/>
      <c r="V67" s="2251"/>
      <c r="W67" s="2251"/>
      <c r="X67" s="2251"/>
      <c r="Y67" s="2251"/>
      <c r="Z67" s="2251"/>
      <c r="AA67" s="2251"/>
      <c r="AB67" s="2251"/>
      <c r="AC67" s="2251"/>
    </row>
    <row r="68" s="2173" customFormat="1" ht="13.5" spans="1:29">
      <c r="A68" s="2231" t="s">
        <v>988</v>
      </c>
      <c r="B68" s="2232" t="s">
        <v>989</v>
      </c>
      <c r="C68" s="2232" t="s">
        <v>989</v>
      </c>
      <c r="D68" s="2232" t="s">
        <v>989</v>
      </c>
      <c r="E68" s="2232">
        <f>IF(B48="楼面地价",SUM(E58:E67),'数据-汇总表'!D3)</f>
        <v>210801.41</v>
      </c>
      <c r="F68" s="2233">
        <f>IF(B48="楼面地价",SUM(F58:F67),ROUND(C50*E68/10000,0))</f>
        <v>85248</v>
      </c>
      <c r="G68" s="2234"/>
      <c r="H68" s="2234"/>
      <c r="I68" s="2234"/>
      <c r="J68" s="2234"/>
      <c r="K68" s="2234"/>
      <c r="L68" s="2251"/>
      <c r="M68" s="2251"/>
      <c r="N68" s="2251"/>
      <c r="O68" s="2251"/>
      <c r="P68" s="2251"/>
      <c r="Q68" s="2251"/>
      <c r="R68" s="2251"/>
      <c r="S68" s="2251"/>
      <c r="T68" s="2251"/>
      <c r="U68" s="2251"/>
      <c r="V68" s="2251"/>
      <c r="W68" s="2251"/>
      <c r="X68" s="2251"/>
      <c r="Y68" s="2251"/>
      <c r="Z68" s="2251"/>
      <c r="AA68" s="2251"/>
      <c r="AB68" s="2251"/>
      <c r="AC68" s="2251"/>
    </row>
    <row r="69" spans="1:29">
      <c r="A69" s="338"/>
      <c r="B69" s="336"/>
      <c r="C69" s="337"/>
      <c r="D69" s="338"/>
      <c r="E69" s="338"/>
      <c r="F69" s="338"/>
      <c r="G69" s="338"/>
      <c r="H69" s="338"/>
      <c r="I69" s="338"/>
      <c r="J69" s="338"/>
      <c r="K69" s="416"/>
      <c r="L69" s="412"/>
      <c r="M69" s="338"/>
      <c r="N69" s="338"/>
      <c r="O69" s="338"/>
      <c r="P69" s="338"/>
      <c r="Q69" s="338"/>
      <c r="R69" s="338"/>
      <c r="S69" s="338"/>
      <c r="T69" s="338"/>
      <c r="U69" s="338"/>
      <c r="V69" s="338"/>
      <c r="W69" s="338"/>
      <c r="X69" s="338"/>
      <c r="Y69" s="338"/>
      <c r="Z69" s="338"/>
      <c r="AA69" s="338"/>
      <c r="AB69" s="338"/>
      <c r="AC69" s="338"/>
    </row>
    <row r="70" spans="1:29">
      <c r="A70" s="338"/>
      <c r="B70" s="336"/>
      <c r="C70" s="2257" t="str">
        <f>YEAR(C9)&amp;"-"&amp;MONTH(C9)&amp;"-1"</f>
        <v>2023-11-1</v>
      </c>
      <c r="D70" s="2257">
        <f>EDATE(C70,-3)</f>
        <v>45139</v>
      </c>
      <c r="E70" s="2257">
        <f t="shared" ref="E70:N70" si="18">EDATE(D70,-3)</f>
        <v>45047</v>
      </c>
      <c r="F70" s="2257">
        <f t="shared" si="18"/>
        <v>44958</v>
      </c>
      <c r="G70" s="2257">
        <f t="shared" si="18"/>
        <v>44866</v>
      </c>
      <c r="H70" s="2257">
        <f t="shared" si="18"/>
        <v>44774</v>
      </c>
      <c r="I70" s="2257">
        <f t="shared" si="18"/>
        <v>44682</v>
      </c>
      <c r="J70" s="2257">
        <f t="shared" si="18"/>
        <v>44593</v>
      </c>
      <c r="K70" s="2257">
        <f t="shared" si="18"/>
        <v>44501</v>
      </c>
      <c r="L70" s="2257">
        <f t="shared" si="18"/>
        <v>44409</v>
      </c>
      <c r="M70" s="2257">
        <f t="shared" si="18"/>
        <v>44317</v>
      </c>
      <c r="N70" s="2257">
        <f t="shared" si="18"/>
        <v>44228</v>
      </c>
      <c r="O70" s="338"/>
      <c r="P70" s="338"/>
      <c r="Q70" s="338"/>
      <c r="R70" s="338"/>
      <c r="S70" s="338"/>
      <c r="T70" s="338"/>
      <c r="U70" s="338"/>
      <c r="V70" s="338"/>
      <c r="W70" s="338"/>
      <c r="X70" s="338"/>
      <c r="Y70" s="338"/>
      <c r="Z70" s="338"/>
      <c r="AA70" s="338"/>
      <c r="AB70" s="338"/>
      <c r="AC70" s="338"/>
    </row>
    <row r="71" ht="21" spans="1:29">
      <c r="A71" s="339" t="s">
        <v>990</v>
      </c>
      <c r="B71" s="267"/>
      <c r="C71" s="340"/>
      <c r="D71" s="340"/>
      <c r="E71" s="340"/>
      <c r="F71" s="341"/>
      <c r="G71" s="341"/>
      <c r="H71" s="340"/>
      <c r="I71" s="340"/>
      <c r="J71" s="340"/>
      <c r="K71" s="417"/>
      <c r="L71" s="418"/>
      <c r="M71" s="340"/>
      <c r="N71" s="340"/>
      <c r="O71" s="419"/>
      <c r="P71" s="419"/>
      <c r="Q71" s="422"/>
      <c r="R71" s="338"/>
      <c r="S71" s="338"/>
      <c r="T71" s="338"/>
      <c r="U71" s="338"/>
      <c r="V71" s="338"/>
      <c r="W71" s="338"/>
      <c r="X71" s="338"/>
      <c r="Y71" s="338"/>
      <c r="Z71" s="338"/>
      <c r="AA71" s="338"/>
      <c r="AB71" s="338"/>
      <c r="AC71" s="338"/>
    </row>
    <row r="72" s="193" customFormat="1" ht="15" spans="1:29">
      <c r="A72" s="2258" t="s">
        <v>991</v>
      </c>
      <c r="B72" s="2412"/>
      <c r="C72" s="2259" t="str">
        <f>YEAR(C70)&amp;"-"&amp;ROUNDUP(MONTH(C70)/3,0)</f>
        <v>2023-4</v>
      </c>
      <c r="D72" s="2259" t="str">
        <f>YEAR(D70)&amp;"-"&amp;ROUNDUP(MONTH(D70)/3,0)</f>
        <v>2023-3</v>
      </c>
      <c r="E72" s="2259" t="str">
        <f t="shared" ref="E72:N72" si="19">YEAR(E70)&amp;"-"&amp;ROUNDUP(MONTH(E70)/3,0)</f>
        <v>2023-2</v>
      </c>
      <c r="F72" s="2259" t="str">
        <f t="shared" si="19"/>
        <v>2023-1</v>
      </c>
      <c r="G72" s="2259" t="str">
        <f t="shared" si="19"/>
        <v>2022-4</v>
      </c>
      <c r="H72" s="2259" t="str">
        <f t="shared" si="19"/>
        <v>2022-3</v>
      </c>
      <c r="I72" s="2259" t="str">
        <f t="shared" si="19"/>
        <v>2022-2</v>
      </c>
      <c r="J72" s="2259" t="str">
        <f t="shared" si="19"/>
        <v>2022-1</v>
      </c>
      <c r="K72" s="2259" t="str">
        <f t="shared" si="19"/>
        <v>2021-4</v>
      </c>
      <c r="L72" s="2259" t="str">
        <f t="shared" si="19"/>
        <v>2021-3</v>
      </c>
      <c r="M72" s="2259" t="str">
        <f t="shared" si="19"/>
        <v>2021-2</v>
      </c>
      <c r="N72" s="2259" t="str">
        <f t="shared" si="19"/>
        <v>2021-1</v>
      </c>
      <c r="O72" s="2266"/>
      <c r="P72" s="420"/>
      <c r="Q72" s="420"/>
      <c r="R72" s="420"/>
      <c r="S72" s="420"/>
      <c r="T72" s="420"/>
      <c r="U72" s="420"/>
      <c r="V72" s="420"/>
      <c r="W72" s="420"/>
      <c r="X72" s="420"/>
      <c r="Y72" s="420"/>
      <c r="Z72" s="420"/>
      <c r="AA72" s="420"/>
      <c r="AB72" s="420"/>
      <c r="AC72" s="420"/>
    </row>
    <row r="73" s="189" customFormat="1" ht="27" customHeight="1" spans="1:29">
      <c r="A73" s="2413" t="s">
        <v>377</v>
      </c>
      <c r="B73" s="1059" t="str">
        <f>"北京市平均增长率"&amp;TEXT(SUMIF(基准地价!N21:N25,A73,基准地价!P21:P25),"0.00%")</f>
        <v>北京市平均增长率0.00%</v>
      </c>
      <c r="C73" s="466">
        <v>100</v>
      </c>
      <c r="D73" s="489">
        <f>C73-$C$74</f>
        <v>99.5</v>
      </c>
      <c r="E73" s="489">
        <f t="shared" ref="E73:N73" si="20">D73-$C$74</f>
        <v>99</v>
      </c>
      <c r="F73" s="489">
        <f t="shared" si="20"/>
        <v>98.5</v>
      </c>
      <c r="G73" s="489">
        <f t="shared" si="20"/>
        <v>98</v>
      </c>
      <c r="H73" s="489">
        <f t="shared" si="20"/>
        <v>97.5</v>
      </c>
      <c r="I73" s="489">
        <f t="shared" si="20"/>
        <v>97</v>
      </c>
      <c r="J73" s="489">
        <f t="shared" si="20"/>
        <v>96.5</v>
      </c>
      <c r="K73" s="489">
        <f t="shared" si="20"/>
        <v>96</v>
      </c>
      <c r="L73" s="489">
        <f t="shared" si="20"/>
        <v>95.5</v>
      </c>
      <c r="M73" s="489">
        <f t="shared" si="20"/>
        <v>95</v>
      </c>
      <c r="N73" s="489">
        <f t="shared" si="20"/>
        <v>94.5</v>
      </c>
      <c r="O73" s="427"/>
      <c r="P73" s="422"/>
      <c r="Q73" s="387"/>
      <c r="R73" s="387"/>
      <c r="S73" s="387"/>
      <c r="T73" s="387"/>
      <c r="U73" s="387"/>
      <c r="V73" s="387"/>
      <c r="W73" s="387"/>
      <c r="X73" s="387"/>
      <c r="Y73" s="387"/>
      <c r="Z73" s="387"/>
      <c r="AA73" s="387"/>
      <c r="AB73" s="387"/>
      <c r="AC73" s="387"/>
    </row>
    <row r="74" s="189" customFormat="1" ht="15" customHeight="1" spans="1:29">
      <c r="A74" s="2414" t="s">
        <v>992</v>
      </c>
      <c r="B74" s="2415"/>
      <c r="C74" s="2416">
        <v>0.5</v>
      </c>
      <c r="D74" s="2262"/>
      <c r="E74" s="2262"/>
      <c r="F74" s="2262"/>
      <c r="G74" s="2262"/>
      <c r="H74" s="2262"/>
      <c r="I74" s="2262"/>
      <c r="J74" s="2262"/>
      <c r="K74" s="2262"/>
      <c r="L74" s="2262"/>
      <c r="M74" s="2262"/>
      <c r="N74" s="2262"/>
      <c r="O74" s="427"/>
      <c r="P74" s="422"/>
      <c r="Q74" s="422"/>
      <c r="R74" s="387"/>
      <c r="S74" s="387"/>
      <c r="T74" s="387"/>
      <c r="U74" s="387"/>
      <c r="V74" s="387"/>
      <c r="W74" s="387"/>
      <c r="X74" s="387"/>
      <c r="Y74" s="387"/>
      <c r="Z74" s="387"/>
      <c r="AA74" s="387"/>
      <c r="AB74" s="387"/>
      <c r="AC74" s="387"/>
    </row>
    <row r="75" s="189" customFormat="1" ht="15" spans="1:29">
      <c r="A75" s="354" t="s">
        <v>936</v>
      </c>
      <c r="B75" s="347"/>
      <c r="C75" s="355" t="s">
        <v>937</v>
      </c>
      <c r="D75" s="356"/>
      <c r="E75" s="356"/>
      <c r="F75" s="356"/>
      <c r="G75" s="356"/>
      <c r="H75" s="356"/>
      <c r="I75" s="356"/>
      <c r="J75" s="356"/>
      <c r="K75" s="356"/>
      <c r="L75" s="425"/>
      <c r="M75" s="426"/>
      <c r="N75" s="427"/>
      <c r="O75" s="427"/>
      <c r="P75" s="428"/>
      <c r="Q75" s="422"/>
      <c r="R75" s="387"/>
      <c r="S75" s="387"/>
      <c r="T75" s="387"/>
      <c r="U75" s="387"/>
      <c r="V75" s="387"/>
      <c r="W75" s="387"/>
      <c r="X75" s="387"/>
      <c r="Y75" s="387"/>
      <c r="Z75" s="387"/>
      <c r="AA75" s="387"/>
      <c r="AB75" s="387"/>
      <c r="AC75" s="387"/>
    </row>
    <row r="76" s="189" customFormat="1" ht="15.75" spans="1:29">
      <c r="A76" s="354"/>
      <c r="B76" s="347"/>
      <c r="C76" s="348">
        <v>100</v>
      </c>
      <c r="D76" s="349"/>
      <c r="E76" s="349"/>
      <c r="F76" s="349"/>
      <c r="G76" s="349"/>
      <c r="H76" s="349"/>
      <c r="I76" s="349"/>
      <c r="J76" s="349"/>
      <c r="K76" s="349"/>
      <c r="L76" s="349"/>
      <c r="M76" s="421"/>
      <c r="N76" s="427"/>
      <c r="O76" s="427"/>
      <c r="P76" s="422"/>
      <c r="Q76" s="422"/>
      <c r="R76" s="387"/>
      <c r="S76" s="387"/>
      <c r="T76" s="387"/>
      <c r="U76" s="387"/>
      <c r="V76" s="387"/>
      <c r="W76" s="387"/>
      <c r="X76" s="387"/>
      <c r="Y76" s="387"/>
      <c r="Z76" s="387"/>
      <c r="AA76" s="387"/>
      <c r="AB76" s="387"/>
      <c r="AC76" s="387"/>
    </row>
    <row r="77" spans="1:29">
      <c r="A77" s="357" t="s">
        <v>993</v>
      </c>
      <c r="B77" s="358" t="s">
        <v>994</v>
      </c>
      <c r="C77" s="1136" t="s">
        <v>377</v>
      </c>
      <c r="D77" s="360"/>
      <c r="E77" s="360"/>
      <c r="F77" s="360"/>
      <c r="G77" s="360"/>
      <c r="H77" s="360"/>
      <c r="I77" s="360"/>
      <c r="J77" s="360"/>
      <c r="K77" s="429"/>
      <c r="L77" s="430"/>
      <c r="M77" s="431"/>
      <c r="N77" s="432"/>
      <c r="O77" s="432"/>
      <c r="P77" s="427"/>
      <c r="Q77" s="422"/>
      <c r="R77" s="338"/>
      <c r="S77" s="338"/>
      <c r="T77" s="338"/>
      <c r="U77" s="338"/>
      <c r="V77" s="338"/>
      <c r="W77" s="338"/>
      <c r="X77" s="338"/>
      <c r="Y77" s="338"/>
      <c r="Z77" s="338"/>
      <c r="AA77" s="338"/>
      <c r="AB77" s="338"/>
      <c r="AC77" s="338"/>
    </row>
    <row r="78" ht="15.75" spans="1:29">
      <c r="A78" s="266"/>
      <c r="B78" s="361"/>
      <c r="C78" s="362">
        <v>100</v>
      </c>
      <c r="D78" s="362"/>
      <c r="E78" s="362"/>
      <c r="F78" s="362"/>
      <c r="G78" s="362"/>
      <c r="H78" s="362"/>
      <c r="I78" s="362"/>
      <c r="J78" s="362"/>
      <c r="K78" s="362"/>
      <c r="L78" s="362"/>
      <c r="M78" s="433"/>
      <c r="N78" s="434"/>
      <c r="O78" s="434"/>
      <c r="P78" s="427"/>
      <c r="Q78" s="422"/>
      <c r="R78" s="338"/>
      <c r="S78" s="338"/>
      <c r="T78" s="338"/>
      <c r="U78" s="338"/>
      <c r="V78" s="338"/>
      <c r="W78" s="338"/>
      <c r="X78" s="338"/>
      <c r="Y78" s="338"/>
      <c r="Z78" s="338"/>
      <c r="AA78" s="338"/>
      <c r="AB78" s="338"/>
      <c r="AC78" s="338"/>
    </row>
    <row r="79" ht="27.75" spans="1:29">
      <c r="A79" s="266"/>
      <c r="B79" s="363" t="s">
        <v>995</v>
      </c>
      <c r="C79" s="364"/>
      <c r="D79" s="364"/>
      <c r="E79" s="364"/>
      <c r="F79" s="364"/>
      <c r="G79" s="364"/>
      <c r="H79" s="364"/>
      <c r="I79" s="364"/>
      <c r="J79" s="364"/>
      <c r="K79" s="435"/>
      <c r="L79" s="436"/>
      <c r="M79" s="437"/>
      <c r="N79" s="432"/>
      <c r="O79" s="432"/>
      <c r="P79" s="427"/>
      <c r="Q79" s="422"/>
      <c r="R79" s="338"/>
      <c r="S79" s="338"/>
      <c r="T79" s="338"/>
      <c r="U79" s="338"/>
      <c r="V79" s="338"/>
      <c r="W79" s="338"/>
      <c r="X79" s="338"/>
      <c r="Y79" s="338"/>
      <c r="Z79" s="338"/>
      <c r="AA79" s="338"/>
      <c r="AB79" s="338"/>
      <c r="AC79" s="338"/>
    </row>
    <row r="80" ht="15.75" spans="1:29">
      <c r="A80" s="266"/>
      <c r="B80" s="365"/>
      <c r="C80" s="366"/>
      <c r="D80" s="366"/>
      <c r="E80" s="366"/>
      <c r="F80" s="366"/>
      <c r="G80" s="366"/>
      <c r="H80" s="366"/>
      <c r="I80" s="366"/>
      <c r="J80" s="366"/>
      <c r="K80" s="366"/>
      <c r="L80" s="366"/>
      <c r="M80" s="438"/>
      <c r="N80" s="434"/>
      <c r="O80" s="434"/>
      <c r="P80" s="427"/>
      <c r="Q80" s="422"/>
      <c r="R80" s="338"/>
      <c r="S80" s="338"/>
      <c r="T80" s="338"/>
      <c r="U80" s="338"/>
      <c r="V80" s="338"/>
      <c r="W80" s="338"/>
      <c r="X80" s="338"/>
      <c r="Y80" s="338"/>
      <c r="Z80" s="338"/>
      <c r="AA80" s="338"/>
      <c r="AB80" s="338"/>
      <c r="AC80" s="338"/>
    </row>
    <row r="81" ht="15.75" spans="1:29">
      <c r="A81" s="266"/>
      <c r="B81" s="486" t="s">
        <v>996</v>
      </c>
      <c r="C81" s="551" t="str">
        <f>C82&amp;"（含）"&amp;"-"&amp;D82</f>
        <v>0（含）-1</v>
      </c>
      <c r="D81" s="551" t="str">
        <f t="shared" ref="D81:L81" si="21">D82&amp;"（含）"&amp;"-"&amp;E82</f>
        <v>1（含）-2</v>
      </c>
      <c r="E81" s="551" t="str">
        <f t="shared" si="21"/>
        <v>2（含）-</v>
      </c>
      <c r="F81" s="551" t="str">
        <f t="shared" si="21"/>
        <v>（含）-</v>
      </c>
      <c r="G81" s="551" t="str">
        <f t="shared" si="21"/>
        <v>（含）-</v>
      </c>
      <c r="H81" s="551" t="str">
        <f t="shared" si="21"/>
        <v>（含）-</v>
      </c>
      <c r="I81" s="551" t="str">
        <f t="shared" si="21"/>
        <v>（含）-</v>
      </c>
      <c r="J81" s="551" t="str">
        <f t="shared" si="21"/>
        <v>（含）-</v>
      </c>
      <c r="K81" s="551" t="str">
        <f t="shared" si="21"/>
        <v>（含）-</v>
      </c>
      <c r="L81" s="551" t="str">
        <f t="shared" si="21"/>
        <v>（含）-</v>
      </c>
      <c r="M81" s="269" t="str">
        <f>M82&amp;"（含）"&amp;"-"&amp;P82</f>
        <v>（含）-</v>
      </c>
      <c r="N81" s="434"/>
      <c r="O81" s="434"/>
      <c r="P81" s="427"/>
      <c r="Q81" s="422"/>
      <c r="R81" s="338"/>
      <c r="S81" s="338"/>
      <c r="T81" s="338"/>
      <c r="U81" s="338"/>
      <c r="V81" s="338"/>
      <c r="W81" s="338"/>
      <c r="X81" s="338"/>
      <c r="Y81" s="338"/>
      <c r="Z81" s="338"/>
      <c r="AA81" s="338"/>
      <c r="AB81" s="338"/>
      <c r="AC81" s="338"/>
    </row>
    <row r="82" ht="15" spans="1:29">
      <c r="A82" s="266"/>
      <c r="B82" s="552"/>
      <c r="C82" s="368">
        <v>0</v>
      </c>
      <c r="D82" s="368">
        <v>1</v>
      </c>
      <c r="E82" s="368">
        <v>2</v>
      </c>
      <c r="F82" s="368"/>
      <c r="G82" s="368"/>
      <c r="H82" s="368"/>
      <c r="I82" s="368"/>
      <c r="J82" s="368"/>
      <c r="K82" s="439"/>
      <c r="L82" s="440"/>
      <c r="M82" s="441"/>
      <c r="N82" s="432"/>
      <c r="O82" s="432"/>
      <c r="P82" s="427"/>
      <c r="Q82" s="422"/>
      <c r="R82" s="338"/>
      <c r="S82" s="338"/>
      <c r="T82" s="338"/>
      <c r="U82" s="338"/>
      <c r="V82" s="338"/>
      <c r="W82" s="338"/>
      <c r="X82" s="338"/>
      <c r="Y82" s="338"/>
      <c r="Z82" s="338"/>
      <c r="AA82" s="338"/>
      <c r="AB82" s="338"/>
      <c r="AC82" s="338"/>
    </row>
    <row r="83" ht="15.75" spans="1:29">
      <c r="A83" s="266"/>
      <c r="B83" s="361"/>
      <c r="C83" s="366">
        <v>100</v>
      </c>
      <c r="D83" s="366">
        <f>IF($B$48="单位面积地价",C83+$K13,C83-$K13)</f>
        <v>99.5</v>
      </c>
      <c r="E83" s="366">
        <f t="shared" ref="E83:M83" si="22">IF($B$48="单位面积地价",D83+$K13,D83-$K13)</f>
        <v>99</v>
      </c>
      <c r="F83" s="366">
        <f t="shared" si="22"/>
        <v>98.5</v>
      </c>
      <c r="G83" s="366">
        <f t="shared" si="22"/>
        <v>98</v>
      </c>
      <c r="H83" s="366">
        <f t="shared" si="22"/>
        <v>97.5</v>
      </c>
      <c r="I83" s="366">
        <f t="shared" si="22"/>
        <v>97</v>
      </c>
      <c r="J83" s="366">
        <f t="shared" si="22"/>
        <v>96.5</v>
      </c>
      <c r="K83" s="366">
        <f t="shared" si="22"/>
        <v>96</v>
      </c>
      <c r="L83" s="366">
        <f t="shared" si="22"/>
        <v>95.5</v>
      </c>
      <c r="M83" s="366">
        <f t="shared" si="22"/>
        <v>95</v>
      </c>
      <c r="N83" s="434"/>
      <c r="O83" s="434"/>
      <c r="P83" s="427"/>
      <c r="Q83" s="422"/>
      <c r="R83" s="338"/>
      <c r="S83" s="338"/>
      <c r="T83" s="338"/>
      <c r="U83" s="338"/>
      <c r="V83" s="338"/>
      <c r="W83" s="338"/>
      <c r="X83" s="338"/>
      <c r="Y83" s="338"/>
      <c r="Z83" s="338"/>
      <c r="AA83" s="338"/>
      <c r="AB83" s="338"/>
      <c r="AC83" s="338"/>
    </row>
    <row r="84" s="191" customFormat="1" ht="15.75" spans="1:29">
      <c r="A84" s="370"/>
      <c r="B84" s="363" t="str">
        <f>B14</f>
        <v>配建</v>
      </c>
      <c r="C84" s="371"/>
      <c r="D84" s="2264"/>
      <c r="E84" s="2417"/>
      <c r="F84" s="371"/>
      <c r="G84" s="371"/>
      <c r="H84" s="372"/>
      <c r="I84" s="372"/>
      <c r="J84" s="372"/>
      <c r="K84" s="372"/>
      <c r="L84" s="442"/>
      <c r="M84" s="443"/>
      <c r="N84" s="444"/>
      <c r="O84" s="444"/>
      <c r="P84" s="444"/>
      <c r="Q84" s="475"/>
      <c r="R84" s="404"/>
      <c r="S84" s="404"/>
      <c r="T84" s="404"/>
      <c r="U84" s="404"/>
      <c r="V84" s="404"/>
      <c r="W84" s="404"/>
      <c r="X84" s="404"/>
      <c r="Y84" s="404"/>
      <c r="Z84" s="404"/>
      <c r="AA84" s="404"/>
      <c r="AB84" s="404"/>
      <c r="AC84" s="404"/>
    </row>
    <row r="85" s="191" customFormat="1" ht="15.75" spans="1:29">
      <c r="A85" s="370"/>
      <c r="B85" s="365"/>
      <c r="C85" s="369"/>
      <c r="D85" s="362"/>
      <c r="E85" s="362"/>
      <c r="F85" s="362"/>
      <c r="G85" s="362"/>
      <c r="H85" s="362"/>
      <c r="I85" s="362"/>
      <c r="J85" s="362"/>
      <c r="K85" s="362"/>
      <c r="L85" s="362"/>
      <c r="M85" s="433"/>
      <c r="N85" s="434"/>
      <c r="O85" s="434"/>
      <c r="P85" s="444"/>
      <c r="Q85" s="475"/>
      <c r="R85" s="404"/>
      <c r="S85" s="404"/>
      <c r="T85" s="404"/>
      <c r="U85" s="404"/>
      <c r="V85" s="404"/>
      <c r="W85" s="404"/>
      <c r="X85" s="404"/>
      <c r="Y85" s="404"/>
      <c r="Z85" s="404"/>
      <c r="AA85" s="404"/>
      <c r="AB85" s="404"/>
      <c r="AC85" s="404"/>
    </row>
    <row r="86" s="191" customFormat="1" ht="15.75" spans="1:29">
      <c r="A86" s="370"/>
      <c r="B86" s="363">
        <f>B15</f>
        <v>111</v>
      </c>
      <c r="C86" s="371"/>
      <c r="D86" s="371"/>
      <c r="E86" s="371"/>
      <c r="F86" s="371"/>
      <c r="G86" s="371"/>
      <c r="H86" s="372"/>
      <c r="I86" s="372"/>
      <c r="J86" s="372"/>
      <c r="K86" s="372"/>
      <c r="L86" s="442"/>
      <c r="M86" s="443"/>
      <c r="N86" s="444"/>
      <c r="O86" s="444"/>
      <c r="P86" s="404"/>
      <c r="Q86" s="476"/>
      <c r="R86" s="404"/>
      <c r="S86" s="404"/>
      <c r="T86" s="404"/>
      <c r="U86" s="404"/>
      <c r="V86" s="404"/>
      <c r="W86" s="404"/>
      <c r="X86" s="404"/>
      <c r="Y86" s="404"/>
      <c r="Z86" s="404"/>
      <c r="AA86" s="404"/>
      <c r="AB86" s="404"/>
      <c r="AC86" s="404"/>
    </row>
    <row r="87" s="191" customFormat="1" ht="15.75" spans="1:29">
      <c r="A87" s="370"/>
      <c r="B87" s="365"/>
      <c r="C87" s="369"/>
      <c r="D87" s="369"/>
      <c r="E87" s="369"/>
      <c r="F87" s="369"/>
      <c r="G87" s="369"/>
      <c r="H87" s="373"/>
      <c r="I87" s="373"/>
      <c r="J87" s="373"/>
      <c r="K87" s="373"/>
      <c r="L87" s="373"/>
      <c r="M87" s="445"/>
      <c r="N87" s="444"/>
      <c r="O87" s="444"/>
      <c r="P87" s="444"/>
      <c r="Q87" s="475"/>
      <c r="R87" s="404"/>
      <c r="S87" s="404"/>
      <c r="T87" s="404"/>
      <c r="U87" s="404"/>
      <c r="V87" s="404"/>
      <c r="W87" s="404"/>
      <c r="X87" s="404"/>
      <c r="Y87" s="404"/>
      <c r="Z87" s="404"/>
      <c r="AA87" s="404"/>
      <c r="AB87" s="404"/>
      <c r="AC87" s="404"/>
    </row>
    <row r="88" s="191" customFormat="1" ht="15.75" spans="1:29">
      <c r="A88" s="370"/>
      <c r="B88" s="486">
        <f>B16</f>
        <v>111</v>
      </c>
      <c r="C88" s="356"/>
      <c r="D88" s="356"/>
      <c r="E88" s="356"/>
      <c r="F88" s="356"/>
      <c r="G88" s="356"/>
      <c r="H88" s="554"/>
      <c r="I88" s="554"/>
      <c r="J88" s="554"/>
      <c r="K88" s="554"/>
      <c r="L88" s="562"/>
      <c r="M88" s="563"/>
      <c r="N88" s="444"/>
      <c r="O88" s="444"/>
      <c r="P88" s="564"/>
      <c r="Q88" s="475"/>
      <c r="R88" s="404"/>
      <c r="S88" s="404"/>
      <c r="T88" s="404"/>
      <c r="U88" s="404"/>
      <c r="V88" s="404"/>
      <c r="W88" s="404"/>
      <c r="X88" s="404"/>
      <c r="Y88" s="404"/>
      <c r="Z88" s="404"/>
      <c r="AA88" s="404"/>
      <c r="AB88" s="404"/>
      <c r="AC88" s="404"/>
    </row>
    <row r="89" s="191" customFormat="1" ht="15.75" spans="1:29">
      <c r="A89" s="555"/>
      <c r="B89" s="556"/>
      <c r="C89" s="557"/>
      <c r="D89" s="557"/>
      <c r="E89" s="557"/>
      <c r="F89" s="557"/>
      <c r="G89" s="557"/>
      <c r="H89" s="558"/>
      <c r="I89" s="558"/>
      <c r="J89" s="558"/>
      <c r="K89" s="558"/>
      <c r="L89" s="558"/>
      <c r="M89" s="565"/>
      <c r="N89" s="444"/>
      <c r="O89" s="444"/>
      <c r="P89" s="444"/>
      <c r="Q89" s="475"/>
      <c r="R89" s="404"/>
      <c r="S89" s="404"/>
      <c r="T89" s="404"/>
      <c r="U89" s="404"/>
      <c r="V89" s="404"/>
      <c r="W89" s="404"/>
      <c r="X89" s="404"/>
      <c r="Y89" s="404"/>
      <c r="Z89" s="404"/>
      <c r="AA89" s="404"/>
      <c r="AB89" s="404"/>
      <c r="AC89" s="404"/>
    </row>
    <row r="90" spans="1:29">
      <c r="A90" s="357" t="s">
        <v>997</v>
      </c>
      <c r="B90" s="358" t="s">
        <v>225</v>
      </c>
      <c r="C90" s="374" t="s">
        <v>246</v>
      </c>
      <c r="D90" s="374" t="s">
        <v>258</v>
      </c>
      <c r="E90" s="374" t="s">
        <v>269</v>
      </c>
      <c r="F90" s="374" t="s">
        <v>279</v>
      </c>
      <c r="G90" s="374" t="s">
        <v>287</v>
      </c>
      <c r="H90" s="359"/>
      <c r="I90" s="359"/>
      <c r="J90" s="359"/>
      <c r="K90" s="446"/>
      <c r="L90" s="447"/>
      <c r="M90" s="448"/>
      <c r="N90" s="432"/>
      <c r="O90" s="432"/>
      <c r="P90" s="449"/>
      <c r="Q90" s="422"/>
      <c r="R90" s="338"/>
      <c r="S90" s="338"/>
      <c r="T90" s="338"/>
      <c r="U90" s="338"/>
      <c r="V90" s="338"/>
      <c r="W90" s="338"/>
      <c r="X90" s="338"/>
      <c r="Y90" s="338"/>
      <c r="Z90" s="338"/>
      <c r="AA90" s="338"/>
      <c r="AB90" s="338"/>
      <c r="AC90" s="338"/>
    </row>
    <row r="91" ht="15.75" spans="1:29">
      <c r="A91" s="266"/>
      <c r="B91" s="365"/>
      <c r="C91" s="366">
        <v>100</v>
      </c>
      <c r="D91" s="366">
        <f>C91-$K17</f>
        <v>100</v>
      </c>
      <c r="E91" s="366">
        <f>D91-$K17</f>
        <v>100</v>
      </c>
      <c r="F91" s="366">
        <f>E91-$K17</f>
        <v>100</v>
      </c>
      <c r="G91" s="366">
        <f>F91-$K17</f>
        <v>100</v>
      </c>
      <c r="H91" s="366"/>
      <c r="I91" s="366"/>
      <c r="J91" s="366"/>
      <c r="K91" s="366"/>
      <c r="L91" s="366"/>
      <c r="M91" s="438"/>
      <c r="N91" s="434"/>
      <c r="O91" s="434"/>
      <c r="P91" s="427"/>
      <c r="Q91" s="422"/>
      <c r="R91" s="338"/>
      <c r="S91" s="338"/>
      <c r="T91" s="338"/>
      <c r="U91" s="338"/>
      <c r="V91" s="338"/>
      <c r="W91" s="338"/>
      <c r="X91" s="338"/>
      <c r="Y91" s="338"/>
      <c r="Z91" s="338"/>
      <c r="AA91" s="338"/>
      <c r="AB91" s="338"/>
      <c r="AC91" s="338"/>
    </row>
    <row r="92" ht="15.75" spans="1:29">
      <c r="A92" s="266"/>
      <c r="B92" s="363" t="s">
        <v>226</v>
      </c>
      <c r="C92" s="376" t="s">
        <v>246</v>
      </c>
      <c r="D92" s="376" t="s">
        <v>258</v>
      </c>
      <c r="E92" s="376" t="s">
        <v>269</v>
      </c>
      <c r="F92" s="376" t="s">
        <v>279</v>
      </c>
      <c r="G92" s="376" t="s">
        <v>287</v>
      </c>
      <c r="H92" s="364"/>
      <c r="I92" s="364"/>
      <c r="J92" s="364"/>
      <c r="K92" s="435"/>
      <c r="L92" s="436"/>
      <c r="M92" s="437"/>
      <c r="N92" s="432"/>
      <c r="O92" s="432"/>
      <c r="P92" s="427"/>
      <c r="Q92" s="422"/>
      <c r="R92" s="338"/>
      <c r="S92" s="338"/>
      <c r="T92" s="338"/>
      <c r="U92" s="338"/>
      <c r="V92" s="338"/>
      <c r="W92" s="338"/>
      <c r="X92" s="338"/>
      <c r="Y92" s="338"/>
      <c r="Z92" s="338"/>
      <c r="AA92" s="338"/>
      <c r="AB92" s="338"/>
      <c r="AC92" s="338"/>
    </row>
    <row r="93" ht="15.75" spans="1:29">
      <c r="A93" s="266"/>
      <c r="B93" s="365"/>
      <c r="C93" s="366">
        <v>100</v>
      </c>
      <c r="D93" s="366">
        <f>C93-$K19</f>
        <v>100</v>
      </c>
      <c r="E93" s="366">
        <f>D93-$K19</f>
        <v>100</v>
      </c>
      <c r="F93" s="366">
        <f>E93-$K19</f>
        <v>100</v>
      </c>
      <c r="G93" s="366">
        <f>F93-$K19</f>
        <v>100</v>
      </c>
      <c r="H93" s="366"/>
      <c r="I93" s="366"/>
      <c r="J93" s="366"/>
      <c r="K93" s="366"/>
      <c r="L93" s="366"/>
      <c r="M93" s="438"/>
      <c r="N93" s="434"/>
      <c r="O93" s="434"/>
      <c r="P93" s="427"/>
      <c r="Q93" s="422"/>
      <c r="R93" s="338"/>
      <c r="S93" s="338"/>
      <c r="T93" s="338"/>
      <c r="U93" s="338"/>
      <c r="V93" s="338"/>
      <c r="W93" s="338"/>
      <c r="X93" s="338"/>
      <c r="Y93" s="338"/>
      <c r="Z93" s="338"/>
      <c r="AA93" s="338"/>
      <c r="AB93" s="338"/>
      <c r="AC93" s="338"/>
    </row>
    <row r="94" ht="15.75" spans="1:29">
      <c r="A94" s="266"/>
      <c r="B94" s="363" t="s">
        <v>227</v>
      </c>
      <c r="C94" s="376" t="s">
        <v>246</v>
      </c>
      <c r="D94" s="376" t="s">
        <v>258</v>
      </c>
      <c r="E94" s="376" t="s">
        <v>269</v>
      </c>
      <c r="F94" s="376" t="s">
        <v>279</v>
      </c>
      <c r="G94" s="376" t="s">
        <v>287</v>
      </c>
      <c r="H94" s="364"/>
      <c r="I94" s="364"/>
      <c r="J94" s="364"/>
      <c r="K94" s="435"/>
      <c r="L94" s="436"/>
      <c r="M94" s="437"/>
      <c r="N94" s="432"/>
      <c r="O94" s="432"/>
      <c r="P94" s="427"/>
      <c r="Q94" s="422"/>
      <c r="R94" s="338"/>
      <c r="S94" s="338"/>
      <c r="T94" s="338"/>
      <c r="U94" s="338"/>
      <c r="V94" s="338"/>
      <c r="W94" s="338"/>
      <c r="X94" s="338"/>
      <c r="Y94" s="338"/>
      <c r="Z94" s="338"/>
      <c r="AA94" s="338"/>
      <c r="AB94" s="338"/>
      <c r="AC94" s="338"/>
    </row>
    <row r="95" ht="15.75" spans="1:29">
      <c r="A95" s="266"/>
      <c r="B95" s="365"/>
      <c r="C95" s="366">
        <v>100</v>
      </c>
      <c r="D95" s="366">
        <f>C95-$K21</f>
        <v>100</v>
      </c>
      <c r="E95" s="366">
        <f>D95-$K21</f>
        <v>100</v>
      </c>
      <c r="F95" s="366">
        <f>E95-$K21</f>
        <v>100</v>
      </c>
      <c r="G95" s="366">
        <f>F95-$K21</f>
        <v>100</v>
      </c>
      <c r="H95" s="366"/>
      <c r="I95" s="366"/>
      <c r="J95" s="366"/>
      <c r="K95" s="366"/>
      <c r="L95" s="366"/>
      <c r="M95" s="438"/>
      <c r="N95" s="434"/>
      <c r="O95" s="434"/>
      <c r="P95" s="427"/>
      <c r="Q95" s="422"/>
      <c r="R95" s="338"/>
      <c r="S95" s="338"/>
      <c r="T95" s="338"/>
      <c r="U95" s="338"/>
      <c r="V95" s="338"/>
      <c r="W95" s="338"/>
      <c r="X95" s="338"/>
      <c r="Y95" s="338"/>
      <c r="Z95" s="338"/>
      <c r="AA95" s="338"/>
      <c r="AB95" s="338"/>
      <c r="AC95" s="338"/>
    </row>
    <row r="96" ht="15.75" spans="1:29">
      <c r="A96" s="266"/>
      <c r="B96" s="363" t="s">
        <v>229</v>
      </c>
      <c r="C96" s="376" t="s">
        <v>246</v>
      </c>
      <c r="D96" s="376" t="s">
        <v>258</v>
      </c>
      <c r="E96" s="376" t="s">
        <v>269</v>
      </c>
      <c r="F96" s="376" t="s">
        <v>279</v>
      </c>
      <c r="G96" s="376" t="s">
        <v>287</v>
      </c>
      <c r="H96" s="364"/>
      <c r="I96" s="364"/>
      <c r="J96" s="364"/>
      <c r="K96" s="435"/>
      <c r="L96" s="436"/>
      <c r="M96" s="437"/>
      <c r="N96" s="432"/>
      <c r="O96" s="432"/>
      <c r="P96" s="427"/>
      <c r="Q96" s="422"/>
      <c r="R96" s="338"/>
      <c r="S96" s="338"/>
      <c r="T96" s="338"/>
      <c r="U96" s="338"/>
      <c r="V96" s="338"/>
      <c r="W96" s="338"/>
      <c r="X96" s="338"/>
      <c r="Y96" s="338"/>
      <c r="Z96" s="338"/>
      <c r="AA96" s="338"/>
      <c r="AB96" s="338"/>
      <c r="AC96" s="338"/>
    </row>
    <row r="97" ht="15.75" spans="1:29">
      <c r="A97" s="266"/>
      <c r="B97" s="365"/>
      <c r="C97" s="366">
        <v>100</v>
      </c>
      <c r="D97" s="366">
        <f>C97-$K23</f>
        <v>100</v>
      </c>
      <c r="E97" s="366">
        <f>D97-$K23</f>
        <v>100</v>
      </c>
      <c r="F97" s="366">
        <f>E97-$K23</f>
        <v>100</v>
      </c>
      <c r="G97" s="366">
        <f>F97-$K23</f>
        <v>100</v>
      </c>
      <c r="H97" s="366"/>
      <c r="I97" s="366"/>
      <c r="J97" s="366"/>
      <c r="K97" s="366"/>
      <c r="L97" s="366"/>
      <c r="M97" s="438"/>
      <c r="N97" s="434"/>
      <c r="O97" s="434"/>
      <c r="P97" s="427"/>
      <c r="Q97" s="422"/>
      <c r="R97" s="338"/>
      <c r="S97" s="338"/>
      <c r="T97" s="338"/>
      <c r="U97" s="338"/>
      <c r="V97" s="338"/>
      <c r="W97" s="338"/>
      <c r="X97" s="338"/>
      <c r="Y97" s="338"/>
      <c r="Z97" s="338"/>
      <c r="AA97" s="338"/>
      <c r="AB97" s="338"/>
      <c r="AC97" s="338"/>
    </row>
    <row r="98" s="189" customFormat="1" ht="15.75" spans="1:29">
      <c r="A98" s="290"/>
      <c r="B98" s="363" t="s">
        <v>230</v>
      </c>
      <c r="C98" s="376" t="s">
        <v>246</v>
      </c>
      <c r="D98" s="376" t="s">
        <v>258</v>
      </c>
      <c r="E98" s="376" t="s">
        <v>269</v>
      </c>
      <c r="F98" s="376" t="s">
        <v>279</v>
      </c>
      <c r="G98" s="376" t="s">
        <v>287</v>
      </c>
      <c r="H98" s="376"/>
      <c r="I98" s="376"/>
      <c r="J98" s="376"/>
      <c r="K98" s="376"/>
      <c r="L98" s="2271"/>
      <c r="M98" s="501"/>
      <c r="N98" s="427"/>
      <c r="O98" s="427"/>
      <c r="P98" s="427"/>
      <c r="Q98" s="422"/>
      <c r="R98" s="387"/>
      <c r="S98" s="387"/>
      <c r="T98" s="387"/>
      <c r="U98" s="387"/>
      <c r="V98" s="387"/>
      <c r="W98" s="387"/>
      <c r="X98" s="387"/>
      <c r="Y98" s="387"/>
      <c r="Z98" s="387"/>
      <c r="AA98" s="387"/>
      <c r="AB98" s="387"/>
      <c r="AC98" s="387"/>
    </row>
    <row r="99" s="189" customFormat="1" ht="15.75" spans="1:29">
      <c r="A99" s="290"/>
      <c r="B99" s="365"/>
      <c r="C99" s="488">
        <v>100</v>
      </c>
      <c r="D99" s="366">
        <f>C99-$K25</f>
        <v>100</v>
      </c>
      <c r="E99" s="366">
        <f>D99-$K25</f>
        <v>100</v>
      </c>
      <c r="F99" s="366">
        <f>E99-$K25</f>
        <v>100</v>
      </c>
      <c r="G99" s="366">
        <f>F99-$K25</f>
        <v>100</v>
      </c>
      <c r="H99" s="366"/>
      <c r="I99" s="366"/>
      <c r="J99" s="366"/>
      <c r="K99" s="366"/>
      <c r="L99" s="366"/>
      <c r="M99" s="438"/>
      <c r="N99" s="434"/>
      <c r="O99" s="434"/>
      <c r="P99" s="427"/>
      <c r="Q99" s="422"/>
      <c r="R99" s="387"/>
      <c r="S99" s="387"/>
      <c r="T99" s="387"/>
      <c r="U99" s="387"/>
      <c r="V99" s="387"/>
      <c r="W99" s="387"/>
      <c r="X99" s="387"/>
      <c r="Y99" s="387"/>
      <c r="Z99" s="387"/>
      <c r="AA99" s="387"/>
      <c r="AB99" s="387"/>
      <c r="AC99" s="387"/>
    </row>
    <row r="100" s="189" customFormat="1" ht="27.75" spans="1:29">
      <c r="A100" s="290"/>
      <c r="B100" s="363" t="s">
        <v>950</v>
      </c>
      <c r="C100" s="374" t="s">
        <v>246</v>
      </c>
      <c r="D100" s="374" t="s">
        <v>258</v>
      </c>
      <c r="E100" s="374" t="s">
        <v>269</v>
      </c>
      <c r="F100" s="374" t="s">
        <v>279</v>
      </c>
      <c r="G100" s="374" t="s">
        <v>287</v>
      </c>
      <c r="H100" s="376"/>
      <c r="I100" s="376"/>
      <c r="J100" s="376"/>
      <c r="K100" s="376"/>
      <c r="L100" s="376"/>
      <c r="M100" s="501"/>
      <c r="N100" s="427"/>
      <c r="O100" s="427"/>
      <c r="P100" s="427"/>
      <c r="Q100" s="422"/>
      <c r="R100" s="387"/>
      <c r="S100" s="387"/>
      <c r="T100" s="387"/>
      <c r="U100" s="387"/>
      <c r="V100" s="387"/>
      <c r="W100" s="387"/>
      <c r="X100" s="387"/>
      <c r="Y100" s="387"/>
      <c r="Z100" s="387"/>
      <c r="AA100" s="387"/>
      <c r="AB100" s="387"/>
      <c r="AC100" s="387"/>
    </row>
    <row r="101" s="189" customFormat="1" ht="15.75" spans="1:29">
      <c r="A101" s="290"/>
      <c r="B101" s="365"/>
      <c r="C101" s="366">
        <v>100</v>
      </c>
      <c r="D101" s="366">
        <f>C101-$K27</f>
        <v>100</v>
      </c>
      <c r="E101" s="366">
        <f>D101-$K27</f>
        <v>100</v>
      </c>
      <c r="F101" s="366">
        <f>E101-$K27</f>
        <v>100</v>
      </c>
      <c r="G101" s="366">
        <f>F101-$K27</f>
        <v>100</v>
      </c>
      <c r="H101" s="366"/>
      <c r="I101" s="366"/>
      <c r="J101" s="366"/>
      <c r="K101" s="366"/>
      <c r="L101" s="366"/>
      <c r="M101" s="438"/>
      <c r="N101" s="434"/>
      <c r="O101" s="434"/>
      <c r="P101" s="427"/>
      <c r="Q101" s="422"/>
      <c r="R101" s="387"/>
      <c r="S101" s="387"/>
      <c r="T101" s="387"/>
      <c r="U101" s="387"/>
      <c r="V101" s="387"/>
      <c r="W101" s="387"/>
      <c r="X101" s="387"/>
      <c r="Y101" s="387"/>
      <c r="Z101" s="387"/>
      <c r="AA101" s="387"/>
      <c r="AB101" s="387"/>
      <c r="AC101" s="387"/>
    </row>
    <row r="102" s="191" customFormat="1" ht="15.75" spans="1:29">
      <c r="A102" s="370"/>
      <c r="B102" s="375" t="s">
        <v>231</v>
      </c>
      <c r="C102" s="374" t="s">
        <v>246</v>
      </c>
      <c r="D102" s="374" t="s">
        <v>258</v>
      </c>
      <c r="E102" s="374" t="s">
        <v>269</v>
      </c>
      <c r="F102" s="374" t="s">
        <v>279</v>
      </c>
      <c r="G102" s="374" t="s">
        <v>287</v>
      </c>
      <c r="H102" s="1185"/>
      <c r="I102" s="1185"/>
      <c r="J102" s="1185"/>
      <c r="K102" s="1185"/>
      <c r="L102" s="1186"/>
      <c r="M102" s="1187"/>
      <c r="N102" s="444"/>
      <c r="O102" s="444"/>
      <c r="P102" s="444"/>
      <c r="Q102" s="475"/>
      <c r="R102" s="404"/>
      <c r="S102" s="404"/>
      <c r="T102" s="404"/>
      <c r="U102" s="404"/>
      <c r="V102" s="404"/>
      <c r="W102" s="404"/>
      <c r="X102" s="404"/>
      <c r="Y102" s="404"/>
      <c r="Z102" s="404"/>
      <c r="AA102" s="404"/>
      <c r="AB102" s="404"/>
      <c r="AC102" s="404"/>
    </row>
    <row r="103" s="191" customFormat="1" ht="15.75" spans="1:29">
      <c r="A103" s="370"/>
      <c r="B103" s="365"/>
      <c r="C103" s="366">
        <v>100</v>
      </c>
      <c r="D103" s="366">
        <f>C103-$K29</f>
        <v>100</v>
      </c>
      <c r="E103" s="366">
        <f>D103-$K29</f>
        <v>100</v>
      </c>
      <c r="F103" s="366">
        <f>E103-$K29</f>
        <v>100</v>
      </c>
      <c r="G103" s="366">
        <f>F103-$K29</f>
        <v>100</v>
      </c>
      <c r="H103" s="1190"/>
      <c r="I103" s="1190"/>
      <c r="J103" s="1190"/>
      <c r="K103" s="1190"/>
      <c r="L103" s="1190"/>
      <c r="M103" s="1191"/>
      <c r="N103" s="444"/>
      <c r="O103" s="444"/>
      <c r="P103" s="444"/>
      <c r="Q103" s="475"/>
      <c r="R103" s="404"/>
      <c r="S103" s="404"/>
      <c r="T103" s="404"/>
      <c r="U103" s="404"/>
      <c r="V103" s="404"/>
      <c r="W103" s="404"/>
      <c r="X103" s="404"/>
      <c r="Y103" s="404"/>
      <c r="Z103" s="404"/>
      <c r="AA103" s="404"/>
      <c r="AB103" s="404"/>
      <c r="AC103" s="404"/>
    </row>
    <row r="104" s="191" customFormat="1" ht="15.75" spans="1:29">
      <c r="A104" s="370"/>
      <c r="B104" s="484" t="s">
        <v>232</v>
      </c>
      <c r="C104" s="485" t="s">
        <v>247</v>
      </c>
      <c r="D104" s="485" t="s">
        <v>259</v>
      </c>
      <c r="E104" s="485" t="s">
        <v>270</v>
      </c>
      <c r="F104" s="485" t="s">
        <v>280</v>
      </c>
      <c r="G104" s="485" t="s">
        <v>288</v>
      </c>
      <c r="H104" s="1185"/>
      <c r="I104" s="1185"/>
      <c r="J104" s="1185"/>
      <c r="K104" s="1185"/>
      <c r="L104" s="1185"/>
      <c r="M104" s="1187"/>
      <c r="N104" s="444"/>
      <c r="O104" s="444"/>
      <c r="P104" s="444"/>
      <c r="Q104" s="475"/>
      <c r="R104" s="404"/>
      <c r="S104" s="404"/>
      <c r="T104" s="404"/>
      <c r="U104" s="404"/>
      <c r="V104" s="404"/>
      <c r="W104" s="404"/>
      <c r="X104" s="404"/>
      <c r="Y104" s="404"/>
      <c r="Z104" s="404"/>
      <c r="AA104" s="404"/>
      <c r="AB104" s="404"/>
      <c r="AC104" s="404"/>
    </row>
    <row r="105" s="191" customFormat="1" ht="15.75" spans="1:29">
      <c r="A105" s="370"/>
      <c r="B105" s="486"/>
      <c r="C105" s="366">
        <v>100</v>
      </c>
      <c r="D105" s="366">
        <f>C105-$K31</f>
        <v>100</v>
      </c>
      <c r="E105" s="366">
        <f>D105-$K31</f>
        <v>100</v>
      </c>
      <c r="F105" s="366">
        <f>E105-$K31</f>
        <v>100</v>
      </c>
      <c r="G105" s="366">
        <f>F105-$K31</f>
        <v>100</v>
      </c>
      <c r="H105" s="552"/>
      <c r="I105" s="552"/>
      <c r="J105" s="552"/>
      <c r="K105" s="552"/>
      <c r="L105" s="552"/>
      <c r="M105" s="2272"/>
      <c r="N105" s="444"/>
      <c r="O105" s="444"/>
      <c r="P105" s="444"/>
      <c r="Q105" s="475"/>
      <c r="R105" s="404"/>
      <c r="S105" s="404"/>
      <c r="T105" s="404"/>
      <c r="U105" s="404"/>
      <c r="V105" s="404"/>
      <c r="W105" s="404"/>
      <c r="X105" s="404"/>
      <c r="Y105" s="404"/>
      <c r="Z105" s="404"/>
      <c r="AA105" s="404"/>
      <c r="AB105" s="404"/>
      <c r="AC105" s="404"/>
    </row>
    <row r="106" ht="15.75" spans="1:29">
      <c r="A106" s="266"/>
      <c r="B106" s="363" t="str">
        <f>B33</f>
        <v>临街状况</v>
      </c>
      <c r="C106" s="364" t="s">
        <v>998</v>
      </c>
      <c r="D106" s="364" t="s">
        <v>999</v>
      </c>
      <c r="E106" s="364" t="s">
        <v>1000</v>
      </c>
      <c r="F106" s="364" t="s">
        <v>1001</v>
      </c>
      <c r="G106" s="364"/>
      <c r="H106" s="364"/>
      <c r="I106" s="364"/>
      <c r="J106" s="364"/>
      <c r="K106" s="435"/>
      <c r="L106" s="436"/>
      <c r="M106" s="437"/>
      <c r="N106" s="432"/>
      <c r="O106" s="432"/>
      <c r="P106" s="427"/>
      <c r="Q106" s="422"/>
      <c r="R106" s="338"/>
      <c r="S106" s="338"/>
      <c r="T106" s="338"/>
      <c r="U106" s="338"/>
      <c r="V106" s="338"/>
      <c r="W106" s="338"/>
      <c r="X106" s="338"/>
      <c r="Y106" s="338"/>
      <c r="Z106" s="338"/>
      <c r="AA106" s="338"/>
      <c r="AB106" s="338"/>
      <c r="AC106" s="338"/>
    </row>
    <row r="107" ht="15.75" spans="1:29">
      <c r="A107" s="266"/>
      <c r="B107" s="365"/>
      <c r="C107" s="366">
        <v>100</v>
      </c>
      <c r="D107" s="366">
        <f>C107-$K33</f>
        <v>100</v>
      </c>
      <c r="E107" s="366">
        <f t="shared" ref="E107:M107" si="23">D107-$K33</f>
        <v>100</v>
      </c>
      <c r="F107" s="366">
        <f t="shared" si="23"/>
        <v>100</v>
      </c>
      <c r="G107" s="366">
        <f t="shared" si="23"/>
        <v>100</v>
      </c>
      <c r="H107" s="366">
        <f t="shared" si="23"/>
        <v>100</v>
      </c>
      <c r="I107" s="366">
        <f t="shared" si="23"/>
        <v>100</v>
      </c>
      <c r="J107" s="366">
        <f t="shared" si="23"/>
        <v>100</v>
      </c>
      <c r="K107" s="366">
        <f t="shared" si="23"/>
        <v>100</v>
      </c>
      <c r="L107" s="366">
        <f t="shared" si="23"/>
        <v>100</v>
      </c>
      <c r="M107" s="366">
        <f t="shared" si="23"/>
        <v>100</v>
      </c>
      <c r="N107" s="434"/>
      <c r="O107" s="434"/>
      <c r="P107" s="427"/>
      <c r="Q107" s="422"/>
      <c r="R107" s="338"/>
      <c r="S107" s="338"/>
      <c r="T107" s="338"/>
      <c r="U107" s="338"/>
      <c r="V107" s="338"/>
      <c r="W107" s="338"/>
      <c r="X107" s="338"/>
      <c r="Y107" s="338"/>
      <c r="Z107" s="338"/>
      <c r="AA107" s="338"/>
      <c r="AB107" s="338"/>
      <c r="AC107" s="338"/>
    </row>
    <row r="108" ht="27.75" spans="1:29">
      <c r="A108" s="266"/>
      <c r="B108" s="363" t="s">
        <v>952</v>
      </c>
      <c r="C108" s="371"/>
      <c r="D108" s="371"/>
      <c r="E108" s="371"/>
      <c r="F108" s="371"/>
      <c r="G108" s="371"/>
      <c r="H108" s="487"/>
      <c r="I108" s="487"/>
      <c r="J108" s="487"/>
      <c r="K108" s="493"/>
      <c r="L108" s="494"/>
      <c r="M108" s="495"/>
      <c r="N108" s="432"/>
      <c r="O108" s="432"/>
      <c r="P108" s="427"/>
      <c r="Q108" s="422"/>
      <c r="R108" s="338"/>
      <c r="S108" s="338"/>
      <c r="T108" s="338"/>
      <c r="U108" s="338"/>
      <c r="V108" s="338"/>
      <c r="W108" s="338"/>
      <c r="X108" s="338"/>
      <c r="Y108" s="338"/>
      <c r="Z108" s="338"/>
      <c r="AA108" s="338"/>
      <c r="AB108" s="338"/>
      <c r="AC108" s="338"/>
    </row>
    <row r="109" ht="15.75" spans="1:29">
      <c r="A109" s="266"/>
      <c r="B109" s="365"/>
      <c r="C109" s="366">
        <v>100</v>
      </c>
      <c r="D109" s="366">
        <f>C109-$K34</f>
        <v>100</v>
      </c>
      <c r="E109" s="366">
        <f t="shared" ref="E109:M109" si="24">D109-$K34</f>
        <v>100</v>
      </c>
      <c r="F109" s="366">
        <f t="shared" si="24"/>
        <v>100</v>
      </c>
      <c r="G109" s="366">
        <f t="shared" si="24"/>
        <v>100</v>
      </c>
      <c r="H109" s="366">
        <f t="shared" si="24"/>
        <v>100</v>
      </c>
      <c r="I109" s="366">
        <f t="shared" si="24"/>
        <v>100</v>
      </c>
      <c r="J109" s="366">
        <f t="shared" si="24"/>
        <v>100</v>
      </c>
      <c r="K109" s="366">
        <f t="shared" si="24"/>
        <v>100</v>
      </c>
      <c r="L109" s="366">
        <f t="shared" si="24"/>
        <v>100</v>
      </c>
      <c r="M109" s="366">
        <f t="shared" si="24"/>
        <v>100</v>
      </c>
      <c r="N109" s="434"/>
      <c r="O109" s="434"/>
      <c r="P109" s="427"/>
      <c r="Q109" s="422"/>
      <c r="R109" s="338"/>
      <c r="S109" s="338"/>
      <c r="T109" s="338"/>
      <c r="U109" s="338"/>
      <c r="V109" s="338"/>
      <c r="W109" s="338"/>
      <c r="X109" s="338"/>
      <c r="Y109" s="338"/>
      <c r="Z109" s="338"/>
      <c r="AA109" s="338"/>
      <c r="AB109" s="338"/>
      <c r="AC109" s="338"/>
    </row>
    <row r="110" ht="15.75" spans="1:29">
      <c r="A110" s="266"/>
      <c r="B110" s="363" t="s">
        <v>953</v>
      </c>
      <c r="C110" s="487"/>
      <c r="D110" s="487"/>
      <c r="E110" s="487"/>
      <c r="F110" s="487"/>
      <c r="G110" s="487"/>
      <c r="H110" s="487"/>
      <c r="I110" s="487"/>
      <c r="J110" s="487"/>
      <c r="K110" s="493"/>
      <c r="L110" s="494"/>
      <c r="M110" s="495"/>
      <c r="N110" s="432"/>
      <c r="O110" s="432"/>
      <c r="P110" s="427"/>
      <c r="Q110" s="422"/>
      <c r="R110" s="338"/>
      <c r="S110" s="338"/>
      <c r="T110" s="338"/>
      <c r="U110" s="338"/>
      <c r="V110" s="338"/>
      <c r="W110" s="338"/>
      <c r="X110" s="338"/>
      <c r="Y110" s="338"/>
      <c r="Z110" s="338"/>
      <c r="AA110" s="338"/>
      <c r="AB110" s="338"/>
      <c r="AC110" s="338"/>
    </row>
    <row r="111" ht="15.75" spans="1:29">
      <c r="A111" s="266"/>
      <c r="B111" s="365"/>
      <c r="C111" s="366">
        <v>100</v>
      </c>
      <c r="D111" s="366">
        <f>C111-$K36</f>
        <v>100</v>
      </c>
      <c r="E111" s="366">
        <f t="shared" ref="E111:M111" si="25">D111-$K36</f>
        <v>100</v>
      </c>
      <c r="F111" s="366">
        <f t="shared" si="25"/>
        <v>100</v>
      </c>
      <c r="G111" s="366">
        <f t="shared" si="25"/>
        <v>100</v>
      </c>
      <c r="H111" s="366">
        <f t="shared" si="25"/>
        <v>100</v>
      </c>
      <c r="I111" s="366">
        <f t="shared" si="25"/>
        <v>100</v>
      </c>
      <c r="J111" s="366">
        <f t="shared" si="25"/>
        <v>100</v>
      </c>
      <c r="K111" s="366">
        <f t="shared" si="25"/>
        <v>100</v>
      </c>
      <c r="L111" s="366">
        <f t="shared" si="25"/>
        <v>100</v>
      </c>
      <c r="M111" s="366">
        <f t="shared" si="25"/>
        <v>100</v>
      </c>
      <c r="N111" s="434"/>
      <c r="O111" s="434"/>
      <c r="P111" s="427"/>
      <c r="Q111" s="422"/>
      <c r="R111" s="338"/>
      <c r="S111" s="338"/>
      <c r="T111" s="338"/>
      <c r="U111" s="338"/>
      <c r="V111" s="338"/>
      <c r="W111" s="338"/>
      <c r="X111" s="338"/>
      <c r="Y111" s="338"/>
      <c r="Z111" s="338"/>
      <c r="AA111" s="338"/>
      <c r="AB111" s="338"/>
      <c r="AC111" s="338"/>
    </row>
    <row r="112" ht="15.75" spans="1:29">
      <c r="A112" s="266"/>
      <c r="B112" s="486">
        <f>B37</f>
        <v>111</v>
      </c>
      <c r="C112" s="371"/>
      <c r="D112" s="371"/>
      <c r="E112" s="371"/>
      <c r="F112" s="371"/>
      <c r="G112" s="559"/>
      <c r="H112" s="559"/>
      <c r="I112" s="559"/>
      <c r="J112" s="559"/>
      <c r="K112" s="566"/>
      <c r="L112" s="567"/>
      <c r="M112" s="568"/>
      <c r="N112" s="432"/>
      <c r="O112" s="432"/>
      <c r="P112" s="427"/>
      <c r="Q112" s="422"/>
      <c r="R112" s="338"/>
      <c r="S112" s="338"/>
      <c r="T112" s="338"/>
      <c r="U112" s="338"/>
      <c r="V112" s="338"/>
      <c r="W112" s="338"/>
      <c r="X112" s="338"/>
      <c r="Y112" s="338"/>
      <c r="Z112" s="338"/>
      <c r="AA112" s="338"/>
      <c r="AB112" s="338"/>
      <c r="AC112" s="338"/>
    </row>
    <row r="113" ht="15.75" spans="1:29">
      <c r="A113" s="266"/>
      <c r="B113" s="556"/>
      <c r="C113" s="369"/>
      <c r="D113" s="369"/>
      <c r="E113" s="369"/>
      <c r="F113" s="369"/>
      <c r="G113" s="560"/>
      <c r="H113" s="560"/>
      <c r="I113" s="560"/>
      <c r="J113" s="560"/>
      <c r="K113" s="560"/>
      <c r="L113" s="560"/>
      <c r="M113" s="569"/>
      <c r="N113" s="434"/>
      <c r="O113" s="434"/>
      <c r="P113" s="427"/>
      <c r="Q113" s="422"/>
      <c r="R113" s="338"/>
      <c r="S113" s="338"/>
      <c r="T113" s="338"/>
      <c r="U113" s="338"/>
      <c r="V113" s="338"/>
      <c r="W113" s="338"/>
      <c r="X113" s="338"/>
      <c r="Y113" s="338"/>
      <c r="Z113" s="338"/>
      <c r="AA113" s="338"/>
      <c r="AB113" s="338"/>
      <c r="AC113" s="338"/>
    </row>
    <row r="114" ht="15" spans="1:29">
      <c r="A114" s="2187"/>
      <c r="B114" s="363">
        <f>B38</f>
        <v>111</v>
      </c>
      <c r="C114" s="356"/>
      <c r="D114" s="356"/>
      <c r="E114" s="356"/>
      <c r="F114" s="356"/>
      <c r="G114" s="487"/>
      <c r="H114" s="487"/>
      <c r="I114" s="487"/>
      <c r="J114" s="487"/>
      <c r="K114" s="493"/>
      <c r="L114" s="494"/>
      <c r="M114" s="495"/>
      <c r="N114" s="432"/>
      <c r="O114" s="432"/>
      <c r="P114" s="427"/>
      <c r="Q114" s="422"/>
      <c r="R114" s="338"/>
      <c r="S114" s="338"/>
      <c r="T114" s="338"/>
      <c r="U114" s="338"/>
      <c r="V114" s="338"/>
      <c r="W114" s="338"/>
      <c r="X114" s="338"/>
      <c r="Y114" s="338"/>
      <c r="Z114" s="338"/>
      <c r="AA114" s="338"/>
      <c r="AB114" s="338"/>
      <c r="AC114" s="338"/>
    </row>
    <row r="115" ht="15.75" spans="1:29">
      <c r="A115" s="266"/>
      <c r="B115" s="365"/>
      <c r="C115" s="557"/>
      <c r="D115" s="557"/>
      <c r="E115" s="557"/>
      <c r="F115" s="557"/>
      <c r="G115" s="362"/>
      <c r="H115" s="362"/>
      <c r="I115" s="362"/>
      <c r="J115" s="362"/>
      <c r="K115" s="362"/>
      <c r="L115" s="362"/>
      <c r="M115" s="433"/>
      <c r="N115" s="434"/>
      <c r="O115" s="434"/>
      <c r="P115" s="427"/>
      <c r="Q115" s="422"/>
      <c r="R115" s="338"/>
      <c r="S115" s="338"/>
      <c r="T115" s="338"/>
      <c r="U115" s="338"/>
      <c r="V115" s="338"/>
      <c r="W115" s="338"/>
      <c r="X115" s="338"/>
      <c r="Y115" s="338"/>
      <c r="Z115" s="338"/>
      <c r="AA115" s="338"/>
      <c r="AB115" s="338"/>
      <c r="AC115" s="338"/>
    </row>
    <row r="116" s="191" customFormat="1" ht="15.75" spans="1:29">
      <c r="A116" s="296"/>
      <c r="B116" s="561">
        <f>B39</f>
        <v>111</v>
      </c>
      <c r="C116" s="489"/>
      <c r="D116" s="489"/>
      <c r="E116" s="489"/>
      <c r="F116" s="489"/>
      <c r="G116" s="489"/>
      <c r="H116" s="489"/>
      <c r="I116" s="489"/>
      <c r="J116" s="502"/>
      <c r="K116" s="502"/>
      <c r="L116" s="503"/>
      <c r="M116" s="504"/>
      <c r="N116" s="444"/>
      <c r="O116" s="444"/>
      <c r="P116" s="444"/>
      <c r="Q116" s="475"/>
      <c r="R116" s="404"/>
      <c r="S116" s="404"/>
      <c r="T116" s="404"/>
      <c r="U116" s="404"/>
      <c r="V116" s="404"/>
      <c r="W116" s="404"/>
      <c r="X116" s="404"/>
      <c r="Y116" s="404"/>
      <c r="Z116" s="404"/>
      <c r="AA116" s="404"/>
      <c r="AB116" s="404"/>
      <c r="AC116" s="404"/>
    </row>
    <row r="117" s="191" customFormat="1" ht="15.75" spans="1:29">
      <c r="A117" s="370"/>
      <c r="B117" s="486"/>
      <c r="C117" s="349"/>
      <c r="D117" s="2263"/>
      <c r="E117" s="2263"/>
      <c r="F117" s="2263"/>
      <c r="G117" s="2263"/>
      <c r="H117" s="2263"/>
      <c r="I117" s="2263"/>
      <c r="J117" s="2263"/>
      <c r="K117" s="2263"/>
      <c r="L117" s="2263"/>
      <c r="M117" s="2273"/>
      <c r="N117" s="434"/>
      <c r="O117" s="434"/>
      <c r="P117" s="444"/>
      <c r="Q117" s="475"/>
      <c r="R117" s="404"/>
      <c r="S117" s="404"/>
      <c r="T117" s="404"/>
      <c r="U117" s="404"/>
      <c r="V117" s="404"/>
      <c r="W117" s="404"/>
      <c r="X117" s="404"/>
      <c r="Y117" s="404"/>
      <c r="Z117" s="404"/>
      <c r="AA117" s="404"/>
      <c r="AB117" s="404"/>
      <c r="AC117" s="404"/>
    </row>
    <row r="118" ht="28.5" spans="1:29">
      <c r="A118" s="357" t="s">
        <v>1002</v>
      </c>
      <c r="B118" s="358" t="s">
        <v>956</v>
      </c>
      <c r="C118" s="359" t="str">
        <f t="shared" ref="C118:L118" si="26">C119&amp;"(含)"&amp;"-"&amp;D119</f>
        <v>0(含)-50000</v>
      </c>
      <c r="D118" s="359" t="str">
        <f t="shared" si="26"/>
        <v>50000(含)-100000</v>
      </c>
      <c r="E118" s="359" t="str">
        <f t="shared" si="26"/>
        <v>100000(含)-150000</v>
      </c>
      <c r="F118" s="359" t="str">
        <f t="shared" si="26"/>
        <v>150000(含)-</v>
      </c>
      <c r="G118" s="359" t="str">
        <f t="shared" si="26"/>
        <v>(含)-</v>
      </c>
      <c r="H118" s="359" t="str">
        <f t="shared" si="26"/>
        <v>(含)-</v>
      </c>
      <c r="I118" s="359" t="str">
        <f t="shared" si="26"/>
        <v>(含)-</v>
      </c>
      <c r="J118" s="2274" t="str">
        <f t="shared" si="26"/>
        <v>(含)-</v>
      </c>
      <c r="K118" s="2274" t="str">
        <f t="shared" si="26"/>
        <v>(含)-</v>
      </c>
      <c r="L118" s="2275" t="str">
        <f t="shared" si="26"/>
        <v>(含)-</v>
      </c>
      <c r="M118" s="2276" t="str">
        <f>M119&amp;"(含)"&amp;"-"&amp;P119</f>
        <v>(含)-</v>
      </c>
      <c r="N118" s="432"/>
      <c r="O118" s="432"/>
      <c r="P118" s="427"/>
      <c r="Q118" s="422"/>
      <c r="R118" s="338"/>
      <c r="S118" s="338"/>
      <c r="T118" s="338"/>
      <c r="U118" s="338"/>
      <c r="V118" s="338"/>
      <c r="W118" s="338"/>
      <c r="X118" s="338"/>
      <c r="Y118" s="338"/>
      <c r="Z118" s="338"/>
      <c r="AA118" s="338"/>
      <c r="AB118" s="338"/>
      <c r="AC118" s="338"/>
    </row>
    <row r="119" ht="15" spans="1:29">
      <c r="A119" s="266"/>
      <c r="B119" s="486"/>
      <c r="C119" s="489">
        <v>0</v>
      </c>
      <c r="D119" s="489">
        <v>50000</v>
      </c>
      <c r="E119" s="489">
        <v>100000</v>
      </c>
      <c r="F119" s="489">
        <v>150000</v>
      </c>
      <c r="G119" s="489"/>
      <c r="H119" s="489"/>
      <c r="I119" s="489"/>
      <c r="J119" s="2418"/>
      <c r="K119" s="2418"/>
      <c r="L119" s="2419"/>
      <c r="M119" s="2420"/>
      <c r="N119" s="432"/>
      <c r="O119" s="432"/>
      <c r="P119" s="427"/>
      <c r="Q119" s="422"/>
      <c r="R119" s="338"/>
      <c r="S119" s="338"/>
      <c r="T119" s="338"/>
      <c r="U119" s="338"/>
      <c r="V119" s="338"/>
      <c r="W119" s="338"/>
      <c r="X119" s="338"/>
      <c r="Y119" s="338"/>
      <c r="Z119" s="338"/>
      <c r="AA119" s="338"/>
      <c r="AB119" s="338"/>
      <c r="AC119" s="338"/>
    </row>
    <row r="120" ht="15.75" spans="1:29">
      <c r="A120" s="266"/>
      <c r="B120" s="365"/>
      <c r="C120" s="557">
        <v>100</v>
      </c>
      <c r="D120" s="560">
        <v>101</v>
      </c>
      <c r="E120" s="560">
        <v>102</v>
      </c>
      <c r="F120" s="560">
        <v>103</v>
      </c>
      <c r="G120" s="560"/>
      <c r="H120" s="560"/>
      <c r="I120" s="560"/>
      <c r="J120" s="560"/>
      <c r="K120" s="560"/>
      <c r="L120" s="560"/>
      <c r="M120" s="569"/>
      <c r="N120" s="434"/>
      <c r="O120" s="434"/>
      <c r="P120" s="427"/>
      <c r="Q120" s="422"/>
      <c r="R120" s="338"/>
      <c r="S120" s="338"/>
      <c r="T120" s="338"/>
      <c r="U120" s="338"/>
      <c r="V120" s="338"/>
      <c r="W120" s="338"/>
      <c r="X120" s="338"/>
      <c r="Y120" s="338"/>
      <c r="Z120" s="338"/>
      <c r="AA120" s="338"/>
      <c r="AB120" s="338"/>
      <c r="AC120" s="338"/>
    </row>
    <row r="121" ht="15.75" spans="1:29">
      <c r="A121" s="301"/>
      <c r="B121" s="363" t="s">
        <v>957</v>
      </c>
      <c r="C121" s="487"/>
      <c r="D121" s="487"/>
      <c r="E121" s="487"/>
      <c r="F121" s="487"/>
      <c r="G121" s="487"/>
      <c r="H121" s="487"/>
      <c r="I121" s="487"/>
      <c r="J121" s="487"/>
      <c r="K121" s="493"/>
      <c r="L121" s="494"/>
      <c r="M121" s="495"/>
      <c r="N121" s="432"/>
      <c r="O121" s="432"/>
      <c r="P121" s="427"/>
      <c r="Q121" s="422"/>
      <c r="R121" s="338"/>
      <c r="S121" s="338"/>
      <c r="T121" s="338"/>
      <c r="U121" s="338"/>
      <c r="V121" s="338"/>
      <c r="W121" s="338"/>
      <c r="X121" s="338"/>
      <c r="Y121" s="338"/>
      <c r="Z121" s="338"/>
      <c r="AA121" s="338"/>
      <c r="AB121" s="338"/>
      <c r="AC121" s="338"/>
    </row>
    <row r="122" ht="15.75" spans="1:29">
      <c r="A122" s="266"/>
      <c r="B122" s="365"/>
      <c r="C122" s="366">
        <v>100</v>
      </c>
      <c r="D122" s="366">
        <f t="shared" ref="D122:M122" si="27">C122-$K41</f>
        <v>100</v>
      </c>
      <c r="E122" s="366">
        <f t="shared" si="27"/>
        <v>100</v>
      </c>
      <c r="F122" s="366">
        <f t="shared" si="27"/>
        <v>100</v>
      </c>
      <c r="G122" s="366">
        <f t="shared" si="27"/>
        <v>100</v>
      </c>
      <c r="H122" s="366">
        <f t="shared" si="27"/>
        <v>100</v>
      </c>
      <c r="I122" s="366">
        <f t="shared" si="27"/>
        <v>100</v>
      </c>
      <c r="J122" s="366">
        <f t="shared" si="27"/>
        <v>100</v>
      </c>
      <c r="K122" s="366">
        <f t="shared" si="27"/>
        <v>100</v>
      </c>
      <c r="L122" s="366">
        <f t="shared" si="27"/>
        <v>100</v>
      </c>
      <c r="M122" s="438">
        <f t="shared" si="27"/>
        <v>100</v>
      </c>
      <c r="N122" s="434"/>
      <c r="O122" s="434"/>
      <c r="P122" s="427"/>
      <c r="Q122" s="422"/>
      <c r="R122" s="338"/>
      <c r="S122" s="338"/>
      <c r="T122" s="338"/>
      <c r="U122" s="338"/>
      <c r="V122" s="338"/>
      <c r="W122" s="338"/>
      <c r="X122" s="338"/>
      <c r="Y122" s="338"/>
      <c r="Z122" s="338"/>
      <c r="AA122" s="338"/>
      <c r="AB122" s="338"/>
      <c r="AC122" s="338"/>
    </row>
    <row r="123" ht="15.75" spans="1:29">
      <c r="A123" s="301"/>
      <c r="B123" s="363" t="s">
        <v>958</v>
      </c>
      <c r="C123" s="1135" t="s">
        <v>959</v>
      </c>
      <c r="D123" s="371"/>
      <c r="E123" s="371"/>
      <c r="F123" s="487"/>
      <c r="G123" s="487"/>
      <c r="H123" s="487"/>
      <c r="I123" s="487"/>
      <c r="J123" s="487"/>
      <c r="K123" s="493"/>
      <c r="L123" s="494"/>
      <c r="M123" s="495"/>
      <c r="N123" s="432"/>
      <c r="O123" s="432"/>
      <c r="P123" s="427"/>
      <c r="Q123" s="422"/>
      <c r="R123" s="338"/>
      <c r="S123" s="338"/>
      <c r="T123" s="338"/>
      <c r="U123" s="338"/>
      <c r="V123" s="338"/>
      <c r="W123" s="338"/>
      <c r="X123" s="338"/>
      <c r="Y123" s="338"/>
      <c r="Z123" s="338"/>
      <c r="AA123" s="338"/>
      <c r="AB123" s="338"/>
      <c r="AC123" s="338"/>
    </row>
    <row r="124" ht="15.75" spans="1:29">
      <c r="A124" s="266"/>
      <c r="B124" s="365"/>
      <c r="C124" s="366">
        <v>100</v>
      </c>
      <c r="D124" s="366">
        <f t="shared" ref="D124:M124" si="28">C124-$K42</f>
        <v>100</v>
      </c>
      <c r="E124" s="366">
        <f t="shared" si="28"/>
        <v>100</v>
      </c>
      <c r="F124" s="366">
        <f t="shared" si="28"/>
        <v>100</v>
      </c>
      <c r="G124" s="366">
        <f t="shared" si="28"/>
        <v>100</v>
      </c>
      <c r="H124" s="366">
        <f t="shared" si="28"/>
        <v>100</v>
      </c>
      <c r="I124" s="366">
        <f t="shared" si="28"/>
        <v>100</v>
      </c>
      <c r="J124" s="366">
        <f t="shared" si="28"/>
        <v>100</v>
      </c>
      <c r="K124" s="366">
        <f t="shared" si="28"/>
        <v>100</v>
      </c>
      <c r="L124" s="366">
        <f t="shared" si="28"/>
        <v>100</v>
      </c>
      <c r="M124" s="438">
        <f t="shared" si="28"/>
        <v>100</v>
      </c>
      <c r="N124" s="434"/>
      <c r="O124" s="434"/>
      <c r="P124" s="427"/>
      <c r="Q124" s="422"/>
      <c r="R124" s="338"/>
      <c r="S124" s="338"/>
      <c r="T124" s="338"/>
      <c r="U124" s="338"/>
      <c r="V124" s="338"/>
      <c r="W124" s="338"/>
      <c r="X124" s="338"/>
      <c r="Y124" s="338"/>
      <c r="Z124" s="338"/>
      <c r="AA124" s="338"/>
      <c r="AB124" s="338"/>
      <c r="AC124" s="338"/>
    </row>
    <row r="125" s="191" customFormat="1" ht="15.75" spans="1:29">
      <c r="A125" s="296"/>
      <c r="B125" s="375" t="s">
        <v>960</v>
      </c>
      <c r="C125" s="2264" t="s">
        <v>247</v>
      </c>
      <c r="D125" s="2264"/>
      <c r="E125" s="2264"/>
      <c r="F125" s="2264"/>
      <c r="G125" s="2264"/>
      <c r="H125" s="487"/>
      <c r="I125" s="487"/>
      <c r="J125" s="487"/>
      <c r="K125" s="493"/>
      <c r="L125" s="494"/>
      <c r="M125" s="495"/>
      <c r="N125" s="444"/>
      <c r="O125" s="444"/>
      <c r="P125" s="444"/>
      <c r="Q125" s="475"/>
      <c r="R125" s="404"/>
      <c r="S125" s="404"/>
      <c r="T125" s="404"/>
      <c r="U125" s="404"/>
      <c r="V125" s="404"/>
      <c r="W125" s="404"/>
      <c r="X125" s="404"/>
      <c r="Y125" s="404"/>
      <c r="Z125" s="404"/>
      <c r="AA125" s="404"/>
      <c r="AB125" s="404"/>
      <c r="AC125" s="404"/>
    </row>
    <row r="126" s="191" customFormat="1" ht="15.75" spans="1:29">
      <c r="A126" s="370"/>
      <c r="B126" s="365"/>
      <c r="C126" s="366">
        <v>100</v>
      </c>
      <c r="D126" s="366">
        <f>C126-$K43</f>
        <v>100</v>
      </c>
      <c r="E126" s="366">
        <f t="shared" ref="E126:M126" si="29">D126-$K43</f>
        <v>100</v>
      </c>
      <c r="F126" s="366">
        <f t="shared" si="29"/>
        <v>100</v>
      </c>
      <c r="G126" s="366">
        <f t="shared" si="29"/>
        <v>100</v>
      </c>
      <c r="H126" s="366">
        <f t="shared" si="29"/>
        <v>100</v>
      </c>
      <c r="I126" s="366">
        <f t="shared" si="29"/>
        <v>100</v>
      </c>
      <c r="J126" s="366">
        <f t="shared" si="29"/>
        <v>100</v>
      </c>
      <c r="K126" s="366">
        <f t="shared" si="29"/>
        <v>100</v>
      </c>
      <c r="L126" s="366">
        <f t="shared" si="29"/>
        <v>100</v>
      </c>
      <c r="M126" s="438">
        <f t="shared" si="29"/>
        <v>100</v>
      </c>
      <c r="N126" s="444"/>
      <c r="O126" s="444"/>
      <c r="P126" s="444"/>
      <c r="Q126" s="475"/>
      <c r="R126" s="404"/>
      <c r="S126" s="404"/>
      <c r="T126" s="404"/>
      <c r="U126" s="404"/>
      <c r="V126" s="404"/>
      <c r="W126" s="404"/>
      <c r="X126" s="404"/>
      <c r="Y126" s="404"/>
      <c r="Z126" s="404"/>
      <c r="AA126" s="404"/>
      <c r="AB126" s="404"/>
      <c r="AC126" s="404"/>
    </row>
    <row r="127" ht="15.75" spans="1:29">
      <c r="A127" s="301"/>
      <c r="B127" s="363" t="s">
        <v>961</v>
      </c>
      <c r="C127" s="1135" t="s">
        <v>949</v>
      </c>
      <c r="D127" s="371"/>
      <c r="E127" s="487"/>
      <c r="F127" s="487"/>
      <c r="G127" s="487"/>
      <c r="H127" s="487"/>
      <c r="I127" s="487"/>
      <c r="J127" s="487"/>
      <c r="K127" s="493"/>
      <c r="L127" s="494"/>
      <c r="M127" s="495"/>
      <c r="N127" s="432"/>
      <c r="O127" s="432"/>
      <c r="P127" s="427"/>
      <c r="Q127" s="422"/>
      <c r="R127" s="338"/>
      <c r="S127" s="338"/>
      <c r="T127" s="338"/>
      <c r="U127" s="338"/>
      <c r="V127" s="338"/>
      <c r="W127" s="338"/>
      <c r="X127" s="338"/>
      <c r="Y127" s="338"/>
      <c r="Z127" s="338"/>
      <c r="AA127" s="338"/>
      <c r="AB127" s="338"/>
      <c r="AC127" s="338"/>
    </row>
    <row r="128" ht="15.75" spans="1:29">
      <c r="A128" s="266"/>
      <c r="B128" s="365"/>
      <c r="C128" s="366">
        <v>100</v>
      </c>
      <c r="D128" s="366">
        <f t="shared" ref="D128:M128" si="30">C128-$K44</f>
        <v>100</v>
      </c>
      <c r="E128" s="366">
        <f t="shared" si="30"/>
        <v>100</v>
      </c>
      <c r="F128" s="366">
        <f t="shared" si="30"/>
        <v>100</v>
      </c>
      <c r="G128" s="366">
        <f t="shared" si="30"/>
        <v>100</v>
      </c>
      <c r="H128" s="366">
        <f t="shared" si="30"/>
        <v>100</v>
      </c>
      <c r="I128" s="366">
        <f t="shared" si="30"/>
        <v>100</v>
      </c>
      <c r="J128" s="366">
        <f t="shared" si="30"/>
        <v>100</v>
      </c>
      <c r="K128" s="366">
        <f t="shared" si="30"/>
        <v>100</v>
      </c>
      <c r="L128" s="366">
        <f t="shared" si="30"/>
        <v>100</v>
      </c>
      <c r="M128" s="438">
        <f t="shared" si="30"/>
        <v>100</v>
      </c>
      <c r="N128" s="434"/>
      <c r="O128" s="434"/>
      <c r="P128" s="427"/>
      <c r="Q128" s="422"/>
      <c r="R128" s="338"/>
      <c r="S128" s="338"/>
      <c r="T128" s="338"/>
      <c r="U128" s="338"/>
      <c r="V128" s="338"/>
      <c r="W128" s="338"/>
      <c r="X128" s="338"/>
      <c r="Y128" s="338"/>
      <c r="Z128" s="338"/>
      <c r="AA128" s="338"/>
      <c r="AB128" s="338"/>
      <c r="AC128" s="338"/>
    </row>
    <row r="129" ht="15.75" spans="1:29">
      <c r="A129" s="301"/>
      <c r="B129" s="363">
        <f>B45</f>
        <v>111</v>
      </c>
      <c r="C129" s="371"/>
      <c r="D129" s="371"/>
      <c r="E129" s="371"/>
      <c r="F129" s="371"/>
      <c r="G129" s="371"/>
      <c r="H129" s="487"/>
      <c r="I129" s="487"/>
      <c r="J129" s="487"/>
      <c r="K129" s="493"/>
      <c r="L129" s="494"/>
      <c r="M129" s="495"/>
      <c r="N129" s="432"/>
      <c r="O129" s="432"/>
      <c r="P129" s="427"/>
      <c r="Q129" s="422"/>
      <c r="R129" s="338"/>
      <c r="S129" s="338"/>
      <c r="T129" s="338"/>
      <c r="U129" s="338"/>
      <c r="V129" s="338"/>
      <c r="W129" s="338"/>
      <c r="X129" s="338"/>
      <c r="Y129" s="338"/>
      <c r="Z129" s="338"/>
      <c r="AA129" s="338"/>
      <c r="AB129" s="338"/>
      <c r="AC129" s="338"/>
    </row>
    <row r="130" ht="15.75" spans="1:29">
      <c r="A130" s="266"/>
      <c r="B130" s="365"/>
      <c r="C130" s="369"/>
      <c r="D130" s="369"/>
      <c r="E130" s="369"/>
      <c r="F130" s="369"/>
      <c r="G130" s="362"/>
      <c r="H130" s="362"/>
      <c r="I130" s="362"/>
      <c r="J130" s="362"/>
      <c r="K130" s="362"/>
      <c r="L130" s="362"/>
      <c r="M130" s="433"/>
      <c r="N130" s="434"/>
      <c r="O130" s="434"/>
      <c r="P130" s="427"/>
      <c r="Q130" s="422"/>
      <c r="R130" s="338"/>
      <c r="S130" s="338"/>
      <c r="T130" s="338"/>
      <c r="U130" s="338"/>
      <c r="V130" s="338"/>
      <c r="W130" s="338"/>
      <c r="X130" s="338"/>
      <c r="Y130" s="338"/>
      <c r="Z130" s="338"/>
      <c r="AA130" s="338"/>
      <c r="AB130" s="338"/>
      <c r="AC130" s="338"/>
    </row>
    <row r="131" ht="15.75" spans="1:29">
      <c r="A131" s="301"/>
      <c r="B131" s="363">
        <f>B46</f>
        <v>111</v>
      </c>
      <c r="C131" s="356"/>
      <c r="D131" s="356"/>
      <c r="E131" s="356"/>
      <c r="F131" s="356"/>
      <c r="G131" s="487"/>
      <c r="H131" s="487"/>
      <c r="I131" s="487"/>
      <c r="J131" s="487"/>
      <c r="K131" s="493"/>
      <c r="L131" s="494"/>
      <c r="M131" s="495"/>
      <c r="N131" s="432"/>
      <c r="O131" s="432"/>
      <c r="P131" s="427"/>
      <c r="Q131" s="422"/>
      <c r="R131" s="338"/>
      <c r="S131" s="338"/>
      <c r="T131" s="338"/>
      <c r="U131" s="338"/>
      <c r="V131" s="338"/>
      <c r="W131" s="338"/>
      <c r="X131" s="338"/>
      <c r="Y131" s="338"/>
      <c r="Z131" s="338"/>
      <c r="AA131" s="338"/>
      <c r="AB131" s="338"/>
      <c r="AC131" s="338"/>
    </row>
    <row r="132" ht="15.75" spans="1:29">
      <c r="A132" s="266"/>
      <c r="B132" s="365"/>
      <c r="C132" s="557"/>
      <c r="D132" s="557"/>
      <c r="E132" s="557"/>
      <c r="F132" s="557"/>
      <c r="G132" s="362"/>
      <c r="H132" s="362"/>
      <c r="I132" s="362"/>
      <c r="J132" s="362"/>
      <c r="K132" s="362"/>
      <c r="L132" s="362"/>
      <c r="M132" s="433"/>
      <c r="N132" s="434"/>
      <c r="O132" s="434"/>
      <c r="P132" s="427"/>
      <c r="Q132" s="422"/>
      <c r="R132" s="338"/>
      <c r="S132" s="338"/>
      <c r="T132" s="338"/>
      <c r="U132" s="338"/>
      <c r="V132" s="338"/>
      <c r="W132" s="338"/>
      <c r="X132" s="338"/>
      <c r="Y132" s="338"/>
      <c r="Z132" s="338"/>
      <c r="AA132" s="338"/>
      <c r="AB132" s="338"/>
      <c r="AC132" s="338"/>
    </row>
    <row r="133" s="191" customFormat="1" ht="15.75" spans="1:29">
      <c r="A133" s="296"/>
      <c r="B133" s="363">
        <f>B47</f>
        <v>111</v>
      </c>
      <c r="C133" s="356"/>
      <c r="D133" s="356"/>
      <c r="E133" s="356"/>
      <c r="F133" s="356"/>
      <c r="G133" s="372"/>
      <c r="H133" s="372"/>
      <c r="I133" s="372"/>
      <c r="J133" s="372"/>
      <c r="K133" s="372"/>
      <c r="L133" s="442"/>
      <c r="M133" s="443"/>
      <c r="N133" s="444"/>
      <c r="O133" s="444"/>
      <c r="P133" s="444"/>
      <c r="Q133" s="475"/>
      <c r="R133" s="404"/>
      <c r="S133" s="404"/>
      <c r="T133" s="404"/>
      <c r="U133" s="404"/>
      <c r="V133" s="404"/>
      <c r="W133" s="404"/>
      <c r="X133" s="404"/>
      <c r="Y133" s="404"/>
      <c r="Z133" s="404"/>
      <c r="AA133" s="404"/>
      <c r="AB133" s="404"/>
      <c r="AC133" s="404"/>
    </row>
    <row r="134" s="191" customFormat="1" ht="15.75" spans="1:29">
      <c r="A134" s="555"/>
      <c r="B134" s="2265"/>
      <c r="C134" s="557"/>
      <c r="D134" s="557"/>
      <c r="E134" s="557"/>
      <c r="F134" s="557"/>
      <c r="G134" s="560"/>
      <c r="H134" s="560"/>
      <c r="I134" s="560"/>
      <c r="J134" s="560"/>
      <c r="K134" s="560"/>
      <c r="L134" s="560"/>
      <c r="M134" s="569"/>
      <c r="N134" s="444"/>
      <c r="O134" s="444"/>
      <c r="P134" s="444"/>
      <c r="Q134" s="475"/>
      <c r="R134" s="404"/>
      <c r="S134" s="404"/>
      <c r="T134" s="404"/>
      <c r="U134" s="404"/>
      <c r="V134" s="404"/>
      <c r="W134" s="404"/>
      <c r="X134" s="404"/>
      <c r="Y134" s="404"/>
      <c r="Z134" s="404"/>
      <c r="AA134" s="404"/>
      <c r="AB134" s="404"/>
      <c r="AC134" s="404"/>
    </row>
    <row r="135" s="2385" customFormat="1" spans="1:29">
      <c r="A135" s="2421"/>
      <c r="B135" s="2421"/>
      <c r="C135" s="2421"/>
      <c r="D135" s="2421"/>
      <c r="E135" s="2421"/>
      <c r="F135" s="2421"/>
      <c r="G135" s="2421"/>
      <c r="H135" s="2421"/>
      <c r="I135" s="2421"/>
      <c r="J135" s="2421"/>
      <c r="K135" s="2422"/>
      <c r="L135" s="2423"/>
      <c r="M135" s="2421"/>
      <c r="N135" s="2421"/>
      <c r="O135" s="2421"/>
      <c r="P135" s="2421"/>
      <c r="Q135" s="2421"/>
      <c r="R135" s="2421"/>
      <c r="S135" s="2421"/>
      <c r="T135" s="2421"/>
      <c r="U135" s="2421"/>
      <c r="V135" s="2421"/>
      <c r="W135" s="2421"/>
      <c r="X135" s="2421"/>
      <c r="Y135" s="2421"/>
      <c r="Z135" s="2421"/>
      <c r="AA135" s="2421"/>
      <c r="AB135" s="2421"/>
      <c r="AC135" s="2421"/>
    </row>
    <row r="136" s="2385" customFormat="1" spans="1:29">
      <c r="A136" s="2421"/>
      <c r="B136" s="2421"/>
      <c r="C136" s="2421"/>
      <c r="D136" s="2421"/>
      <c r="E136" s="2421"/>
      <c r="F136" s="2421"/>
      <c r="G136" s="2421"/>
      <c r="H136" s="2421"/>
      <c r="I136" s="2421"/>
      <c r="J136" s="2421"/>
      <c r="K136" s="2422"/>
      <c r="L136" s="2423"/>
      <c r="M136" s="2421"/>
      <c r="N136" s="2421"/>
      <c r="O136" s="2421"/>
      <c r="P136" s="2421"/>
      <c r="Q136" s="2421"/>
      <c r="R136" s="2421"/>
      <c r="S136" s="2421"/>
      <c r="T136" s="2421"/>
      <c r="U136" s="2421"/>
      <c r="V136" s="2421"/>
      <c r="W136" s="2421"/>
      <c r="X136" s="2421"/>
      <c r="Y136" s="2421"/>
      <c r="Z136" s="2421"/>
      <c r="AA136" s="2421"/>
      <c r="AB136" s="2421"/>
      <c r="AC136" s="2421"/>
    </row>
    <row r="137" s="2385" customFormat="1" spans="1:29">
      <c r="A137" s="2421"/>
      <c r="B137" s="2421"/>
      <c r="C137" s="2421"/>
      <c r="D137" s="2421"/>
      <c r="E137" s="2421"/>
      <c r="F137" s="2421"/>
      <c r="G137" s="2421"/>
      <c r="H137" s="2421"/>
      <c r="I137" s="2421"/>
      <c r="J137" s="2421"/>
      <c r="K137" s="2422"/>
      <c r="L137" s="2423"/>
      <c r="M137" s="2421"/>
      <c r="N137" s="2421"/>
      <c r="O137" s="2421"/>
      <c r="P137" s="2421"/>
      <c r="Q137" s="2421"/>
      <c r="R137" s="2421"/>
      <c r="S137" s="2421"/>
      <c r="T137" s="2421"/>
      <c r="U137" s="2421"/>
      <c r="V137" s="2421"/>
      <c r="W137" s="2421"/>
      <c r="X137" s="2421"/>
      <c r="Y137" s="2421"/>
      <c r="Z137" s="2421"/>
      <c r="AA137" s="2421"/>
      <c r="AB137" s="2421"/>
      <c r="AC137" s="2421"/>
    </row>
    <row r="138" s="2385" customFormat="1" spans="1:29">
      <c r="A138" s="2421"/>
      <c r="B138" s="2421"/>
      <c r="C138" s="2421"/>
      <c r="D138" s="2421"/>
      <c r="E138" s="2421"/>
      <c r="F138" s="2421"/>
      <c r="G138" s="2421"/>
      <c r="H138" s="2421"/>
      <c r="I138" s="2421"/>
      <c r="J138" s="2421"/>
      <c r="K138" s="2422"/>
      <c r="L138" s="2423"/>
      <c r="M138" s="2421"/>
      <c r="N138" s="2421"/>
      <c r="O138" s="2421"/>
      <c r="P138" s="2421"/>
      <c r="Q138" s="2421"/>
      <c r="R138" s="2421"/>
      <c r="S138" s="2421"/>
      <c r="T138" s="2421"/>
      <c r="U138" s="2421"/>
      <c r="V138" s="2421"/>
      <c r="W138" s="2421"/>
      <c r="X138" s="2421"/>
      <c r="Y138" s="2421"/>
      <c r="Z138" s="2421"/>
      <c r="AA138" s="2421"/>
      <c r="AB138" s="2421"/>
      <c r="AC138" s="2421"/>
    </row>
    <row r="139" s="2385" customFormat="1" spans="1:29">
      <c r="A139" s="2421"/>
      <c r="B139" s="2421"/>
      <c r="C139" s="2421"/>
      <c r="D139" s="2421"/>
      <c r="E139" s="2421"/>
      <c r="F139" s="2421"/>
      <c r="G139" s="2421"/>
      <c r="H139" s="2421"/>
      <c r="I139" s="2421"/>
      <c r="J139" s="2421"/>
      <c r="K139" s="2422"/>
      <c r="L139" s="2423"/>
      <c r="M139" s="2421"/>
      <c r="N139" s="2421"/>
      <c r="O139" s="2421"/>
      <c r="P139" s="2421"/>
      <c r="Q139" s="2421"/>
      <c r="R139" s="2421"/>
      <c r="S139" s="2421"/>
      <c r="T139" s="2421"/>
      <c r="U139" s="2421"/>
      <c r="V139" s="2421"/>
      <c r="W139" s="2421"/>
      <c r="X139" s="2421"/>
      <c r="Y139" s="2421"/>
      <c r="Z139" s="2421"/>
      <c r="AA139" s="2421"/>
      <c r="AB139" s="2421"/>
      <c r="AC139" s="2421"/>
    </row>
    <row r="140" s="2385" customFormat="1" spans="1:29">
      <c r="A140" s="2421"/>
      <c r="B140" s="2421"/>
      <c r="C140" s="2421"/>
      <c r="D140" s="2421"/>
      <c r="E140" s="2421"/>
      <c r="F140" s="2421"/>
      <c r="G140" s="2421"/>
      <c r="H140" s="2421"/>
      <c r="I140" s="2421"/>
      <c r="J140" s="2421"/>
      <c r="K140" s="2422"/>
      <c r="L140" s="2423"/>
      <c r="M140" s="2421"/>
      <c r="N140" s="2421"/>
      <c r="O140" s="2421"/>
      <c r="P140" s="2421"/>
      <c r="Q140" s="2421"/>
      <c r="R140" s="2421"/>
      <c r="S140" s="2421"/>
      <c r="T140" s="2421"/>
      <c r="U140" s="2421"/>
      <c r="V140" s="2421"/>
      <c r="W140" s="2421"/>
      <c r="X140" s="2421"/>
      <c r="Y140" s="2421"/>
      <c r="Z140" s="2421"/>
      <c r="AA140" s="2421"/>
      <c r="AB140" s="2421"/>
      <c r="AC140" s="2421"/>
    </row>
    <row r="141" s="2385" customFormat="1" spans="1:29">
      <c r="A141" s="2421"/>
      <c r="B141" s="2421"/>
      <c r="C141" s="2421"/>
      <c r="D141" s="2421"/>
      <c r="E141" s="2421"/>
      <c r="F141" s="2421"/>
      <c r="G141" s="2421"/>
      <c r="H141" s="2421"/>
      <c r="I141" s="2421"/>
      <c r="J141" s="2421"/>
      <c r="K141" s="2422"/>
      <c r="L141" s="2423"/>
      <c r="M141" s="2421"/>
      <c r="N141" s="2421"/>
      <c r="O141" s="2421"/>
      <c r="P141" s="2421"/>
      <c r="Q141" s="2421"/>
      <c r="R141" s="2421"/>
      <c r="S141" s="2421"/>
      <c r="T141" s="2421"/>
      <c r="U141" s="2421"/>
      <c r="V141" s="2421"/>
      <c r="W141" s="2421"/>
      <c r="X141" s="2421"/>
      <c r="Y141" s="2421"/>
      <c r="Z141" s="2421"/>
      <c r="AA141" s="2421"/>
      <c r="AB141" s="2421"/>
      <c r="AC141" s="2421"/>
    </row>
    <row r="142" s="2385" customFormat="1" spans="1:29">
      <c r="A142" s="2421"/>
      <c r="B142" s="2421"/>
      <c r="C142" s="2421"/>
      <c r="D142" s="2421"/>
      <c r="E142" s="2421"/>
      <c r="F142" s="2421"/>
      <c r="G142" s="2421"/>
      <c r="H142" s="2421"/>
      <c r="I142" s="2421"/>
      <c r="J142" s="2421"/>
      <c r="K142" s="2422"/>
      <c r="L142" s="2423"/>
      <c r="M142" s="2421"/>
      <c r="N142" s="2421"/>
      <c r="O142" s="2421"/>
      <c r="P142" s="2421"/>
      <c r="Q142" s="2421"/>
      <c r="R142" s="2421"/>
      <c r="S142" s="2421"/>
      <c r="T142" s="2421"/>
      <c r="U142" s="2421"/>
      <c r="V142" s="2421"/>
      <c r="W142" s="2421"/>
      <c r="X142" s="2421"/>
      <c r="Y142" s="2421"/>
      <c r="Z142" s="2421"/>
      <c r="AA142" s="2421"/>
      <c r="AB142" s="2421"/>
      <c r="AC142" s="2421"/>
    </row>
    <row r="143" s="2385" customFormat="1" spans="1:29">
      <c r="A143" s="2421"/>
      <c r="B143" s="2421"/>
      <c r="C143" s="2421"/>
      <c r="D143" s="2421"/>
      <c r="E143" s="2421"/>
      <c r="F143" s="2421"/>
      <c r="G143" s="2421"/>
      <c r="H143" s="2421"/>
      <c r="I143" s="2421"/>
      <c r="J143" s="2421"/>
      <c r="K143" s="2422"/>
      <c r="L143" s="2423"/>
      <c r="M143" s="2421"/>
      <c r="N143" s="2421"/>
      <c r="O143" s="2421"/>
      <c r="P143" s="2421"/>
      <c r="Q143" s="2421"/>
      <c r="R143" s="2421"/>
      <c r="S143" s="2421"/>
      <c r="T143" s="2421"/>
      <c r="U143" s="2421"/>
      <c r="V143" s="2421"/>
      <c r="W143" s="2421"/>
      <c r="X143" s="2421"/>
      <c r="Y143" s="2421"/>
      <c r="Z143" s="2421"/>
      <c r="AA143" s="2421"/>
      <c r="AB143" s="2421"/>
      <c r="AC143" s="2421"/>
    </row>
    <row r="144" s="2385" customFormat="1" spans="1:29">
      <c r="A144" s="2421"/>
      <c r="B144" s="2421"/>
      <c r="C144" s="2421"/>
      <c r="D144" s="2421"/>
      <c r="E144" s="2421"/>
      <c r="F144" s="2421"/>
      <c r="G144" s="2421"/>
      <c r="H144" s="2421"/>
      <c r="I144" s="2421"/>
      <c r="J144" s="2421"/>
      <c r="K144" s="2422"/>
      <c r="L144" s="2423"/>
      <c r="M144" s="2421"/>
      <c r="N144" s="2421"/>
      <c r="O144" s="2421"/>
      <c r="P144" s="2421"/>
      <c r="Q144" s="2421"/>
      <c r="R144" s="2421"/>
      <c r="S144" s="2421"/>
      <c r="T144" s="2421"/>
      <c r="U144" s="2421"/>
      <c r="V144" s="2421"/>
      <c r="W144" s="2421"/>
      <c r="X144" s="2421"/>
      <c r="Y144" s="2421"/>
      <c r="Z144" s="2421"/>
      <c r="AA144" s="2421"/>
      <c r="AB144" s="2421"/>
      <c r="AC144" s="2421"/>
    </row>
    <row r="145" s="2385" customFormat="1" spans="1:29">
      <c r="A145" s="2421"/>
      <c r="B145" s="2421"/>
      <c r="C145" s="2421"/>
      <c r="D145" s="2421"/>
      <c r="E145" s="2421"/>
      <c r="F145" s="2421"/>
      <c r="G145" s="2421"/>
      <c r="H145" s="2421"/>
      <c r="I145" s="2421"/>
      <c r="J145" s="2421"/>
      <c r="K145" s="2422"/>
      <c r="L145" s="2423"/>
      <c r="M145" s="2421"/>
      <c r="N145" s="2421"/>
      <c r="O145" s="2421"/>
      <c r="P145" s="2421"/>
      <c r="Q145" s="2421"/>
      <c r="R145" s="2421"/>
      <c r="S145" s="2421"/>
      <c r="T145" s="2421"/>
      <c r="U145" s="2421"/>
      <c r="V145" s="2421"/>
      <c r="W145" s="2421"/>
      <c r="X145" s="2421"/>
      <c r="Y145" s="2421"/>
      <c r="Z145" s="2421"/>
      <c r="AA145" s="2421"/>
      <c r="AB145" s="2421"/>
      <c r="AC145" s="2421"/>
    </row>
    <row r="146" s="2385" customFormat="1" spans="1:29">
      <c r="A146" s="2421"/>
      <c r="B146" s="2421"/>
      <c r="C146" s="2421"/>
      <c r="D146" s="2421"/>
      <c r="E146" s="2421"/>
      <c r="F146" s="2421"/>
      <c r="G146" s="2421"/>
      <c r="H146" s="2421"/>
      <c r="I146" s="2421"/>
      <c r="J146" s="2421"/>
      <c r="K146" s="2422"/>
      <c r="L146" s="2423"/>
      <c r="M146" s="2421"/>
      <c r="N146" s="2421"/>
      <c r="O146" s="2421"/>
      <c r="P146" s="2421"/>
      <c r="Q146" s="2421"/>
      <c r="R146" s="2421"/>
      <c r="S146" s="2421"/>
      <c r="T146" s="2421"/>
      <c r="U146" s="2421"/>
      <c r="V146" s="2421"/>
      <c r="W146" s="2421"/>
      <c r="X146" s="2421"/>
      <c r="Y146" s="2421"/>
      <c r="Z146" s="2421"/>
      <c r="AA146" s="2421"/>
      <c r="AB146" s="2421"/>
      <c r="AC146" s="2421"/>
    </row>
    <row r="147" s="2385" customFormat="1" spans="1:29">
      <c r="A147" s="2421"/>
      <c r="B147" s="2421"/>
      <c r="C147" s="2421"/>
      <c r="D147" s="2421"/>
      <c r="E147" s="2421"/>
      <c r="F147" s="2421"/>
      <c r="G147" s="2421"/>
      <c r="H147" s="2421"/>
      <c r="I147" s="2421"/>
      <c r="J147" s="2421"/>
      <c r="K147" s="2422"/>
      <c r="L147" s="2423"/>
      <c r="M147" s="2421"/>
      <c r="N147" s="2421"/>
      <c r="O147" s="2421"/>
      <c r="P147" s="2421"/>
      <c r="Q147" s="2421"/>
      <c r="R147" s="2421"/>
      <c r="S147" s="2421"/>
      <c r="T147" s="2421"/>
      <c r="U147" s="2421"/>
      <c r="V147" s="2421"/>
      <c r="W147" s="2421"/>
      <c r="X147" s="2421"/>
      <c r="Y147" s="2421"/>
      <c r="Z147" s="2421"/>
      <c r="AA147" s="2421"/>
      <c r="AB147" s="2421"/>
      <c r="AC147" s="2421"/>
    </row>
    <row r="148" s="2385" customFormat="1" spans="1:29">
      <c r="A148" s="2421"/>
      <c r="B148" s="2421"/>
      <c r="C148" s="2421"/>
      <c r="D148" s="2421"/>
      <c r="E148" s="2421"/>
      <c r="F148" s="2421"/>
      <c r="G148" s="2421"/>
      <c r="H148" s="2421"/>
      <c r="I148" s="2421"/>
      <c r="J148" s="2421"/>
      <c r="K148" s="2422"/>
      <c r="L148" s="2423"/>
      <c r="M148" s="2421"/>
      <c r="N148" s="2421"/>
      <c r="O148" s="2421"/>
      <c r="P148" s="2421"/>
      <c r="Q148" s="2421"/>
      <c r="R148" s="2421"/>
      <c r="S148" s="2421"/>
      <c r="T148" s="2421"/>
      <c r="U148" s="2421"/>
      <c r="V148" s="2421"/>
      <c r="W148" s="2421"/>
      <c r="X148" s="2421"/>
      <c r="Y148" s="2421"/>
      <c r="Z148" s="2421"/>
      <c r="AA148" s="2421"/>
      <c r="AB148" s="2421"/>
      <c r="AC148" s="2421"/>
    </row>
    <row r="149" s="2385" customFormat="1" spans="1:29">
      <c r="A149" s="2421"/>
      <c r="B149" s="2421"/>
      <c r="C149" s="2421"/>
      <c r="D149" s="2421"/>
      <c r="E149" s="2421"/>
      <c r="F149" s="2421"/>
      <c r="G149" s="2421"/>
      <c r="H149" s="2421"/>
      <c r="I149" s="2421"/>
      <c r="J149" s="2421"/>
      <c r="K149" s="2422"/>
      <c r="L149" s="2423"/>
      <c r="M149" s="2421"/>
      <c r="N149" s="2421"/>
      <c r="O149" s="2421"/>
      <c r="P149" s="2421"/>
      <c r="Q149" s="2421"/>
      <c r="R149" s="2421"/>
      <c r="S149" s="2421"/>
      <c r="T149" s="2421"/>
      <c r="U149" s="2421"/>
      <c r="V149" s="2421"/>
      <c r="W149" s="2421"/>
      <c r="X149" s="2421"/>
      <c r="Y149" s="2421"/>
      <c r="Z149" s="2421"/>
      <c r="AA149" s="2421"/>
      <c r="AB149" s="2421"/>
      <c r="AC149" s="2421"/>
    </row>
    <row r="150" s="2385" customFormat="1" spans="1:29">
      <c r="A150" s="2421"/>
      <c r="B150" s="2421"/>
      <c r="C150" s="2421"/>
      <c r="D150" s="2421"/>
      <c r="E150" s="2421"/>
      <c r="F150" s="2421"/>
      <c r="G150" s="2421"/>
      <c r="H150" s="2421"/>
      <c r="I150" s="2421"/>
      <c r="J150" s="2421"/>
      <c r="K150" s="2422"/>
      <c r="L150" s="2423"/>
      <c r="M150" s="2421"/>
      <c r="N150" s="2421"/>
      <c r="O150" s="2421"/>
      <c r="P150" s="2421"/>
      <c r="Q150" s="2421"/>
      <c r="R150" s="2421"/>
      <c r="S150" s="2421"/>
      <c r="T150" s="2421"/>
      <c r="U150" s="2421"/>
      <c r="V150" s="2421"/>
      <c r="W150" s="2421"/>
      <c r="X150" s="2421"/>
      <c r="Y150" s="2421"/>
      <c r="Z150" s="2421"/>
      <c r="AA150" s="2421"/>
      <c r="AB150" s="2421"/>
      <c r="AC150" s="2421"/>
    </row>
    <row r="151" s="2385" customFormat="1" spans="1:29">
      <c r="A151" s="2421"/>
      <c r="B151" s="2421"/>
      <c r="C151" s="2421"/>
      <c r="D151" s="2421"/>
      <c r="E151" s="2421"/>
      <c r="F151" s="2421"/>
      <c r="G151" s="2421"/>
      <c r="H151" s="2421"/>
      <c r="I151" s="2421"/>
      <c r="J151" s="2421"/>
      <c r="K151" s="2422"/>
      <c r="L151" s="2423"/>
      <c r="M151" s="2421"/>
      <c r="N151" s="2421"/>
      <c r="O151" s="2421"/>
      <c r="P151" s="2421"/>
      <c r="Q151" s="2421"/>
      <c r="R151" s="2421"/>
      <c r="S151" s="2421"/>
      <c r="T151" s="2421"/>
      <c r="U151" s="2421"/>
      <c r="V151" s="2421"/>
      <c r="W151" s="2421"/>
      <c r="X151" s="2421"/>
      <c r="Y151" s="2421"/>
      <c r="Z151" s="2421"/>
      <c r="AA151" s="2421"/>
      <c r="AB151" s="2421"/>
      <c r="AC151" s="2421"/>
    </row>
    <row r="152" s="2385" customFormat="1" spans="1:29">
      <c r="A152" s="2421"/>
      <c r="B152" s="2421"/>
      <c r="C152" s="2421"/>
      <c r="D152" s="2421"/>
      <c r="E152" s="2421"/>
      <c r="F152" s="2421"/>
      <c r="G152" s="2421"/>
      <c r="H152" s="2421"/>
      <c r="I152" s="2421"/>
      <c r="J152" s="2421"/>
      <c r="K152" s="2422"/>
      <c r="L152" s="2423"/>
      <c r="M152" s="2421"/>
      <c r="N152" s="2421"/>
      <c r="O152" s="2421"/>
      <c r="P152" s="2421"/>
      <c r="Q152" s="2421"/>
      <c r="R152" s="2421"/>
      <c r="S152" s="2421"/>
      <c r="T152" s="2421"/>
      <c r="U152" s="2421"/>
      <c r="V152" s="2421"/>
      <c r="W152" s="2421"/>
      <c r="X152" s="2421"/>
      <c r="Y152" s="2421"/>
      <c r="Z152" s="2421"/>
      <c r="AA152" s="2421"/>
      <c r="AB152" s="2421"/>
      <c r="AC152" s="2421"/>
    </row>
    <row r="153" s="2385" customFormat="1" spans="1:29">
      <c r="A153" s="2421"/>
      <c r="B153" s="2421"/>
      <c r="C153" s="2421"/>
      <c r="D153" s="2421"/>
      <c r="E153" s="2421"/>
      <c r="F153" s="2421"/>
      <c r="G153" s="2421"/>
      <c r="H153" s="2421"/>
      <c r="I153" s="2421"/>
      <c r="J153" s="2421"/>
      <c r="K153" s="2422"/>
      <c r="L153" s="2423"/>
      <c r="M153" s="2421"/>
      <c r="N153" s="2421"/>
      <c r="O153" s="2421"/>
      <c r="P153" s="2421"/>
      <c r="Q153" s="2421"/>
      <c r="R153" s="2421"/>
      <c r="S153" s="2421"/>
      <c r="T153" s="2421"/>
      <c r="U153" s="2421"/>
      <c r="V153" s="2421"/>
      <c r="W153" s="2421"/>
      <c r="X153" s="2421"/>
      <c r="Y153" s="2421"/>
      <c r="Z153" s="2421"/>
      <c r="AA153" s="2421"/>
      <c r="AB153" s="2421"/>
      <c r="AC153" s="2421"/>
    </row>
    <row r="154" s="2385" customFormat="1" spans="1:29">
      <c r="A154" s="2421"/>
      <c r="B154" s="2421"/>
      <c r="C154" s="2421"/>
      <c r="D154" s="2421"/>
      <c r="E154" s="2421"/>
      <c r="F154" s="2421"/>
      <c r="G154" s="2421"/>
      <c r="H154" s="2421"/>
      <c r="I154" s="2421"/>
      <c r="J154" s="2421"/>
      <c r="K154" s="2422"/>
      <c r="L154" s="2423"/>
      <c r="M154" s="2421"/>
      <c r="N154" s="2421"/>
      <c r="O154" s="2421"/>
      <c r="P154" s="2421"/>
      <c r="Q154" s="2421"/>
      <c r="R154" s="2421"/>
      <c r="S154" s="2421"/>
      <c r="T154" s="2421"/>
      <c r="U154" s="2421"/>
      <c r="V154" s="2421"/>
      <c r="W154" s="2421"/>
      <c r="X154" s="2421"/>
      <c r="Y154" s="2421"/>
      <c r="Z154" s="2421"/>
      <c r="AA154" s="2421"/>
      <c r="AB154" s="2421"/>
      <c r="AC154" s="2421"/>
    </row>
    <row r="155" s="2385" customFormat="1" spans="1:29">
      <c r="A155" s="2421"/>
      <c r="B155" s="2421"/>
      <c r="C155" s="2421"/>
      <c r="D155" s="2421"/>
      <c r="E155" s="2421"/>
      <c r="F155" s="2421"/>
      <c r="G155" s="2421"/>
      <c r="H155" s="2421"/>
      <c r="I155" s="2421"/>
      <c r="J155" s="2421"/>
      <c r="K155" s="2422"/>
      <c r="L155" s="2423"/>
      <c r="M155" s="2421"/>
      <c r="N155" s="2421"/>
      <c r="O155" s="2421"/>
      <c r="P155" s="2421"/>
      <c r="Q155" s="2421"/>
      <c r="R155" s="2421"/>
      <c r="S155" s="2421"/>
      <c r="T155" s="2421"/>
      <c r="U155" s="2421"/>
      <c r="V155" s="2421"/>
      <c r="W155" s="2421"/>
      <c r="X155" s="2421"/>
      <c r="Y155" s="2421"/>
      <c r="Z155" s="2421"/>
      <c r="AA155" s="2421"/>
      <c r="AB155" s="2421"/>
      <c r="AC155" s="2421"/>
    </row>
    <row r="156" s="2385" customFormat="1" spans="1:29">
      <c r="A156" s="2421"/>
      <c r="B156" s="2421"/>
      <c r="C156" s="2421"/>
      <c r="D156" s="2421"/>
      <c r="E156" s="2421"/>
      <c r="F156" s="2421"/>
      <c r="G156" s="2421"/>
      <c r="H156" s="2421"/>
      <c r="I156" s="2421"/>
      <c r="J156" s="2421"/>
      <c r="K156" s="2422"/>
      <c r="L156" s="2423"/>
      <c r="M156" s="2421"/>
      <c r="N156" s="2421"/>
      <c r="O156" s="2421"/>
      <c r="P156" s="2421"/>
      <c r="Q156" s="2421"/>
      <c r="R156" s="2421"/>
      <c r="S156" s="2421"/>
      <c r="T156" s="2421"/>
      <c r="U156" s="2421"/>
      <c r="V156" s="2421"/>
      <c r="W156" s="2421"/>
      <c r="X156" s="2421"/>
      <c r="Y156" s="2421"/>
      <c r="Z156" s="2421"/>
      <c r="AA156" s="2421"/>
      <c r="AB156" s="2421"/>
      <c r="AC156" s="2421"/>
    </row>
    <row r="157" s="2385" customFormat="1" spans="1:29">
      <c r="A157" s="2421"/>
      <c r="B157" s="2421"/>
      <c r="C157" s="2421"/>
      <c r="D157" s="2421"/>
      <c r="E157" s="2421"/>
      <c r="F157" s="2421"/>
      <c r="G157" s="2421"/>
      <c r="H157" s="2421"/>
      <c r="I157" s="2421"/>
      <c r="J157" s="2421"/>
      <c r="K157" s="2422"/>
      <c r="L157" s="2423"/>
      <c r="M157" s="2421"/>
      <c r="N157" s="2421"/>
      <c r="O157" s="2421"/>
      <c r="P157" s="2421"/>
      <c r="Q157" s="2421"/>
      <c r="R157" s="2421"/>
      <c r="S157" s="2421"/>
      <c r="T157" s="2421"/>
      <c r="U157" s="2421"/>
      <c r="V157" s="2421"/>
      <c r="W157" s="2421"/>
      <c r="X157" s="2421"/>
      <c r="Y157" s="2421"/>
      <c r="Z157" s="2421"/>
      <c r="AA157" s="2421"/>
      <c r="AB157" s="2421"/>
      <c r="AC157" s="2421"/>
    </row>
    <row r="158" s="2385" customFormat="1" spans="1:29">
      <c r="A158" s="2421"/>
      <c r="B158" s="2421"/>
      <c r="C158" s="2421"/>
      <c r="D158" s="2421"/>
      <c r="E158" s="2421"/>
      <c r="F158" s="2421"/>
      <c r="G158" s="2421"/>
      <c r="H158" s="2421"/>
      <c r="I158" s="2421"/>
      <c r="J158" s="2421"/>
      <c r="K158" s="2422"/>
      <c r="L158" s="2423"/>
      <c r="M158" s="2421"/>
      <c r="N158" s="2421"/>
      <c r="O158" s="2421"/>
      <c r="P158" s="2421"/>
      <c r="Q158" s="2421"/>
      <c r="R158" s="2421"/>
      <c r="S158" s="2421"/>
      <c r="T158" s="2421"/>
      <c r="U158" s="2421"/>
      <c r="V158" s="2421"/>
      <c r="W158" s="2421"/>
      <c r="X158" s="2421"/>
      <c r="Y158" s="2421"/>
      <c r="Z158" s="2421"/>
      <c r="AA158" s="2421"/>
      <c r="AB158" s="2421"/>
      <c r="AC158" s="2421"/>
    </row>
    <row r="159" s="2385" customFormat="1" spans="1:29">
      <c r="A159" s="2421"/>
      <c r="B159" s="2421"/>
      <c r="C159" s="2421"/>
      <c r="D159" s="2421"/>
      <c r="E159" s="2421"/>
      <c r="F159" s="2421"/>
      <c r="G159" s="2421"/>
      <c r="H159" s="2421"/>
      <c r="I159" s="2421"/>
      <c r="J159" s="2421"/>
      <c r="K159" s="2422"/>
      <c r="L159" s="2423"/>
      <c r="M159" s="2421"/>
      <c r="N159" s="2421"/>
      <c r="O159" s="2421"/>
      <c r="P159" s="2421"/>
      <c r="Q159" s="2421"/>
      <c r="R159" s="2421"/>
      <c r="S159" s="2421"/>
      <c r="T159" s="2421"/>
      <c r="U159" s="2421"/>
      <c r="V159" s="2421"/>
      <c r="W159" s="2421"/>
      <c r="X159" s="2421"/>
      <c r="Y159" s="2421"/>
      <c r="Z159" s="2421"/>
      <c r="AA159" s="2421"/>
      <c r="AB159" s="2421"/>
      <c r="AC159" s="2421"/>
    </row>
    <row r="160" s="2385" customFormat="1" spans="1:29">
      <c r="A160" s="2421"/>
      <c r="B160" s="2421"/>
      <c r="C160" s="2421"/>
      <c r="D160" s="2421"/>
      <c r="E160" s="2421"/>
      <c r="F160" s="2421"/>
      <c r="G160" s="2421"/>
      <c r="H160" s="2421"/>
      <c r="I160" s="2421"/>
      <c r="J160" s="2421"/>
      <c r="K160" s="2422"/>
      <c r="L160" s="2423"/>
      <c r="M160" s="2421"/>
      <c r="N160" s="2421"/>
      <c r="O160" s="2421"/>
      <c r="P160" s="2421"/>
      <c r="Q160" s="2421"/>
      <c r="R160" s="2421"/>
      <c r="S160" s="2421"/>
      <c r="T160" s="2421"/>
      <c r="U160" s="2421"/>
      <c r="V160" s="2421"/>
      <c r="W160" s="2421"/>
      <c r="X160" s="2421"/>
      <c r="Y160" s="2421"/>
      <c r="Z160" s="2421"/>
      <c r="AA160" s="2421"/>
      <c r="AB160" s="2421"/>
      <c r="AC160" s="2421"/>
    </row>
    <row r="161" s="2385" customFormat="1" spans="1:29">
      <c r="A161" s="2421"/>
      <c r="B161" s="2421"/>
      <c r="C161" s="2421"/>
      <c r="D161" s="2421"/>
      <c r="E161" s="2421"/>
      <c r="F161" s="2421"/>
      <c r="G161" s="2421"/>
      <c r="H161" s="2421"/>
      <c r="I161" s="2421"/>
      <c r="J161" s="2421"/>
      <c r="K161" s="2422"/>
      <c r="L161" s="2423"/>
      <c r="M161" s="2421"/>
      <c r="N161" s="2421"/>
      <c r="O161" s="2421"/>
      <c r="P161" s="2421"/>
      <c r="Q161" s="2421"/>
      <c r="R161" s="2421"/>
      <c r="S161" s="2421"/>
      <c r="T161" s="2421"/>
      <c r="U161" s="2421"/>
      <c r="V161" s="2421"/>
      <c r="W161" s="2421"/>
      <c r="X161" s="2421"/>
      <c r="Y161" s="2421"/>
      <c r="Z161" s="2421"/>
      <c r="AA161" s="2421"/>
      <c r="AB161" s="2421"/>
      <c r="AC161" s="2421"/>
    </row>
    <row r="162" s="2385" customFormat="1" spans="1:29">
      <c r="A162" s="2421"/>
      <c r="B162" s="2421"/>
      <c r="C162" s="2421"/>
      <c r="D162" s="2421"/>
      <c r="E162" s="2421"/>
      <c r="F162" s="2421"/>
      <c r="G162" s="2421"/>
      <c r="H162" s="2421"/>
      <c r="I162" s="2421"/>
      <c r="J162" s="2421"/>
      <c r="K162" s="2422"/>
      <c r="L162" s="2423"/>
      <c r="M162" s="2421"/>
      <c r="N162" s="2421"/>
      <c r="O162" s="2421"/>
      <c r="P162" s="2421"/>
      <c r="Q162" s="2421"/>
      <c r="R162" s="2421"/>
      <c r="S162" s="2421"/>
      <c r="T162" s="2421"/>
      <c r="U162" s="2421"/>
      <c r="V162" s="2421"/>
      <c r="W162" s="2421"/>
      <c r="X162" s="2421"/>
      <c r="Y162" s="2421"/>
      <c r="Z162" s="2421"/>
      <c r="AA162" s="2421"/>
      <c r="AB162" s="2421"/>
      <c r="AC162" s="2421"/>
    </row>
    <row r="163" s="2385" customFormat="1" spans="1:29">
      <c r="A163" s="2421"/>
      <c r="B163" s="2421"/>
      <c r="C163" s="2421"/>
      <c r="D163" s="2421"/>
      <c r="E163" s="2421"/>
      <c r="F163" s="2421"/>
      <c r="G163" s="2421"/>
      <c r="H163" s="2421"/>
      <c r="I163" s="2421"/>
      <c r="J163" s="2421"/>
      <c r="K163" s="2422"/>
      <c r="L163" s="2423"/>
      <c r="M163" s="2421"/>
      <c r="N163" s="2421"/>
      <c r="O163" s="2421"/>
      <c r="P163" s="2421"/>
      <c r="Q163" s="2421"/>
      <c r="R163" s="2421"/>
      <c r="S163" s="2421"/>
      <c r="T163" s="2421"/>
      <c r="U163" s="2421"/>
      <c r="V163" s="2421"/>
      <c r="W163" s="2421"/>
      <c r="X163" s="2421"/>
      <c r="Y163" s="2421"/>
      <c r="Z163" s="2421"/>
      <c r="AA163" s="2421"/>
      <c r="AB163" s="2421"/>
      <c r="AC163" s="2421"/>
    </row>
    <row r="164" s="2385" customFormat="1" spans="1:29">
      <c r="A164" s="2421"/>
      <c r="B164" s="2421"/>
      <c r="C164" s="2421"/>
      <c r="D164" s="2421"/>
      <c r="E164" s="2421"/>
      <c r="F164" s="2421"/>
      <c r="G164" s="2421"/>
      <c r="H164" s="2421"/>
      <c r="I164" s="2421"/>
      <c r="J164" s="2421"/>
      <c r="K164" s="2422"/>
      <c r="L164" s="2423"/>
      <c r="M164" s="2421"/>
      <c r="N164" s="2421"/>
      <c r="O164" s="2421"/>
      <c r="P164" s="2421"/>
      <c r="Q164" s="2421"/>
      <c r="R164" s="2421"/>
      <c r="S164" s="2421"/>
      <c r="T164" s="2421"/>
      <c r="U164" s="2421"/>
      <c r="V164" s="2421"/>
      <c r="W164" s="2421"/>
      <c r="X164" s="2421"/>
      <c r="Y164" s="2421"/>
      <c r="Z164" s="2421"/>
      <c r="AA164" s="2421"/>
      <c r="AB164" s="2421"/>
      <c r="AC164" s="2421"/>
    </row>
    <row r="165" s="2385" customFormat="1" spans="1:29">
      <c r="A165" s="2421"/>
      <c r="B165" s="2421"/>
      <c r="C165" s="2421"/>
      <c r="D165" s="2421"/>
      <c r="E165" s="2421"/>
      <c r="F165" s="2421"/>
      <c r="G165" s="2421"/>
      <c r="H165" s="2421"/>
      <c r="I165" s="2421"/>
      <c r="J165" s="2421"/>
      <c r="K165" s="2422"/>
      <c r="L165" s="2423"/>
      <c r="M165" s="2421"/>
      <c r="N165" s="2421"/>
      <c r="O165" s="2421"/>
      <c r="P165" s="2421"/>
      <c r="Q165" s="2421"/>
      <c r="R165" s="2421"/>
      <c r="S165" s="2421"/>
      <c r="T165" s="2421"/>
      <c r="U165" s="2421"/>
      <c r="V165" s="2421"/>
      <c r="W165" s="2421"/>
      <c r="X165" s="2421"/>
      <c r="Y165" s="2421"/>
      <c r="Z165" s="2421"/>
      <c r="AA165" s="2421"/>
      <c r="AB165" s="2421"/>
      <c r="AC165" s="2421"/>
    </row>
    <row r="166" s="2385" customFormat="1" spans="1:29">
      <c r="A166" s="2421"/>
      <c r="B166" s="2421"/>
      <c r="C166" s="2421"/>
      <c r="D166" s="2421"/>
      <c r="E166" s="2421"/>
      <c r="F166" s="2421"/>
      <c r="G166" s="2421"/>
      <c r="H166" s="2421"/>
      <c r="I166" s="2421"/>
      <c r="J166" s="2421"/>
      <c r="K166" s="2422"/>
      <c r="L166" s="2423"/>
      <c r="M166" s="2421"/>
      <c r="N166" s="2421"/>
      <c r="O166" s="2421"/>
      <c r="P166" s="2421"/>
      <c r="Q166" s="2421"/>
      <c r="R166" s="2421"/>
      <c r="S166" s="2421"/>
      <c r="T166" s="2421"/>
      <c r="U166" s="2421"/>
      <c r="V166" s="2421"/>
      <c r="W166" s="2421"/>
      <c r="X166" s="2421"/>
      <c r="Y166" s="2421"/>
      <c r="Z166" s="2421"/>
      <c r="AA166" s="2421"/>
      <c r="AB166" s="2421"/>
      <c r="AC166" s="2421"/>
    </row>
    <row r="167" s="2385" customFormat="1" spans="1:29">
      <c r="A167" s="2421"/>
      <c r="B167" s="2421"/>
      <c r="C167" s="2421"/>
      <c r="D167" s="2421"/>
      <c r="E167" s="2421"/>
      <c r="F167" s="2421"/>
      <c r="G167" s="2421"/>
      <c r="H167" s="2421"/>
      <c r="I167" s="2421"/>
      <c r="J167" s="2421"/>
      <c r="K167" s="2422"/>
      <c r="L167" s="2423"/>
      <c r="M167" s="2421"/>
      <c r="N167" s="2421"/>
      <c r="O167" s="2421"/>
      <c r="P167" s="2421"/>
      <c r="Q167" s="2421"/>
      <c r="R167" s="2421"/>
      <c r="S167" s="2421"/>
      <c r="T167" s="2421"/>
      <c r="U167" s="2421"/>
      <c r="V167" s="2421"/>
      <c r="W167" s="2421"/>
      <c r="X167" s="2421"/>
      <c r="Y167" s="2421"/>
      <c r="Z167" s="2421"/>
      <c r="AA167" s="2421"/>
      <c r="AB167" s="2421"/>
      <c r="AC167" s="2421"/>
    </row>
    <row r="168" s="2385" customFormat="1" spans="1:29">
      <c r="A168" s="2421"/>
      <c r="B168" s="2421"/>
      <c r="C168" s="2421"/>
      <c r="D168" s="2421"/>
      <c r="E168" s="2421"/>
      <c r="F168" s="2421"/>
      <c r="G168" s="2421"/>
      <c r="H168" s="2421"/>
      <c r="I168" s="2421"/>
      <c r="J168" s="2421"/>
      <c r="K168" s="2422"/>
      <c r="L168" s="2423"/>
      <c r="M168" s="2421"/>
      <c r="N168" s="2421"/>
      <c r="O168" s="2421"/>
      <c r="P168" s="2421"/>
      <c r="Q168" s="2421"/>
      <c r="R168" s="2421"/>
      <c r="S168" s="2421"/>
      <c r="T168" s="2421"/>
      <c r="U168" s="2421"/>
      <c r="V168" s="2421"/>
      <c r="W168" s="2421"/>
      <c r="X168" s="2421"/>
      <c r="Y168" s="2421"/>
      <c r="Z168" s="2421"/>
      <c r="AA168" s="2421"/>
      <c r="AB168" s="2421"/>
      <c r="AC168" s="2421"/>
    </row>
    <row r="169" s="2385" customFormat="1" spans="1:29">
      <c r="A169" s="2421"/>
      <c r="B169" s="2421"/>
      <c r="C169" s="2421"/>
      <c r="D169" s="2421"/>
      <c r="E169" s="2421"/>
      <c r="F169" s="2421"/>
      <c r="G169" s="2421"/>
      <c r="H169" s="2421"/>
      <c r="I169" s="2421"/>
      <c r="J169" s="2421"/>
      <c r="K169" s="2422"/>
      <c r="L169" s="2423"/>
      <c r="M169" s="2421"/>
      <c r="N169" s="2421"/>
      <c r="O169" s="2421"/>
      <c r="P169" s="2421"/>
      <c r="Q169" s="2421"/>
      <c r="R169" s="2421"/>
      <c r="S169" s="2421"/>
      <c r="T169" s="2421"/>
      <c r="U169" s="2421"/>
      <c r="V169" s="2421"/>
      <c r="W169" s="2421"/>
      <c r="X169" s="2421"/>
      <c r="Y169" s="2421"/>
      <c r="Z169" s="2421"/>
      <c r="AA169" s="2421"/>
      <c r="AB169" s="2421"/>
      <c r="AC169" s="2421"/>
    </row>
    <row r="170" s="2385" customFormat="1" spans="1:29">
      <c r="A170" s="2421"/>
      <c r="B170" s="2421"/>
      <c r="C170" s="2421"/>
      <c r="D170" s="2421"/>
      <c r="E170" s="2421"/>
      <c r="F170" s="2421"/>
      <c r="G170" s="2421"/>
      <c r="H170" s="2421"/>
      <c r="I170" s="2421"/>
      <c r="J170" s="2421"/>
      <c r="K170" s="2422"/>
      <c r="L170" s="2423"/>
      <c r="M170" s="2421"/>
      <c r="N170" s="2421"/>
      <c r="O170" s="2421"/>
      <c r="P170" s="2421"/>
      <c r="Q170" s="2421"/>
      <c r="R170" s="2421"/>
      <c r="S170" s="2421"/>
      <c r="T170" s="2421"/>
      <c r="U170" s="2421"/>
      <c r="V170" s="2421"/>
      <c r="W170" s="2421"/>
      <c r="X170" s="2421"/>
      <c r="Y170" s="2421"/>
      <c r="Z170" s="2421"/>
      <c r="AA170" s="2421"/>
      <c r="AB170" s="2421"/>
      <c r="AC170" s="2421"/>
    </row>
    <row r="171" s="2385" customFormat="1" spans="1:29">
      <c r="A171" s="2421"/>
      <c r="B171" s="2421"/>
      <c r="C171" s="2421"/>
      <c r="D171" s="2421"/>
      <c r="E171" s="2421"/>
      <c r="F171" s="2421"/>
      <c r="G171" s="2421"/>
      <c r="H171" s="2421"/>
      <c r="I171" s="2421"/>
      <c r="J171" s="2421"/>
      <c r="K171" s="2422"/>
      <c r="L171" s="2423"/>
      <c r="M171" s="2421"/>
      <c r="N171" s="2421"/>
      <c r="O171" s="2421"/>
      <c r="P171" s="2421"/>
      <c r="Q171" s="2421"/>
      <c r="R171" s="2421"/>
      <c r="S171" s="2421"/>
      <c r="T171" s="2421"/>
      <c r="U171" s="2421"/>
      <c r="V171" s="2421"/>
      <c r="W171" s="2421"/>
      <c r="X171" s="2421"/>
      <c r="Y171" s="2421"/>
      <c r="Z171" s="2421"/>
      <c r="AA171" s="2421"/>
      <c r="AB171" s="2421"/>
      <c r="AC171" s="2421"/>
    </row>
    <row r="172" s="2385" customFormat="1" spans="1:29">
      <c r="A172" s="2421"/>
      <c r="B172" s="2421"/>
      <c r="C172" s="2421"/>
      <c r="D172" s="2421"/>
      <c r="E172" s="2421"/>
      <c r="F172" s="2421"/>
      <c r="G172" s="2421"/>
      <c r="H172" s="2421"/>
      <c r="I172" s="2421"/>
      <c r="J172" s="2421"/>
      <c r="K172" s="2422"/>
      <c r="L172" s="2423"/>
      <c r="M172" s="2421"/>
      <c r="N172" s="2421"/>
      <c r="O172" s="2421"/>
      <c r="P172" s="2421"/>
      <c r="Q172" s="2421"/>
      <c r="R172" s="2421"/>
      <c r="S172" s="2421"/>
      <c r="T172" s="2421"/>
      <c r="U172" s="2421"/>
      <c r="V172" s="2421"/>
      <c r="W172" s="2421"/>
      <c r="X172" s="2421"/>
      <c r="Y172" s="2421"/>
      <c r="Z172" s="2421"/>
      <c r="AA172" s="2421"/>
      <c r="AB172" s="2421"/>
      <c r="AC172" s="2421"/>
    </row>
    <row r="173" s="2385" customFormat="1" spans="1:29">
      <c r="A173" s="2421"/>
      <c r="B173" s="2421"/>
      <c r="C173" s="2421"/>
      <c r="D173" s="2421"/>
      <c r="E173" s="2421"/>
      <c r="F173" s="2421"/>
      <c r="G173" s="2421"/>
      <c r="H173" s="2421"/>
      <c r="I173" s="2421"/>
      <c r="J173" s="2421"/>
      <c r="K173" s="2422"/>
      <c r="L173" s="2423"/>
      <c r="M173" s="2421"/>
      <c r="N173" s="2421"/>
      <c r="O173" s="2421"/>
      <c r="P173" s="2421"/>
      <c r="Q173" s="2421"/>
      <c r="R173" s="2421"/>
      <c r="S173" s="2421"/>
      <c r="T173" s="2421"/>
      <c r="U173" s="2421"/>
      <c r="V173" s="2421"/>
      <c r="W173" s="2421"/>
      <c r="X173" s="2421"/>
      <c r="Y173" s="2421"/>
      <c r="Z173" s="2421"/>
      <c r="AA173" s="2421"/>
      <c r="AB173" s="2421"/>
      <c r="AC173" s="2421"/>
    </row>
    <row r="174" s="2385" customFormat="1" spans="1:29">
      <c r="A174" s="2421"/>
      <c r="B174" s="2421"/>
      <c r="C174" s="2421"/>
      <c r="D174" s="2421"/>
      <c r="E174" s="2421"/>
      <c r="F174" s="2421"/>
      <c r="G174" s="2421"/>
      <c r="H174" s="2421"/>
      <c r="I174" s="2421"/>
      <c r="J174" s="2421"/>
      <c r="K174" s="2422"/>
      <c r="L174" s="2423"/>
      <c r="M174" s="2421"/>
      <c r="N174" s="2421"/>
      <c r="O174" s="2421"/>
      <c r="P174" s="2421"/>
      <c r="Q174" s="2421"/>
      <c r="R174" s="2421"/>
      <c r="S174" s="2421"/>
      <c r="T174" s="2421"/>
      <c r="U174" s="2421"/>
      <c r="V174" s="2421"/>
      <c r="W174" s="2421"/>
      <c r="X174" s="2421"/>
      <c r="Y174" s="2421"/>
      <c r="Z174" s="2421"/>
      <c r="AA174" s="2421"/>
      <c r="AB174" s="2421"/>
      <c r="AC174" s="2421"/>
    </row>
    <row r="175" s="2385" customFormat="1" spans="1:29">
      <c r="A175" s="2421"/>
      <c r="B175" s="2421"/>
      <c r="C175" s="2421"/>
      <c r="D175" s="2421"/>
      <c r="E175" s="2421"/>
      <c r="F175" s="2421"/>
      <c r="G175" s="2421"/>
      <c r="H175" s="2421"/>
      <c r="I175" s="2421"/>
      <c r="J175" s="2421"/>
      <c r="K175" s="2422"/>
      <c r="L175" s="2423"/>
      <c r="M175" s="2421"/>
      <c r="N175" s="2421"/>
      <c r="O175" s="2421"/>
      <c r="P175" s="2421"/>
      <c r="Q175" s="2421"/>
      <c r="R175" s="2421"/>
      <c r="S175" s="2421"/>
      <c r="T175" s="2421"/>
      <c r="U175" s="2421"/>
      <c r="V175" s="2421"/>
      <c r="W175" s="2421"/>
      <c r="X175" s="2421"/>
      <c r="Y175" s="2421"/>
      <c r="Z175" s="2421"/>
      <c r="AA175" s="2421"/>
      <c r="AB175" s="2421"/>
      <c r="AC175" s="2421"/>
    </row>
    <row r="176" s="2385" customFormat="1" spans="1:29">
      <c r="A176" s="2421"/>
      <c r="B176" s="2421"/>
      <c r="C176" s="2421"/>
      <c r="D176" s="2421"/>
      <c r="E176" s="2421"/>
      <c r="F176" s="2421"/>
      <c r="G176" s="2421"/>
      <c r="H176" s="2421"/>
      <c r="I176" s="2421"/>
      <c r="J176" s="2421"/>
      <c r="K176" s="2422"/>
      <c r="L176" s="2423"/>
      <c r="M176" s="2421"/>
      <c r="N176" s="2421"/>
      <c r="O176" s="2421"/>
      <c r="P176" s="2421"/>
      <c r="Q176" s="2421"/>
      <c r="R176" s="2421"/>
      <c r="S176" s="2421"/>
      <c r="T176" s="2421"/>
      <c r="U176" s="2421"/>
      <c r="V176" s="2421"/>
      <c r="W176" s="2421"/>
      <c r="X176" s="2421"/>
      <c r="Y176" s="2421"/>
      <c r="Z176" s="2421"/>
      <c r="AA176" s="2421"/>
      <c r="AB176" s="2421"/>
      <c r="AC176" s="2421"/>
    </row>
    <row r="177" s="2385" customFormat="1" spans="1:29">
      <c r="A177" s="2421"/>
      <c r="B177" s="2421"/>
      <c r="C177" s="2421"/>
      <c r="D177" s="2421"/>
      <c r="E177" s="2421"/>
      <c r="F177" s="2421"/>
      <c r="G177" s="2421"/>
      <c r="H177" s="2421"/>
      <c r="I177" s="2421"/>
      <c r="J177" s="2421"/>
      <c r="K177" s="2422"/>
      <c r="L177" s="2423"/>
      <c r="M177" s="2421"/>
      <c r="N177" s="2421"/>
      <c r="O177" s="2421"/>
      <c r="P177" s="2421"/>
      <c r="Q177" s="2421"/>
      <c r="R177" s="2421"/>
      <c r="S177" s="2421"/>
      <c r="T177" s="2421"/>
      <c r="U177" s="2421"/>
      <c r="V177" s="2421"/>
      <c r="W177" s="2421"/>
      <c r="X177" s="2421"/>
      <c r="Y177" s="2421"/>
      <c r="Z177" s="2421"/>
      <c r="AA177" s="2421"/>
      <c r="AB177" s="2421"/>
      <c r="AC177" s="2421"/>
    </row>
    <row r="178" s="2385" customFormat="1" spans="1:29">
      <c r="A178" s="2421"/>
      <c r="B178" s="2421"/>
      <c r="C178" s="2421"/>
      <c r="D178" s="2421"/>
      <c r="E178" s="2421"/>
      <c r="F178" s="2421"/>
      <c r="G178" s="2421"/>
      <c r="H178" s="2421"/>
      <c r="I178" s="2421"/>
      <c r="J178" s="2421"/>
      <c r="K178" s="2422"/>
      <c r="L178" s="2423"/>
      <c r="M178" s="2421"/>
      <c r="N178" s="2421"/>
      <c r="O178" s="2421"/>
      <c r="P178" s="2421"/>
      <c r="Q178" s="2421"/>
      <c r="R178" s="2421"/>
      <c r="S178" s="2421"/>
      <c r="T178" s="2421"/>
      <c r="U178" s="2421"/>
      <c r="V178" s="2421"/>
      <c r="W178" s="2421"/>
      <c r="X178" s="2421"/>
      <c r="Y178" s="2421"/>
      <c r="Z178" s="2421"/>
      <c r="AA178" s="2421"/>
      <c r="AB178" s="2421"/>
      <c r="AC178" s="2421"/>
    </row>
    <row r="179" s="2385" customFormat="1" spans="1:29">
      <c r="A179" s="2421"/>
      <c r="B179" s="2421"/>
      <c r="C179" s="2421"/>
      <c r="D179" s="2421"/>
      <c r="E179" s="2421"/>
      <c r="F179" s="2421"/>
      <c r="G179" s="2421"/>
      <c r="H179" s="2421"/>
      <c r="I179" s="2421"/>
      <c r="J179" s="2421"/>
      <c r="K179" s="2422"/>
      <c r="L179" s="2423"/>
      <c r="M179" s="2421"/>
      <c r="N179" s="2421"/>
      <c r="O179" s="2421"/>
      <c r="P179" s="2421"/>
      <c r="Q179" s="2421"/>
      <c r="R179" s="2421"/>
      <c r="S179" s="2421"/>
      <c r="T179" s="2421"/>
      <c r="U179" s="2421"/>
      <c r="V179" s="2421"/>
      <c r="W179" s="2421"/>
      <c r="X179" s="2421"/>
      <c r="Y179" s="2421"/>
      <c r="Z179" s="2421"/>
      <c r="AA179" s="2421"/>
      <c r="AB179" s="2421"/>
      <c r="AC179" s="2421"/>
    </row>
    <row r="180" s="2385" customFormat="1" spans="1:29">
      <c r="A180" s="2421"/>
      <c r="B180" s="2421"/>
      <c r="C180" s="2421"/>
      <c r="D180" s="2421"/>
      <c r="E180" s="2421"/>
      <c r="F180" s="2421"/>
      <c r="G180" s="2421"/>
      <c r="H180" s="2421"/>
      <c r="I180" s="2421"/>
      <c r="J180" s="2421"/>
      <c r="K180" s="2422"/>
      <c r="L180" s="2423"/>
      <c r="M180" s="2421"/>
      <c r="N180" s="2421"/>
      <c r="O180" s="2421"/>
      <c r="P180" s="2421"/>
      <c r="Q180" s="2421"/>
      <c r="R180" s="2421"/>
      <c r="S180" s="2421"/>
      <c r="T180" s="2421"/>
      <c r="U180" s="2421"/>
      <c r="V180" s="2421"/>
      <c r="W180" s="2421"/>
      <c r="X180" s="2421"/>
      <c r="Y180" s="2421"/>
      <c r="Z180" s="2421"/>
      <c r="AA180" s="2421"/>
      <c r="AB180" s="2421"/>
      <c r="AC180" s="2421"/>
    </row>
    <row r="181" s="2385" customFormat="1" spans="1:29">
      <c r="A181" s="2421"/>
      <c r="B181" s="2421"/>
      <c r="C181" s="2421"/>
      <c r="D181" s="2421"/>
      <c r="E181" s="2421"/>
      <c r="F181" s="2421"/>
      <c r="G181" s="2421"/>
      <c r="H181" s="2421"/>
      <c r="I181" s="2421"/>
      <c r="J181" s="2421"/>
      <c r="K181" s="2422"/>
      <c r="L181" s="2423"/>
      <c r="M181" s="2421"/>
      <c r="N181" s="2421"/>
      <c r="O181" s="2421"/>
      <c r="P181" s="2421"/>
      <c r="Q181" s="2421"/>
      <c r="R181" s="2421"/>
      <c r="S181" s="2421"/>
      <c r="T181" s="2421"/>
      <c r="U181" s="2421"/>
      <c r="V181" s="2421"/>
      <c r="W181" s="2421"/>
      <c r="X181" s="2421"/>
      <c r="Y181" s="2421"/>
      <c r="Z181" s="2421"/>
      <c r="AA181" s="2421"/>
      <c r="AB181" s="2421"/>
      <c r="AC181" s="2421"/>
    </row>
    <row r="182" s="2385" customFormat="1" spans="1:29">
      <c r="A182" s="2421"/>
      <c r="B182" s="2421"/>
      <c r="C182" s="2421"/>
      <c r="D182" s="2421"/>
      <c r="E182" s="2421"/>
      <c r="F182" s="2421"/>
      <c r="G182" s="2421"/>
      <c r="H182" s="2421"/>
      <c r="I182" s="2421"/>
      <c r="J182" s="2421"/>
      <c r="K182" s="2422"/>
      <c r="L182" s="2423"/>
      <c r="M182" s="2421"/>
      <c r="N182" s="2421"/>
      <c r="O182" s="2421"/>
      <c r="P182" s="2421"/>
      <c r="Q182" s="2421"/>
      <c r="R182" s="2421"/>
      <c r="S182" s="2421"/>
      <c r="T182" s="2421"/>
      <c r="U182" s="2421"/>
      <c r="V182" s="2421"/>
      <c r="W182" s="2421"/>
      <c r="X182" s="2421"/>
      <c r="Y182" s="2421"/>
      <c r="Z182" s="2421"/>
      <c r="AA182" s="2421"/>
      <c r="AB182" s="2421"/>
      <c r="AC182" s="2421"/>
    </row>
    <row r="183" s="2385" customFormat="1" spans="1:29">
      <c r="A183" s="2421"/>
      <c r="B183" s="2421"/>
      <c r="C183" s="2421"/>
      <c r="D183" s="2421"/>
      <c r="E183" s="2421"/>
      <c r="F183" s="2421"/>
      <c r="G183" s="2421"/>
      <c r="H183" s="2421"/>
      <c r="I183" s="2421"/>
      <c r="J183" s="2421"/>
      <c r="K183" s="2422"/>
      <c r="L183" s="2423"/>
      <c r="M183" s="2421"/>
      <c r="N183" s="2421"/>
      <c r="O183" s="2421"/>
      <c r="P183" s="2421"/>
      <c r="Q183" s="2421"/>
      <c r="R183" s="2421"/>
      <c r="S183" s="2421"/>
      <c r="T183" s="2421"/>
      <c r="U183" s="2421"/>
      <c r="V183" s="2421"/>
      <c r="W183" s="2421"/>
      <c r="X183" s="2421"/>
      <c r="Y183" s="2421"/>
      <c r="Z183" s="2421"/>
      <c r="AA183" s="2421"/>
      <c r="AB183" s="2421"/>
      <c r="AC183" s="2421"/>
    </row>
    <row r="184" s="2385" customFormat="1" spans="1:29">
      <c r="A184" s="2421"/>
      <c r="B184" s="2421"/>
      <c r="C184" s="2421"/>
      <c r="D184" s="2421"/>
      <c r="E184" s="2421"/>
      <c r="F184" s="2421"/>
      <c r="G184" s="2421"/>
      <c r="H184" s="2421"/>
      <c r="I184" s="2421"/>
      <c r="J184" s="2421"/>
      <c r="K184" s="2422"/>
      <c r="L184" s="2423"/>
      <c r="M184" s="2421"/>
      <c r="N184" s="2421"/>
      <c r="O184" s="2421"/>
      <c r="P184" s="2421"/>
      <c r="Q184" s="2421"/>
      <c r="R184" s="2421"/>
      <c r="S184" s="2421"/>
      <c r="T184" s="2421"/>
      <c r="U184" s="2421"/>
      <c r="V184" s="2421"/>
      <c r="W184" s="2421"/>
      <c r="X184" s="2421"/>
      <c r="Y184" s="2421"/>
      <c r="Z184" s="2421"/>
      <c r="AA184" s="2421"/>
      <c r="AB184" s="2421"/>
      <c r="AC184" s="2421"/>
    </row>
    <row r="185" s="2385" customFormat="1" spans="1:29">
      <c r="A185" s="2421"/>
      <c r="B185" s="2421"/>
      <c r="C185" s="2421"/>
      <c r="D185" s="2421"/>
      <c r="E185" s="2421"/>
      <c r="F185" s="2421"/>
      <c r="G185" s="2421"/>
      <c r="H185" s="2421"/>
      <c r="I185" s="2421"/>
      <c r="J185" s="2421"/>
      <c r="K185" s="2422"/>
      <c r="L185" s="2423"/>
      <c r="M185" s="2421"/>
      <c r="N185" s="2421"/>
      <c r="O185" s="2421"/>
      <c r="P185" s="2421"/>
      <c r="Q185" s="2421"/>
      <c r="R185" s="2421"/>
      <c r="S185" s="2421"/>
      <c r="T185" s="2421"/>
      <c r="U185" s="2421"/>
      <c r="V185" s="2421"/>
      <c r="W185" s="2421"/>
      <c r="X185" s="2421"/>
      <c r="Y185" s="2421"/>
      <c r="Z185" s="2421"/>
      <c r="AA185" s="2421"/>
      <c r="AB185" s="2421"/>
      <c r="AC185" s="2421"/>
    </row>
    <row r="186" s="2385" customFormat="1" spans="1:29">
      <c r="A186" s="2421"/>
      <c r="B186" s="2421"/>
      <c r="C186" s="2421"/>
      <c r="D186" s="2421"/>
      <c r="E186" s="2421"/>
      <c r="F186" s="2421"/>
      <c r="G186" s="2421"/>
      <c r="H186" s="2421"/>
      <c r="I186" s="2421"/>
      <c r="J186" s="2421"/>
      <c r="K186" s="2422"/>
      <c r="L186" s="2423"/>
      <c r="M186" s="2421"/>
      <c r="N186" s="2421"/>
      <c r="O186" s="2421"/>
      <c r="P186" s="2421"/>
      <c r="Q186" s="2421"/>
      <c r="R186" s="2421"/>
      <c r="S186" s="2421"/>
      <c r="T186" s="2421"/>
      <c r="U186" s="2421"/>
      <c r="V186" s="2421"/>
      <c r="W186" s="2421"/>
      <c r="X186" s="2421"/>
      <c r="Y186" s="2421"/>
      <c r="Z186" s="2421"/>
      <c r="AA186" s="2421"/>
      <c r="AB186" s="2421"/>
      <c r="AC186" s="2421"/>
    </row>
    <row r="187" s="2385" customFormat="1" spans="1:29">
      <c r="A187" s="2421"/>
      <c r="B187" s="2421"/>
      <c r="C187" s="2421"/>
      <c r="D187" s="2421"/>
      <c r="E187" s="2421"/>
      <c r="F187" s="2421"/>
      <c r="G187" s="2421"/>
      <c r="H187" s="2421"/>
      <c r="I187" s="2421"/>
      <c r="J187" s="2421"/>
      <c r="K187" s="2422"/>
      <c r="L187" s="2423"/>
      <c r="M187" s="2421"/>
      <c r="N187" s="2421"/>
      <c r="O187" s="2421"/>
      <c r="P187" s="2421"/>
      <c r="Q187" s="2421"/>
      <c r="R187" s="2421"/>
      <c r="S187" s="2421"/>
      <c r="T187" s="2421"/>
      <c r="U187" s="2421"/>
      <c r="V187" s="2421"/>
      <c r="W187" s="2421"/>
      <c r="X187" s="2421"/>
      <c r="Y187" s="2421"/>
      <c r="Z187" s="2421"/>
      <c r="AA187" s="2421"/>
      <c r="AB187" s="2421"/>
      <c r="AC187" s="2421"/>
    </row>
    <row r="188" s="2385" customFormat="1" spans="1:29">
      <c r="A188" s="2421"/>
      <c r="B188" s="2421"/>
      <c r="C188" s="2421"/>
      <c r="D188" s="2421"/>
      <c r="E188" s="2421"/>
      <c r="F188" s="2421"/>
      <c r="G188" s="2421"/>
      <c r="H188" s="2421"/>
      <c r="I188" s="2421"/>
      <c r="J188" s="2421"/>
      <c r="K188" s="2422"/>
      <c r="L188" s="2423"/>
      <c r="M188" s="2421"/>
      <c r="N188" s="2421"/>
      <c r="O188" s="2421"/>
      <c r="P188" s="2421"/>
      <c r="Q188" s="2421"/>
      <c r="R188" s="2421"/>
      <c r="S188" s="2421"/>
      <c r="T188" s="2421"/>
      <c r="U188" s="2421"/>
      <c r="V188" s="2421"/>
      <c r="W188" s="2421"/>
      <c r="X188" s="2421"/>
      <c r="Y188" s="2421"/>
      <c r="Z188" s="2421"/>
      <c r="AA188" s="2421"/>
      <c r="AB188" s="2421"/>
      <c r="AC188" s="2421"/>
    </row>
    <row r="189" s="2385" customFormat="1" spans="1:29">
      <c r="A189" s="2421"/>
      <c r="B189" s="2421"/>
      <c r="C189" s="2421"/>
      <c r="D189" s="2421"/>
      <c r="E189" s="2421"/>
      <c r="F189" s="2421"/>
      <c r="G189" s="2421"/>
      <c r="H189" s="2421"/>
      <c r="I189" s="2421"/>
      <c r="J189" s="2421"/>
      <c r="K189" s="2422"/>
      <c r="L189" s="2423"/>
      <c r="M189" s="2421"/>
      <c r="N189" s="2421"/>
      <c r="O189" s="2421"/>
      <c r="P189" s="2421"/>
      <c r="Q189" s="2421"/>
      <c r="R189" s="2421"/>
      <c r="S189" s="2421"/>
      <c r="T189" s="2421"/>
      <c r="U189" s="2421"/>
      <c r="V189" s="2421"/>
      <c r="W189" s="2421"/>
      <c r="X189" s="2421"/>
      <c r="Y189" s="2421"/>
      <c r="Z189" s="2421"/>
      <c r="AA189" s="2421"/>
      <c r="AB189" s="2421"/>
      <c r="AC189" s="2421"/>
    </row>
    <row r="190" s="2385" customFormat="1" spans="1:29">
      <c r="A190" s="2421"/>
      <c r="B190" s="2421"/>
      <c r="C190" s="2421"/>
      <c r="D190" s="2421"/>
      <c r="E190" s="2421"/>
      <c r="F190" s="2421"/>
      <c r="G190" s="2421"/>
      <c r="H190" s="2421"/>
      <c r="I190" s="2421"/>
      <c r="J190" s="2421"/>
      <c r="K190" s="2422"/>
      <c r="L190" s="2423"/>
      <c r="M190" s="2421"/>
      <c r="N190" s="2421"/>
      <c r="O190" s="2421"/>
      <c r="P190" s="2421"/>
      <c r="Q190" s="2421"/>
      <c r="R190" s="2421"/>
      <c r="S190" s="2421"/>
      <c r="T190" s="2421"/>
      <c r="U190" s="2421"/>
      <c r="V190" s="2421"/>
      <c r="W190" s="2421"/>
      <c r="X190" s="2421"/>
      <c r="Y190" s="2421"/>
      <c r="Z190" s="2421"/>
      <c r="AA190" s="2421"/>
      <c r="AB190" s="2421"/>
      <c r="AC190" s="2421"/>
    </row>
    <row r="191" s="2385" customFormat="1" spans="1:29">
      <c r="A191" s="2421"/>
      <c r="B191" s="2421"/>
      <c r="C191" s="2421"/>
      <c r="D191" s="2421"/>
      <c r="E191" s="2421"/>
      <c r="F191" s="2421"/>
      <c r="G191" s="2421"/>
      <c r="H191" s="2421"/>
      <c r="I191" s="2421"/>
      <c r="J191" s="2421"/>
      <c r="K191" s="2422"/>
      <c r="L191" s="2423"/>
      <c r="M191" s="2421"/>
      <c r="N191" s="2421"/>
      <c r="O191" s="2421"/>
      <c r="P191" s="2421"/>
      <c r="Q191" s="2421"/>
      <c r="R191" s="2421"/>
      <c r="S191" s="2421"/>
      <c r="T191" s="2421"/>
      <c r="U191" s="2421"/>
      <c r="V191" s="2421"/>
      <c r="W191" s="2421"/>
      <c r="X191" s="2421"/>
      <c r="Y191" s="2421"/>
      <c r="Z191" s="2421"/>
      <c r="AA191" s="2421"/>
      <c r="AB191" s="2421"/>
      <c r="AC191" s="2421"/>
    </row>
    <row r="192" s="2385" customFormat="1" spans="1:29">
      <c r="A192" s="2421"/>
      <c r="B192" s="2421"/>
      <c r="C192" s="2421"/>
      <c r="D192" s="2421"/>
      <c r="E192" s="2421"/>
      <c r="F192" s="2421"/>
      <c r="G192" s="2421"/>
      <c r="H192" s="2421"/>
      <c r="I192" s="2421"/>
      <c r="J192" s="2421"/>
      <c r="K192" s="2422"/>
      <c r="L192" s="2423"/>
      <c r="M192" s="2421"/>
      <c r="N192" s="2421"/>
      <c r="O192" s="2421"/>
      <c r="P192" s="2421"/>
      <c r="Q192" s="2421"/>
      <c r="R192" s="2421"/>
      <c r="S192" s="2421"/>
      <c r="T192" s="2421"/>
      <c r="U192" s="2421"/>
      <c r="V192" s="2421"/>
      <c r="W192" s="2421"/>
      <c r="X192" s="2421"/>
      <c r="Y192" s="2421"/>
      <c r="Z192" s="2421"/>
      <c r="AA192" s="2421"/>
      <c r="AB192" s="2421"/>
      <c r="AC192" s="2421"/>
    </row>
    <row r="193" s="2385" customFormat="1" spans="1:29">
      <c r="A193" s="2421"/>
      <c r="B193" s="2421"/>
      <c r="C193" s="2421"/>
      <c r="D193" s="2421"/>
      <c r="E193" s="2421"/>
      <c r="F193" s="2421"/>
      <c r="G193" s="2421"/>
      <c r="H193" s="2421"/>
      <c r="I193" s="2421"/>
      <c r="J193" s="2421"/>
      <c r="K193" s="2422"/>
      <c r="L193" s="2423"/>
      <c r="M193" s="2421"/>
      <c r="N193" s="2421"/>
      <c r="O193" s="2421"/>
      <c r="P193" s="2421"/>
      <c r="Q193" s="2421"/>
      <c r="R193" s="2421"/>
      <c r="S193" s="2421"/>
      <c r="T193" s="2421"/>
      <c r="U193" s="2421"/>
      <c r="V193" s="2421"/>
      <c r="W193" s="2421"/>
      <c r="X193" s="2421"/>
      <c r="Y193" s="2421"/>
      <c r="Z193" s="2421"/>
      <c r="AA193" s="2421"/>
      <c r="AB193" s="2421"/>
      <c r="AC193" s="2421"/>
    </row>
    <row r="194" s="2385" customFormat="1" spans="1:29">
      <c r="A194" s="2421"/>
      <c r="B194" s="2421"/>
      <c r="C194" s="2421"/>
      <c r="D194" s="2421"/>
      <c r="E194" s="2421"/>
      <c r="F194" s="2421"/>
      <c r="G194" s="2421"/>
      <c r="H194" s="2421"/>
      <c r="I194" s="2421"/>
      <c r="J194" s="2421"/>
      <c r="K194" s="2422"/>
      <c r="L194" s="2423"/>
      <c r="M194" s="2421"/>
      <c r="N194" s="2421"/>
      <c r="O194" s="2421"/>
      <c r="P194" s="2421"/>
      <c r="Q194" s="2421"/>
      <c r="R194" s="2421"/>
      <c r="S194" s="2421"/>
      <c r="T194" s="2421"/>
      <c r="U194" s="2421"/>
      <c r="V194" s="2421"/>
      <c r="W194" s="2421"/>
      <c r="X194" s="2421"/>
      <c r="Y194" s="2421"/>
      <c r="Z194" s="2421"/>
      <c r="AA194" s="2421"/>
      <c r="AB194" s="2421"/>
      <c r="AC194" s="2421"/>
    </row>
    <row r="195" s="2385" customFormat="1" spans="1:29">
      <c r="A195" s="2421"/>
      <c r="B195" s="2421"/>
      <c r="C195" s="2421"/>
      <c r="D195" s="2421"/>
      <c r="E195" s="2421"/>
      <c r="F195" s="2421"/>
      <c r="G195" s="2421"/>
      <c r="H195" s="2421"/>
      <c r="I195" s="2421"/>
      <c r="J195" s="2421"/>
      <c r="K195" s="2422"/>
      <c r="L195" s="2423"/>
      <c r="M195" s="2421"/>
      <c r="N195" s="2421"/>
      <c r="O195" s="2421"/>
      <c r="P195" s="2421"/>
      <c r="Q195" s="2421"/>
      <c r="R195" s="2421"/>
      <c r="S195" s="2421"/>
      <c r="T195" s="2421"/>
      <c r="U195" s="2421"/>
      <c r="V195" s="2421"/>
      <c r="W195" s="2421"/>
      <c r="X195" s="2421"/>
      <c r="Y195" s="2421"/>
      <c r="Z195" s="2421"/>
      <c r="AA195" s="2421"/>
      <c r="AB195" s="2421"/>
      <c r="AC195" s="2421"/>
    </row>
    <row r="196" s="2385" customFormat="1" spans="1:29">
      <c r="A196" s="2421"/>
      <c r="B196" s="2421"/>
      <c r="C196" s="2421"/>
      <c r="D196" s="2421"/>
      <c r="E196" s="2421"/>
      <c r="F196" s="2421"/>
      <c r="G196" s="2421"/>
      <c r="H196" s="2421"/>
      <c r="I196" s="2421"/>
      <c r="J196" s="2421"/>
      <c r="K196" s="2422"/>
      <c r="L196" s="2423"/>
      <c r="M196" s="2421"/>
      <c r="N196" s="2421"/>
      <c r="O196" s="2421"/>
      <c r="P196" s="2421"/>
      <c r="Q196" s="2421"/>
      <c r="R196" s="2421"/>
      <c r="S196" s="2421"/>
      <c r="T196" s="2421"/>
      <c r="U196" s="2421"/>
      <c r="V196" s="2421"/>
      <c r="W196" s="2421"/>
      <c r="X196" s="2421"/>
      <c r="Y196" s="2421"/>
      <c r="Z196" s="2421"/>
      <c r="AA196" s="2421"/>
      <c r="AB196" s="2421"/>
      <c r="AC196" s="2421"/>
    </row>
    <row r="197" s="2385" customFormat="1" spans="1:29">
      <c r="A197" s="2421"/>
      <c r="B197" s="2421"/>
      <c r="C197" s="2421"/>
      <c r="D197" s="2421"/>
      <c r="E197" s="2421"/>
      <c r="F197" s="2421"/>
      <c r="G197" s="2421"/>
      <c r="H197" s="2421"/>
      <c r="I197" s="2421"/>
      <c r="J197" s="2421"/>
      <c r="K197" s="2422"/>
      <c r="L197" s="2423"/>
      <c r="M197" s="2421"/>
      <c r="N197" s="2421"/>
      <c r="O197" s="2421"/>
      <c r="P197" s="2421"/>
      <c r="Q197" s="2421"/>
      <c r="R197" s="2421"/>
      <c r="S197" s="2421"/>
      <c r="T197" s="2421"/>
      <c r="U197" s="2421"/>
      <c r="V197" s="2421"/>
      <c r="W197" s="2421"/>
      <c r="X197" s="2421"/>
      <c r="Y197" s="2421"/>
      <c r="Z197" s="2421"/>
      <c r="AA197" s="2421"/>
      <c r="AB197" s="2421"/>
      <c r="AC197" s="2421"/>
    </row>
    <row r="198" s="2385" customFormat="1" spans="1:29">
      <c r="A198" s="2421"/>
      <c r="B198" s="2421"/>
      <c r="C198" s="2421"/>
      <c r="D198" s="2421"/>
      <c r="E198" s="2421"/>
      <c r="F198" s="2421"/>
      <c r="G198" s="2421"/>
      <c r="H198" s="2421"/>
      <c r="I198" s="2421"/>
      <c r="J198" s="2421"/>
      <c r="K198" s="2422"/>
      <c r="L198" s="2423"/>
      <c r="M198" s="2421"/>
      <c r="N198" s="2421"/>
      <c r="O198" s="2421"/>
      <c r="P198" s="2421"/>
      <c r="Q198" s="2421"/>
      <c r="R198" s="2421"/>
      <c r="S198" s="2421"/>
      <c r="T198" s="2421"/>
      <c r="U198" s="2421"/>
      <c r="V198" s="2421"/>
      <c r="W198" s="2421"/>
      <c r="X198" s="2421"/>
      <c r="Y198" s="2421"/>
      <c r="Z198" s="2421"/>
      <c r="AA198" s="2421"/>
      <c r="AB198" s="2421"/>
      <c r="AC198" s="2421"/>
    </row>
    <row r="199" s="2385" customFormat="1" spans="1:29">
      <c r="A199" s="2421"/>
      <c r="B199" s="2421"/>
      <c r="C199" s="2421"/>
      <c r="D199" s="2421"/>
      <c r="E199" s="2421"/>
      <c r="F199" s="2421"/>
      <c r="G199" s="2421"/>
      <c r="H199" s="2421"/>
      <c r="I199" s="2421"/>
      <c r="J199" s="2421"/>
      <c r="K199" s="2422"/>
      <c r="L199" s="2423"/>
      <c r="M199" s="2421"/>
      <c r="N199" s="2421"/>
      <c r="O199" s="2421"/>
      <c r="P199" s="2421"/>
      <c r="Q199" s="2421"/>
      <c r="R199" s="2421"/>
      <c r="S199" s="2421"/>
      <c r="T199" s="2421"/>
      <c r="U199" s="2421"/>
      <c r="V199" s="2421"/>
      <c r="W199" s="2421"/>
      <c r="X199" s="2421"/>
      <c r="Y199" s="2421"/>
      <c r="Z199" s="2421"/>
      <c r="AA199" s="2421"/>
      <c r="AB199" s="2421"/>
      <c r="AC199" s="2421"/>
    </row>
    <row r="200" s="2385" customFormat="1" spans="1:29">
      <c r="A200" s="2421"/>
      <c r="B200" s="2421"/>
      <c r="C200" s="2421"/>
      <c r="D200" s="2421"/>
      <c r="E200" s="2421"/>
      <c r="F200" s="2421"/>
      <c r="G200" s="2421"/>
      <c r="H200" s="2421"/>
      <c r="I200" s="2421"/>
      <c r="J200" s="2421"/>
      <c r="K200" s="2422"/>
      <c r="L200" s="2423"/>
      <c r="M200" s="2421"/>
      <c r="N200" s="2421"/>
      <c r="O200" s="2421"/>
      <c r="P200" s="2421"/>
      <c r="Q200" s="2421"/>
      <c r="R200" s="2421"/>
      <c r="S200" s="2421"/>
      <c r="T200" s="2421"/>
      <c r="U200" s="2421"/>
      <c r="V200" s="2421"/>
      <c r="W200" s="2421"/>
      <c r="X200" s="2421"/>
      <c r="Y200" s="2421"/>
      <c r="Z200" s="2421"/>
      <c r="AA200" s="2421"/>
      <c r="AB200" s="2421"/>
      <c r="AC200" s="2421"/>
    </row>
    <row r="201" s="2385" customFormat="1" spans="1:29">
      <c r="A201" s="2421"/>
      <c r="B201" s="2421"/>
      <c r="C201" s="2421"/>
      <c r="D201" s="2421"/>
      <c r="E201" s="2421"/>
      <c r="F201" s="2421"/>
      <c r="G201" s="2421"/>
      <c r="H201" s="2421"/>
      <c r="I201" s="2421"/>
      <c r="J201" s="2421"/>
      <c r="K201" s="2422"/>
      <c r="L201" s="2423"/>
      <c r="M201" s="2421"/>
      <c r="N201" s="2421"/>
      <c r="O201" s="2421"/>
      <c r="P201" s="2421"/>
      <c r="Q201" s="2421"/>
      <c r="R201" s="2421"/>
      <c r="S201" s="2421"/>
      <c r="T201" s="2421"/>
      <c r="U201" s="2421"/>
      <c r="V201" s="2421"/>
      <c r="W201" s="2421"/>
      <c r="X201" s="2421"/>
      <c r="Y201" s="2421"/>
      <c r="Z201" s="2421"/>
      <c r="AA201" s="2421"/>
      <c r="AB201" s="2421"/>
      <c r="AC201" s="2421"/>
    </row>
    <row r="202" s="2385" customFormat="1" spans="1:29">
      <c r="A202" s="2421"/>
      <c r="B202" s="2421"/>
      <c r="C202" s="2421"/>
      <c r="D202" s="2421"/>
      <c r="E202" s="2421"/>
      <c r="F202" s="2421"/>
      <c r="G202" s="2421"/>
      <c r="H202" s="2421"/>
      <c r="I202" s="2421"/>
      <c r="J202" s="2421"/>
      <c r="K202" s="2422"/>
      <c r="L202" s="2423"/>
      <c r="M202" s="2421"/>
      <c r="N202" s="2421"/>
      <c r="O202" s="2421"/>
      <c r="P202" s="2421"/>
      <c r="Q202" s="2421"/>
      <c r="R202" s="2421"/>
      <c r="S202" s="2421"/>
      <c r="T202" s="2421"/>
      <c r="U202" s="2421"/>
      <c r="V202" s="2421"/>
      <c r="W202" s="2421"/>
      <c r="X202" s="2421"/>
      <c r="Y202" s="2421"/>
      <c r="Z202" s="2421"/>
      <c r="AA202" s="2421"/>
      <c r="AB202" s="2421"/>
      <c r="AC202" s="2421"/>
    </row>
    <row r="203" s="2385" customFormat="1" spans="1:29">
      <c r="A203" s="2421"/>
      <c r="B203" s="2421"/>
      <c r="C203" s="2421"/>
      <c r="D203" s="2421"/>
      <c r="E203" s="2421"/>
      <c r="F203" s="2421"/>
      <c r="G203" s="2421"/>
      <c r="H203" s="2421"/>
      <c r="I203" s="2421"/>
      <c r="J203" s="2421"/>
      <c r="K203" s="2422"/>
      <c r="L203" s="2423"/>
      <c r="M203" s="2421"/>
      <c r="N203" s="2421"/>
      <c r="O203" s="2421"/>
      <c r="P203" s="2421"/>
      <c r="Q203" s="2421"/>
      <c r="R203" s="2421"/>
      <c r="S203" s="2421"/>
      <c r="T203" s="2421"/>
      <c r="U203" s="2421"/>
      <c r="V203" s="2421"/>
      <c r="W203" s="2421"/>
      <c r="X203" s="2421"/>
      <c r="Y203" s="2421"/>
      <c r="Z203" s="2421"/>
      <c r="AA203" s="2421"/>
      <c r="AB203" s="2421"/>
      <c r="AC203" s="2421"/>
    </row>
    <row r="204" s="2385" customFormat="1" spans="1:29">
      <c r="A204" s="2421"/>
      <c r="B204" s="2421"/>
      <c r="C204" s="2421"/>
      <c r="D204" s="2421"/>
      <c r="E204" s="2421"/>
      <c r="F204" s="2421"/>
      <c r="G204" s="2421"/>
      <c r="H204" s="2421"/>
      <c r="I204" s="2421"/>
      <c r="J204" s="2421"/>
      <c r="K204" s="2422"/>
      <c r="L204" s="2423"/>
      <c r="M204" s="2421"/>
      <c r="N204" s="2421"/>
      <c r="O204" s="2421"/>
      <c r="P204" s="2421"/>
      <c r="Q204" s="2421"/>
      <c r="R204" s="2421"/>
      <c r="S204" s="2421"/>
      <c r="T204" s="2421"/>
      <c r="U204" s="2421"/>
      <c r="V204" s="2421"/>
      <c r="W204" s="2421"/>
      <c r="X204" s="2421"/>
      <c r="Y204" s="2421"/>
      <c r="Z204" s="2421"/>
      <c r="AA204" s="2421"/>
      <c r="AB204" s="2421"/>
      <c r="AC204" s="2421"/>
    </row>
    <row r="205" s="2385" customFormat="1" spans="1:29">
      <c r="A205" s="2421"/>
      <c r="B205" s="2421"/>
      <c r="C205" s="2421"/>
      <c r="D205" s="2421"/>
      <c r="E205" s="2421"/>
      <c r="F205" s="2421"/>
      <c r="G205" s="2421"/>
      <c r="H205" s="2421"/>
      <c r="I205" s="2421"/>
      <c r="J205" s="2421"/>
      <c r="K205" s="2422"/>
      <c r="L205" s="2423"/>
      <c r="M205" s="2421"/>
      <c r="N205" s="2421"/>
      <c r="O205" s="2421"/>
      <c r="P205" s="2421"/>
      <c r="Q205" s="2421"/>
      <c r="R205" s="2421"/>
      <c r="S205" s="2421"/>
      <c r="T205" s="2421"/>
      <c r="U205" s="2421"/>
      <c r="V205" s="2421"/>
      <c r="W205" s="2421"/>
      <c r="X205" s="2421"/>
      <c r="Y205" s="2421"/>
      <c r="Z205" s="2421"/>
      <c r="AA205" s="2421"/>
      <c r="AB205" s="2421"/>
      <c r="AC205" s="2421"/>
    </row>
    <row r="206" s="2385" customFormat="1" spans="1:29">
      <c r="A206" s="2421"/>
      <c r="B206" s="2421"/>
      <c r="C206" s="2421"/>
      <c r="D206" s="2421"/>
      <c r="E206" s="2421"/>
      <c r="F206" s="2421"/>
      <c r="G206" s="2421"/>
      <c r="H206" s="2421"/>
      <c r="I206" s="2421"/>
      <c r="J206" s="2421"/>
      <c r="K206" s="2422"/>
      <c r="L206" s="2423"/>
      <c r="M206" s="2421"/>
      <c r="N206" s="2421"/>
      <c r="O206" s="2421"/>
      <c r="P206" s="2421"/>
      <c r="Q206" s="2421"/>
      <c r="R206" s="2421"/>
      <c r="S206" s="2421"/>
      <c r="T206" s="2421"/>
      <c r="U206" s="2421"/>
      <c r="V206" s="2421"/>
      <c r="W206" s="2421"/>
      <c r="X206" s="2421"/>
      <c r="Y206" s="2421"/>
      <c r="Z206" s="2421"/>
      <c r="AA206" s="2421"/>
      <c r="AB206" s="2421"/>
      <c r="AC206" s="2421"/>
    </row>
    <row r="207" s="2385" customFormat="1" spans="1:29">
      <c r="A207" s="2421"/>
      <c r="B207" s="2421"/>
      <c r="C207" s="2421"/>
      <c r="D207" s="2421"/>
      <c r="E207" s="2421"/>
      <c r="F207" s="2421"/>
      <c r="G207" s="2421"/>
      <c r="H207" s="2421"/>
      <c r="I207" s="2421"/>
      <c r="J207" s="2421"/>
      <c r="K207" s="2422"/>
      <c r="L207" s="2423"/>
      <c r="M207" s="2421"/>
      <c r="N207" s="2421"/>
      <c r="O207" s="2421"/>
      <c r="P207" s="2421"/>
      <c r="Q207" s="2421"/>
      <c r="R207" s="2421"/>
      <c r="S207" s="2421"/>
      <c r="T207" s="2421"/>
      <c r="U207" s="2421"/>
      <c r="V207" s="2421"/>
      <c r="W207" s="2421"/>
      <c r="X207" s="2421"/>
      <c r="Y207" s="2421"/>
      <c r="Z207" s="2421"/>
      <c r="AA207" s="2421"/>
      <c r="AB207" s="2421"/>
      <c r="AC207" s="2421"/>
    </row>
    <row r="208" s="2385" customFormat="1" spans="1:29">
      <c r="A208" s="2421"/>
      <c r="B208" s="2421"/>
      <c r="C208" s="2421"/>
      <c r="D208" s="2421"/>
      <c r="E208" s="2421"/>
      <c r="F208" s="2421"/>
      <c r="G208" s="2421"/>
      <c r="H208" s="2421"/>
      <c r="I208" s="2421"/>
      <c r="J208" s="2421"/>
      <c r="K208" s="2422"/>
      <c r="L208" s="2423"/>
      <c r="M208" s="2421"/>
      <c r="N208" s="2421"/>
      <c r="O208" s="2421"/>
      <c r="P208" s="2421"/>
      <c r="Q208" s="2421"/>
      <c r="R208" s="2421"/>
      <c r="S208" s="2421"/>
      <c r="T208" s="2421"/>
      <c r="U208" s="2421"/>
      <c r="V208" s="2421"/>
      <c r="W208" s="2421"/>
      <c r="X208" s="2421"/>
      <c r="Y208" s="2421"/>
      <c r="Z208" s="2421"/>
      <c r="AA208" s="2421"/>
      <c r="AB208" s="2421"/>
      <c r="AC208" s="2421"/>
    </row>
    <row r="209" s="2385" customFormat="1" spans="1:29">
      <c r="A209" s="2421"/>
      <c r="B209" s="2421"/>
      <c r="C209" s="2421"/>
      <c r="D209" s="2421"/>
      <c r="E209" s="2421"/>
      <c r="F209" s="2421"/>
      <c r="G209" s="2421"/>
      <c r="H209" s="2421"/>
      <c r="I209" s="2421"/>
      <c r="J209" s="2421"/>
      <c r="K209" s="2422"/>
      <c r="L209" s="2423"/>
      <c r="M209" s="2421"/>
      <c r="N209" s="2421"/>
      <c r="O209" s="2421"/>
      <c r="P209" s="2421"/>
      <c r="Q209" s="2421"/>
      <c r="R209" s="2421"/>
      <c r="S209" s="2421"/>
      <c r="T209" s="2421"/>
      <c r="U209" s="2421"/>
      <c r="V209" s="2421"/>
      <c r="W209" s="2421"/>
      <c r="X209" s="2421"/>
      <c r="Y209" s="2421"/>
      <c r="Z209" s="2421"/>
      <c r="AA209" s="2421"/>
      <c r="AB209" s="2421"/>
      <c r="AC209" s="2421"/>
    </row>
    <row r="210" s="2385" customFormat="1" spans="1:29">
      <c r="A210" s="2421"/>
      <c r="B210" s="2421"/>
      <c r="C210" s="2421"/>
      <c r="D210" s="2421"/>
      <c r="E210" s="2421"/>
      <c r="F210" s="2421"/>
      <c r="G210" s="2421"/>
      <c r="H210" s="2421"/>
      <c r="I210" s="2421"/>
      <c r="J210" s="2421"/>
      <c r="K210" s="2422"/>
      <c r="L210" s="2423"/>
      <c r="M210" s="2421"/>
      <c r="N210" s="2421"/>
      <c r="O210" s="2421"/>
      <c r="P210" s="2421"/>
      <c r="Q210" s="2421"/>
      <c r="R210" s="2421"/>
      <c r="S210" s="2421"/>
      <c r="T210" s="2421"/>
      <c r="U210" s="2421"/>
      <c r="V210" s="2421"/>
      <c r="W210" s="2421"/>
      <c r="X210" s="2421"/>
      <c r="Y210" s="2421"/>
      <c r="Z210" s="2421"/>
      <c r="AA210" s="2421"/>
      <c r="AB210" s="2421"/>
      <c r="AC210" s="2421"/>
    </row>
    <row r="211" s="2385" customFormat="1" spans="1:29">
      <c r="A211" s="2421"/>
      <c r="B211" s="2421"/>
      <c r="C211" s="2421"/>
      <c r="D211" s="2421"/>
      <c r="E211" s="2421"/>
      <c r="F211" s="2421"/>
      <c r="G211" s="2421"/>
      <c r="H211" s="2421"/>
      <c r="I211" s="2421"/>
      <c r="J211" s="2421"/>
      <c r="K211" s="2422"/>
      <c r="L211" s="2423"/>
      <c r="M211" s="2421"/>
      <c r="N211" s="2421"/>
      <c r="O211" s="2421"/>
      <c r="P211" s="2421"/>
      <c r="Q211" s="2421"/>
      <c r="R211" s="2421"/>
      <c r="S211" s="2421"/>
      <c r="T211" s="2421"/>
      <c r="U211" s="2421"/>
      <c r="V211" s="2421"/>
      <c r="W211" s="2421"/>
      <c r="X211" s="2421"/>
      <c r="Y211" s="2421"/>
      <c r="Z211" s="2421"/>
      <c r="AA211" s="2421"/>
      <c r="AB211" s="2421"/>
      <c r="AC211" s="2421"/>
    </row>
    <row r="212" s="2385" customFormat="1" spans="1:29">
      <c r="A212" s="2421"/>
      <c r="B212" s="2421"/>
      <c r="C212" s="2421"/>
      <c r="D212" s="2421"/>
      <c r="E212" s="2421"/>
      <c r="F212" s="2421"/>
      <c r="G212" s="2421"/>
      <c r="H212" s="2421"/>
      <c r="I212" s="2421"/>
      <c r="J212" s="2421"/>
      <c r="K212" s="2422"/>
      <c r="L212" s="2423"/>
      <c r="M212" s="2421"/>
      <c r="N212" s="2421"/>
      <c r="O212" s="2421"/>
      <c r="P212" s="2421"/>
      <c r="Q212" s="2421"/>
      <c r="R212" s="2421"/>
      <c r="S212" s="2421"/>
      <c r="T212" s="2421"/>
      <c r="U212" s="2421"/>
      <c r="V212" s="2421"/>
      <c r="W212" s="2421"/>
      <c r="X212" s="2421"/>
      <c r="Y212" s="2421"/>
      <c r="Z212" s="2421"/>
      <c r="AA212" s="2421"/>
      <c r="AB212" s="2421"/>
      <c r="AC212" s="2421"/>
    </row>
    <row r="213" s="2385" customFormat="1" spans="1:29">
      <c r="A213" s="2421"/>
      <c r="B213" s="2421"/>
      <c r="C213" s="2421"/>
      <c r="D213" s="2421"/>
      <c r="E213" s="2421"/>
      <c r="F213" s="2421"/>
      <c r="G213" s="2421"/>
      <c r="H213" s="2421"/>
      <c r="I213" s="2421"/>
      <c r="J213" s="2421"/>
      <c r="K213" s="2422"/>
      <c r="L213" s="2423"/>
      <c r="M213" s="2421"/>
      <c r="N213" s="2421"/>
      <c r="O213" s="2421"/>
      <c r="P213" s="2421"/>
      <c r="Q213" s="2421"/>
      <c r="R213" s="2421"/>
      <c r="S213" s="2421"/>
      <c r="T213" s="2421"/>
      <c r="U213" s="2421"/>
      <c r="V213" s="2421"/>
      <c r="W213" s="2421"/>
      <c r="X213" s="2421"/>
      <c r="Y213" s="2421"/>
      <c r="Z213" s="2421"/>
      <c r="AA213" s="2421"/>
      <c r="AB213" s="2421"/>
      <c r="AC213" s="2421"/>
    </row>
    <row r="214" s="2385" customFormat="1" spans="1:29">
      <c r="A214" s="2421"/>
      <c r="B214" s="2421"/>
      <c r="C214" s="2421"/>
      <c r="D214" s="2421"/>
      <c r="E214" s="2421"/>
      <c r="F214" s="2421"/>
      <c r="G214" s="2421"/>
      <c r="H214" s="2421"/>
      <c r="I214" s="2421"/>
      <c r="J214" s="2421"/>
      <c r="K214" s="2422"/>
      <c r="L214" s="2423"/>
      <c r="M214" s="2421"/>
      <c r="N214" s="2421"/>
      <c r="O214" s="2421"/>
      <c r="P214" s="2421"/>
      <c r="Q214" s="2421"/>
      <c r="R214" s="2421"/>
      <c r="S214" s="2421"/>
      <c r="T214" s="2421"/>
      <c r="U214" s="2421"/>
      <c r="V214" s="2421"/>
      <c r="W214" s="2421"/>
      <c r="X214" s="2421"/>
      <c r="Y214" s="2421"/>
      <c r="Z214" s="2421"/>
      <c r="AA214" s="2421"/>
      <c r="AB214" s="2421"/>
      <c r="AC214" s="2421"/>
    </row>
    <row r="215" s="2385" customFormat="1" spans="1:29">
      <c r="A215" s="2421"/>
      <c r="B215" s="2421"/>
      <c r="C215" s="2421"/>
      <c r="D215" s="2421"/>
      <c r="E215" s="2421"/>
      <c r="F215" s="2421"/>
      <c r="G215" s="2421"/>
      <c r="H215" s="2421"/>
      <c r="I215" s="2421"/>
      <c r="J215" s="2421"/>
      <c r="K215" s="2422"/>
      <c r="L215" s="2423"/>
      <c r="M215" s="2421"/>
      <c r="N215" s="2421"/>
      <c r="O215" s="2421"/>
      <c r="P215" s="2421"/>
      <c r="Q215" s="2421"/>
      <c r="R215" s="2421"/>
      <c r="S215" s="2421"/>
      <c r="T215" s="2421"/>
      <c r="U215" s="2421"/>
      <c r="V215" s="2421"/>
      <c r="W215" s="2421"/>
      <c r="X215" s="2421"/>
      <c r="Y215" s="2421"/>
      <c r="Z215" s="2421"/>
      <c r="AA215" s="2421"/>
      <c r="AB215" s="2421"/>
      <c r="AC215" s="2421"/>
    </row>
    <row r="216" s="2385" customFormat="1" spans="1:29">
      <c r="A216" s="2421"/>
      <c r="B216" s="2421"/>
      <c r="C216" s="2421"/>
      <c r="D216" s="2421"/>
      <c r="E216" s="2421"/>
      <c r="F216" s="2421"/>
      <c r="G216" s="2421"/>
      <c r="H216" s="2421"/>
      <c r="I216" s="2421"/>
      <c r="J216" s="2421"/>
      <c r="K216" s="2422"/>
      <c r="L216" s="2423"/>
      <c r="M216" s="2421"/>
      <c r="N216" s="2421"/>
      <c r="O216" s="2421"/>
      <c r="P216" s="2421"/>
      <c r="Q216" s="2421"/>
      <c r="R216" s="2421"/>
      <c r="S216" s="2421"/>
      <c r="T216" s="2421"/>
      <c r="U216" s="2421"/>
      <c r="V216" s="2421"/>
      <c r="W216" s="2421"/>
      <c r="X216" s="2421"/>
      <c r="Y216" s="2421"/>
      <c r="Z216" s="2421"/>
      <c r="AA216" s="2421"/>
      <c r="AB216" s="2421"/>
      <c r="AC216" s="2421"/>
    </row>
    <row r="217" s="2385" customFormat="1" spans="1:29">
      <c r="A217" s="2421"/>
      <c r="B217" s="2421"/>
      <c r="C217" s="2421"/>
      <c r="D217" s="2421"/>
      <c r="E217" s="2421"/>
      <c r="F217" s="2421"/>
      <c r="G217" s="2421"/>
      <c r="H217" s="2421"/>
      <c r="I217" s="2421"/>
      <c r="J217" s="2421"/>
      <c r="K217" s="2422"/>
      <c r="L217" s="2423"/>
      <c r="M217" s="2421"/>
      <c r="N217" s="2421"/>
      <c r="O217" s="2421"/>
      <c r="P217" s="2421"/>
      <c r="Q217" s="2421"/>
      <c r="R217" s="2421"/>
      <c r="S217" s="2421"/>
      <c r="T217" s="2421"/>
      <c r="U217" s="2421"/>
      <c r="V217" s="2421"/>
      <c r="W217" s="2421"/>
      <c r="X217" s="2421"/>
      <c r="Y217" s="2421"/>
      <c r="Z217" s="2421"/>
      <c r="AA217" s="2421"/>
      <c r="AB217" s="2421"/>
      <c r="AC217" s="2421"/>
    </row>
    <row r="218" s="2385" customFormat="1" spans="1:29">
      <c r="A218" s="2421"/>
      <c r="B218" s="2421"/>
      <c r="C218" s="2421"/>
      <c r="D218" s="2421"/>
      <c r="E218" s="2421"/>
      <c r="F218" s="2421"/>
      <c r="G218" s="2421"/>
      <c r="H218" s="2421"/>
      <c r="I218" s="2421"/>
      <c r="J218" s="2421"/>
      <c r="K218" s="2422"/>
      <c r="L218" s="2423"/>
      <c r="M218" s="2421"/>
      <c r="N218" s="2421"/>
      <c r="O218" s="2421"/>
      <c r="P218" s="2421"/>
      <c r="Q218" s="2421"/>
      <c r="R218" s="2421"/>
      <c r="S218" s="2421"/>
      <c r="T218" s="2421"/>
      <c r="U218" s="2421"/>
      <c r="V218" s="2421"/>
      <c r="W218" s="2421"/>
      <c r="X218" s="2421"/>
      <c r="Y218" s="2421"/>
      <c r="Z218" s="2421"/>
      <c r="AA218" s="2421"/>
      <c r="AB218" s="2421"/>
      <c r="AC218" s="2421"/>
    </row>
    <row r="219" s="2385" customFormat="1" spans="1:29">
      <c r="A219" s="2421"/>
      <c r="B219" s="2421"/>
      <c r="C219" s="2421"/>
      <c r="D219" s="2421"/>
      <c r="E219" s="2421"/>
      <c r="F219" s="2421"/>
      <c r="G219" s="2421"/>
      <c r="H219" s="2421"/>
      <c r="I219" s="2421"/>
      <c r="J219" s="2421"/>
      <c r="K219" s="2422"/>
      <c r="L219" s="2423"/>
      <c r="M219" s="2421"/>
      <c r="N219" s="2421"/>
      <c r="O219" s="2421"/>
      <c r="P219" s="2421"/>
      <c r="Q219" s="2421"/>
      <c r="R219" s="2421"/>
      <c r="S219" s="2421"/>
      <c r="T219" s="2421"/>
      <c r="U219" s="2421"/>
      <c r="V219" s="2421"/>
      <c r="W219" s="2421"/>
      <c r="X219" s="2421"/>
      <c r="Y219" s="2421"/>
      <c r="Z219" s="2421"/>
      <c r="AA219" s="2421"/>
      <c r="AB219" s="2421"/>
      <c r="AC219" s="2421"/>
    </row>
    <row r="220" s="2385" customFormat="1" spans="1:29">
      <c r="A220" s="2421"/>
      <c r="B220" s="2421"/>
      <c r="C220" s="2421"/>
      <c r="D220" s="2421"/>
      <c r="E220" s="2421"/>
      <c r="F220" s="2421"/>
      <c r="G220" s="2421"/>
      <c r="H220" s="2421"/>
      <c r="I220" s="2421"/>
      <c r="J220" s="2421"/>
      <c r="K220" s="2422"/>
      <c r="L220" s="2423"/>
      <c r="M220" s="2421"/>
      <c r="N220" s="2421"/>
      <c r="O220" s="2421"/>
      <c r="P220" s="2421"/>
      <c r="Q220" s="2421"/>
      <c r="R220" s="2421"/>
      <c r="S220" s="2421"/>
      <c r="T220" s="2421"/>
      <c r="U220" s="2421"/>
      <c r="V220" s="2421"/>
      <c r="W220" s="2421"/>
      <c r="X220" s="2421"/>
      <c r="Y220" s="2421"/>
      <c r="Z220" s="2421"/>
      <c r="AA220" s="2421"/>
      <c r="AB220" s="2421"/>
      <c r="AC220" s="2421"/>
    </row>
    <row r="221" s="2385" customFormat="1" spans="1:29">
      <c r="A221" s="2421"/>
      <c r="B221" s="2421"/>
      <c r="C221" s="2421"/>
      <c r="D221" s="2421"/>
      <c r="E221" s="2421"/>
      <c r="F221" s="2421"/>
      <c r="G221" s="2421"/>
      <c r="H221" s="2421"/>
      <c r="I221" s="2421"/>
      <c r="J221" s="2421"/>
      <c r="K221" s="2422"/>
      <c r="L221" s="2423"/>
      <c r="M221" s="2421"/>
      <c r="N221" s="2421"/>
      <c r="O221" s="2421"/>
      <c r="P221" s="2421"/>
      <c r="Q221" s="2421"/>
      <c r="R221" s="2421"/>
      <c r="S221" s="2421"/>
      <c r="T221" s="2421"/>
      <c r="U221" s="2421"/>
      <c r="V221" s="2421"/>
      <c r="W221" s="2421"/>
      <c r="X221" s="2421"/>
      <c r="Y221" s="2421"/>
      <c r="Z221" s="2421"/>
      <c r="AA221" s="2421"/>
      <c r="AB221" s="2421"/>
      <c r="AC221" s="2421"/>
    </row>
    <row r="222" s="2385" customFormat="1" spans="1:29">
      <c r="A222" s="2421"/>
      <c r="B222" s="2421"/>
      <c r="C222" s="2421"/>
      <c r="D222" s="2421"/>
      <c r="E222" s="2421"/>
      <c r="F222" s="2421"/>
      <c r="G222" s="2421"/>
      <c r="H222" s="2421"/>
      <c r="I222" s="2421"/>
      <c r="J222" s="2421"/>
      <c r="K222" s="2422"/>
      <c r="L222" s="2423"/>
      <c r="M222" s="2421"/>
      <c r="N222" s="2421"/>
      <c r="O222" s="2421"/>
      <c r="P222" s="2421"/>
      <c r="Q222" s="2421"/>
      <c r="R222" s="2421"/>
      <c r="S222" s="2421"/>
      <c r="T222" s="2421"/>
      <c r="U222" s="2421"/>
      <c r="V222" s="2421"/>
      <c r="W222" s="2421"/>
      <c r="X222" s="2421"/>
      <c r="Y222" s="2421"/>
      <c r="Z222" s="2421"/>
      <c r="AA222" s="2421"/>
      <c r="AB222" s="2421"/>
      <c r="AC222" s="2421"/>
    </row>
    <row r="223" s="2385" customFormat="1" spans="1:29">
      <c r="A223" s="2421"/>
      <c r="B223" s="2421"/>
      <c r="C223" s="2421"/>
      <c r="D223" s="2421"/>
      <c r="E223" s="2421"/>
      <c r="F223" s="2421"/>
      <c r="G223" s="2421"/>
      <c r="H223" s="2421"/>
      <c r="I223" s="2421"/>
      <c r="J223" s="2421"/>
      <c r="K223" s="2422"/>
      <c r="L223" s="2423"/>
      <c r="M223" s="2421"/>
      <c r="N223" s="2421"/>
      <c r="O223" s="2421"/>
      <c r="P223" s="2421"/>
      <c r="Q223" s="2421"/>
      <c r="R223" s="2421"/>
      <c r="S223" s="2421"/>
      <c r="T223" s="2421"/>
      <c r="U223" s="2421"/>
      <c r="V223" s="2421"/>
      <c r="W223" s="2421"/>
      <c r="X223" s="2421"/>
      <c r="Y223" s="2421"/>
      <c r="Z223" s="2421"/>
      <c r="AA223" s="2421"/>
      <c r="AB223" s="2421"/>
      <c r="AC223" s="2421"/>
    </row>
    <row r="224" s="2385" customFormat="1" spans="1:29">
      <c r="A224" s="2421"/>
      <c r="B224" s="2421"/>
      <c r="C224" s="2421"/>
      <c r="D224" s="2421"/>
      <c r="E224" s="2421"/>
      <c r="F224" s="2421"/>
      <c r="G224" s="2421"/>
      <c r="H224" s="2421"/>
      <c r="I224" s="2421"/>
      <c r="J224" s="2421"/>
      <c r="K224" s="2422"/>
      <c r="L224" s="2423"/>
      <c r="M224" s="2421"/>
      <c r="N224" s="2421"/>
      <c r="O224" s="2421"/>
      <c r="P224" s="2421"/>
      <c r="Q224" s="2421"/>
      <c r="R224" s="2421"/>
      <c r="S224" s="2421"/>
      <c r="T224" s="2421"/>
      <c r="U224" s="2421"/>
      <c r="V224" s="2421"/>
      <c r="W224" s="2421"/>
      <c r="X224" s="2421"/>
      <c r="Y224" s="2421"/>
      <c r="Z224" s="2421"/>
      <c r="AA224" s="2421"/>
      <c r="AB224" s="2421"/>
      <c r="AC224" s="2421"/>
    </row>
    <row r="225" s="2385" customFormat="1" spans="1:29">
      <c r="A225" s="2421"/>
      <c r="B225" s="2421"/>
      <c r="C225" s="2421"/>
      <c r="D225" s="2421"/>
      <c r="E225" s="2421"/>
      <c r="F225" s="2421"/>
      <c r="G225" s="2421"/>
      <c r="H225" s="2421"/>
      <c r="I225" s="2421"/>
      <c r="J225" s="2421"/>
      <c r="K225" s="2422"/>
      <c r="L225" s="2423"/>
      <c r="M225" s="2421"/>
      <c r="N225" s="2421"/>
      <c r="O225" s="2421"/>
      <c r="P225" s="2421"/>
      <c r="Q225" s="2421"/>
      <c r="R225" s="2421"/>
      <c r="S225" s="2421"/>
      <c r="T225" s="2421"/>
      <c r="U225" s="2421"/>
      <c r="V225" s="2421"/>
      <c r="W225" s="2421"/>
      <c r="X225" s="2421"/>
      <c r="Y225" s="2421"/>
      <c r="Z225" s="2421"/>
      <c r="AA225" s="2421"/>
      <c r="AB225" s="2421"/>
      <c r="AC225" s="2421"/>
    </row>
    <row r="226" s="2385" customFormat="1" spans="1:29">
      <c r="A226" s="2421"/>
      <c r="B226" s="2421"/>
      <c r="C226" s="2421"/>
      <c r="D226" s="2421"/>
      <c r="E226" s="2421"/>
      <c r="F226" s="2421"/>
      <c r="G226" s="2421"/>
      <c r="H226" s="2421"/>
      <c r="I226" s="2421"/>
      <c r="J226" s="2421"/>
      <c r="K226" s="2422"/>
      <c r="L226" s="2423"/>
      <c r="M226" s="2421"/>
      <c r="N226" s="2421"/>
      <c r="O226" s="2421"/>
      <c r="P226" s="2421"/>
      <c r="Q226" s="2421"/>
      <c r="R226" s="2421"/>
      <c r="S226" s="2421"/>
      <c r="T226" s="2421"/>
      <c r="U226" s="2421"/>
      <c r="V226" s="2421"/>
      <c r="W226" s="2421"/>
      <c r="X226" s="2421"/>
      <c r="Y226" s="2421"/>
      <c r="Z226" s="2421"/>
      <c r="AA226" s="2421"/>
      <c r="AB226" s="2421"/>
      <c r="AC226" s="2421"/>
    </row>
    <row r="227" s="2385" customFormat="1" spans="1:29">
      <c r="A227" s="2421"/>
      <c r="B227" s="2421"/>
      <c r="C227" s="2421"/>
      <c r="D227" s="2421"/>
      <c r="E227" s="2421"/>
      <c r="F227" s="2421"/>
      <c r="G227" s="2421"/>
      <c r="H227" s="2421"/>
      <c r="I227" s="2421"/>
      <c r="J227" s="2421"/>
      <c r="K227" s="2422"/>
      <c r="L227" s="2423"/>
      <c r="M227" s="2421"/>
      <c r="N227" s="2421"/>
      <c r="O227" s="2421"/>
      <c r="P227" s="2421"/>
      <c r="Q227" s="2421"/>
      <c r="R227" s="2421"/>
      <c r="S227" s="2421"/>
      <c r="T227" s="2421"/>
      <c r="U227" s="2421"/>
      <c r="V227" s="2421"/>
      <c r="W227" s="2421"/>
      <c r="X227" s="2421"/>
      <c r="Y227" s="2421"/>
      <c r="Z227" s="2421"/>
      <c r="AA227" s="2421"/>
      <c r="AB227" s="2421"/>
      <c r="AC227" s="2421"/>
    </row>
    <row r="228" s="2385" customFormat="1" spans="1:29">
      <c r="A228" s="2421"/>
      <c r="B228" s="2421"/>
      <c r="C228" s="2421"/>
      <c r="D228" s="2421"/>
      <c r="E228" s="2421"/>
      <c r="F228" s="2421"/>
      <c r="G228" s="2421"/>
      <c r="H228" s="2421"/>
      <c r="I228" s="2421"/>
      <c r="J228" s="2421"/>
      <c r="K228" s="2422"/>
      <c r="L228" s="2423"/>
      <c r="M228" s="2421"/>
      <c r="N228" s="2421"/>
      <c r="O228" s="2421"/>
      <c r="P228" s="2421"/>
      <c r="Q228" s="2421"/>
      <c r="R228" s="2421"/>
      <c r="S228" s="2421"/>
      <c r="T228" s="2421"/>
      <c r="U228" s="2421"/>
      <c r="V228" s="2421"/>
      <c r="W228" s="2421"/>
      <c r="X228" s="2421"/>
      <c r="Y228" s="2421"/>
      <c r="Z228" s="2421"/>
      <c r="AA228" s="2421"/>
      <c r="AB228" s="2421"/>
      <c r="AC228" s="2421"/>
    </row>
    <row r="229" s="2385" customFormat="1" spans="1:29">
      <c r="A229" s="2421"/>
      <c r="B229" s="2421"/>
      <c r="C229" s="2421"/>
      <c r="D229" s="2421"/>
      <c r="E229" s="2421"/>
      <c r="F229" s="2421"/>
      <c r="G229" s="2421"/>
      <c r="H229" s="2421"/>
      <c r="I229" s="2421"/>
      <c r="J229" s="2421"/>
      <c r="K229" s="2422"/>
      <c r="L229" s="2423"/>
      <c r="M229" s="2421"/>
      <c r="N229" s="2421"/>
      <c r="O229" s="2421"/>
      <c r="P229" s="2421"/>
      <c r="Q229" s="2421"/>
      <c r="R229" s="2421"/>
      <c r="S229" s="2421"/>
      <c r="T229" s="2421"/>
      <c r="U229" s="2421"/>
      <c r="V229" s="2421"/>
      <c r="W229" s="2421"/>
      <c r="X229" s="2421"/>
      <c r="Y229" s="2421"/>
      <c r="Z229" s="2421"/>
      <c r="AA229" s="2421"/>
      <c r="AB229" s="2421"/>
      <c r="AC229" s="2421"/>
    </row>
    <row r="230" s="2385" customFormat="1" spans="1:29">
      <c r="A230" s="2421"/>
      <c r="B230" s="2421"/>
      <c r="C230" s="2421"/>
      <c r="D230" s="2421"/>
      <c r="E230" s="2421"/>
      <c r="F230" s="2421"/>
      <c r="G230" s="2421"/>
      <c r="H230" s="2421"/>
      <c r="I230" s="2421"/>
      <c r="J230" s="2421"/>
      <c r="K230" s="2422"/>
      <c r="L230" s="2423"/>
      <c r="M230" s="2421"/>
      <c r="N230" s="2421"/>
      <c r="O230" s="2421"/>
      <c r="P230" s="2421"/>
      <c r="Q230" s="2421"/>
      <c r="R230" s="2421"/>
      <c r="S230" s="2421"/>
      <c r="T230" s="2421"/>
      <c r="U230" s="2421"/>
      <c r="V230" s="2421"/>
      <c r="W230" s="2421"/>
      <c r="X230" s="2421"/>
      <c r="Y230" s="2421"/>
      <c r="Z230" s="2421"/>
      <c r="AA230" s="2421"/>
      <c r="AB230" s="2421"/>
      <c r="AC230" s="2421"/>
    </row>
    <row r="231" s="2385" customFormat="1" spans="1:29">
      <c r="A231" s="2421"/>
      <c r="B231" s="2421"/>
      <c r="C231" s="2421"/>
      <c r="D231" s="2421"/>
      <c r="E231" s="2421"/>
      <c r="F231" s="2421"/>
      <c r="G231" s="2421"/>
      <c r="H231" s="2421"/>
      <c r="I231" s="2421"/>
      <c r="J231" s="2421"/>
      <c r="K231" s="2422"/>
      <c r="L231" s="2423"/>
      <c r="M231" s="2421"/>
      <c r="N231" s="2421"/>
      <c r="O231" s="2421"/>
      <c r="P231" s="2421"/>
      <c r="Q231" s="2421"/>
      <c r="R231" s="2421"/>
      <c r="S231" s="2421"/>
      <c r="T231" s="2421"/>
      <c r="U231" s="2421"/>
      <c r="V231" s="2421"/>
      <c r="W231" s="2421"/>
      <c r="X231" s="2421"/>
      <c r="Y231" s="2421"/>
      <c r="Z231" s="2421"/>
      <c r="AA231" s="2421"/>
      <c r="AB231" s="2421"/>
      <c r="AC231" s="2421"/>
    </row>
    <row r="232" s="2385" customFormat="1" spans="1:29">
      <c r="A232" s="2421"/>
      <c r="B232" s="2421"/>
      <c r="C232" s="2421"/>
      <c r="D232" s="2421"/>
      <c r="E232" s="2421"/>
      <c r="F232" s="2421"/>
      <c r="G232" s="2421"/>
      <c r="H232" s="2421"/>
      <c r="I232" s="2421"/>
      <c r="J232" s="2421"/>
      <c r="K232" s="2422"/>
      <c r="L232" s="2423"/>
      <c r="M232" s="2421"/>
      <c r="N232" s="2421"/>
      <c r="O232" s="2421"/>
      <c r="P232" s="2421"/>
      <c r="Q232" s="2421"/>
      <c r="R232" s="2421"/>
      <c r="S232" s="2421"/>
      <c r="T232" s="2421"/>
      <c r="U232" s="2421"/>
      <c r="V232" s="2421"/>
      <c r="W232" s="2421"/>
      <c r="X232" s="2421"/>
      <c r="Y232" s="2421"/>
      <c r="Z232" s="2421"/>
      <c r="AA232" s="2421"/>
      <c r="AB232" s="2421"/>
      <c r="AC232" s="2421"/>
    </row>
    <row r="233" s="2385" customFormat="1" spans="1:29">
      <c r="A233" s="2421"/>
      <c r="B233" s="2421"/>
      <c r="C233" s="2421"/>
      <c r="D233" s="2421"/>
      <c r="E233" s="2421"/>
      <c r="F233" s="2421"/>
      <c r="G233" s="2421"/>
      <c r="H233" s="2421"/>
      <c r="I233" s="2421"/>
      <c r="J233" s="2421"/>
      <c r="K233" s="2422"/>
      <c r="L233" s="2423"/>
      <c r="M233" s="2421"/>
      <c r="N233" s="2421"/>
      <c r="O233" s="2421"/>
      <c r="P233" s="2421"/>
      <c r="Q233" s="2421"/>
      <c r="R233" s="2421"/>
      <c r="S233" s="2421"/>
      <c r="T233" s="2421"/>
      <c r="U233" s="2421"/>
      <c r="V233" s="2421"/>
      <c r="W233" s="2421"/>
      <c r="X233" s="2421"/>
      <c r="Y233" s="2421"/>
      <c r="Z233" s="2421"/>
      <c r="AA233" s="2421"/>
      <c r="AB233" s="2421"/>
      <c r="AC233" s="2421"/>
    </row>
    <row r="234" s="2385" customFormat="1" spans="1:29">
      <c r="A234" s="2421"/>
      <c r="B234" s="2421"/>
      <c r="C234" s="2421"/>
      <c r="D234" s="2421"/>
      <c r="E234" s="2421"/>
      <c r="F234" s="2421"/>
      <c r="G234" s="2421"/>
      <c r="H234" s="2421"/>
      <c r="I234" s="2421"/>
      <c r="J234" s="2421"/>
      <c r="K234" s="2422"/>
      <c r="L234" s="2423"/>
      <c r="M234" s="2421"/>
      <c r="N234" s="2421"/>
      <c r="O234" s="2421"/>
      <c r="P234" s="2421"/>
      <c r="Q234" s="2421"/>
      <c r="R234" s="2421"/>
      <c r="S234" s="2421"/>
      <c r="T234" s="2421"/>
      <c r="U234" s="2421"/>
      <c r="V234" s="2421"/>
      <c r="W234" s="2421"/>
      <c r="X234" s="2421"/>
      <c r="Y234" s="2421"/>
      <c r="Z234" s="2421"/>
      <c r="AA234" s="2421"/>
      <c r="AB234" s="2421"/>
      <c r="AC234" s="2421"/>
    </row>
    <row r="235" s="2385" customFormat="1" spans="1:29">
      <c r="A235" s="2421"/>
      <c r="B235" s="2421"/>
      <c r="C235" s="2421"/>
      <c r="D235" s="2421"/>
      <c r="E235" s="2421"/>
      <c r="F235" s="2421"/>
      <c r="G235" s="2421"/>
      <c r="H235" s="2421"/>
      <c r="I235" s="2421"/>
      <c r="J235" s="2421"/>
      <c r="K235" s="2422"/>
      <c r="L235" s="2423"/>
      <c r="M235" s="2421"/>
      <c r="N235" s="2421"/>
      <c r="O235" s="2421"/>
      <c r="P235" s="2421"/>
      <c r="Q235" s="2421"/>
      <c r="R235" s="2421"/>
      <c r="S235" s="2421"/>
      <c r="T235" s="2421"/>
      <c r="U235" s="2421"/>
      <c r="V235" s="2421"/>
      <c r="W235" s="2421"/>
      <c r="X235" s="2421"/>
      <c r="Y235" s="2421"/>
      <c r="Z235" s="2421"/>
      <c r="AA235" s="2421"/>
      <c r="AB235" s="2421"/>
      <c r="AC235" s="2421"/>
    </row>
    <row r="236" s="2385" customFormat="1" spans="1:29">
      <c r="A236" s="2421"/>
      <c r="B236" s="2421"/>
      <c r="C236" s="2421"/>
      <c r="D236" s="2421"/>
      <c r="E236" s="2421"/>
      <c r="F236" s="2421"/>
      <c r="G236" s="2421"/>
      <c r="H236" s="2421"/>
      <c r="I236" s="2421"/>
      <c r="J236" s="2421"/>
      <c r="K236" s="2422"/>
      <c r="L236" s="2423"/>
      <c r="M236" s="2421"/>
      <c r="N236" s="2421"/>
      <c r="O236" s="2421"/>
      <c r="P236" s="2421"/>
      <c r="Q236" s="2421"/>
      <c r="R236" s="2421"/>
      <c r="S236" s="2421"/>
      <c r="T236" s="2421"/>
      <c r="U236" s="2421"/>
      <c r="V236" s="2421"/>
      <c r="W236" s="2421"/>
      <c r="X236" s="2421"/>
      <c r="Y236" s="2421"/>
      <c r="Z236" s="2421"/>
      <c r="AA236" s="2421"/>
      <c r="AB236" s="2421"/>
      <c r="AC236" s="2421"/>
    </row>
    <row r="237" s="2385" customFormat="1" spans="1:29">
      <c r="A237" s="2421"/>
      <c r="B237" s="2421"/>
      <c r="C237" s="2421"/>
      <c r="D237" s="2421"/>
      <c r="E237" s="2421"/>
      <c r="F237" s="2421"/>
      <c r="G237" s="2421"/>
      <c r="H237" s="2421"/>
      <c r="I237" s="2421"/>
      <c r="J237" s="2421"/>
      <c r="K237" s="2422"/>
      <c r="L237" s="2423"/>
      <c r="M237" s="2421"/>
      <c r="N237" s="2421"/>
      <c r="O237" s="2421"/>
      <c r="P237" s="2421"/>
      <c r="Q237" s="2421"/>
      <c r="R237" s="2421"/>
      <c r="S237" s="2421"/>
      <c r="T237" s="2421"/>
      <c r="U237" s="2421"/>
      <c r="V237" s="2421"/>
      <c r="W237" s="2421"/>
      <c r="X237" s="2421"/>
      <c r="Y237" s="2421"/>
      <c r="Z237" s="2421"/>
      <c r="AA237" s="2421"/>
      <c r="AB237" s="2421"/>
      <c r="AC237" s="2421"/>
    </row>
    <row r="238" s="2385" customFormat="1" spans="1:29">
      <c r="A238" s="2421"/>
      <c r="B238" s="2421"/>
      <c r="C238" s="2421"/>
      <c r="D238" s="2421"/>
      <c r="E238" s="2421"/>
      <c r="F238" s="2421"/>
      <c r="G238" s="2421"/>
      <c r="H238" s="2421"/>
      <c r="I238" s="2421"/>
      <c r="J238" s="2421"/>
      <c r="K238" s="2422"/>
      <c r="L238" s="2423"/>
      <c r="M238" s="2421"/>
      <c r="N238" s="2421"/>
      <c r="O238" s="2421"/>
      <c r="P238" s="2421"/>
      <c r="Q238" s="2421"/>
      <c r="R238" s="2421"/>
      <c r="S238" s="2421"/>
      <c r="T238" s="2421"/>
      <c r="U238" s="2421"/>
      <c r="V238" s="2421"/>
      <c r="W238" s="2421"/>
      <c r="X238" s="2421"/>
      <c r="Y238" s="2421"/>
      <c r="Z238" s="2421"/>
      <c r="AA238" s="2421"/>
      <c r="AB238" s="2421"/>
      <c r="AC238" s="2421"/>
    </row>
    <row r="239" s="2385" customFormat="1" spans="1:29">
      <c r="A239" s="2421"/>
      <c r="B239" s="2421"/>
      <c r="C239" s="2421"/>
      <c r="D239" s="2421"/>
      <c r="E239" s="2421"/>
      <c r="F239" s="2421"/>
      <c r="G239" s="2421"/>
      <c r="H239" s="2421"/>
      <c r="I239" s="2421"/>
      <c r="J239" s="2421"/>
      <c r="K239" s="2422"/>
      <c r="L239" s="2423"/>
      <c r="M239" s="2421"/>
      <c r="N239" s="2421"/>
      <c r="O239" s="2421"/>
      <c r="P239" s="2421"/>
      <c r="Q239" s="2421"/>
      <c r="R239" s="2421"/>
      <c r="S239" s="2421"/>
      <c r="T239" s="2421"/>
      <c r="U239" s="2421"/>
      <c r="V239" s="2421"/>
      <c r="W239" s="2421"/>
      <c r="X239" s="2421"/>
      <c r="Y239" s="2421"/>
      <c r="Z239" s="2421"/>
      <c r="AA239" s="2421"/>
      <c r="AB239" s="2421"/>
      <c r="AC239" s="2421"/>
    </row>
    <row r="240" s="2385" customFormat="1" spans="1:29">
      <c r="A240" s="2421"/>
      <c r="B240" s="2421"/>
      <c r="C240" s="2421"/>
      <c r="D240" s="2421"/>
      <c r="E240" s="2421"/>
      <c r="F240" s="2421"/>
      <c r="G240" s="2421"/>
      <c r="H240" s="2421"/>
      <c r="I240" s="2421"/>
      <c r="J240" s="2421"/>
      <c r="K240" s="2422"/>
      <c r="L240" s="2423"/>
      <c r="M240" s="2421"/>
      <c r="N240" s="2421"/>
      <c r="O240" s="2421"/>
      <c r="P240" s="2421"/>
      <c r="Q240" s="2421"/>
      <c r="R240" s="2421"/>
      <c r="S240" s="2421"/>
      <c r="T240" s="2421"/>
      <c r="U240" s="2421"/>
      <c r="V240" s="2421"/>
      <c r="W240" s="2421"/>
      <c r="X240" s="2421"/>
      <c r="Y240" s="2421"/>
      <c r="Z240" s="2421"/>
      <c r="AA240" s="2421"/>
      <c r="AB240" s="2421"/>
      <c r="AC240" s="2421"/>
    </row>
    <row r="241" s="2385" customFormat="1" spans="1:29">
      <c r="A241" s="2421"/>
      <c r="B241" s="2421"/>
      <c r="C241" s="2421"/>
      <c r="D241" s="2421"/>
      <c r="E241" s="2421"/>
      <c r="F241" s="2421"/>
      <c r="G241" s="2421"/>
      <c r="H241" s="2421"/>
      <c r="I241" s="2421"/>
      <c r="J241" s="2421"/>
      <c r="K241" s="2422"/>
      <c r="L241" s="2423"/>
      <c r="M241" s="2421"/>
      <c r="N241" s="2421"/>
      <c r="O241" s="2421"/>
      <c r="P241" s="2421"/>
      <c r="Q241" s="2421"/>
      <c r="R241" s="2421"/>
      <c r="S241" s="2421"/>
      <c r="T241" s="2421"/>
      <c r="U241" s="2421"/>
      <c r="V241" s="2421"/>
      <c r="W241" s="2421"/>
      <c r="X241" s="2421"/>
      <c r="Y241" s="2421"/>
      <c r="Z241" s="2421"/>
      <c r="AA241" s="2421"/>
      <c r="AB241" s="2421"/>
      <c r="AC241" s="2421"/>
    </row>
    <row r="242" s="2385" customFormat="1" spans="1:29">
      <c r="A242" s="2421"/>
      <c r="B242" s="2421"/>
      <c r="C242" s="2421"/>
      <c r="D242" s="2421"/>
      <c r="E242" s="2421"/>
      <c r="F242" s="2421"/>
      <c r="G242" s="2421"/>
      <c r="H242" s="2421"/>
      <c r="I242" s="2421"/>
      <c r="J242" s="2421"/>
      <c r="K242" s="2422"/>
      <c r="L242" s="2423"/>
      <c r="M242" s="2421"/>
      <c r="N242" s="2421"/>
      <c r="O242" s="2421"/>
      <c r="P242" s="2421"/>
      <c r="Q242" s="2421"/>
      <c r="R242" s="2421"/>
      <c r="S242" s="2421"/>
      <c r="T242" s="2421"/>
      <c r="U242" s="2421"/>
      <c r="V242" s="2421"/>
      <c r="W242" s="2421"/>
      <c r="X242" s="2421"/>
      <c r="Y242" s="2421"/>
      <c r="Z242" s="2421"/>
      <c r="AA242" s="2421"/>
      <c r="AB242" s="2421"/>
      <c r="AC242" s="2421"/>
    </row>
    <row r="243" s="2385" customFormat="1" spans="1:29">
      <c r="A243" s="2421"/>
      <c r="B243" s="2421"/>
      <c r="C243" s="2421"/>
      <c r="D243" s="2421"/>
      <c r="E243" s="2421"/>
      <c r="F243" s="2421"/>
      <c r="G243" s="2421"/>
      <c r="H243" s="2421"/>
      <c r="I243" s="2421"/>
      <c r="J243" s="2421"/>
      <c r="K243" s="2422"/>
      <c r="L243" s="2423"/>
      <c r="M243" s="2421"/>
      <c r="N243" s="2421"/>
      <c r="O243" s="2421"/>
      <c r="P243" s="2421"/>
      <c r="Q243" s="2421"/>
      <c r="R243" s="2421"/>
      <c r="S243" s="2421"/>
      <c r="T243" s="2421"/>
      <c r="U243" s="2421"/>
      <c r="V243" s="2421"/>
      <c r="W243" s="2421"/>
      <c r="X243" s="2421"/>
      <c r="Y243" s="2421"/>
      <c r="Z243" s="2421"/>
      <c r="AA243" s="2421"/>
      <c r="AB243" s="2421"/>
      <c r="AC243" s="2421"/>
    </row>
    <row r="244" s="2385" customFormat="1" spans="1:29">
      <c r="A244" s="2421"/>
      <c r="B244" s="2421"/>
      <c r="C244" s="2421"/>
      <c r="D244" s="2421"/>
      <c r="E244" s="2421"/>
      <c r="F244" s="2421"/>
      <c r="G244" s="2421"/>
      <c r="H244" s="2421"/>
      <c r="I244" s="2421"/>
      <c r="J244" s="2421"/>
      <c r="K244" s="2422"/>
      <c r="L244" s="2423"/>
      <c r="M244" s="2421"/>
      <c r="N244" s="2421"/>
      <c r="O244" s="2421"/>
      <c r="P244" s="2421"/>
      <c r="Q244" s="2421"/>
      <c r="R244" s="2421"/>
      <c r="S244" s="2421"/>
      <c r="T244" s="2421"/>
      <c r="U244" s="2421"/>
      <c r="V244" s="2421"/>
      <c r="W244" s="2421"/>
      <c r="X244" s="2421"/>
      <c r="Y244" s="2421"/>
      <c r="Z244" s="2421"/>
      <c r="AA244" s="2421"/>
      <c r="AB244" s="2421"/>
      <c r="AC244" s="2421"/>
    </row>
    <row r="245" s="2385" customFormat="1" spans="1:29">
      <c r="A245" s="2421"/>
      <c r="B245" s="2421"/>
      <c r="C245" s="2421"/>
      <c r="D245" s="2421"/>
      <c r="E245" s="2421"/>
      <c r="F245" s="2421"/>
      <c r="G245" s="2421"/>
      <c r="H245" s="2421"/>
      <c r="I245" s="2421"/>
      <c r="J245" s="2421"/>
      <c r="K245" s="2422"/>
      <c r="L245" s="2423"/>
      <c r="M245" s="2421"/>
      <c r="N245" s="2421"/>
      <c r="O245" s="2421"/>
      <c r="P245" s="2421"/>
      <c r="Q245" s="2421"/>
      <c r="R245" s="2421"/>
      <c r="S245" s="2421"/>
      <c r="T245" s="2421"/>
      <c r="U245" s="2421"/>
      <c r="V245" s="2421"/>
      <c r="W245" s="2421"/>
      <c r="X245" s="2421"/>
      <c r="Y245" s="2421"/>
      <c r="Z245" s="2421"/>
      <c r="AA245" s="2421"/>
      <c r="AB245" s="2421"/>
      <c r="AC245" s="2421"/>
    </row>
    <row r="246" s="2385" customFormat="1" spans="1:29">
      <c r="A246" s="2421"/>
      <c r="B246" s="2421"/>
      <c r="C246" s="2421"/>
      <c r="D246" s="2421"/>
      <c r="E246" s="2421"/>
      <c r="F246" s="2421"/>
      <c r="G246" s="2421"/>
      <c r="H246" s="2421"/>
      <c r="I246" s="2421"/>
      <c r="J246" s="2421"/>
      <c r="K246" s="2422"/>
      <c r="L246" s="2423"/>
      <c r="M246" s="2421"/>
      <c r="N246" s="2421"/>
      <c r="O246" s="2421"/>
      <c r="P246" s="2421"/>
      <c r="Q246" s="2421"/>
      <c r="R246" s="2421"/>
      <c r="S246" s="2421"/>
      <c r="T246" s="2421"/>
      <c r="U246" s="2421"/>
      <c r="V246" s="2421"/>
      <c r="W246" s="2421"/>
      <c r="X246" s="2421"/>
      <c r="Y246" s="2421"/>
      <c r="Z246" s="2421"/>
      <c r="AA246" s="2421"/>
      <c r="AB246" s="2421"/>
      <c r="AC246" s="2421"/>
    </row>
    <row r="247" s="2385" customFormat="1" spans="1:29">
      <c r="A247" s="2421"/>
      <c r="B247" s="2421"/>
      <c r="C247" s="2421"/>
      <c r="D247" s="2421"/>
      <c r="E247" s="2421"/>
      <c r="F247" s="2421"/>
      <c r="G247" s="2421"/>
      <c r="H247" s="2421"/>
      <c r="I247" s="2421"/>
      <c r="J247" s="2421"/>
      <c r="K247" s="2422"/>
      <c r="L247" s="2423"/>
      <c r="M247" s="2421"/>
      <c r="N247" s="2421"/>
      <c r="O247" s="2421"/>
      <c r="P247" s="2421"/>
      <c r="Q247" s="2421"/>
      <c r="R247" s="2421"/>
      <c r="S247" s="2421"/>
      <c r="T247" s="2421"/>
      <c r="U247" s="2421"/>
      <c r="V247" s="2421"/>
      <c r="W247" s="2421"/>
      <c r="X247" s="2421"/>
      <c r="Y247" s="2421"/>
      <c r="Z247" s="2421"/>
      <c r="AA247" s="2421"/>
      <c r="AB247" s="2421"/>
      <c r="AC247" s="2421"/>
    </row>
    <row r="248" s="2385" customFormat="1" spans="1:29">
      <c r="A248" s="2421"/>
      <c r="B248" s="2421"/>
      <c r="C248" s="2421"/>
      <c r="D248" s="2421"/>
      <c r="E248" s="2421"/>
      <c r="F248" s="2421"/>
      <c r="G248" s="2421"/>
      <c r="H248" s="2421"/>
      <c r="I248" s="2421"/>
      <c r="J248" s="2421"/>
      <c r="K248" s="2422"/>
      <c r="L248" s="2423"/>
      <c r="M248" s="2421"/>
      <c r="N248" s="2421"/>
      <c r="O248" s="2421"/>
      <c r="P248" s="2421"/>
      <c r="Q248" s="2421"/>
      <c r="R248" s="2421"/>
      <c r="S248" s="2421"/>
      <c r="T248" s="2421"/>
      <c r="U248" s="2421"/>
      <c r="V248" s="2421"/>
      <c r="W248" s="2421"/>
      <c r="X248" s="2421"/>
      <c r="Y248" s="2421"/>
      <c r="Z248" s="2421"/>
      <c r="AA248" s="2421"/>
      <c r="AB248" s="2421"/>
      <c r="AC248" s="2421"/>
    </row>
    <row r="249" s="2385" customFormat="1" spans="1:29">
      <c r="A249" s="2421"/>
      <c r="B249" s="2421"/>
      <c r="C249" s="2421"/>
      <c r="D249" s="2421"/>
      <c r="E249" s="2421"/>
      <c r="F249" s="2421"/>
      <c r="G249" s="2421"/>
      <c r="H249" s="2421"/>
      <c r="I249" s="2421"/>
      <c r="J249" s="2421"/>
      <c r="K249" s="2422"/>
      <c r="L249" s="2423"/>
      <c r="M249" s="2421"/>
      <c r="N249" s="2421"/>
      <c r="O249" s="2421"/>
      <c r="P249" s="2421"/>
      <c r="Q249" s="2421"/>
      <c r="R249" s="2421"/>
      <c r="S249" s="2421"/>
      <c r="T249" s="2421"/>
      <c r="U249" s="2421"/>
      <c r="V249" s="2421"/>
      <c r="W249" s="2421"/>
      <c r="X249" s="2421"/>
      <c r="Y249" s="2421"/>
      <c r="Z249" s="2421"/>
      <c r="AA249" s="2421"/>
      <c r="AB249" s="2421"/>
      <c r="AC249" s="2421"/>
    </row>
    <row r="250" s="2385" customFormat="1" spans="1:29">
      <c r="A250" s="2421"/>
      <c r="B250" s="2421"/>
      <c r="C250" s="2421"/>
      <c r="D250" s="2421"/>
      <c r="E250" s="2421"/>
      <c r="F250" s="2421"/>
      <c r="G250" s="2421"/>
      <c r="H250" s="2421"/>
      <c r="I250" s="2421"/>
      <c r="J250" s="2421"/>
      <c r="K250" s="2422"/>
      <c r="L250" s="2423"/>
      <c r="M250" s="2421"/>
      <c r="N250" s="2421"/>
      <c r="O250" s="2421"/>
      <c r="P250" s="2421"/>
      <c r="Q250" s="2421"/>
      <c r="R250" s="2421"/>
      <c r="S250" s="2421"/>
      <c r="T250" s="2421"/>
      <c r="U250" s="2421"/>
      <c r="V250" s="2421"/>
      <c r="W250" s="2421"/>
      <c r="X250" s="2421"/>
      <c r="Y250" s="2421"/>
      <c r="Z250" s="2421"/>
      <c r="AA250" s="2421"/>
      <c r="AB250" s="2421"/>
      <c r="AC250" s="2421"/>
    </row>
    <row r="251" s="2385" customFormat="1" spans="1:29">
      <c r="A251" s="2421"/>
      <c r="B251" s="2421"/>
      <c r="C251" s="2421"/>
      <c r="D251" s="2421"/>
      <c r="E251" s="2421"/>
      <c r="F251" s="2421"/>
      <c r="G251" s="2421"/>
      <c r="H251" s="2421"/>
      <c r="I251" s="2421"/>
      <c r="J251" s="2421"/>
      <c r="K251" s="2422"/>
      <c r="L251" s="2423"/>
      <c r="M251" s="2421"/>
      <c r="N251" s="2421"/>
      <c r="O251" s="2421"/>
      <c r="P251" s="2421"/>
      <c r="Q251" s="2421"/>
      <c r="R251" s="2421"/>
      <c r="S251" s="2421"/>
      <c r="T251" s="2421"/>
      <c r="U251" s="2421"/>
      <c r="V251" s="2421"/>
      <c r="W251" s="2421"/>
      <c r="X251" s="2421"/>
      <c r="Y251" s="2421"/>
      <c r="Z251" s="2421"/>
      <c r="AA251" s="2421"/>
      <c r="AB251" s="2421"/>
      <c r="AC251" s="2421"/>
    </row>
    <row r="252" s="2385" customFormat="1" spans="1:29">
      <c r="A252" s="2421"/>
      <c r="B252" s="2421"/>
      <c r="C252" s="2421"/>
      <c r="D252" s="2421"/>
      <c r="E252" s="2421"/>
      <c r="F252" s="2421"/>
      <c r="G252" s="2421"/>
      <c r="H252" s="2421"/>
      <c r="I252" s="2421"/>
      <c r="J252" s="2421"/>
      <c r="K252" s="2422"/>
      <c r="L252" s="2423"/>
      <c r="M252" s="2421"/>
      <c r="N252" s="2421"/>
      <c r="O252" s="2421"/>
      <c r="P252" s="2421"/>
      <c r="Q252" s="2421"/>
      <c r="R252" s="2421"/>
      <c r="S252" s="2421"/>
      <c r="T252" s="2421"/>
      <c r="U252" s="2421"/>
      <c r="V252" s="2421"/>
      <c r="W252" s="2421"/>
      <c r="X252" s="2421"/>
      <c r="Y252" s="2421"/>
      <c r="Z252" s="2421"/>
      <c r="AA252" s="2421"/>
      <c r="AB252" s="2421"/>
      <c r="AC252" s="2421"/>
    </row>
    <row r="253" s="2385" customFormat="1" spans="1:29">
      <c r="A253" s="2421"/>
      <c r="B253" s="2421"/>
      <c r="C253" s="2421"/>
      <c r="D253" s="2421"/>
      <c r="E253" s="2421"/>
      <c r="F253" s="2421"/>
      <c r="G253" s="2421"/>
      <c r="H253" s="2421"/>
      <c r="I253" s="2421"/>
      <c r="J253" s="2421"/>
      <c r="K253" s="2422"/>
      <c r="L253" s="2423"/>
      <c r="M253" s="2421"/>
      <c r="N253" s="2421"/>
      <c r="O253" s="2421"/>
      <c r="P253" s="2421"/>
      <c r="Q253" s="2421"/>
      <c r="R253" s="2421"/>
      <c r="S253" s="2421"/>
      <c r="T253" s="2421"/>
      <c r="U253" s="2421"/>
      <c r="V253" s="2421"/>
      <c r="W253" s="2421"/>
      <c r="X253" s="2421"/>
      <c r="Y253" s="2421"/>
      <c r="Z253" s="2421"/>
      <c r="AA253" s="2421"/>
      <c r="AB253" s="2421"/>
      <c r="AC253" s="2421"/>
    </row>
    <row r="254" s="2385" customFormat="1" spans="1:29">
      <c r="A254" s="2421"/>
      <c r="B254" s="2421"/>
      <c r="C254" s="2421"/>
      <c r="D254" s="2421"/>
      <c r="E254" s="2421"/>
      <c r="F254" s="2421"/>
      <c r="G254" s="2421"/>
      <c r="H254" s="2421"/>
      <c r="I254" s="2421"/>
      <c r="J254" s="2421"/>
      <c r="K254" s="2422"/>
      <c r="L254" s="2423"/>
      <c r="M254" s="2421"/>
      <c r="N254" s="2421"/>
      <c r="O254" s="2421"/>
      <c r="P254" s="2421"/>
      <c r="Q254" s="2421"/>
      <c r="R254" s="2421"/>
      <c r="S254" s="2421"/>
      <c r="T254" s="2421"/>
      <c r="U254" s="2421"/>
      <c r="V254" s="2421"/>
      <c r="W254" s="2421"/>
      <c r="X254" s="2421"/>
      <c r="Y254" s="2421"/>
      <c r="Z254" s="2421"/>
      <c r="AA254" s="2421"/>
      <c r="AB254" s="2421"/>
      <c r="AC254" s="2421"/>
    </row>
    <row r="255" s="2385" customFormat="1" spans="1:29">
      <c r="A255" s="2421"/>
      <c r="B255" s="2421"/>
      <c r="C255" s="2421"/>
      <c r="D255" s="2421"/>
      <c r="E255" s="2421"/>
      <c r="F255" s="2421"/>
      <c r="G255" s="2421"/>
      <c r="H255" s="2421"/>
      <c r="I255" s="2421"/>
      <c r="J255" s="2421"/>
      <c r="K255" s="2422"/>
      <c r="L255" s="2423"/>
      <c r="M255" s="2421"/>
      <c r="N255" s="2421"/>
      <c r="O255" s="2421"/>
      <c r="P255" s="2421"/>
      <c r="Q255" s="2421"/>
      <c r="R255" s="2421"/>
      <c r="S255" s="2421"/>
      <c r="T255" s="2421"/>
      <c r="U255" s="2421"/>
      <c r="V255" s="2421"/>
      <c r="W255" s="2421"/>
      <c r="X255" s="2421"/>
      <c r="Y255" s="2421"/>
      <c r="Z255" s="2421"/>
      <c r="AA255" s="2421"/>
      <c r="AB255" s="2421"/>
      <c r="AC255" s="2421"/>
    </row>
    <row r="256" s="2385" customFormat="1" spans="11:12">
      <c r="K256" s="2424"/>
      <c r="L256" s="2425"/>
    </row>
    <row r="257" s="2385" customFormat="1" spans="11:12">
      <c r="K257" s="2424"/>
      <c r="L257" s="2425"/>
    </row>
    <row r="258" s="2385" customFormat="1" spans="11:12">
      <c r="K258" s="2424"/>
      <c r="L258" s="2425"/>
    </row>
    <row r="259" s="2385" customFormat="1" spans="11:12">
      <c r="K259" s="2424"/>
      <c r="L259" s="2425"/>
    </row>
  </sheetData>
  <sheetProtection password="CEE9" sheet="1" formatCells="0" formatColumns="0" formatRows="0" objects="1" scenarios="1"/>
  <mergeCells count="42">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8:Q48"/>
    <mergeCell ref="R48:S48"/>
    <mergeCell ref="T48:U48"/>
    <mergeCell ref="V48:W48"/>
    <mergeCell ref="P49:Q49"/>
    <mergeCell ref="R49:S49"/>
    <mergeCell ref="T49:U49"/>
    <mergeCell ref="V49:W49"/>
    <mergeCell ref="P50:Q50"/>
    <mergeCell ref="R50:W50"/>
    <mergeCell ref="G59:G62"/>
    <mergeCell ref="P11:P16"/>
    <mergeCell ref="P17:P37"/>
    <mergeCell ref="P38:P47"/>
    <mergeCell ref="Y11:Y16"/>
    <mergeCell ref="Y17:Y37"/>
    <mergeCell ref="Y38:Y47"/>
    <mergeCell ref="AA6:AA8"/>
    <mergeCell ref="AB6:AB8"/>
    <mergeCell ref="AC6:AC8"/>
    <mergeCell ref="G57:H58"/>
    <mergeCell ref="P6:Q8"/>
    <mergeCell ref="R6:S8"/>
    <mergeCell ref="T6:U8"/>
    <mergeCell ref="V6:W8"/>
    <mergeCell ref="Y6:Z8"/>
  </mergeCells>
  <conditionalFormatting sqref="F49">
    <cfRule type="expression" dxfId="7" priority="4">
      <formula>$D$49="简单平均"</formula>
    </cfRule>
  </conditionalFormatting>
  <conditionalFormatting sqref="H49">
    <cfRule type="expression" dxfId="7" priority="3">
      <formula>$D$49="简单平均"</formula>
    </cfRule>
  </conditionalFormatting>
  <conditionalFormatting sqref="J49">
    <cfRule type="expression" dxfId="7" priority="2">
      <formula>$D$49="简单平均"</formula>
    </cfRule>
  </conditionalFormatting>
  <conditionalFormatting sqref="E53">
    <cfRule type="expression" dxfId="10" priority="13" stopIfTrue="1">
      <formula>$F$53="超过30%"</formula>
    </cfRule>
  </conditionalFormatting>
  <conditionalFormatting sqref="G53">
    <cfRule type="expression" dxfId="10" priority="9" stopIfTrue="1">
      <formula>$H$55+$H$53="超过30%"</formula>
    </cfRule>
  </conditionalFormatting>
  <conditionalFormatting sqref="I53">
    <cfRule type="expression" dxfId="10" priority="7" stopIfTrue="1">
      <formula>$J$53="超过30%"</formula>
    </cfRule>
  </conditionalFormatting>
  <conditionalFormatting sqref="E54">
    <cfRule type="expression" dxfId="10" priority="11" stopIfTrue="1">
      <formula>$F$54="超过20%"</formula>
    </cfRule>
  </conditionalFormatting>
  <conditionalFormatting sqref="G54">
    <cfRule type="expression" dxfId="10" priority="8" stopIfTrue="1">
      <formula>$H$54="超过20%"</formula>
    </cfRule>
  </conditionalFormatting>
  <conditionalFormatting sqref="I54">
    <cfRule type="expression" dxfId="10" priority="6" stopIfTrue="1">
      <formula>$J$54="超过20%"</formula>
    </cfRule>
  </conditionalFormatting>
  <conditionalFormatting sqref="E55">
    <cfRule type="expression" dxfId="10" priority="10" stopIfTrue="1">
      <formula>$F$55="超过30%"</formula>
    </cfRule>
  </conditionalFormatting>
  <conditionalFormatting sqref="G55">
    <cfRule type="expression" dxfId="10" priority="12" stopIfTrue="1">
      <formula>$H$55="超过30%"</formula>
    </cfRule>
  </conditionalFormatting>
  <conditionalFormatting sqref="I55">
    <cfRule type="expression" dxfId="10" priority="5" stopIfTrue="1">
      <formula>$J$55="超过30%"</formula>
    </cfRule>
  </conditionalFormatting>
  <conditionalFormatting sqref="F9:F47 H9:H47 J9:J47">
    <cfRule type="cellIs" dxfId="11" priority="1" operator="notEqual">
      <formula>100</formula>
    </cfRule>
  </conditionalFormatting>
  <conditionalFormatting sqref="F53:F55 H53:H55 J53:J55">
    <cfRule type="containsText" dxfId="12" priority="14" stopIfTrue="1" operator="between" text="超过">
      <formula>NOT(ISERROR(SEARCH("超过",F53)))</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A73">
      <formula1>"综合,商业,办公,住宅"</formula1>
    </dataValidation>
    <dataValidation type="list" allowBlank="1" showInputMessage="1" showErrorMessage="1" sqref="D59:D67">
      <formula1>"25%,1"</formula1>
    </dataValidation>
  </dataValidations>
  <pageMargins left="0.708661417322835" right="0.708661417322835" top="1.06299212598425" bottom="0.94488188976378" header="0.31496062992126" footer="0.31496062992126"/>
  <pageSetup paperSize="9" scale="46" fitToHeight="0" orientation="portrait"/>
  <headerFooter/>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B6:N37"/>
  <sheetViews>
    <sheetView zoomScale="90" zoomScaleNormal="90" topLeftCell="B1" workbookViewId="0">
      <selection activeCell="H29" sqref="H29"/>
    </sheetView>
  </sheetViews>
  <sheetFormatPr defaultColWidth="11.45" defaultRowHeight="13.5"/>
  <cols>
    <col min="1" max="1" width="11.45" style="606" customWidth="1"/>
    <col min="2" max="2" width="11.45" style="606"/>
    <col min="3" max="3" width="15.6333333333333" style="606" customWidth="1"/>
    <col min="4" max="4" width="9.725" style="606" customWidth="1"/>
    <col min="5" max="5" width="8.90833333333333" style="606" customWidth="1"/>
    <col min="6" max="6" width="5.725" style="606" customWidth="1"/>
    <col min="7" max="7" width="15.6333333333333" style="606" customWidth="1"/>
    <col min="8" max="8" width="10.725" style="606" customWidth="1"/>
    <col min="9" max="9" width="9.26666666666667" style="606" customWidth="1"/>
    <col min="10" max="10" width="8.63333333333333" style="606" customWidth="1"/>
    <col min="11" max="11" width="11.9083333333333" style="606" customWidth="1"/>
    <col min="12" max="18" width="11.45" style="606"/>
    <col min="19" max="19" width="26.2666666666667" style="606" customWidth="1"/>
    <col min="20" max="16384" width="11.45" style="606"/>
  </cols>
  <sheetData>
    <row r="6" spans="3:14">
      <c r="C6" s="2375" t="s">
        <v>377</v>
      </c>
      <c r="D6" s="2376"/>
      <c r="E6" s="2376"/>
      <c r="F6" s="2377"/>
      <c r="G6" s="607" t="s">
        <v>378</v>
      </c>
      <c r="H6" s="607"/>
      <c r="I6" s="607"/>
      <c r="J6" s="607"/>
      <c r="K6" s="607"/>
      <c r="L6" s="607"/>
      <c r="M6" s="607"/>
      <c r="N6" s="607"/>
    </row>
    <row r="7" spans="2:14">
      <c r="B7" s="618"/>
      <c r="C7" s="607"/>
      <c r="D7" s="607" t="s">
        <v>1003</v>
      </c>
      <c r="E7" s="607" t="s">
        <v>1004</v>
      </c>
      <c r="F7" s="607" t="s">
        <v>1005</v>
      </c>
      <c r="G7" s="607"/>
      <c r="H7" s="607" t="s">
        <v>1003</v>
      </c>
      <c r="I7" s="607" t="s">
        <v>1004</v>
      </c>
      <c r="J7" s="607" t="s">
        <v>1005</v>
      </c>
      <c r="K7" s="607"/>
      <c r="L7" s="607" t="s">
        <v>1003</v>
      </c>
      <c r="M7" s="607" t="s">
        <v>1004</v>
      </c>
      <c r="N7" s="607" t="s">
        <v>1005</v>
      </c>
    </row>
    <row r="8" spans="2:14">
      <c r="B8" s="618"/>
      <c r="C8" s="607" t="s">
        <v>1006</v>
      </c>
      <c r="D8" s="607">
        <f ca="1">'剩余法-待开发-住宅'!D40</f>
        <v>5132</v>
      </c>
      <c r="E8" s="607">
        <f ca="1">'成本逼近法--住宅'!B3</f>
        <v>4069</v>
      </c>
      <c r="F8" s="2378">
        <f ca="1">(D8-E8)/D8</f>
        <v>0.207131722525331</v>
      </c>
      <c r="G8" s="607" t="s">
        <v>1006</v>
      </c>
      <c r="H8" s="607">
        <f ca="1">'剩余法-待开发-商业'!B3</f>
        <v>2118</v>
      </c>
      <c r="I8" s="607">
        <f ca="1">'成本逼近法--商业'!B3</f>
        <v>3823</v>
      </c>
      <c r="J8" s="2378">
        <f ca="1">(H8-I8)/H8</f>
        <v>-0.805004721435316</v>
      </c>
      <c r="K8" s="607" t="s">
        <v>1006</v>
      </c>
      <c r="L8" s="607" t="e">
        <f ca="1">'剩余法-待开发-工业'!D39</f>
        <v>#N/A</v>
      </c>
      <c r="M8" s="607" t="e">
        <f ca="1">'成本逼近法--工业'!B3</f>
        <v>#REF!</v>
      </c>
      <c r="N8" s="2378" t="e">
        <f ca="1">(L8-M8)/L8</f>
        <v>#N/A</v>
      </c>
    </row>
    <row r="9" spans="2:14">
      <c r="B9" s="618"/>
      <c r="C9" s="607" t="s">
        <v>1007</v>
      </c>
      <c r="D9" s="607">
        <v>0.6</v>
      </c>
      <c r="E9" s="607">
        <f>1-D9</f>
        <v>0.4</v>
      </c>
      <c r="F9" s="2378"/>
      <c r="G9" s="607" t="s">
        <v>1007</v>
      </c>
      <c r="H9" s="607">
        <v>0.4</v>
      </c>
      <c r="I9" s="607">
        <f>1-H9</f>
        <v>0.6</v>
      </c>
      <c r="J9" s="2378"/>
      <c r="K9" s="607" t="s">
        <v>1007</v>
      </c>
      <c r="L9" s="607">
        <v>0.7</v>
      </c>
      <c r="M9" s="607">
        <f>1-L9</f>
        <v>0.3</v>
      </c>
      <c r="N9" s="2378"/>
    </row>
    <row r="10" spans="2:14">
      <c r="B10" s="618" t="s">
        <v>1008</v>
      </c>
      <c r="C10" s="607" t="s">
        <v>1006</v>
      </c>
      <c r="D10" s="2379">
        <f ca="1">ROUND(D9*D8+E9*E8,0)</f>
        <v>4707</v>
      </c>
      <c r="E10" s="2380"/>
      <c r="F10" s="2378"/>
      <c r="G10" s="607" t="s">
        <v>1006</v>
      </c>
      <c r="H10" s="2379">
        <f ca="1">ROUND(H9*H8+I9*I8,0)</f>
        <v>3141</v>
      </c>
      <c r="I10" s="2380"/>
      <c r="J10" s="2378"/>
      <c r="K10" s="607" t="s">
        <v>1006</v>
      </c>
      <c r="L10" s="2379" t="e">
        <f ca="1">ROUND(L9*L8+M9*M8,0)</f>
        <v>#N/A</v>
      </c>
      <c r="M10" s="2380"/>
      <c r="N10" s="2378"/>
    </row>
    <row r="11" spans="2:14">
      <c r="B11" s="618"/>
      <c r="C11" s="607" t="s">
        <v>389</v>
      </c>
      <c r="D11" s="2381">
        <f>地块信息表!M23</f>
        <v>186962.11</v>
      </c>
      <c r="E11" s="2376"/>
      <c r="F11" s="2377"/>
      <c r="G11" s="607" t="s">
        <v>389</v>
      </c>
      <c r="H11" s="607">
        <f>地块信息表!M24</f>
        <v>20137.5</v>
      </c>
      <c r="I11" s="607"/>
      <c r="J11" s="607"/>
      <c r="K11" s="607" t="s">
        <v>389</v>
      </c>
      <c r="L11" s="607"/>
      <c r="M11" s="607"/>
      <c r="N11" s="607"/>
    </row>
    <row r="12" spans="2:14">
      <c r="B12" s="618"/>
      <c r="C12" s="607" t="s">
        <v>1009</v>
      </c>
      <c r="D12" s="2381">
        <f ca="1">ROUND(D11*D10/10000,2)</f>
        <v>88003.07</v>
      </c>
      <c r="E12" s="2376"/>
      <c r="F12" s="2377"/>
      <c r="G12" s="607" t="str">
        <f>C12</f>
        <v>地价款</v>
      </c>
      <c r="H12" s="607">
        <f ca="1">ROUND(H11*H10/10000,2)</f>
        <v>6325.19</v>
      </c>
      <c r="I12" s="607"/>
      <c r="J12" s="607"/>
      <c r="K12" s="607" t="str">
        <f>C12</f>
        <v>地价款</v>
      </c>
      <c r="L12" s="607"/>
      <c r="M12" s="607"/>
      <c r="N12" s="607"/>
    </row>
    <row r="13" spans="2:14">
      <c r="B13" s="618"/>
      <c r="C13" s="607" t="s">
        <v>392</v>
      </c>
      <c r="D13" s="2381">
        <f>地块信息表!D24</f>
        <v>91214.03</v>
      </c>
      <c r="E13" s="2376"/>
      <c r="F13" s="2377"/>
      <c r="G13" s="607" t="s">
        <v>392</v>
      </c>
      <c r="H13" s="2381">
        <f>地块信息表!D25</f>
        <v>10135</v>
      </c>
      <c r="I13" s="2376"/>
      <c r="J13" s="2377"/>
      <c r="K13" s="607" t="s">
        <v>392</v>
      </c>
      <c r="L13" s="2381"/>
      <c r="M13" s="2376"/>
      <c r="N13" s="2377"/>
    </row>
    <row r="14" spans="2:14">
      <c r="B14" s="618"/>
      <c r="C14" s="607" t="s">
        <v>1010</v>
      </c>
      <c r="D14" s="2381">
        <f ca="1">ROUND(D12*10000/D13,0)</f>
        <v>9648</v>
      </c>
      <c r="E14" s="2376"/>
      <c r="F14" s="2377"/>
      <c r="G14" s="607" t="s">
        <v>1010</v>
      </c>
      <c r="H14" s="2381">
        <f ca="1">ROUND(H12*10000/H13,0)</f>
        <v>6241</v>
      </c>
      <c r="I14" s="2376"/>
      <c r="J14" s="2377"/>
      <c r="K14" s="607" t="s">
        <v>1010</v>
      </c>
      <c r="L14" s="2381"/>
      <c r="M14" s="2376"/>
      <c r="N14" s="2377"/>
    </row>
    <row r="15" ht="27" spans="2:14">
      <c r="B15" s="618"/>
      <c r="C15" s="607" t="s">
        <v>1011</v>
      </c>
      <c r="D15" s="2381">
        <f ca="1">ROUND(D14/15,0)</f>
        <v>643</v>
      </c>
      <c r="E15" s="2376"/>
      <c r="F15" s="2377"/>
      <c r="G15" s="607" t="s">
        <v>1011</v>
      </c>
      <c r="H15" s="2381">
        <f ca="1">ROUND(H14/15,0)</f>
        <v>416</v>
      </c>
      <c r="I15" s="2376"/>
      <c r="J15" s="2377"/>
      <c r="K15" s="607" t="s">
        <v>1011</v>
      </c>
      <c r="L15" s="2381">
        <f>ROUND(L14/15,0)</f>
        <v>0</v>
      </c>
      <c r="M15" s="2376"/>
      <c r="N15" s="2377"/>
    </row>
    <row r="16" spans="3:14">
      <c r="C16"/>
      <c r="D16"/>
      <c r="E16"/>
      <c r="F16"/>
      <c r="G16"/>
      <c r="H16"/>
      <c r="I16"/>
      <c r="J16"/>
      <c r="K16"/>
      <c r="L16"/>
      <c r="M16"/>
      <c r="N16"/>
    </row>
    <row r="17" spans="3:14">
      <c r="C17"/>
      <c r="D17"/>
      <c r="E17"/>
      <c r="F17"/>
      <c r="G17"/>
      <c r="H17"/>
      <c r="I17"/>
      <c r="J17"/>
      <c r="K17"/>
      <c r="L17"/>
      <c r="M17"/>
      <c r="N17"/>
    </row>
    <row r="18" spans="3:14">
      <c r="C18"/>
      <c r="D18"/>
      <c r="E18"/>
      <c r="F18"/>
      <c r="G18"/>
      <c r="H18"/>
      <c r="I18"/>
      <c r="J18"/>
      <c r="K18"/>
      <c r="L18"/>
      <c r="M18"/>
      <c r="N18"/>
    </row>
    <row r="19" spans="3:14">
      <c r="C19"/>
      <c r="D19"/>
      <c r="E19"/>
      <c r="F19"/>
      <c r="G19"/>
      <c r="H19"/>
      <c r="I19"/>
      <c r="J19"/>
      <c r="K19"/>
      <c r="L19"/>
      <c r="M19"/>
      <c r="N19"/>
    </row>
    <row r="20" spans="3:14">
      <c r="C20"/>
      <c r="D20"/>
      <c r="E20"/>
      <c r="F20"/>
      <c r="G20"/>
      <c r="H20"/>
      <c r="I20"/>
      <c r="J20"/>
      <c r="K20"/>
      <c r="L20"/>
      <c r="M20"/>
      <c r="N20"/>
    </row>
    <row r="25" spans="4:12">
      <c r="D25" s="606" t="s">
        <v>1012</v>
      </c>
      <c r="E25" s="606" t="s">
        <v>1013</v>
      </c>
      <c r="K25" s="606">
        <f ca="1">E26/95280</f>
        <v>0.965728064651553</v>
      </c>
      <c r="L25" s="606">
        <f>95280*0.15</f>
        <v>14292</v>
      </c>
    </row>
    <row r="26" spans="3:12">
      <c r="C26" s="2382" t="s">
        <v>1014</v>
      </c>
      <c r="D26" s="2382">
        <f ca="1">D12+H12+L12</f>
        <v>94328.26</v>
      </c>
      <c r="E26" s="2382">
        <f ca="1">D26-H28-H35+H33</f>
        <v>92014.57</v>
      </c>
      <c r="G26" s="2382" t="s">
        <v>1015</v>
      </c>
      <c r="H26" s="2382">
        <f>地块信息表!D26</f>
        <v>2732.5</v>
      </c>
      <c r="K26" s="2384">
        <f ca="1">1-K25</f>
        <v>0.0342719353484466</v>
      </c>
      <c r="L26" s="606">
        <f>95280*0.85</f>
        <v>80988</v>
      </c>
    </row>
    <row r="27" spans="3:8">
      <c r="C27" s="2382" t="s">
        <v>920</v>
      </c>
      <c r="D27" s="2382">
        <f ca="1">ROUND(D26*10000/地块信息表!$M$25,0)</f>
        <v>4555</v>
      </c>
      <c r="E27" s="2382">
        <f ca="1">ROUND(E26*10000/地块信息表!$M$25,0)</f>
        <v>4443</v>
      </c>
      <c r="G27" s="2382" t="s">
        <v>1016</v>
      </c>
      <c r="H27" s="2382">
        <v>159.9</v>
      </c>
    </row>
    <row r="28" spans="3:8">
      <c r="C28" s="2382" t="s">
        <v>1010</v>
      </c>
      <c r="D28" s="2382">
        <f ca="1">ROUND(D26*10000/地块信息表!$D$23,0)</f>
        <v>9307</v>
      </c>
      <c r="E28" s="2382">
        <f ca="1">ROUND(E26*10000/地块信息表!$D$23,0)</f>
        <v>9079</v>
      </c>
      <c r="G28" s="2382" t="s">
        <v>1017</v>
      </c>
      <c r="H28" s="2382">
        <f>ROUND(H26*H27/10000,2)</f>
        <v>43.69</v>
      </c>
    </row>
    <row r="29" spans="3:8">
      <c r="C29" s="2382" t="s">
        <v>1011</v>
      </c>
      <c r="D29" s="2383">
        <f ca="1">D28/15</f>
        <v>620.466666666667</v>
      </c>
      <c r="E29" s="2383">
        <f ca="1">E28/15</f>
        <v>605.266666666667</v>
      </c>
      <c r="G29" s="2382" t="s">
        <v>1018</v>
      </c>
      <c r="H29" s="2382">
        <f>地块信息表!D28</f>
        <v>23120.56</v>
      </c>
    </row>
    <row r="30" spans="7:8">
      <c r="G30" s="2382" t="s">
        <v>1019</v>
      </c>
      <c r="H30" s="2382">
        <v>0</v>
      </c>
    </row>
    <row r="31" spans="7:8">
      <c r="G31" s="2382" t="s">
        <v>1020</v>
      </c>
      <c r="H31" s="2382">
        <f>H29</f>
        <v>23120.56</v>
      </c>
    </row>
    <row r="32" spans="7:8">
      <c r="G32" s="2382" t="s">
        <v>1021</v>
      </c>
      <c r="H32" s="2382">
        <v>3420</v>
      </c>
    </row>
    <row r="33" spans="7:9">
      <c r="G33" s="2382" t="s">
        <v>1022</v>
      </c>
      <c r="H33" s="2382">
        <v>0</v>
      </c>
      <c r="I33" s="606">
        <f>H32*H30/10000</f>
        <v>0</v>
      </c>
    </row>
    <row r="34" spans="7:8">
      <c r="G34" s="2382" t="s">
        <v>1023</v>
      </c>
      <c r="H34" s="2382">
        <v>981.9</v>
      </c>
    </row>
    <row r="35" spans="7:9">
      <c r="G35" s="2382" t="s">
        <v>1024</v>
      </c>
      <c r="H35" s="2382">
        <v>2270</v>
      </c>
      <c r="I35" s="606">
        <f>H34*H31/10000</f>
        <v>2270.2077864</v>
      </c>
    </row>
    <row r="36" spans="7:8">
      <c r="G36" s="2382"/>
      <c r="H36" s="2382"/>
    </row>
    <row r="37" spans="7:8">
      <c r="G37" s="2382"/>
      <c r="H37" s="2382"/>
    </row>
  </sheetData>
  <mergeCells count="24">
    <mergeCell ref="C6:F6"/>
    <mergeCell ref="G6:J6"/>
    <mergeCell ref="K6:N6"/>
    <mergeCell ref="D10:E10"/>
    <mergeCell ref="H10:I10"/>
    <mergeCell ref="L10:M10"/>
    <mergeCell ref="D11:F11"/>
    <mergeCell ref="H11:J11"/>
    <mergeCell ref="L11:N11"/>
    <mergeCell ref="D12:F12"/>
    <mergeCell ref="H12:J12"/>
    <mergeCell ref="L12:N12"/>
    <mergeCell ref="D13:F13"/>
    <mergeCell ref="H13:J13"/>
    <mergeCell ref="L13:N13"/>
    <mergeCell ref="D14:F14"/>
    <mergeCell ref="H14:J14"/>
    <mergeCell ref="L14:N14"/>
    <mergeCell ref="D15:F15"/>
    <mergeCell ref="H15:J15"/>
    <mergeCell ref="L15:N15"/>
    <mergeCell ref="F8:F10"/>
    <mergeCell ref="J8:J10"/>
    <mergeCell ref="N8:N10"/>
  </mergeCells>
  <pageMargins left="0.75" right="0.75" top="1" bottom="1" header="0.5" footer="0.5"/>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B3:W32"/>
  <sheetViews>
    <sheetView zoomScale="90" zoomScaleNormal="90" topLeftCell="A2" workbookViewId="0">
      <selection activeCell="S33" sqref="S33"/>
    </sheetView>
  </sheetViews>
  <sheetFormatPr defaultColWidth="8.63333333333333" defaultRowHeight="14.25"/>
  <cols>
    <col min="1" max="8" width="8.63333333333333" style="2353"/>
    <col min="9" max="12" width="9" style="2353" customWidth="1"/>
    <col min="13" max="13" width="8.63333333333333" style="2353"/>
    <col min="14" max="14" width="12.6333333333333" style="2353" customWidth="1"/>
    <col min="15" max="15" width="11" style="2353" customWidth="1"/>
    <col min="16" max="16" width="14.45" style="2353" customWidth="1"/>
    <col min="17" max="17" width="11" style="2353" customWidth="1"/>
    <col min="18" max="18" width="10.6333333333333" style="2353" customWidth="1"/>
    <col min="19" max="19" width="11.9083333333333" style="2353" customWidth="1"/>
    <col min="20" max="20" width="11.6333333333333" style="2353" customWidth="1"/>
    <col min="21" max="21" width="16.0916666666667" style="2353" customWidth="1"/>
    <col min="22" max="22" width="14.45" style="2353" customWidth="1"/>
    <col min="23" max="23" width="15" style="2353" customWidth="1"/>
    <col min="24" max="16384" width="8.63333333333333" style="2353"/>
  </cols>
  <sheetData>
    <row r="3" spans="2:23">
      <c r="B3" s="2354" t="s">
        <v>100</v>
      </c>
      <c r="C3" s="2354" t="s">
        <v>428</v>
      </c>
      <c r="D3" s="2354" t="s">
        <v>102</v>
      </c>
      <c r="E3" s="2354" t="s">
        <v>1025</v>
      </c>
      <c r="F3" s="2355" t="s">
        <v>104</v>
      </c>
      <c r="G3" s="2356"/>
      <c r="H3" s="2357"/>
      <c r="I3" s="2355" t="s">
        <v>105</v>
      </c>
      <c r="J3" s="2356"/>
      <c r="K3" s="2357"/>
      <c r="L3" s="2354" t="s">
        <v>1026</v>
      </c>
      <c r="M3" s="2354" t="s">
        <v>1027</v>
      </c>
      <c r="N3" s="2354" t="s">
        <v>1028</v>
      </c>
      <c r="O3" s="2354" t="s">
        <v>1029</v>
      </c>
      <c r="P3" s="2364" t="s">
        <v>1030</v>
      </c>
      <c r="Q3" s="2364" t="s">
        <v>1031</v>
      </c>
      <c r="R3" s="2354" t="s">
        <v>1032</v>
      </c>
      <c r="S3" s="2355" t="s">
        <v>1033</v>
      </c>
      <c r="T3" s="2357"/>
      <c r="U3" s="2364" t="s">
        <v>1034</v>
      </c>
      <c r="V3" s="2364" t="s">
        <v>1035</v>
      </c>
      <c r="W3" s="2364" t="s">
        <v>1036</v>
      </c>
    </row>
    <row r="4" spans="2:23">
      <c r="B4" s="2358"/>
      <c r="C4" s="2358"/>
      <c r="D4" s="2358"/>
      <c r="E4" s="2358"/>
      <c r="F4" s="2359" t="s">
        <v>116</v>
      </c>
      <c r="G4" s="2359" t="s">
        <v>1037</v>
      </c>
      <c r="H4" s="2359" t="s">
        <v>115</v>
      </c>
      <c r="I4" s="2359" t="s">
        <v>116</v>
      </c>
      <c r="J4" s="2359" t="s">
        <v>1037</v>
      </c>
      <c r="K4" s="2359" t="s">
        <v>115</v>
      </c>
      <c r="L4" s="2358"/>
      <c r="M4" s="2358"/>
      <c r="N4" s="2358"/>
      <c r="O4" s="2358"/>
      <c r="P4" s="2365"/>
      <c r="Q4" s="2365"/>
      <c r="R4" s="2358"/>
      <c r="S4" s="2359" t="s">
        <v>1038</v>
      </c>
      <c r="T4" s="2359" t="s">
        <v>112</v>
      </c>
      <c r="U4" s="2365"/>
      <c r="V4" s="2365"/>
      <c r="W4" s="2365"/>
    </row>
    <row r="5" spans="2:23">
      <c r="B5" s="2354" t="s">
        <v>138</v>
      </c>
      <c r="C5" s="2354" t="s">
        <v>1039</v>
      </c>
      <c r="D5" s="2354" t="s">
        <v>1040</v>
      </c>
      <c r="E5" s="2354" t="s">
        <v>1041</v>
      </c>
      <c r="F5" s="2360" t="s">
        <v>1042</v>
      </c>
      <c r="G5" s="2354" t="s">
        <v>1041</v>
      </c>
      <c r="H5" s="2360" t="s">
        <v>1043</v>
      </c>
      <c r="I5" s="2354">
        <v>1.68</v>
      </c>
      <c r="J5" s="2354" t="s">
        <v>1041</v>
      </c>
      <c r="K5" s="2354">
        <v>1.68</v>
      </c>
      <c r="L5" s="2354" t="s">
        <v>1044</v>
      </c>
      <c r="M5" s="2354" t="s">
        <v>1044</v>
      </c>
      <c r="N5" s="2359" t="s">
        <v>1045</v>
      </c>
      <c r="O5" s="2366">
        <v>85178</v>
      </c>
      <c r="P5" s="2366">
        <f>O5-491-9302</f>
        <v>75385</v>
      </c>
      <c r="Q5" s="2366">
        <v>142992</v>
      </c>
      <c r="R5" s="2359">
        <v>109426.4</v>
      </c>
      <c r="S5" s="2373">
        <v>5505</v>
      </c>
      <c r="T5" s="2373">
        <f t="shared" ref="T5:T7" si="0">ROUND(S5*R5/10000,2)</f>
        <v>60239.23</v>
      </c>
      <c r="U5" s="2366">
        <f>ROUND(T8*10000/R8,0)</f>
        <v>5136</v>
      </c>
      <c r="V5" s="2366">
        <f>ROUND(T8*10000/P5,0)</f>
        <v>9579</v>
      </c>
      <c r="W5" s="2366">
        <f>ROUND(T8/(P5/666.67),1)</f>
        <v>638.6</v>
      </c>
    </row>
    <row r="6" spans="2:23">
      <c r="B6" s="2361"/>
      <c r="C6" s="2361"/>
      <c r="D6" s="2361"/>
      <c r="E6" s="2361"/>
      <c r="F6" s="2362"/>
      <c r="G6" s="2361"/>
      <c r="H6" s="2362"/>
      <c r="I6" s="2361"/>
      <c r="J6" s="2361"/>
      <c r="K6" s="2361"/>
      <c r="L6" s="2361"/>
      <c r="M6" s="2361"/>
      <c r="N6" s="2359" t="s">
        <v>1046</v>
      </c>
      <c r="O6" s="2367"/>
      <c r="P6" s="2367"/>
      <c r="Q6" s="2367"/>
      <c r="R6" s="2359">
        <v>27356.6</v>
      </c>
      <c r="S6" s="2373">
        <v>3397</v>
      </c>
      <c r="T6" s="2373">
        <f t="shared" si="0"/>
        <v>9293.04</v>
      </c>
      <c r="U6" s="2367"/>
      <c r="V6" s="2367"/>
      <c r="W6" s="2367"/>
    </row>
    <row r="7" spans="2:23">
      <c r="B7" s="2358"/>
      <c r="C7" s="2358"/>
      <c r="D7" s="2358"/>
      <c r="E7" s="2358"/>
      <c r="F7" s="2363"/>
      <c r="G7" s="2358"/>
      <c r="H7" s="2363"/>
      <c r="I7" s="2358"/>
      <c r="J7" s="2358"/>
      <c r="K7" s="2358"/>
      <c r="L7" s="2358"/>
      <c r="M7" s="2358"/>
      <c r="N7" s="2359" t="s">
        <v>1047</v>
      </c>
      <c r="O7" s="2368"/>
      <c r="P7" s="2368"/>
      <c r="Q7" s="2368"/>
      <c r="R7" s="2359">
        <v>3809</v>
      </c>
      <c r="S7" s="2373">
        <v>7027</v>
      </c>
      <c r="T7" s="2373">
        <f t="shared" si="0"/>
        <v>2676.58</v>
      </c>
      <c r="U7" s="2368"/>
      <c r="V7" s="2368"/>
      <c r="W7" s="2368"/>
    </row>
    <row r="8" spans="2:23">
      <c r="B8" s="2359" t="s">
        <v>449</v>
      </c>
      <c r="C8" s="2359" t="s">
        <v>1041</v>
      </c>
      <c r="D8" s="2359" t="s">
        <v>1041</v>
      </c>
      <c r="E8" s="2359" t="s">
        <v>1041</v>
      </c>
      <c r="F8" s="2359" t="s">
        <v>1041</v>
      </c>
      <c r="G8" s="2359" t="s">
        <v>1041</v>
      </c>
      <c r="H8" s="2359" t="s">
        <v>1041</v>
      </c>
      <c r="I8" s="2359" t="s">
        <v>1041</v>
      </c>
      <c r="J8" s="2359" t="s">
        <v>1041</v>
      </c>
      <c r="K8" s="2359" t="s">
        <v>1041</v>
      </c>
      <c r="L8" s="2359" t="s">
        <v>1041</v>
      </c>
      <c r="M8" s="2359" t="s">
        <v>1041</v>
      </c>
      <c r="N8" s="2359" t="s">
        <v>1041</v>
      </c>
      <c r="O8" s="2359" t="s">
        <v>1041</v>
      </c>
      <c r="P8" s="2359" t="s">
        <v>1041</v>
      </c>
      <c r="Q8" s="2359" t="s">
        <v>1041</v>
      </c>
      <c r="R8" s="2359">
        <f>SUM(R5:R7)</f>
        <v>140592</v>
      </c>
      <c r="S8" s="2359" t="s">
        <v>1041</v>
      </c>
      <c r="T8" s="2373">
        <f>SUM(T5:T7)</f>
        <v>72208.85</v>
      </c>
      <c r="U8" s="2359" t="s">
        <v>1041</v>
      </c>
      <c r="V8" s="2359" t="s">
        <v>1041</v>
      </c>
      <c r="W8" s="2359" t="s">
        <v>1041</v>
      </c>
    </row>
    <row r="9" spans="20:20">
      <c r="T9" s="2353">
        <v>79479</v>
      </c>
    </row>
    <row r="10" spans="20:20">
      <c r="T10" s="2353">
        <f>(T9-T8)/T8</f>
        <v>0.100682257091755</v>
      </c>
    </row>
    <row r="12" spans="2:23">
      <c r="B12" s="2354" t="s">
        <v>100</v>
      </c>
      <c r="C12" s="2354" t="s">
        <v>428</v>
      </c>
      <c r="D12" s="2354" t="s">
        <v>102</v>
      </c>
      <c r="E12" s="2354" t="s">
        <v>1025</v>
      </c>
      <c r="F12" s="2355" t="s">
        <v>104</v>
      </c>
      <c r="G12" s="2356"/>
      <c r="H12" s="2357"/>
      <c r="I12" s="2355" t="s">
        <v>105</v>
      </c>
      <c r="J12" s="2356"/>
      <c r="K12" s="2357"/>
      <c r="L12" s="2354" t="s">
        <v>1026</v>
      </c>
      <c r="M12" s="2354" t="s">
        <v>1027</v>
      </c>
      <c r="N12" s="2354" t="s">
        <v>1028</v>
      </c>
      <c r="O12" s="2354" t="s">
        <v>1029</v>
      </c>
      <c r="P12" s="2364" t="s">
        <v>1030</v>
      </c>
      <c r="Q12" s="2364" t="s">
        <v>1031</v>
      </c>
      <c r="R12" s="2354" t="s">
        <v>1032</v>
      </c>
      <c r="S12" s="2355" t="s">
        <v>1033</v>
      </c>
      <c r="T12" s="2357"/>
      <c r="U12" s="2364" t="s">
        <v>1034</v>
      </c>
      <c r="V12" s="2364" t="s">
        <v>1035</v>
      </c>
      <c r="W12" s="2364" t="s">
        <v>1036</v>
      </c>
    </row>
    <row r="13" spans="2:23">
      <c r="B13" s="2358"/>
      <c r="C13" s="2358"/>
      <c r="D13" s="2358"/>
      <c r="E13" s="2358"/>
      <c r="F13" s="2359" t="s">
        <v>116</v>
      </c>
      <c r="G13" s="2359" t="s">
        <v>1037</v>
      </c>
      <c r="H13" s="2359" t="s">
        <v>115</v>
      </c>
      <c r="I13" s="2359" t="s">
        <v>116</v>
      </c>
      <c r="J13" s="2359" t="s">
        <v>1037</v>
      </c>
      <c r="K13" s="2359" t="s">
        <v>115</v>
      </c>
      <c r="L13" s="2358"/>
      <c r="M13" s="2358"/>
      <c r="N13" s="2358"/>
      <c r="O13" s="2358"/>
      <c r="P13" s="2365"/>
      <c r="Q13" s="2365"/>
      <c r="R13" s="2358"/>
      <c r="S13" s="2359" t="s">
        <v>1038</v>
      </c>
      <c r="T13" s="2359" t="s">
        <v>112</v>
      </c>
      <c r="U13" s="2365"/>
      <c r="V13" s="2365"/>
      <c r="W13" s="2365"/>
    </row>
    <row r="14" spans="2:23">
      <c r="B14" s="2354" t="s">
        <v>138</v>
      </c>
      <c r="C14" s="2354" t="s">
        <v>1048</v>
      </c>
      <c r="D14" s="2354" t="s">
        <v>1049</v>
      </c>
      <c r="E14" s="2354" t="s">
        <v>1041</v>
      </c>
      <c r="F14" s="2360" t="s">
        <v>1050</v>
      </c>
      <c r="G14" s="2354" t="s">
        <v>1041</v>
      </c>
      <c r="H14" s="2360" t="s">
        <v>1051</v>
      </c>
      <c r="I14" s="2354" t="s">
        <v>1052</v>
      </c>
      <c r="J14" s="2354" t="s">
        <v>1041</v>
      </c>
      <c r="K14" s="2354" t="s">
        <v>1052</v>
      </c>
      <c r="L14" s="2354" t="s">
        <v>1044</v>
      </c>
      <c r="M14" s="2354" t="s">
        <v>1044</v>
      </c>
      <c r="N14" s="2359" t="s">
        <v>1045</v>
      </c>
      <c r="O14" s="2366">
        <v>130592.62</v>
      </c>
      <c r="P14" s="2366">
        <v>101014.07</v>
      </c>
      <c r="Q14" s="2366">
        <v>201601</v>
      </c>
      <c r="R14" s="2359">
        <v>63424.4</v>
      </c>
      <c r="S14" s="2373">
        <v>5024</v>
      </c>
      <c r="T14" s="2373">
        <v>31864.42</v>
      </c>
      <c r="U14" s="2366">
        <v>4765</v>
      </c>
      <c r="V14" s="2366">
        <v>9232</v>
      </c>
      <c r="W14" s="2366">
        <v>615.5</v>
      </c>
    </row>
    <row r="15" spans="2:23">
      <c r="B15" s="2361"/>
      <c r="C15" s="2361"/>
      <c r="D15" s="2361"/>
      <c r="E15" s="2361"/>
      <c r="F15" s="2362"/>
      <c r="G15" s="2361"/>
      <c r="H15" s="2362"/>
      <c r="I15" s="2361"/>
      <c r="J15" s="2361"/>
      <c r="K15" s="2361"/>
      <c r="L15" s="2361"/>
      <c r="M15" s="2361"/>
      <c r="N15" s="2359" t="s">
        <v>1053</v>
      </c>
      <c r="O15" s="2367"/>
      <c r="P15" s="2367"/>
      <c r="Q15" s="2367"/>
      <c r="R15" s="2359">
        <v>47568.3</v>
      </c>
      <c r="S15" s="2373">
        <v>3452</v>
      </c>
      <c r="T15" s="2373">
        <v>16420.58</v>
      </c>
      <c r="U15" s="2367"/>
      <c r="V15" s="2367"/>
      <c r="W15" s="2367"/>
    </row>
    <row r="16" spans="2:23">
      <c r="B16" s="2361"/>
      <c r="C16" s="2361"/>
      <c r="D16" s="2361"/>
      <c r="E16" s="2361"/>
      <c r="F16" s="2362"/>
      <c r="G16" s="2361"/>
      <c r="H16" s="2362"/>
      <c r="I16" s="2361"/>
      <c r="J16" s="2361"/>
      <c r="K16" s="2361"/>
      <c r="L16" s="2361"/>
      <c r="M16" s="2361"/>
      <c r="N16" s="2359" t="s">
        <v>1054</v>
      </c>
      <c r="O16" s="2367"/>
      <c r="P16" s="2367"/>
      <c r="Q16" s="2367"/>
      <c r="R16" s="2359">
        <v>47568.3</v>
      </c>
      <c r="S16" s="2373">
        <v>3949</v>
      </c>
      <c r="T16" s="2373">
        <v>18784.72</v>
      </c>
      <c r="U16" s="2367"/>
      <c r="V16" s="2367"/>
      <c r="W16" s="2367"/>
    </row>
    <row r="17" spans="2:23">
      <c r="B17" s="2358"/>
      <c r="C17" s="2358"/>
      <c r="D17" s="2358"/>
      <c r="E17" s="2358"/>
      <c r="F17" s="2363"/>
      <c r="G17" s="2358"/>
      <c r="H17" s="2363"/>
      <c r="I17" s="2358"/>
      <c r="J17" s="2358"/>
      <c r="K17" s="2358"/>
      <c r="L17" s="2358"/>
      <c r="M17" s="2358"/>
      <c r="N17" s="2359" t="s">
        <v>1047</v>
      </c>
      <c r="O17" s="2368"/>
      <c r="P17" s="2368"/>
      <c r="Q17" s="2368"/>
      <c r="R17" s="2359">
        <v>37140</v>
      </c>
      <c r="S17" s="2373">
        <v>7050</v>
      </c>
      <c r="T17" s="2373">
        <v>26183.7</v>
      </c>
      <c r="U17" s="2368"/>
      <c r="V17" s="2368"/>
      <c r="W17" s="2368"/>
    </row>
    <row r="18" spans="2:23">
      <c r="B18" s="2359" t="s">
        <v>449</v>
      </c>
      <c r="C18" s="2359" t="s">
        <v>1041</v>
      </c>
      <c r="D18" s="2359" t="s">
        <v>1041</v>
      </c>
      <c r="E18" s="2359" t="s">
        <v>1041</v>
      </c>
      <c r="F18" s="2359" t="s">
        <v>1041</v>
      </c>
      <c r="G18" s="2359" t="s">
        <v>1041</v>
      </c>
      <c r="H18" s="2359" t="s">
        <v>1041</v>
      </c>
      <c r="I18" s="2359" t="s">
        <v>1041</v>
      </c>
      <c r="J18" s="2359" t="s">
        <v>1041</v>
      </c>
      <c r="K18" s="2359" t="s">
        <v>1041</v>
      </c>
      <c r="L18" s="2359" t="s">
        <v>1041</v>
      </c>
      <c r="M18" s="2359" t="s">
        <v>1041</v>
      </c>
      <c r="N18" s="2359" t="s">
        <v>1041</v>
      </c>
      <c r="O18" s="2359" t="s">
        <v>1041</v>
      </c>
      <c r="P18" s="2359" t="s">
        <v>1041</v>
      </c>
      <c r="Q18" s="2359" t="s">
        <v>1041</v>
      </c>
      <c r="R18" s="2359">
        <v>195701</v>
      </c>
      <c r="S18" s="2359" t="s">
        <v>1041</v>
      </c>
      <c r="T18" s="2373">
        <v>93253.42</v>
      </c>
      <c r="U18" s="2359" t="s">
        <v>1041</v>
      </c>
      <c r="V18" s="2359" t="s">
        <v>1041</v>
      </c>
      <c r="W18" s="2359" t="s">
        <v>1041</v>
      </c>
    </row>
    <row r="21" hidden="1" spans="2:23">
      <c r="B21" s="2354" t="s">
        <v>100</v>
      </c>
      <c r="C21" s="2354" t="s">
        <v>428</v>
      </c>
      <c r="D21" s="2354" t="s">
        <v>102</v>
      </c>
      <c r="E21" s="2354" t="s">
        <v>1025</v>
      </c>
      <c r="F21" s="2355" t="s">
        <v>104</v>
      </c>
      <c r="G21" s="2356"/>
      <c r="H21" s="2357"/>
      <c r="I21" s="2355" t="s">
        <v>105</v>
      </c>
      <c r="J21" s="2356"/>
      <c r="K21" s="2357"/>
      <c r="L21" s="2354" t="s">
        <v>1026</v>
      </c>
      <c r="M21" s="2354" t="s">
        <v>1027</v>
      </c>
      <c r="N21" s="2354" t="s">
        <v>1028</v>
      </c>
      <c r="O21" s="2354" t="s">
        <v>1029</v>
      </c>
      <c r="P21" s="2364" t="s">
        <v>1030</v>
      </c>
      <c r="Q21" s="2364" t="s">
        <v>1031</v>
      </c>
      <c r="R21" s="2354" t="s">
        <v>1032</v>
      </c>
      <c r="S21" s="2355" t="s">
        <v>1033</v>
      </c>
      <c r="T21" s="2357"/>
      <c r="U21" s="2364" t="s">
        <v>1034</v>
      </c>
      <c r="V21" s="2364" t="s">
        <v>1035</v>
      </c>
      <c r="W21" s="2364" t="s">
        <v>1036</v>
      </c>
    </row>
    <row r="22" hidden="1" spans="2:23">
      <c r="B22" s="2358"/>
      <c r="C22" s="2358"/>
      <c r="D22" s="2358"/>
      <c r="E22" s="2358"/>
      <c r="F22" s="2359" t="s">
        <v>116</v>
      </c>
      <c r="G22" s="2359" t="s">
        <v>1037</v>
      </c>
      <c r="H22" s="2359" t="s">
        <v>115</v>
      </c>
      <c r="I22" s="2359" t="s">
        <v>116</v>
      </c>
      <c r="J22" s="2359" t="s">
        <v>1037</v>
      </c>
      <c r="K22" s="2359" t="s">
        <v>115</v>
      </c>
      <c r="L22" s="2358"/>
      <c r="M22" s="2358"/>
      <c r="N22" s="2358"/>
      <c r="O22" s="2358"/>
      <c r="P22" s="2365"/>
      <c r="Q22" s="2365"/>
      <c r="R22" s="2358"/>
      <c r="S22" s="2359" t="s">
        <v>1038</v>
      </c>
      <c r="T22" s="2359" t="s">
        <v>112</v>
      </c>
      <c r="U22" s="2365"/>
      <c r="V22" s="2365"/>
      <c r="W22" s="2365"/>
    </row>
    <row r="23" hidden="1" spans="2:23">
      <c r="B23" s="2354" t="s">
        <v>138</v>
      </c>
      <c r="C23" s="2354" t="s">
        <v>1039</v>
      </c>
      <c r="D23" s="2354" t="s">
        <v>1040</v>
      </c>
      <c r="E23" s="2354" t="s">
        <v>1041</v>
      </c>
      <c r="F23" s="2360" t="s">
        <v>1042</v>
      </c>
      <c r="G23" s="2354" t="s">
        <v>1041</v>
      </c>
      <c r="H23" s="2360" t="s">
        <v>1043</v>
      </c>
      <c r="I23" s="2369">
        <v>1.9</v>
      </c>
      <c r="J23" s="2354" t="s">
        <v>1041</v>
      </c>
      <c r="K23" s="2369">
        <v>1.9</v>
      </c>
      <c r="L23" s="2354" t="s">
        <v>1044</v>
      </c>
      <c r="M23" s="2354" t="s">
        <v>1044</v>
      </c>
      <c r="N23" s="2359" t="s">
        <v>1045</v>
      </c>
      <c r="O23" s="2366">
        <v>85178</v>
      </c>
      <c r="P23" s="2366">
        <f>O23-491-9302</f>
        <v>75385</v>
      </c>
      <c r="Q23" s="2366">
        <v>142992</v>
      </c>
      <c r="R23" s="2359">
        <v>109426.4</v>
      </c>
      <c r="S23" s="2373">
        <v>5653</v>
      </c>
      <c r="T23" s="2373">
        <f t="shared" ref="T23:T25" si="1">ROUND(S23*R23/10000,2)</f>
        <v>61858.74</v>
      </c>
      <c r="U23" s="2366">
        <f>ROUND(T26*10000/R26,0)</f>
        <v>5413</v>
      </c>
      <c r="V23" s="2366">
        <f>ROUND(T26*10000/P23,0)</f>
        <v>10096</v>
      </c>
      <c r="W23" s="2366">
        <f>ROUND(T26/(P23/666.67),1)</f>
        <v>673.1</v>
      </c>
    </row>
    <row r="24" hidden="1" spans="2:23">
      <c r="B24" s="2361"/>
      <c r="C24" s="2361"/>
      <c r="D24" s="2361"/>
      <c r="E24" s="2361"/>
      <c r="F24" s="2362"/>
      <c r="G24" s="2361"/>
      <c r="H24" s="2362"/>
      <c r="I24" s="2370"/>
      <c r="J24" s="2361"/>
      <c r="K24" s="2370"/>
      <c r="L24" s="2361"/>
      <c r="M24" s="2361"/>
      <c r="N24" s="2359" t="s">
        <v>1046</v>
      </c>
      <c r="O24" s="2367"/>
      <c r="P24" s="2367"/>
      <c r="Q24" s="2367"/>
      <c r="R24" s="2359">
        <v>27356.6</v>
      </c>
      <c r="S24" s="2373">
        <v>4172</v>
      </c>
      <c r="T24" s="2373">
        <f t="shared" si="1"/>
        <v>11413.17</v>
      </c>
      <c r="U24" s="2367"/>
      <c r="V24" s="2367"/>
      <c r="W24" s="2367"/>
    </row>
    <row r="25" hidden="1" spans="2:23">
      <c r="B25" s="2358"/>
      <c r="C25" s="2358"/>
      <c r="D25" s="2358"/>
      <c r="E25" s="2358"/>
      <c r="F25" s="2363"/>
      <c r="G25" s="2358"/>
      <c r="H25" s="2363"/>
      <c r="I25" s="2371"/>
      <c r="J25" s="2358"/>
      <c r="K25" s="2371"/>
      <c r="L25" s="2358"/>
      <c r="M25" s="2358"/>
      <c r="N25" s="2359" t="s">
        <v>1047</v>
      </c>
      <c r="O25" s="2368"/>
      <c r="P25" s="2368"/>
      <c r="Q25" s="2368"/>
      <c r="R25" s="2359">
        <v>3809</v>
      </c>
      <c r="S25" s="2373">
        <v>7447</v>
      </c>
      <c r="T25" s="2373">
        <f t="shared" si="1"/>
        <v>2836.56</v>
      </c>
      <c r="U25" s="2368"/>
      <c r="V25" s="2368"/>
      <c r="W25" s="2368"/>
    </row>
    <row r="26" hidden="1" spans="2:23">
      <c r="B26" s="2359" t="s">
        <v>449</v>
      </c>
      <c r="C26" s="2359" t="s">
        <v>1041</v>
      </c>
      <c r="D26" s="2359" t="s">
        <v>1041</v>
      </c>
      <c r="E26" s="2359" t="s">
        <v>1041</v>
      </c>
      <c r="F26" s="2359" t="s">
        <v>1041</v>
      </c>
      <c r="G26" s="2359" t="s">
        <v>1041</v>
      </c>
      <c r="H26" s="2359" t="s">
        <v>1041</v>
      </c>
      <c r="I26" s="2359" t="s">
        <v>1041</v>
      </c>
      <c r="J26" s="2359" t="s">
        <v>1041</v>
      </c>
      <c r="K26" s="2359" t="s">
        <v>1041</v>
      </c>
      <c r="L26" s="2359" t="s">
        <v>1041</v>
      </c>
      <c r="M26" s="2359" t="s">
        <v>1041</v>
      </c>
      <c r="N26" s="2359" t="s">
        <v>1041</v>
      </c>
      <c r="O26" s="2359" t="s">
        <v>1041</v>
      </c>
      <c r="P26" s="2359" t="s">
        <v>1041</v>
      </c>
      <c r="Q26" s="2359" t="s">
        <v>1041</v>
      </c>
      <c r="R26" s="2359">
        <f>SUM(R23:R25)</f>
        <v>140592</v>
      </c>
      <c r="S26" s="2359" t="s">
        <v>1041</v>
      </c>
      <c r="T26" s="2373">
        <f>SUM(T23:T25)</f>
        <v>76108.47</v>
      </c>
      <c r="U26" s="2359" t="s">
        <v>1041</v>
      </c>
      <c r="V26" s="2359" t="s">
        <v>1041</v>
      </c>
      <c r="W26" s="2359" t="s">
        <v>1041</v>
      </c>
    </row>
    <row r="27" spans="16:23">
      <c r="P27" s="2372"/>
      <c r="R27" s="2374"/>
      <c r="T27" s="2372"/>
      <c r="U27" s="2372"/>
      <c r="V27" s="2372"/>
      <c r="W27" s="2372"/>
    </row>
    <row r="28" spans="16:23">
      <c r="P28" s="2372"/>
      <c r="R28" s="2374"/>
      <c r="T28" s="2372"/>
      <c r="U28" s="2372"/>
      <c r="V28" s="2372"/>
      <c r="W28" s="2372"/>
    </row>
    <row r="29" spans="16:23">
      <c r="P29" s="2366">
        <v>75385</v>
      </c>
      <c r="R29" s="2359">
        <v>109426.4</v>
      </c>
      <c r="S29" s="2373" t="e">
        <f>汇总表!#REF!</f>
        <v>#REF!</v>
      </c>
      <c r="T29" s="2373" t="e">
        <f t="shared" ref="T29:T31" si="2">ROUND(S29*R29/10000,2)</f>
        <v>#REF!</v>
      </c>
      <c r="U29" s="2366" t="e">
        <f ca="1">ROUND(T32*10000/R32,0)</f>
        <v>#REF!</v>
      </c>
      <c r="V29" s="2366" t="e">
        <f ca="1">ROUND(T32*10000/P29,0)</f>
        <v>#REF!</v>
      </c>
      <c r="W29" s="2366" t="e">
        <f ca="1">ROUND(T32/(P29/666.67),1)</f>
        <v>#REF!</v>
      </c>
    </row>
    <row r="30" spans="16:23">
      <c r="P30" s="2367"/>
      <c r="R30" s="2359">
        <v>27356.6</v>
      </c>
      <c r="S30" s="2373" t="str">
        <f>汇总表!G10</f>
        <v>楼面价</v>
      </c>
      <c r="T30" s="2373" t="e">
        <f t="shared" si="2"/>
        <v>#VALUE!</v>
      </c>
      <c r="U30" s="2367"/>
      <c r="V30" s="2367"/>
      <c r="W30" s="2367"/>
    </row>
    <row r="31" spans="16:23">
      <c r="P31" s="2368"/>
      <c r="R31" s="2359">
        <v>3809</v>
      </c>
      <c r="S31" s="2373">
        <f ca="1">汇总表!D10</f>
        <v>4707</v>
      </c>
      <c r="T31" s="2373">
        <f ca="1" t="shared" si="2"/>
        <v>1792.9</v>
      </c>
      <c r="U31" s="2368"/>
      <c r="V31" s="2368"/>
      <c r="W31" s="2368"/>
    </row>
    <row r="32" spans="18:20">
      <c r="R32" s="2353">
        <f>SUM(R29:R31)</f>
        <v>140592</v>
      </c>
      <c r="T32" s="2353" t="e">
        <f ca="1">SUM(T29:T31)</f>
        <v>#REF!</v>
      </c>
    </row>
  </sheetData>
  <mergeCells count="109">
    <mergeCell ref="F3:H3"/>
    <mergeCell ref="I3:K3"/>
    <mergeCell ref="S3:T3"/>
    <mergeCell ref="F12:H12"/>
    <mergeCell ref="I12:K12"/>
    <mergeCell ref="S12:T12"/>
    <mergeCell ref="F21:H21"/>
    <mergeCell ref="I21:K21"/>
    <mergeCell ref="S21:T21"/>
    <mergeCell ref="B3:B4"/>
    <mergeCell ref="B5:B7"/>
    <mergeCell ref="B12:B13"/>
    <mergeCell ref="B14:B17"/>
    <mergeCell ref="B21:B22"/>
    <mergeCell ref="B23:B25"/>
    <mergeCell ref="C3:C4"/>
    <mergeCell ref="C5:C7"/>
    <mergeCell ref="C12:C13"/>
    <mergeCell ref="C14:C17"/>
    <mergeCell ref="C21:C22"/>
    <mergeCell ref="C23:C25"/>
    <mergeCell ref="D3:D4"/>
    <mergeCell ref="D5:D7"/>
    <mergeCell ref="D12:D13"/>
    <mergeCell ref="D14:D17"/>
    <mergeCell ref="D21:D22"/>
    <mergeCell ref="D23:D25"/>
    <mergeCell ref="E3:E4"/>
    <mergeCell ref="E5:E7"/>
    <mergeCell ref="E12:E13"/>
    <mergeCell ref="E14:E17"/>
    <mergeCell ref="E21:E22"/>
    <mergeCell ref="E23:E25"/>
    <mergeCell ref="F5:F7"/>
    <mergeCell ref="F14:F17"/>
    <mergeCell ref="F23:F25"/>
    <mergeCell ref="G5:G7"/>
    <mergeCell ref="G14:G17"/>
    <mergeCell ref="G23:G25"/>
    <mergeCell ref="H5:H7"/>
    <mergeCell ref="H14:H17"/>
    <mergeCell ref="H23:H25"/>
    <mergeCell ref="I5:I7"/>
    <mergeCell ref="I14:I17"/>
    <mergeCell ref="I23:I25"/>
    <mergeCell ref="J5:J7"/>
    <mergeCell ref="J14:J17"/>
    <mergeCell ref="J23:J25"/>
    <mergeCell ref="K5:K7"/>
    <mergeCell ref="K14:K17"/>
    <mergeCell ref="K23:K25"/>
    <mergeCell ref="L3:L4"/>
    <mergeCell ref="L5:L7"/>
    <mergeCell ref="L12:L13"/>
    <mergeCell ref="L14:L17"/>
    <mergeCell ref="L21:L22"/>
    <mergeCell ref="L23:L25"/>
    <mergeCell ref="M3:M4"/>
    <mergeCell ref="M5:M7"/>
    <mergeCell ref="M12:M13"/>
    <mergeCell ref="M14:M17"/>
    <mergeCell ref="M21:M22"/>
    <mergeCell ref="M23:M25"/>
    <mergeCell ref="N3:N4"/>
    <mergeCell ref="N12:N13"/>
    <mergeCell ref="N21:N22"/>
    <mergeCell ref="O3:O4"/>
    <mergeCell ref="O5:O7"/>
    <mergeCell ref="O12:O13"/>
    <mergeCell ref="O14:O17"/>
    <mergeCell ref="O21:O22"/>
    <mergeCell ref="O23:O25"/>
    <mergeCell ref="P3:P4"/>
    <mergeCell ref="P5:P7"/>
    <mergeCell ref="P12:P13"/>
    <mergeCell ref="P14:P17"/>
    <mergeCell ref="P21:P22"/>
    <mergeCell ref="P23:P25"/>
    <mergeCell ref="P29:P31"/>
    <mergeCell ref="Q3:Q4"/>
    <mergeCell ref="Q5:Q7"/>
    <mergeCell ref="Q12:Q13"/>
    <mergeCell ref="Q14:Q17"/>
    <mergeCell ref="Q21:Q22"/>
    <mergeCell ref="Q23:Q25"/>
    <mergeCell ref="R3:R4"/>
    <mergeCell ref="R12:R13"/>
    <mergeCell ref="R21:R22"/>
    <mergeCell ref="U3:U4"/>
    <mergeCell ref="U5:U7"/>
    <mergeCell ref="U12:U13"/>
    <mergeCell ref="U14:U17"/>
    <mergeCell ref="U21:U22"/>
    <mergeCell ref="U23:U25"/>
    <mergeCell ref="U29:U31"/>
    <mergeCell ref="V3:V4"/>
    <mergeCell ref="V5:V7"/>
    <mergeCell ref="V12:V13"/>
    <mergeCell ref="V14:V17"/>
    <mergeCell ref="V21:V22"/>
    <mergeCell ref="V23:V25"/>
    <mergeCell ref="V29:V31"/>
    <mergeCell ref="W3:W4"/>
    <mergeCell ref="W5:W7"/>
    <mergeCell ref="W12:W13"/>
    <mergeCell ref="W14:W17"/>
    <mergeCell ref="W21:W22"/>
    <mergeCell ref="W23:W25"/>
    <mergeCell ref="W29:W31"/>
  </mergeCells>
  <pageMargins left="0.7" right="0.7" top="0.75" bottom="0.75" header="0.3" footer="0.3"/>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
    <tabColor rgb="FF92D050"/>
    <pageSetUpPr fitToPage="1"/>
  </sheetPr>
  <dimension ref="A1:AO212"/>
  <sheetViews>
    <sheetView view="pageBreakPreview" zoomScale="90" zoomScaleNormal="80" workbookViewId="0">
      <selection activeCell="D31" sqref="D31"/>
    </sheetView>
  </sheetViews>
  <sheetFormatPr defaultColWidth="6.63333333333333" defaultRowHeight="12.75"/>
  <cols>
    <col min="1" max="1" width="10.0916666666667" style="980" customWidth="1"/>
    <col min="2" max="2" width="25.725" style="981" customWidth="1"/>
    <col min="3" max="3" width="10.3666666666667" style="982" customWidth="1"/>
    <col min="4" max="4" width="12" style="981" customWidth="1"/>
    <col min="5" max="5" width="9.45" style="980" customWidth="1"/>
    <col min="6" max="6" width="10.0916666666667" style="981" customWidth="1"/>
    <col min="7" max="7" width="9.45"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640" t="s">
        <v>1055</v>
      </c>
      <c r="B1" s="984"/>
      <c r="C1" s="985"/>
      <c r="D1" s="985"/>
      <c r="E1" s="985"/>
      <c r="F1" s="985"/>
      <c r="G1" s="985"/>
      <c r="H1" s="985"/>
      <c r="I1" s="985"/>
      <c r="J1" s="985"/>
      <c r="K1" s="991">
        <f>MATCH(B1,'数据-取费表'!A6:A16,0)+5</f>
        <v>10</v>
      </c>
      <c r="L1" s="72"/>
      <c r="M1" s="72"/>
      <c r="N1" s="72"/>
      <c r="O1" s="72"/>
      <c r="P1" s="72"/>
      <c r="Q1" s="72"/>
      <c r="R1" s="72"/>
      <c r="S1" s="72"/>
      <c r="T1" s="72"/>
      <c r="U1" s="72"/>
      <c r="V1" s="72"/>
      <c r="W1" s="72"/>
      <c r="X1" s="72"/>
      <c r="Y1" s="72"/>
      <c r="Z1" s="72"/>
    </row>
    <row r="2" s="157" customFormat="1" ht="18" customHeight="1" spans="1:26">
      <c r="A2" s="204" t="s">
        <v>919</v>
      </c>
      <c r="B2" s="2277">
        <f ca="1">C27</f>
        <v>0</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646" t="s">
        <v>920</v>
      </c>
      <c r="B3" s="644">
        <f ca="1">ROUND(B2*10000/IF(B1="",'数据-汇总表'!E3,INDIRECT("'数据-取费表'!K"&amp;$K$1)),0)</f>
        <v>0</v>
      </c>
      <c r="C3" s="985"/>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f ca="1">ROUND(B2*10000/IF(B1="",'数据-汇总表'!D3,INDIRECT("'数据-取费表'!R"&amp;$K$1)),0)</f>
        <v>0</v>
      </c>
      <c r="C4" s="477"/>
      <c r="D4" s="985"/>
      <c r="E4" s="985"/>
      <c r="F4" s="985"/>
      <c r="G4" s="985"/>
      <c r="H4" s="985"/>
      <c r="I4" s="985"/>
      <c r="J4" s="985"/>
      <c r="K4" s="985"/>
      <c r="L4" s="72"/>
      <c r="M4" s="72"/>
      <c r="N4" s="72"/>
      <c r="O4" s="72"/>
      <c r="P4" s="72"/>
      <c r="Q4" s="72"/>
      <c r="R4" s="72"/>
      <c r="S4" s="72"/>
      <c r="T4" s="72"/>
      <c r="U4" s="72"/>
      <c r="V4" s="72"/>
      <c r="W4" s="72"/>
      <c r="X4" s="72"/>
      <c r="Y4" s="72"/>
      <c r="Z4" s="72"/>
    </row>
    <row r="5" s="157" customFormat="1" ht="18" customHeight="1" spans="1:26">
      <c r="A5" s="650"/>
      <c r="B5" s="651">
        <f ca="1">ROUND(B2/(IF(B1="",'数据-汇总表'!D3,INDIRECT("'数据-取费表'!R"&amp;$K$1))/666.67),0)</f>
        <v>0</v>
      </c>
      <c r="C5" s="652" t="s">
        <v>922</v>
      </c>
      <c r="D5" s="985"/>
      <c r="E5" s="985"/>
      <c r="F5" s="985"/>
      <c r="G5" s="985"/>
      <c r="H5" s="985"/>
      <c r="I5" s="985"/>
      <c r="J5" s="985"/>
      <c r="K5" s="985"/>
      <c r="L5" s="72"/>
      <c r="M5" s="72"/>
      <c r="N5" s="72"/>
      <c r="O5" s="72"/>
      <c r="P5" s="72"/>
      <c r="Q5" s="72"/>
      <c r="R5" s="72"/>
      <c r="S5" s="72"/>
      <c r="T5" s="72"/>
      <c r="U5" s="72"/>
      <c r="V5" s="72"/>
      <c r="W5" s="72"/>
      <c r="X5" s="72"/>
      <c r="Y5" s="72"/>
      <c r="Z5" s="72"/>
    </row>
    <row r="6" s="969" customFormat="1" ht="16.5" customHeight="1" spans="1:26">
      <c r="A6" s="2278" t="s">
        <v>1057</v>
      </c>
      <c r="B6" s="2279"/>
      <c r="C6" s="2280">
        <f>SUM(C10:K10)</f>
        <v>0</v>
      </c>
      <c r="D6" s="2281"/>
      <c r="E6" s="2281"/>
      <c r="F6" s="2281"/>
      <c r="G6" s="2281"/>
      <c r="H6" s="2281"/>
      <c r="I6" s="2281"/>
      <c r="J6" s="2281"/>
      <c r="K6" s="2340"/>
      <c r="L6" s="1078"/>
      <c r="M6" s="1078"/>
      <c r="N6" s="1078"/>
      <c r="O6" s="1078"/>
      <c r="P6" s="1078"/>
      <c r="Q6" s="1078"/>
      <c r="R6" s="1078"/>
      <c r="S6" s="1078"/>
      <c r="T6" s="1078"/>
      <c r="U6" s="1078"/>
      <c r="V6" s="1078"/>
      <c r="W6" s="1078"/>
      <c r="X6" s="1078"/>
      <c r="Y6" s="1078"/>
      <c r="Z6" s="1078"/>
    </row>
    <row r="7" s="970" customFormat="1" ht="15" spans="1:41">
      <c r="A7" s="2282" t="s">
        <v>1058</v>
      </c>
      <c r="B7" s="2283" t="s">
        <v>1059</v>
      </c>
      <c r="C7" s="997"/>
      <c r="D7" s="997"/>
      <c r="E7" s="997"/>
      <c r="F7" s="997"/>
      <c r="G7" s="997"/>
      <c r="H7" s="997"/>
      <c r="I7" s="997"/>
      <c r="J7" s="997"/>
      <c r="K7" s="1079"/>
      <c r="AA7" s="1097"/>
      <c r="AB7" s="1097"/>
      <c r="AC7" s="1097"/>
      <c r="AD7" s="1097"/>
      <c r="AE7" s="1097"/>
      <c r="AF7" s="1097"/>
      <c r="AG7" s="1097"/>
      <c r="AH7" s="1097"/>
      <c r="AI7" s="1097"/>
      <c r="AJ7" s="1097"/>
      <c r="AK7" s="1097"/>
      <c r="AL7" s="1097"/>
      <c r="AM7" s="1097"/>
      <c r="AN7" s="1097"/>
      <c r="AO7" s="1097"/>
    </row>
    <row r="8" s="971" customFormat="1" ht="13.5" customHeight="1" spans="1:41">
      <c r="A8" s="2284" t="s">
        <v>855</v>
      </c>
      <c r="B8" s="2285" t="s">
        <v>1060</v>
      </c>
      <c r="C8" s="2286"/>
      <c r="D8" s="2286"/>
      <c r="E8" s="2286"/>
      <c r="F8" s="2286"/>
      <c r="G8" s="2286"/>
      <c r="H8" s="2286"/>
      <c r="I8" s="2286"/>
      <c r="J8" s="2286"/>
      <c r="K8" s="2341"/>
      <c r="AA8" s="981"/>
      <c r="AB8" s="981"/>
      <c r="AC8" s="981"/>
      <c r="AD8" s="981"/>
      <c r="AE8" s="981"/>
      <c r="AF8" s="981"/>
      <c r="AG8" s="981"/>
      <c r="AH8" s="981"/>
      <c r="AI8" s="981"/>
      <c r="AJ8" s="981"/>
      <c r="AK8" s="981"/>
      <c r="AL8" s="981"/>
      <c r="AM8" s="981"/>
      <c r="AN8" s="981"/>
      <c r="AO8" s="981"/>
    </row>
    <row r="9" s="971" customFormat="1" ht="13.5" customHeight="1" spans="1:41">
      <c r="A9" s="2284" t="s">
        <v>857</v>
      </c>
      <c r="B9" s="2285" t="s">
        <v>470</v>
      </c>
      <c r="C9" s="1001">
        <f>SUMIF('数据-汇总表'!$C19:$C33,'剩余法-现房'!C7,'数据-汇总表'!$E19:$E33)</f>
        <v>0</v>
      </c>
      <c r="D9" s="1001">
        <f>SUMIF('数据-汇总表'!$C19:$C33,'剩余法-现房'!D7,'数据-汇总表'!$E19:$E33)</f>
        <v>0</v>
      </c>
      <c r="E9" s="1001">
        <f>SUMIF('数据-汇总表'!$C19:$C33,'剩余法-现房'!E7,'数据-汇总表'!$E19:$E33)</f>
        <v>0</v>
      </c>
      <c r="F9" s="1001">
        <f>SUMIF('数据-汇总表'!$C19:$C33,'剩余法-现房'!F7,'数据-汇总表'!$E19:$E33)</f>
        <v>0</v>
      </c>
      <c r="G9" s="1001">
        <f>SUMIF('数据-汇总表'!$C19:$C33,'剩余法-现房'!G7,'数据-汇总表'!$E19:$E33)</f>
        <v>0</v>
      </c>
      <c r="H9" s="1001">
        <f>SUMIF('数据-汇总表'!$C19:$C33,'剩余法-现房'!H7,'数据-汇总表'!$E19:$E33)</f>
        <v>0</v>
      </c>
      <c r="I9" s="1001">
        <f>SUMIF('数据-汇总表'!$C19:$C33,'剩余法-现房'!I7,'数据-汇总表'!$E19:$E33)</f>
        <v>0</v>
      </c>
      <c r="J9" s="1001">
        <f>SUMIF('数据-汇总表'!$C19:$C33,'剩余法-现房'!J7,'数据-汇总表'!$E19:$E33)</f>
        <v>0</v>
      </c>
      <c r="K9" s="1081">
        <f>SUMIF('数据-汇总表'!$C19:$C33,'剩余法-现房'!K7,'数据-汇总表'!$E19:$E33)</f>
        <v>0</v>
      </c>
      <c r="AA9" s="981"/>
      <c r="AB9" s="981"/>
      <c r="AC9" s="981"/>
      <c r="AD9" s="981"/>
      <c r="AE9" s="981"/>
      <c r="AF9" s="981"/>
      <c r="AG9" s="981"/>
      <c r="AH9" s="981"/>
      <c r="AI9" s="981"/>
      <c r="AJ9" s="981"/>
      <c r="AK9" s="981"/>
      <c r="AL9" s="981"/>
      <c r="AM9" s="981"/>
      <c r="AN9" s="981"/>
      <c r="AO9" s="981"/>
    </row>
    <row r="10" s="971" customFormat="1" ht="13.5" customHeight="1" spans="1:41">
      <c r="A10" s="2287" t="s">
        <v>1061</v>
      </c>
      <c r="B10" s="2288" t="s">
        <v>1062</v>
      </c>
      <c r="C10" s="2289"/>
      <c r="D10" s="2289"/>
      <c r="E10" s="2289"/>
      <c r="F10" s="2290"/>
      <c r="G10" s="2290"/>
      <c r="H10" s="2290"/>
      <c r="I10" s="2290"/>
      <c r="J10" s="2290"/>
      <c r="K10" s="2342"/>
      <c r="AA10" s="981"/>
      <c r="AB10" s="981"/>
      <c r="AC10" s="981"/>
      <c r="AD10" s="981"/>
      <c r="AE10" s="981"/>
      <c r="AF10" s="981"/>
      <c r="AG10" s="981"/>
      <c r="AH10" s="981"/>
      <c r="AI10" s="981"/>
      <c r="AJ10" s="981"/>
      <c r="AK10" s="981"/>
      <c r="AL10" s="981"/>
      <c r="AM10" s="981"/>
      <c r="AN10" s="981"/>
      <c r="AO10" s="981"/>
    </row>
    <row r="11" s="969" customFormat="1" ht="16.5" customHeight="1" spans="1:26">
      <c r="A11" s="2291" t="s">
        <v>1063</v>
      </c>
      <c r="B11" s="2292"/>
      <c r="C11" s="2292"/>
      <c r="D11" s="2292"/>
      <c r="E11" s="2292"/>
      <c r="F11" s="2292"/>
      <c r="G11" s="2292"/>
      <c r="H11" s="2292"/>
      <c r="I11" s="2292"/>
      <c r="J11" s="2292"/>
      <c r="K11" s="2343"/>
      <c r="L11" s="1078"/>
      <c r="M11" s="1078"/>
      <c r="N11" s="1078"/>
      <c r="O11" s="1078"/>
      <c r="P11" s="1078"/>
      <c r="Q11" s="1078"/>
      <c r="R11" s="1078"/>
      <c r="S11" s="1078"/>
      <c r="T11" s="1078"/>
      <c r="U11" s="1078"/>
      <c r="V11" s="1078"/>
      <c r="W11" s="1078"/>
      <c r="X11" s="1078"/>
      <c r="Y11" s="1078"/>
      <c r="Z11" s="1078"/>
    </row>
    <row r="12" s="837" customFormat="1" ht="13.5" customHeight="1" spans="1:26">
      <c r="A12" s="2282" t="s">
        <v>1058</v>
      </c>
      <c r="B12" s="2293" t="s">
        <v>1059</v>
      </c>
      <c r="C12" s="2294" t="s">
        <v>1064</v>
      </c>
      <c r="D12" s="2295" t="s">
        <v>1065</v>
      </c>
      <c r="E12" s="2295" t="s">
        <v>1066</v>
      </c>
      <c r="F12" s="2295" t="s">
        <v>1067</v>
      </c>
      <c r="G12" s="2293"/>
      <c r="H12" s="2296"/>
      <c r="I12" s="2296"/>
      <c r="J12" s="2296"/>
      <c r="K12" s="2344"/>
      <c r="L12" s="1084"/>
      <c r="M12" s="1084"/>
      <c r="N12" s="1084"/>
      <c r="O12" s="1084"/>
      <c r="P12" s="1084"/>
      <c r="Q12" s="1084"/>
      <c r="R12" s="1084"/>
      <c r="S12" s="1084"/>
      <c r="T12" s="1084"/>
      <c r="U12" s="1084"/>
      <c r="V12" s="1084"/>
      <c r="W12" s="1084"/>
      <c r="X12" s="1084"/>
      <c r="Y12" s="1084"/>
      <c r="Z12" s="1084"/>
    </row>
    <row r="13" s="972" customFormat="1" ht="13.5" customHeight="1" spans="1:26">
      <c r="A13" s="2297" t="s">
        <v>879</v>
      </c>
      <c r="B13" s="2298" t="s">
        <v>1068</v>
      </c>
      <c r="C13" s="1014">
        <f ca="1">IF(B1="",'数据-取费表'!M16,INDIRECT("'数据-取费表'!M"&amp;$K$1)+INDIRECT("'数据-取费表'!t"&amp;$K$1))</f>
        <v>89700.48</v>
      </c>
      <c r="D13" s="2299"/>
      <c r="E13" s="80"/>
      <c r="F13" s="2300"/>
      <c r="G13" s="2293"/>
      <c r="H13" s="2296"/>
      <c r="I13" s="2296"/>
      <c r="J13" s="2296"/>
      <c r="K13" s="2344"/>
      <c r="L13" s="973"/>
      <c r="M13" s="973"/>
      <c r="N13" s="973"/>
      <c r="O13" s="973"/>
      <c r="P13" s="973"/>
      <c r="Q13" s="973"/>
      <c r="R13" s="973"/>
      <c r="S13" s="973"/>
      <c r="T13" s="973"/>
      <c r="U13" s="973"/>
      <c r="V13" s="973"/>
      <c r="W13" s="973"/>
      <c r="X13" s="973"/>
      <c r="Y13" s="973"/>
      <c r="Z13" s="973"/>
    </row>
    <row r="14" s="972" customFormat="1" ht="13.5" customHeight="1" spans="1:26">
      <c r="A14" s="2297" t="s">
        <v>1069</v>
      </c>
      <c r="B14" s="2298" t="s">
        <v>1070</v>
      </c>
      <c r="C14" s="125">
        <f ca="1">ROUND(C13*F14,0)</f>
        <v>2691</v>
      </c>
      <c r="D14" s="2299"/>
      <c r="E14" s="80"/>
      <c r="F14" s="2301">
        <f>'数据-取费表'!B33</f>
        <v>0.03</v>
      </c>
      <c r="G14" s="2293" t="s">
        <v>1071</v>
      </c>
      <c r="H14" s="2296"/>
      <c r="I14" s="2296"/>
      <c r="J14" s="2296"/>
      <c r="K14" s="2344"/>
      <c r="L14" s="973"/>
      <c r="M14" s="973"/>
      <c r="N14" s="973"/>
      <c r="O14" s="973"/>
      <c r="P14" s="973"/>
      <c r="Q14" s="973"/>
      <c r="R14" s="973"/>
      <c r="S14" s="973"/>
      <c r="T14" s="973"/>
      <c r="U14" s="973"/>
      <c r="V14" s="973"/>
      <c r="W14" s="973"/>
      <c r="X14" s="973"/>
      <c r="Y14" s="973"/>
      <c r="Z14" s="973"/>
    </row>
    <row r="15" s="972" customFormat="1" ht="13.5" customHeight="1" spans="1:26">
      <c r="A15" s="2297" t="s">
        <v>1072</v>
      </c>
      <c r="B15" s="2298" t="s">
        <v>1073</v>
      </c>
      <c r="C15" s="125">
        <f ca="1">ROUND(IF(B1="",SUMIF('数据-取费表'!C:C,"住宅",'数据-取费表'!M:M)*F15,IF(INDIRECT("'数据-取费表'!c"&amp;$K$1)="住宅",INDIRECT("'数据-取费表'!M"&amp;$K$1)*F15,0)),0)</f>
        <v>3739</v>
      </c>
      <c r="D15" s="2299"/>
      <c r="E15" s="80"/>
      <c r="F15" s="2301">
        <f>'数据-取费表'!B34</f>
        <v>0.05</v>
      </c>
      <c r="G15" s="2293" t="s">
        <v>1071</v>
      </c>
      <c r="H15" s="2296"/>
      <c r="I15" s="2296"/>
      <c r="J15" s="2296"/>
      <c r="K15" s="2344"/>
      <c r="L15" s="973"/>
      <c r="M15" s="973"/>
      <c r="N15" s="973"/>
      <c r="O15" s="973"/>
      <c r="P15" s="973"/>
      <c r="Q15" s="973"/>
      <c r="R15" s="973"/>
      <c r="S15" s="973"/>
      <c r="T15" s="973"/>
      <c r="U15" s="973"/>
      <c r="V15" s="973"/>
      <c r="W15" s="973"/>
      <c r="X15" s="973"/>
      <c r="Y15" s="973"/>
      <c r="Z15" s="973"/>
    </row>
    <row r="16" s="973" customFormat="1" ht="13.5" customHeight="1" spans="1:41">
      <c r="A16" s="2297" t="s">
        <v>1074</v>
      </c>
      <c r="B16" s="2298" t="s">
        <v>1075</v>
      </c>
      <c r="C16" s="125">
        <f ca="1">ROUND(D16*E16/10000,0)</f>
        <v>6722</v>
      </c>
      <c r="D16" s="2299">
        <f ca="1">IF(B1="",'数据-汇总表'!E3,INDIRECT("'数据-取费表'!K"&amp;$K$1)+INDIRECT("'数据-取费表'!S"&amp;$K$1))</f>
        <v>220401.41</v>
      </c>
      <c r="E16" s="125">
        <f>'数据-取费表'!B35</f>
        <v>305</v>
      </c>
      <c r="F16" s="2301"/>
      <c r="G16" s="2293"/>
      <c r="H16" s="2296"/>
      <c r="I16" s="2296"/>
      <c r="J16" s="2296"/>
      <c r="K16" s="2344"/>
      <c r="AA16" s="972"/>
      <c r="AB16" s="972"/>
      <c r="AC16" s="972"/>
      <c r="AD16" s="972"/>
      <c r="AE16" s="972"/>
      <c r="AF16" s="972"/>
      <c r="AG16" s="972"/>
      <c r="AH16" s="972"/>
      <c r="AI16" s="972"/>
      <c r="AJ16" s="972"/>
      <c r="AK16" s="972"/>
      <c r="AL16" s="972"/>
      <c r="AM16" s="972"/>
      <c r="AN16" s="972"/>
      <c r="AO16" s="972"/>
    </row>
    <row r="17" s="972" customFormat="1" ht="13.5" customHeight="1" spans="1:26">
      <c r="A17" s="2297" t="s">
        <v>1076</v>
      </c>
      <c r="B17" s="2298" t="s">
        <v>1077</v>
      </c>
      <c r="C17" s="2302">
        <f ca="1">ROUND(C13*F17,0)</f>
        <v>0</v>
      </c>
      <c r="D17" s="2303"/>
      <c r="E17" s="2302"/>
      <c r="F17" s="2304">
        <f>'[45]数据-取费表'!B36</f>
        <v>0</v>
      </c>
      <c r="G17" s="2293" t="s">
        <v>1071</v>
      </c>
      <c r="H17" s="2305"/>
      <c r="I17" s="2305"/>
      <c r="J17" s="2305"/>
      <c r="K17" s="2345"/>
      <c r="L17" s="973"/>
      <c r="M17" s="973"/>
      <c r="N17" s="973"/>
      <c r="O17" s="973"/>
      <c r="P17" s="973"/>
      <c r="Q17" s="973"/>
      <c r="R17" s="973"/>
      <c r="S17" s="973"/>
      <c r="T17" s="973"/>
      <c r="U17" s="973"/>
      <c r="V17" s="973"/>
      <c r="W17" s="973"/>
      <c r="X17" s="973"/>
      <c r="Y17" s="973"/>
      <c r="Z17" s="973"/>
    </row>
    <row r="18" s="974" customFormat="1" ht="13.5" customHeight="1" spans="1:26">
      <c r="A18" s="2306" t="s">
        <v>1078</v>
      </c>
      <c r="B18" s="2307" t="s">
        <v>1079</v>
      </c>
      <c r="C18" s="2308">
        <f ca="1">SUM(C13:C17)</f>
        <v>102852.48</v>
      </c>
      <c r="D18" s="2309"/>
      <c r="E18" s="1039"/>
      <c r="F18" s="1039"/>
      <c r="G18" s="2310" t="s">
        <v>1080</v>
      </c>
      <c r="H18" s="2296"/>
      <c r="I18" s="2296"/>
      <c r="J18" s="2296"/>
      <c r="K18" s="2344"/>
      <c r="L18" s="1090"/>
      <c r="M18" s="1090"/>
      <c r="N18" s="1090"/>
      <c r="O18" s="1090"/>
      <c r="P18" s="1090"/>
      <c r="Q18" s="1090"/>
      <c r="R18" s="1090"/>
      <c r="S18" s="1090"/>
      <c r="T18" s="1090"/>
      <c r="U18" s="1090"/>
      <c r="V18" s="1090"/>
      <c r="W18" s="1090"/>
      <c r="X18" s="1090"/>
      <c r="Y18" s="1090"/>
      <c r="Z18" s="1090"/>
    </row>
    <row r="19" s="974" customFormat="1" ht="13.5" customHeight="1" spans="1:26">
      <c r="A19" s="2306" t="s">
        <v>1081</v>
      </c>
      <c r="B19" s="2307" t="s">
        <v>1082</v>
      </c>
      <c r="C19" s="2308">
        <f ca="1">ROUND(C18*F19,0)</f>
        <v>3086</v>
      </c>
      <c r="D19" s="2309"/>
      <c r="E19" s="1039"/>
      <c r="F19" s="2311">
        <f>'数据-取费表'!B37</f>
        <v>0.03</v>
      </c>
      <c r="G19" s="2293" t="s">
        <v>1083</v>
      </c>
      <c r="H19" s="2296"/>
      <c r="I19" s="2296"/>
      <c r="J19" s="2296"/>
      <c r="K19" s="2344"/>
      <c r="L19" s="1092"/>
      <c r="M19" s="1092"/>
      <c r="N19" s="1092"/>
      <c r="O19" s="1090"/>
      <c r="P19" s="1090"/>
      <c r="Q19" s="1090"/>
      <c r="R19" s="1090"/>
      <c r="S19" s="1090"/>
      <c r="T19" s="1090"/>
      <c r="U19" s="1090"/>
      <c r="V19" s="1090"/>
      <c r="W19" s="1090"/>
      <c r="X19" s="1090"/>
      <c r="Y19" s="1090"/>
      <c r="Z19" s="1090"/>
    </row>
    <row r="20" s="974" customFormat="1" ht="13.5" customHeight="1" spans="1:26">
      <c r="A20" s="2306" t="s">
        <v>1084</v>
      </c>
      <c r="B20" s="2309" t="s">
        <v>1085</v>
      </c>
      <c r="C20" s="2312">
        <f ca="1">ROUND(IF('数据-取费表'!B22&lt;=1,(C18+C19)*F20*'数据-取费表'!B20/2,(C18+C19)*(POWER((1+F20),'数据-取费表'!B20/2)-1)),0)</f>
        <v>5032</v>
      </c>
      <c r="D20" s="1039">
        <f ca="1">ROUND(((1+F20)^'[45]数据-取费表'!B20)-1,4)</f>
        <v>0</v>
      </c>
      <c r="E20" s="1039"/>
      <c r="F20" s="1045">
        <f ca="1">'数据-取费表'!B40</f>
        <v>0.0475</v>
      </c>
      <c r="G20" s="2310" t="str">
        <f>IF('[45]数据-取费表'!B22&lt;=1,"单利计息。","复利计息。")&amp;"建造成本、管理费用产生的利息 / 地价及税费产生的利息。"</f>
        <v>单利计息。建造成本、管理费用产生的利息 / 地价及税费产生的利息。</v>
      </c>
      <c r="H20" s="2296"/>
      <c r="I20" s="2296"/>
      <c r="J20" s="2296"/>
      <c r="K20" s="2344"/>
      <c r="L20" s="1092"/>
      <c r="M20" s="1092"/>
      <c r="N20" s="1092"/>
      <c r="O20" s="1090"/>
      <c r="P20" s="1090"/>
      <c r="Q20" s="1090"/>
      <c r="R20" s="1090"/>
      <c r="S20" s="1090"/>
      <c r="T20" s="1090"/>
      <c r="U20" s="1090"/>
      <c r="V20" s="1090"/>
      <c r="W20" s="1090"/>
      <c r="X20" s="1090"/>
      <c r="Y20" s="1090"/>
      <c r="Z20" s="1090"/>
    </row>
    <row r="21" s="977" customFormat="1" ht="13.5" customHeight="1" spans="1:26">
      <c r="A21" s="2306" t="s">
        <v>1086</v>
      </c>
      <c r="B21" s="1057" t="s">
        <v>1087</v>
      </c>
      <c r="C21" s="1058">
        <f ca="1">ROUND((C18+C19)*F21,0)</f>
        <v>12713</v>
      </c>
      <c r="D21" s="2313"/>
      <c r="E21" s="1039"/>
      <c r="F21" s="1059">
        <f ca="1">IF(B1="",'数据-取费表'!Q16,INDIRECT("'数据-取费表'!q"&amp;$K$1))</f>
        <v>0.12</v>
      </c>
      <c r="G21" s="2293"/>
      <c r="H21" s="2296"/>
      <c r="I21" s="2296"/>
      <c r="J21" s="2296"/>
      <c r="K21" s="2344"/>
      <c r="L21" s="2346" t="s">
        <v>1088</v>
      </c>
      <c r="M21" s="2347"/>
      <c r="N21" s="2347"/>
      <c r="O21" s="2347"/>
      <c r="P21" s="2347"/>
      <c r="Q21" s="1092"/>
      <c r="R21" s="1092"/>
      <c r="S21" s="1092"/>
      <c r="T21" s="1092"/>
      <c r="U21" s="1092"/>
      <c r="V21" s="1092"/>
      <c r="W21" s="1092"/>
      <c r="X21" s="1092"/>
      <c r="Y21" s="1092"/>
      <c r="Z21" s="1092"/>
    </row>
    <row r="22" s="976" customFormat="1" ht="13.5" customHeight="1" spans="1:26">
      <c r="A22" s="2306" t="s">
        <v>1089</v>
      </c>
      <c r="B22" s="2314" t="s">
        <v>1090</v>
      </c>
      <c r="C22" s="2315"/>
      <c r="D22" s="2315"/>
      <c r="E22" s="1039"/>
      <c r="F22" s="2316">
        <f ca="1">IF(B1="",'数据-取费表'!N16,INDIRECT("'数据-取费表'!N"&amp;$K$1))</f>
        <v>0</v>
      </c>
      <c r="G22" s="2293"/>
      <c r="H22" s="2296"/>
      <c r="I22" s="2296"/>
      <c r="J22" s="2296"/>
      <c r="K22" s="2344"/>
      <c r="L22" s="1091"/>
      <c r="M22" s="1091"/>
      <c r="N22" s="1091"/>
      <c r="O22" s="1091"/>
      <c r="P22" s="1091"/>
      <c r="Q22" s="1091"/>
      <c r="R22" s="1091"/>
      <c r="S22" s="1091"/>
      <c r="T22" s="1091"/>
      <c r="U22" s="1091"/>
      <c r="V22" s="1091"/>
      <c r="W22" s="1091"/>
      <c r="X22" s="1091"/>
      <c r="Y22" s="1091"/>
      <c r="Z22" s="1091"/>
    </row>
    <row r="23" s="976" customFormat="1" ht="13.5" customHeight="1" spans="1:26">
      <c r="A23" s="2317" t="s">
        <v>1091</v>
      </c>
      <c r="B23" s="2318" t="s">
        <v>1092</v>
      </c>
      <c r="C23" s="2319">
        <f ca="1">ROUND((C18+C19+C20+C21)*F22,0)</f>
        <v>0</v>
      </c>
      <c r="D23" s="2320"/>
      <c r="E23" s="1039"/>
      <c r="F23" s="2321"/>
      <c r="G23" s="2283"/>
      <c r="H23" s="2322"/>
      <c r="I23" s="2322"/>
      <c r="J23" s="2322"/>
      <c r="K23" s="2348"/>
      <c r="L23" s="1091"/>
      <c r="M23" s="1091"/>
      <c r="N23" s="1091"/>
      <c r="O23" s="1091"/>
      <c r="P23" s="1091"/>
      <c r="Q23" s="1091"/>
      <c r="R23" s="1091"/>
      <c r="S23" s="1091"/>
      <c r="T23" s="1091"/>
      <c r="U23" s="1091"/>
      <c r="V23" s="1091"/>
      <c r="W23" s="1091"/>
      <c r="X23" s="1091"/>
      <c r="Y23" s="1091"/>
      <c r="Z23" s="1091"/>
    </row>
    <row r="24" s="976" customFormat="1" ht="13.5" customHeight="1" spans="1:26">
      <c r="A24" s="2323" t="s">
        <v>1093</v>
      </c>
      <c r="B24" s="2324"/>
      <c r="C24" s="2325">
        <f>ROUND(C6*F24/(1+'数据-取费表'!B42),0)</f>
        <v>0</v>
      </c>
      <c r="D24" s="2326"/>
      <c r="E24" s="1039"/>
      <c r="F24" s="2327">
        <f>'数据-取费表'!B41</f>
        <v>0.056</v>
      </c>
      <c r="G24" s="2328"/>
      <c r="H24" s="2328"/>
      <c r="I24" s="2328"/>
      <c r="J24" s="2328"/>
      <c r="K24" s="2349"/>
      <c r="L24" s="1091"/>
      <c r="M24" s="1091"/>
      <c r="N24" s="1091"/>
      <c r="O24" s="1091"/>
      <c r="P24" s="1091"/>
      <c r="Q24" s="1091"/>
      <c r="R24" s="1091"/>
      <c r="S24" s="1091"/>
      <c r="T24" s="1091"/>
      <c r="U24" s="1091"/>
      <c r="V24" s="1091"/>
      <c r="W24" s="1091"/>
      <c r="X24" s="1091"/>
      <c r="Y24" s="1091"/>
      <c r="Z24" s="1091"/>
    </row>
    <row r="25" s="976" customFormat="1" ht="13.5" customHeight="1" spans="1:26">
      <c r="A25" s="2323" t="s">
        <v>1094</v>
      </c>
      <c r="B25" s="2324"/>
      <c r="C25" s="2325">
        <f>ROUND(C6*F25,0)</f>
        <v>0</v>
      </c>
      <c r="D25" s="2326"/>
      <c r="E25" s="1039"/>
      <c r="F25" s="2329">
        <f>'数据-取费表'!B38</f>
        <v>0.03</v>
      </c>
      <c r="G25" s="2330"/>
      <c r="H25" s="2328"/>
      <c r="I25" s="2328"/>
      <c r="J25" s="2328"/>
      <c r="K25" s="2349"/>
      <c r="L25" s="1091"/>
      <c r="M25" s="1091"/>
      <c r="N25" s="1091"/>
      <c r="O25" s="1091"/>
      <c r="P25" s="1091"/>
      <c r="Q25" s="1091"/>
      <c r="R25" s="1091"/>
      <c r="S25" s="1091"/>
      <c r="T25" s="1091"/>
      <c r="U25" s="1091"/>
      <c r="V25" s="1091"/>
      <c r="W25" s="1091"/>
      <c r="X25" s="1091"/>
      <c r="Y25" s="1091"/>
      <c r="Z25" s="1091"/>
    </row>
    <row r="26" s="976" customFormat="1" ht="13.5" customHeight="1" spans="1:26">
      <c r="A26" s="2323" t="s">
        <v>1095</v>
      </c>
      <c r="B26" s="2324"/>
      <c r="C26" s="2331"/>
      <c r="D26" s="2332"/>
      <c r="E26" s="2332"/>
      <c r="F26" s="2333">
        <f>'数据-取费表'!B48+'数据-取费表'!B49</f>
        <v>0.0305</v>
      </c>
      <c r="G26" s="2334"/>
      <c r="H26" s="2334"/>
      <c r="I26" s="2334"/>
      <c r="J26" s="2350"/>
      <c r="K26" s="2351"/>
      <c r="L26" s="1091"/>
      <c r="M26" s="1091"/>
      <c r="N26" s="1091"/>
      <c r="O26" s="1091"/>
      <c r="P26" s="1091"/>
      <c r="Q26" s="1091"/>
      <c r="R26" s="1091"/>
      <c r="S26" s="1091"/>
      <c r="T26" s="1091"/>
      <c r="U26" s="1091"/>
      <c r="V26" s="1091"/>
      <c r="W26" s="1091"/>
      <c r="X26" s="1091"/>
      <c r="Y26" s="1091"/>
      <c r="Z26" s="1091"/>
    </row>
    <row r="27" s="976" customFormat="1" ht="13.5" customHeight="1" spans="1:26">
      <c r="A27" s="2335" t="s">
        <v>1096</v>
      </c>
      <c r="B27" s="2336"/>
      <c r="C27" s="2337">
        <f ca="1">(C6-C23-C24-C25)/((1+F26)*(1+D20+F21))</f>
        <v>0</v>
      </c>
      <c r="D27" s="2338"/>
      <c r="E27" s="2338"/>
      <c r="F27" s="2338"/>
      <c r="G27" s="2339" t="s">
        <v>1097</v>
      </c>
      <c r="H27" s="2338"/>
      <c r="I27" s="2338"/>
      <c r="J27" s="2338"/>
      <c r="K27" s="2352"/>
      <c r="L27" s="1091"/>
      <c r="M27" s="1091"/>
      <c r="N27" s="1091"/>
      <c r="O27" s="1091"/>
      <c r="P27" s="1091"/>
      <c r="Q27" s="1091"/>
      <c r="R27" s="1091"/>
      <c r="S27" s="1091"/>
      <c r="T27" s="1091"/>
      <c r="U27" s="1091"/>
      <c r="V27" s="1091"/>
      <c r="W27" s="1091"/>
      <c r="X27" s="1091"/>
      <c r="Y27" s="1091"/>
      <c r="Z27" s="1091"/>
    </row>
    <row r="28" s="971" customFormat="1" spans="1:5">
      <c r="A28" s="1073"/>
      <c r="C28" s="1074"/>
      <c r="E28" s="1073"/>
    </row>
    <row r="29" s="971" customFormat="1" spans="1:5">
      <c r="A29" s="1073"/>
      <c r="C29" s="1074"/>
      <c r="E29" s="1073"/>
    </row>
    <row r="30" s="971" customFormat="1" spans="1:5">
      <c r="A30" s="1073"/>
      <c r="C30" s="1074"/>
      <c r="E30" s="1073"/>
    </row>
    <row r="31" s="971" customFormat="1" spans="1:5">
      <c r="A31" s="1073"/>
      <c r="C31" s="1074"/>
      <c r="E31" s="1073"/>
    </row>
    <row r="32" s="971" customFormat="1" spans="1:5">
      <c r="A32" s="1073"/>
      <c r="C32" s="1074"/>
      <c r="E32" s="1073"/>
    </row>
    <row r="33" s="971" customFormat="1" spans="1:5">
      <c r="A33" s="1073"/>
      <c r="C33" s="1074"/>
      <c r="E33" s="1073"/>
    </row>
    <row r="34" s="971" customFormat="1" spans="1:5">
      <c r="A34" s="1073"/>
      <c r="C34" s="1074"/>
      <c r="E34" s="1073"/>
    </row>
    <row r="35" s="971" customFormat="1" spans="1:5">
      <c r="A35" s="1073"/>
      <c r="C35" s="1074"/>
      <c r="E35" s="1073"/>
    </row>
    <row r="36" s="971" customFormat="1" spans="1:5">
      <c r="A36" s="1073"/>
      <c r="C36" s="1074"/>
      <c r="E36" s="1073"/>
    </row>
    <row r="37" s="971" customFormat="1" spans="1:5">
      <c r="A37" s="1073"/>
      <c r="C37" s="1074"/>
      <c r="E37" s="1073"/>
    </row>
    <row r="38" s="971" customFormat="1" spans="1:5">
      <c r="A38" s="1073"/>
      <c r="C38" s="1074"/>
      <c r="E38" s="1073"/>
    </row>
    <row r="39" s="971" customFormat="1" spans="1:5">
      <c r="A39" s="1073"/>
      <c r="C39" s="1074"/>
      <c r="E39" s="1073"/>
    </row>
    <row r="40" s="971" customFormat="1" spans="1:5">
      <c r="A40" s="1073"/>
      <c r="C40" s="1074"/>
      <c r="E40" s="1073"/>
    </row>
    <row r="41" s="971" customFormat="1" spans="1:5">
      <c r="A41" s="1073"/>
      <c r="C41" s="1074"/>
      <c r="E41" s="1073"/>
    </row>
    <row r="42" s="971" customFormat="1" spans="1:5">
      <c r="A42" s="1073"/>
      <c r="C42" s="1074"/>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sheetData>
  <sheetProtection password="CEE9" sheet="1" formatCells="0" formatColumns="0" formatRows="0" objects="1" scenarios="1"/>
  <mergeCells count="4">
    <mergeCell ref="A24:B24"/>
    <mergeCell ref="A25:B25"/>
    <mergeCell ref="A26:B26"/>
    <mergeCell ref="A27:B27"/>
  </mergeCells>
  <dataValidations count="1">
    <dataValidation type="list" allowBlank="1" showInputMessage="1" showErrorMessage="1" sqref="B1 C7:K7">
      <formula1>项目类型</formula1>
    </dataValidation>
  </dataValidations>
  <pageMargins left="0.7" right="0.7" top="0.75" bottom="0.75" header="0.3" footer="0.3"/>
  <pageSetup paperSize="9" scale="71" fitToHeight="0" orientation="portrait"/>
  <headerFooter/>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C262"/>
  <sheetViews>
    <sheetView view="pageBreakPreview" zoomScale="60" zoomScaleNormal="50" topLeftCell="A14" workbookViewId="0">
      <selection activeCell="F9" sqref="F9:F42"/>
    </sheetView>
  </sheetViews>
  <sheetFormatPr defaultColWidth="9" defaultRowHeight="14.25"/>
  <cols>
    <col min="1" max="1" width="13.3666666666667" style="194" customWidth="1"/>
    <col min="2" max="2" width="15.725" style="194" customWidth="1"/>
    <col min="3" max="3" width="14.366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916</v>
      </c>
      <c r="B1" s="539"/>
      <c r="C1" s="199" t="s">
        <v>1098</v>
      </c>
      <c r="D1" s="2174" t="s">
        <v>918</v>
      </c>
      <c r="E1" s="2175"/>
      <c r="F1" s="708"/>
      <c r="G1" s="2175"/>
      <c r="H1" s="2175"/>
      <c r="I1" s="2175"/>
      <c r="J1" s="2175"/>
      <c r="K1" s="2235"/>
      <c r="L1" s="378"/>
      <c r="M1" s="379"/>
      <c r="N1" s="379"/>
      <c r="O1" s="379"/>
      <c r="P1" s="380"/>
      <c r="Q1" s="380"/>
      <c r="R1" s="380"/>
      <c r="S1" s="380"/>
      <c r="T1" s="380"/>
      <c r="U1" s="380"/>
      <c r="V1" s="380"/>
      <c r="W1" s="380"/>
      <c r="X1" s="380"/>
      <c r="Y1" s="380"/>
      <c r="Z1" s="380"/>
      <c r="AA1" s="380"/>
      <c r="AB1" s="380"/>
      <c r="AC1" s="477"/>
    </row>
    <row r="2" s="188" customFormat="1" ht="28.5" customHeight="1" spans="1:29">
      <c r="A2" s="204" t="s">
        <v>919</v>
      </c>
      <c r="B2" s="2176" t="e">
        <f>F63</f>
        <v>#DIV/0!</v>
      </c>
      <c r="C2" s="2177"/>
      <c r="D2" s="2177"/>
      <c r="E2" s="2177"/>
      <c r="F2" s="2178"/>
      <c r="G2" s="2177"/>
      <c r="H2" s="2177"/>
      <c r="I2" s="2177"/>
      <c r="J2" s="2177"/>
      <c r="K2" s="2236"/>
      <c r="L2" s="382"/>
      <c r="M2" s="380"/>
      <c r="N2" s="380"/>
      <c r="O2" s="380"/>
      <c r="P2" s="380"/>
      <c r="Q2" s="380"/>
      <c r="R2" s="380"/>
      <c r="S2" s="380"/>
      <c r="T2" s="380"/>
      <c r="U2" s="380"/>
      <c r="V2" s="380"/>
      <c r="W2" s="380"/>
      <c r="X2" s="380"/>
      <c r="Y2" s="380"/>
      <c r="Z2" s="380"/>
      <c r="AA2" s="380"/>
      <c r="AB2" s="380"/>
      <c r="AC2" s="477"/>
    </row>
    <row r="3" s="188" customFormat="1" ht="28.5" customHeight="1" spans="1:29">
      <c r="A3" s="2179" t="s">
        <v>920</v>
      </c>
      <c r="B3" s="210" t="e">
        <f>ROUND(B2*10000/'数据-汇总表'!E3,0)</f>
        <v>#DIV/0!</v>
      </c>
      <c r="C3" s="649"/>
      <c r="D3" s="649"/>
      <c r="E3" s="649"/>
      <c r="F3" s="649"/>
      <c r="G3" s="2177"/>
      <c r="H3" s="2177"/>
      <c r="I3" s="2177"/>
      <c r="J3" s="2177"/>
      <c r="K3" s="2236"/>
      <c r="L3" s="382"/>
      <c r="M3" s="380"/>
      <c r="N3" s="380"/>
      <c r="O3" s="380"/>
      <c r="P3" s="380"/>
      <c r="Q3" s="380"/>
      <c r="R3" s="380"/>
      <c r="S3" s="380"/>
      <c r="T3" s="380"/>
      <c r="U3" s="380"/>
      <c r="V3" s="380"/>
      <c r="W3" s="380"/>
      <c r="X3" s="380"/>
      <c r="Y3" s="380"/>
      <c r="Z3" s="380"/>
      <c r="AA3" s="380"/>
      <c r="AB3" s="477"/>
      <c r="AC3" s="477"/>
    </row>
    <row r="4" s="188" customFormat="1" ht="28.5" customHeight="1" spans="1:29">
      <c r="A4" s="2180" t="s">
        <v>921</v>
      </c>
      <c r="B4" s="648" t="e">
        <f>IF(B43="单位面积地价",C45,ROUND(B2*10000/'数据-汇总表'!D3,0))</f>
        <v>#DIV/0!</v>
      </c>
      <c r="C4" s="649"/>
      <c r="D4" s="649"/>
      <c r="E4" s="649"/>
      <c r="F4" s="649"/>
      <c r="G4" s="2177"/>
      <c r="H4" s="2177"/>
      <c r="I4" s="2177"/>
      <c r="J4" s="2177"/>
      <c r="K4" s="2236"/>
      <c r="L4" s="382"/>
      <c r="M4" s="380"/>
      <c r="N4" s="380"/>
      <c r="O4" s="380"/>
      <c r="P4" s="380"/>
      <c r="Q4" s="380"/>
      <c r="R4" s="380"/>
      <c r="S4" s="380"/>
      <c r="T4" s="380"/>
      <c r="U4" s="380"/>
      <c r="V4" s="380"/>
      <c r="W4" s="380"/>
      <c r="X4" s="380"/>
      <c r="Y4" s="380"/>
      <c r="Z4" s="380"/>
      <c r="AA4" s="380"/>
      <c r="AB4" s="380"/>
      <c r="AC4" s="477"/>
    </row>
    <row r="5" s="188" customFormat="1" ht="28.5" customHeight="1" spans="1:29">
      <c r="A5" s="650"/>
      <c r="B5" s="651" t="e">
        <f>ROUND(B2/('数据-汇总表'!D3/666.67),0)</f>
        <v>#DIV/0!</v>
      </c>
      <c r="C5" s="652" t="s">
        <v>922</v>
      </c>
      <c r="D5" s="649"/>
      <c r="E5" s="649"/>
      <c r="F5" s="649"/>
      <c r="G5" s="2177"/>
      <c r="H5" s="2177"/>
      <c r="I5" s="2177"/>
      <c r="J5" s="2177"/>
      <c r="K5" s="2236"/>
      <c r="L5" s="382"/>
      <c r="M5" s="380"/>
      <c r="N5" s="380"/>
      <c r="O5" s="380"/>
      <c r="P5" s="380"/>
      <c r="Q5" s="380"/>
      <c r="R5" s="380"/>
      <c r="S5" s="380"/>
      <c r="T5" s="380"/>
      <c r="U5" s="380"/>
      <c r="V5" s="380"/>
      <c r="W5" s="380"/>
      <c r="X5" s="380"/>
      <c r="Y5" s="380"/>
      <c r="Z5" s="380"/>
      <c r="AA5" s="380"/>
      <c r="AB5" s="478"/>
      <c r="AC5" s="477"/>
    </row>
    <row r="6" ht="15" spans="1:29">
      <c r="A6" s="213" t="s">
        <v>923</v>
      </c>
      <c r="B6" s="214"/>
      <c r="C6" s="215" t="s">
        <v>924</v>
      </c>
      <c r="D6" s="216"/>
      <c r="E6" s="217" t="s">
        <v>925</v>
      </c>
      <c r="F6" s="218"/>
      <c r="G6" s="215" t="s">
        <v>926</v>
      </c>
      <c r="H6" s="216"/>
      <c r="I6" s="215" t="s">
        <v>927</v>
      </c>
      <c r="J6" s="216"/>
      <c r="K6" s="383" t="s">
        <v>928</v>
      </c>
      <c r="L6" s="384"/>
      <c r="M6" s="338"/>
      <c r="N6" s="338"/>
      <c r="O6" s="338"/>
      <c r="P6" s="276" t="s">
        <v>929</v>
      </c>
      <c r="Q6" s="450"/>
      <c r="R6" s="451" t="s">
        <v>925</v>
      </c>
      <c r="S6" s="452"/>
      <c r="T6" s="451" t="s">
        <v>926</v>
      </c>
      <c r="U6" s="452"/>
      <c r="V6" s="453" t="s">
        <v>927</v>
      </c>
      <c r="W6" s="453"/>
      <c r="X6" s="454"/>
      <c r="Y6" s="451" t="s">
        <v>929</v>
      </c>
      <c r="Z6" s="452"/>
      <c r="AA6" s="479" t="s">
        <v>925</v>
      </c>
      <c r="AB6" s="454" t="s">
        <v>926</v>
      </c>
      <c r="AC6" s="479" t="s">
        <v>927</v>
      </c>
    </row>
    <row r="7" ht="15" spans="1:29">
      <c r="A7" s="219"/>
      <c r="B7" s="220"/>
      <c r="C7" s="221" t="s">
        <v>930</v>
      </c>
      <c r="D7" s="222"/>
      <c r="E7" s="223" t="s">
        <v>1099</v>
      </c>
      <c r="F7" s="224"/>
      <c r="G7" s="221" t="s">
        <v>1100</v>
      </c>
      <c r="H7" s="222"/>
      <c r="I7" s="221" t="s">
        <v>1101</v>
      </c>
      <c r="J7" s="222"/>
      <c r="K7" s="383"/>
      <c r="L7" s="384"/>
      <c r="M7" s="338"/>
      <c r="N7" s="338"/>
      <c r="O7" s="338"/>
      <c r="P7" s="282"/>
      <c r="Q7" s="455"/>
      <c r="R7" s="456"/>
      <c r="S7" s="457"/>
      <c r="T7" s="456"/>
      <c r="U7" s="457"/>
      <c r="V7" s="453"/>
      <c r="W7" s="453"/>
      <c r="X7" s="454"/>
      <c r="Y7" s="456"/>
      <c r="Z7" s="457"/>
      <c r="AA7" s="454"/>
      <c r="AB7" s="454"/>
      <c r="AC7" s="454"/>
    </row>
    <row r="8" ht="15.75" spans="1:29">
      <c r="A8" s="225"/>
      <c r="B8" s="226"/>
      <c r="C8" s="227" t="s">
        <v>931</v>
      </c>
      <c r="D8" s="228"/>
      <c r="E8" s="229" t="s">
        <v>931</v>
      </c>
      <c r="F8" s="230"/>
      <c r="G8" s="227" t="s">
        <v>931</v>
      </c>
      <c r="H8" s="228"/>
      <c r="I8" s="227" t="s">
        <v>931</v>
      </c>
      <c r="J8" s="228"/>
      <c r="K8" s="383" t="s">
        <v>932</v>
      </c>
      <c r="L8" s="384"/>
      <c r="M8" s="338"/>
      <c r="N8" s="338"/>
      <c r="O8" s="338"/>
      <c r="P8" s="270"/>
      <c r="Q8" s="458"/>
      <c r="R8" s="456"/>
      <c r="S8" s="457"/>
      <c r="T8" s="459"/>
      <c r="U8" s="460"/>
      <c r="V8" s="453"/>
      <c r="W8" s="453"/>
      <c r="X8" s="454"/>
      <c r="Y8" s="459"/>
      <c r="Z8" s="460"/>
      <c r="AA8" s="480"/>
      <c r="AB8" s="480"/>
      <c r="AC8" s="480"/>
    </row>
    <row r="9" s="189" customFormat="1" ht="15.75" spans="1:29">
      <c r="A9" s="231"/>
      <c r="B9" s="232" t="s">
        <v>933</v>
      </c>
      <c r="C9" s="233">
        <f>'数据-取费表'!B2</f>
        <v>45252</v>
      </c>
      <c r="D9" s="234">
        <v>100</v>
      </c>
      <c r="E9" s="235"/>
      <c r="F9" s="236">
        <f>SUMIF(67:67,YEAR(E9)&amp;"-"&amp;INT((MONTH(E9)+2)/3),68:68)</f>
        <v>0</v>
      </c>
      <c r="G9" s="237"/>
      <c r="H9" s="234">
        <f>SUMIF(67:67,YEAR(G9)&amp;"-"&amp;INT((MONTH(G9)+2)/3),68:68)</f>
        <v>0</v>
      </c>
      <c r="I9" s="237"/>
      <c r="J9" s="234">
        <f>SUMIF(67:67,YEAR(I9)&amp;"-"&amp;INT((MONTH(I9)+2)/3),68:68)</f>
        <v>0</v>
      </c>
      <c r="K9" s="385"/>
      <c r="L9" s="386"/>
      <c r="M9" s="387"/>
      <c r="N9" s="387"/>
      <c r="O9" s="387"/>
      <c r="P9" s="388" t="s">
        <v>934</v>
      </c>
      <c r="Q9" s="461"/>
      <c r="R9" s="462" t="s">
        <v>935</v>
      </c>
      <c r="S9" s="463">
        <f t="shared" ref="S9:S17" si="0">F9</f>
        <v>0</v>
      </c>
      <c r="T9" s="462" t="s">
        <v>935</v>
      </c>
      <c r="U9" s="463">
        <f t="shared" ref="U9:U17" si="1">H9</f>
        <v>0</v>
      </c>
      <c r="V9" s="462" t="s">
        <v>935</v>
      </c>
      <c r="W9" s="463">
        <f t="shared" ref="W9:W17" si="2">J9</f>
        <v>0</v>
      </c>
      <c r="X9" s="464"/>
      <c r="Y9" s="388" t="s">
        <v>934</v>
      </c>
      <c r="Z9" s="465"/>
      <c r="AA9" s="481" t="e">
        <f>D9/F9</f>
        <v>#DIV/0!</v>
      </c>
      <c r="AB9" s="481" t="e">
        <f>D9/H9</f>
        <v>#DIV/0!</v>
      </c>
      <c r="AC9" s="481" t="e">
        <f>D9/J9</f>
        <v>#DIV/0!</v>
      </c>
    </row>
    <row r="10" s="189" customFormat="1" ht="15.75" spans="1:29">
      <c r="A10" s="238"/>
      <c r="B10" s="239" t="s">
        <v>936</v>
      </c>
      <c r="C10" s="240" t="s">
        <v>937</v>
      </c>
      <c r="D10" s="234">
        <v>100</v>
      </c>
      <c r="E10" s="240"/>
      <c r="F10" s="236">
        <f>SUMIF(70:70,E10,71:71)-SUMIF(70:70,C10,71:71)+100</f>
        <v>0</v>
      </c>
      <c r="G10" s="240"/>
      <c r="H10" s="234">
        <f>SUMIF(70:70,G10,71:71)-SUMIF(70:70,C10,71:71)+100</f>
        <v>0</v>
      </c>
      <c r="I10" s="240"/>
      <c r="J10" s="234">
        <f>SUMIF(70:70,I10,71:71)-SUMIF(70:70,C10,71:71)+100</f>
        <v>0</v>
      </c>
      <c r="K10" s="385"/>
      <c r="L10" s="386"/>
      <c r="M10" s="387"/>
      <c r="N10" s="387"/>
      <c r="O10" s="387"/>
      <c r="P10" s="388" t="s">
        <v>939</v>
      </c>
      <c r="Q10" s="465"/>
      <c r="R10" s="462" t="s">
        <v>935</v>
      </c>
      <c r="S10" s="463">
        <f t="shared" si="0"/>
        <v>0</v>
      </c>
      <c r="T10" s="462" t="s">
        <v>935</v>
      </c>
      <c r="U10" s="463">
        <f t="shared" si="1"/>
        <v>0</v>
      </c>
      <c r="V10" s="462" t="s">
        <v>935</v>
      </c>
      <c r="W10" s="463">
        <f t="shared" si="2"/>
        <v>0</v>
      </c>
      <c r="X10" s="464"/>
      <c r="Y10" s="388" t="s">
        <v>939</v>
      </c>
      <c r="Z10" s="465"/>
      <c r="AA10" s="481" t="e">
        <f t="shared" ref="AA10:AA42" si="3">D10/F10</f>
        <v>#DIV/0!</v>
      </c>
      <c r="AB10" s="481" t="e">
        <f t="shared" ref="AB10:AB42" si="4">D10/H10</f>
        <v>#DIV/0!</v>
      </c>
      <c r="AC10" s="481" t="e">
        <f t="shared" ref="AC10:AC42" si="5">D10/J10</f>
        <v>#DIV/0!</v>
      </c>
    </row>
    <row r="11" s="189" customFormat="1" ht="15" spans="1:29">
      <c r="A11" s="241"/>
      <c r="B11" s="242" t="s">
        <v>940</v>
      </c>
      <c r="C11" s="2181"/>
      <c r="D11" s="244">
        <v>100</v>
      </c>
      <c r="E11" s="2181"/>
      <c r="F11" s="244">
        <f>SUMIF(72:72,E11,73:73)-SUMIF(72:72,C11,73:73)+100</f>
        <v>100</v>
      </c>
      <c r="G11" s="2181"/>
      <c r="H11" s="244">
        <f>SUMIF(72:72,G11,73:73)-SUMIF(72:72,C11,73:73)+100</f>
        <v>100</v>
      </c>
      <c r="I11" s="2181"/>
      <c r="J11" s="244">
        <f>SUMIF(72:72,I11,73:73)-SUMIF(72:72,C11,73:73)+100</f>
        <v>100</v>
      </c>
      <c r="K11" s="385"/>
      <c r="L11" s="386"/>
      <c r="M11" s="387"/>
      <c r="N11" s="387"/>
      <c r="O11" s="389"/>
      <c r="P11" s="390" t="s">
        <v>941</v>
      </c>
      <c r="Q11" s="466" t="str">
        <f t="shared" ref="Q11:Q17" si="6">B11</f>
        <v>用途</v>
      </c>
      <c r="R11" s="462" t="s">
        <v>935</v>
      </c>
      <c r="S11" s="463">
        <f t="shared" si="0"/>
        <v>100</v>
      </c>
      <c r="T11" s="462" t="s">
        <v>935</v>
      </c>
      <c r="U11" s="463">
        <f t="shared" si="1"/>
        <v>100</v>
      </c>
      <c r="V11" s="462" t="s">
        <v>935</v>
      </c>
      <c r="W11" s="463">
        <f t="shared" si="2"/>
        <v>100</v>
      </c>
      <c r="X11" s="464"/>
      <c r="Y11" s="466" t="s">
        <v>942</v>
      </c>
      <c r="Z11" s="481" t="str">
        <f t="shared" ref="Z11:Z17" si="7">Q11</f>
        <v>用途</v>
      </c>
      <c r="AA11" s="481">
        <f t="shared" si="3"/>
        <v>1</v>
      </c>
      <c r="AB11" s="481">
        <f t="shared" si="4"/>
        <v>1</v>
      </c>
      <c r="AC11" s="481">
        <f t="shared" si="5"/>
        <v>1</v>
      </c>
    </row>
    <row r="12" s="190" customFormat="1" ht="27" spans="1:29">
      <c r="A12" s="246"/>
      <c r="B12" s="239" t="s">
        <v>943</v>
      </c>
      <c r="C12" s="252"/>
      <c r="D12" s="248">
        <v>100</v>
      </c>
      <c r="E12" s="252"/>
      <c r="F12" s="248">
        <f>ROUND(100/'数据-取费表'!G16,0)</f>
        <v>100</v>
      </c>
      <c r="G12" s="252"/>
      <c r="H12" s="248">
        <f>ROUND(100/'数据-取费表'!G16,0)</f>
        <v>100</v>
      </c>
      <c r="I12" s="252"/>
      <c r="J12" s="248">
        <f>ROUND(100/'数据-取费表'!G16,0)</f>
        <v>100</v>
      </c>
      <c r="K12" s="2237"/>
      <c r="L12" s="392"/>
      <c r="M12" s="393"/>
      <c r="N12" s="393"/>
      <c r="O12" s="394"/>
      <c r="P12" s="390"/>
      <c r="Q12" s="466" t="str">
        <f t="shared" si="6"/>
        <v>土地使用年限（年）</v>
      </c>
      <c r="R12" s="462" t="s">
        <v>935</v>
      </c>
      <c r="S12" s="463">
        <f t="shared" si="0"/>
        <v>100</v>
      </c>
      <c r="T12" s="462" t="s">
        <v>935</v>
      </c>
      <c r="U12" s="463">
        <f t="shared" si="1"/>
        <v>100</v>
      </c>
      <c r="V12" s="462" t="s">
        <v>935</v>
      </c>
      <c r="W12" s="463">
        <f t="shared" si="2"/>
        <v>100</v>
      </c>
      <c r="X12" s="464"/>
      <c r="Y12" s="466"/>
      <c r="Z12" s="481" t="str">
        <f t="shared" si="7"/>
        <v>土地使用年限（年）</v>
      </c>
      <c r="AA12" s="481">
        <f t="shared" si="3"/>
        <v>1</v>
      </c>
      <c r="AB12" s="481">
        <f t="shared" si="4"/>
        <v>1</v>
      </c>
      <c r="AC12" s="481">
        <f t="shared" si="5"/>
        <v>1</v>
      </c>
    </row>
    <row r="13" ht="15" spans="1:29">
      <c r="A13" s="540"/>
      <c r="B13" s="239" t="s">
        <v>944</v>
      </c>
      <c r="C13" s="541"/>
      <c r="D13" s="248">
        <v>100</v>
      </c>
      <c r="E13" s="541"/>
      <c r="F13" s="248" t="e">
        <f>LOOKUP(E13,77:77,78:78)-LOOKUP(C13,77:77,78:78)+100</f>
        <v>#N/A</v>
      </c>
      <c r="G13" s="542"/>
      <c r="H13" s="248" t="e">
        <f>LOOKUP(G13,77:77,78:78)-LOOKUP(C13,77:77,78:78)+100</f>
        <v>#N/A</v>
      </c>
      <c r="I13" s="541"/>
      <c r="J13" s="248" t="e">
        <f>LOOKUP(I13,77:77,78:78)-LOOKUP(C13,77:77,78:78)+100</f>
        <v>#N/A</v>
      </c>
      <c r="K13" s="2238"/>
      <c r="L13" s="396"/>
      <c r="M13" s="338"/>
      <c r="N13" s="338"/>
      <c r="O13" s="397"/>
      <c r="P13" s="390"/>
      <c r="Q13" s="466" t="str">
        <f t="shared" si="6"/>
        <v>容积率</v>
      </c>
      <c r="R13" s="462" t="s">
        <v>935</v>
      </c>
      <c r="S13" s="463" t="e">
        <f t="shared" si="0"/>
        <v>#N/A</v>
      </c>
      <c r="T13" s="462" t="s">
        <v>935</v>
      </c>
      <c r="U13" s="463" t="e">
        <f t="shared" si="1"/>
        <v>#N/A</v>
      </c>
      <c r="V13" s="462" t="s">
        <v>935</v>
      </c>
      <c r="W13" s="463" t="e">
        <f t="shared" si="2"/>
        <v>#N/A</v>
      </c>
      <c r="X13" s="464"/>
      <c r="Y13" s="466"/>
      <c r="Z13" s="481" t="str">
        <f t="shared" si="7"/>
        <v>容积率</v>
      </c>
      <c r="AA13" s="481" t="e">
        <f t="shared" si="3"/>
        <v>#N/A</v>
      </c>
      <c r="AB13" s="481" t="e">
        <f t="shared" si="4"/>
        <v>#N/A</v>
      </c>
      <c r="AC13" s="481" t="e">
        <f t="shared" si="5"/>
        <v>#N/A</v>
      </c>
    </row>
    <row r="14" s="189" customFormat="1" ht="15" spans="1:29">
      <c r="A14" s="250"/>
      <c r="B14" s="251">
        <v>111</v>
      </c>
      <c r="C14" s="252"/>
      <c r="D14" s="254">
        <v>100</v>
      </c>
      <c r="E14" s="368"/>
      <c r="F14" s="248">
        <f>SUMIF(79:79,E14,80:80)-SUMIF(79:79,C14,80:80)+100</f>
        <v>100</v>
      </c>
      <c r="G14" s="2182"/>
      <c r="H14" s="248">
        <f>SUMIF(79:79,G14,80:80)-SUMIF(79:79,C14,80:80)+100</f>
        <v>100</v>
      </c>
      <c r="I14" s="368"/>
      <c r="J14" s="248">
        <f>SUMIF(79:79,I14,80:80)-SUMIF(79:79,C14,80:80)+100</f>
        <v>100</v>
      </c>
      <c r="K14" s="2237"/>
      <c r="L14" s="386"/>
      <c r="M14" s="387"/>
      <c r="N14" s="387"/>
      <c r="O14" s="389"/>
      <c r="P14" s="390"/>
      <c r="Q14" s="466">
        <f t="shared" si="6"/>
        <v>111</v>
      </c>
      <c r="R14" s="462" t="s">
        <v>935</v>
      </c>
      <c r="S14" s="463">
        <f t="shared" si="0"/>
        <v>100</v>
      </c>
      <c r="T14" s="462" t="s">
        <v>935</v>
      </c>
      <c r="U14" s="463">
        <f t="shared" si="1"/>
        <v>100</v>
      </c>
      <c r="V14" s="462" t="s">
        <v>935</v>
      </c>
      <c r="W14" s="463">
        <f t="shared" si="2"/>
        <v>100</v>
      </c>
      <c r="X14" s="464"/>
      <c r="Y14" s="466"/>
      <c r="Z14" s="481">
        <f t="shared" si="7"/>
        <v>111</v>
      </c>
      <c r="AA14" s="481">
        <f t="shared" si="3"/>
        <v>1</v>
      </c>
      <c r="AB14" s="481">
        <f t="shared" si="4"/>
        <v>1</v>
      </c>
      <c r="AC14" s="481">
        <f t="shared" si="5"/>
        <v>1</v>
      </c>
    </row>
    <row r="15" ht="15" spans="1:29">
      <c r="A15" s="250"/>
      <c r="B15" s="251">
        <v>111</v>
      </c>
      <c r="C15" s="257"/>
      <c r="D15" s="258">
        <v>100</v>
      </c>
      <c r="E15" s="368"/>
      <c r="F15" s="248">
        <f>SUMIF(81:81,E15,82:82)-SUMIF(81:81,C15,82:82)+100</f>
        <v>100</v>
      </c>
      <c r="G15" s="2182"/>
      <c r="H15" s="258">
        <f>SUMIF(81:81,G15,82:82)-SUMIF(81:81,C15,82:82)+100</f>
        <v>100</v>
      </c>
      <c r="I15" s="368"/>
      <c r="J15" s="258">
        <f>SUMIF(81:81,I15,82:82)-SUMIF(81:81,C15,82:82)+100</f>
        <v>100</v>
      </c>
      <c r="K15" s="2237"/>
      <c r="L15" s="398"/>
      <c r="M15" s="338"/>
      <c r="N15" s="338"/>
      <c r="O15" s="397"/>
      <c r="P15" s="390"/>
      <c r="Q15" s="466">
        <f t="shared" si="6"/>
        <v>111</v>
      </c>
      <c r="R15" s="462" t="s">
        <v>935</v>
      </c>
      <c r="S15" s="463">
        <f t="shared" si="0"/>
        <v>100</v>
      </c>
      <c r="T15" s="462" t="s">
        <v>935</v>
      </c>
      <c r="U15" s="463">
        <f t="shared" si="1"/>
        <v>100</v>
      </c>
      <c r="V15" s="462" t="s">
        <v>935</v>
      </c>
      <c r="W15" s="463">
        <f t="shared" si="2"/>
        <v>100</v>
      </c>
      <c r="X15" s="464"/>
      <c r="Y15" s="466"/>
      <c r="Z15" s="481">
        <f t="shared" si="7"/>
        <v>111</v>
      </c>
      <c r="AA15" s="481">
        <f t="shared" si="3"/>
        <v>1</v>
      </c>
      <c r="AB15" s="481">
        <f t="shared" si="4"/>
        <v>1</v>
      </c>
      <c r="AC15" s="481">
        <f t="shared" si="5"/>
        <v>1</v>
      </c>
    </row>
    <row r="16" ht="15.75" spans="1:29">
      <c r="A16" s="255"/>
      <c r="B16" s="256">
        <v>111</v>
      </c>
      <c r="C16" s="307"/>
      <c r="D16" s="308">
        <v>100</v>
      </c>
      <c r="E16" s="368"/>
      <c r="F16" s="308">
        <f>SUMIF(83:83,E16,84:84)-SUMIF(83:83,C16,84:84)+100</f>
        <v>100</v>
      </c>
      <c r="G16" s="2182"/>
      <c r="H16" s="308">
        <f>SUMIF(83:83,G16,84:84)-SUMIF(83:83,C16,84:84)+100</f>
        <v>100</v>
      </c>
      <c r="I16" s="368"/>
      <c r="J16" s="308">
        <f>SUMIF(83:83,I16,84:84)-SUMIF(83:83,C16,84:84)+100</f>
        <v>100</v>
      </c>
      <c r="K16" s="2237"/>
      <c r="L16" s="398"/>
      <c r="M16" s="338"/>
      <c r="N16" s="338"/>
      <c r="O16" s="397"/>
      <c r="P16" s="390"/>
      <c r="Q16" s="466">
        <f t="shared" si="6"/>
        <v>111</v>
      </c>
      <c r="R16" s="462" t="s">
        <v>935</v>
      </c>
      <c r="S16" s="463">
        <f t="shared" si="0"/>
        <v>100</v>
      </c>
      <c r="T16" s="462" t="s">
        <v>935</v>
      </c>
      <c r="U16" s="463">
        <f t="shared" si="1"/>
        <v>100</v>
      </c>
      <c r="V16" s="462" t="s">
        <v>935</v>
      </c>
      <c r="W16" s="463">
        <f t="shared" si="2"/>
        <v>100</v>
      </c>
      <c r="X16" s="464"/>
      <c r="Y16" s="466"/>
      <c r="Z16" s="481">
        <f t="shared" si="7"/>
        <v>111</v>
      </c>
      <c r="AA16" s="481">
        <f t="shared" si="3"/>
        <v>1</v>
      </c>
      <c r="AB16" s="481">
        <f t="shared" si="4"/>
        <v>1</v>
      </c>
      <c r="AC16" s="481">
        <f t="shared" si="5"/>
        <v>1</v>
      </c>
    </row>
    <row r="17" ht="56.25" spans="1:29">
      <c r="A17" s="259" t="s">
        <v>946</v>
      </c>
      <c r="B17" s="260" t="s">
        <v>228</v>
      </c>
      <c r="C17" s="261" t="str">
        <f>估价对象房地状况!G15</f>
        <v>估价对象位于XX开发区，园区建设成熟度XX，产业集聚程度XX</v>
      </c>
      <c r="D17" s="262">
        <v>100</v>
      </c>
      <c r="E17" s="263"/>
      <c r="F17" s="262">
        <f>SUMIF(85:85,E18,86:86)-SUMIF(85:85,C18,86:86)+100</f>
        <v>100</v>
      </c>
      <c r="G17" s="263"/>
      <c r="H17" s="262">
        <f>SUMIF(85:85,G18,86:86)-SUMIF(85:85,C18,86:86)+100</f>
        <v>100</v>
      </c>
      <c r="I17" s="265"/>
      <c r="J17" s="262">
        <f>SUMIF(85:85,I18,86:86)-SUMIF(85:85,C18,86:86)+100</f>
        <v>100</v>
      </c>
      <c r="K17" s="2238"/>
      <c r="L17" s="398"/>
      <c r="M17" s="338"/>
      <c r="N17" s="338"/>
      <c r="O17" s="397"/>
      <c r="P17" s="400" t="s">
        <v>947</v>
      </c>
      <c r="Q17" s="390" t="str">
        <f t="shared" si="6"/>
        <v>产业集聚程度</v>
      </c>
      <c r="R17" s="467" t="s">
        <v>935</v>
      </c>
      <c r="S17" s="468">
        <f t="shared" si="0"/>
        <v>100</v>
      </c>
      <c r="T17" s="467" t="s">
        <v>935</v>
      </c>
      <c r="U17" s="468">
        <f t="shared" si="1"/>
        <v>100</v>
      </c>
      <c r="V17" s="467" t="s">
        <v>935</v>
      </c>
      <c r="W17" s="468">
        <f t="shared" si="2"/>
        <v>100</v>
      </c>
      <c r="X17" s="454"/>
      <c r="Y17" s="400" t="s">
        <v>947</v>
      </c>
      <c r="Z17" s="453" t="str">
        <f t="shared" si="7"/>
        <v>产业集聚程度</v>
      </c>
      <c r="AA17" s="453">
        <f t="shared" si="3"/>
        <v>1</v>
      </c>
      <c r="AB17" s="453">
        <f t="shared" si="4"/>
        <v>1</v>
      </c>
      <c r="AC17" s="453">
        <f t="shared" si="5"/>
        <v>1</v>
      </c>
    </row>
    <row r="18" ht="15" spans="1:29">
      <c r="A18" s="266"/>
      <c r="B18" s="267"/>
      <c r="C18" s="268"/>
      <c r="D18" s="269"/>
      <c r="E18" s="574"/>
      <c r="F18" s="269"/>
      <c r="G18" s="574"/>
      <c r="H18" s="271"/>
      <c r="I18" s="574"/>
      <c r="J18" s="269"/>
      <c r="K18" s="2237"/>
      <c r="L18" s="398"/>
      <c r="M18" s="338"/>
      <c r="N18" s="338"/>
      <c r="O18" s="397"/>
      <c r="P18" s="367"/>
      <c r="Q18" s="390"/>
      <c r="R18" s="467"/>
      <c r="S18" s="468"/>
      <c r="T18" s="467"/>
      <c r="U18" s="468"/>
      <c r="V18" s="467"/>
      <c r="W18" s="468"/>
      <c r="X18" s="454"/>
      <c r="Y18" s="367"/>
      <c r="Z18" s="453"/>
      <c r="AA18" s="453">
        <v>1</v>
      </c>
      <c r="AB18" s="453">
        <v>1</v>
      </c>
      <c r="AC18" s="453">
        <v>1</v>
      </c>
    </row>
    <row r="19" ht="81" spans="1:29">
      <c r="A19" s="266"/>
      <c r="B19" s="285" t="s">
        <v>229</v>
      </c>
      <c r="C19" s="273" t="str">
        <f>估价对象房地状况!G16</f>
        <v>估价对象周边道路状况、公共交通通达情况、停车便捷程度，综合评价交通便捷度较好</v>
      </c>
      <c r="D19" s="271">
        <v>100</v>
      </c>
      <c r="E19" s="281"/>
      <c r="F19" s="274">
        <f>SUMIF(87:87,E20,88:88)-SUMIF(87:87,C20,88:88)+100</f>
        <v>100</v>
      </c>
      <c r="G19" s="281"/>
      <c r="H19" s="274">
        <f>SUMIF(87:87,G20,88:88)-SUMIF(87:87,C20,88:88)+100</f>
        <v>100</v>
      </c>
      <c r="I19" s="283"/>
      <c r="J19" s="271">
        <f>SUMIF(87:87,I20,88:88)-SUMIF(87:87,C20,88:88)+100</f>
        <v>100</v>
      </c>
      <c r="K19" s="2238"/>
      <c r="L19" s="398"/>
      <c r="M19" s="338"/>
      <c r="N19" s="338"/>
      <c r="O19" s="397"/>
      <c r="P19" s="367"/>
      <c r="Q19" s="390" t="str">
        <f>B19</f>
        <v>交通便捷度</v>
      </c>
      <c r="R19" s="467" t="s">
        <v>935</v>
      </c>
      <c r="S19" s="468">
        <f>F19</f>
        <v>100</v>
      </c>
      <c r="T19" s="467" t="s">
        <v>935</v>
      </c>
      <c r="U19" s="468">
        <f>H19</f>
        <v>100</v>
      </c>
      <c r="V19" s="467" t="s">
        <v>935</v>
      </c>
      <c r="W19" s="468">
        <f>J19</f>
        <v>100</v>
      </c>
      <c r="X19" s="454"/>
      <c r="Y19" s="367"/>
      <c r="Z19" s="453" t="str">
        <f>Q19</f>
        <v>交通便捷度</v>
      </c>
      <c r="AA19" s="453">
        <f t="shared" si="3"/>
        <v>1</v>
      </c>
      <c r="AB19" s="453">
        <f t="shared" si="4"/>
        <v>1</v>
      </c>
      <c r="AC19" s="453">
        <f t="shared" si="5"/>
        <v>1</v>
      </c>
    </row>
    <row r="20" ht="15" spans="1:29">
      <c r="A20" s="266"/>
      <c r="B20" s="292"/>
      <c r="C20" s="268"/>
      <c r="D20" s="269"/>
      <c r="E20" s="546"/>
      <c r="F20" s="269"/>
      <c r="G20" s="546"/>
      <c r="H20" s="269"/>
      <c r="I20" s="547"/>
      <c r="J20" s="269"/>
      <c r="K20" s="2237"/>
      <c r="L20" s="398"/>
      <c r="M20" s="338"/>
      <c r="N20" s="338"/>
      <c r="O20" s="397"/>
      <c r="P20" s="367"/>
      <c r="Q20" s="390"/>
      <c r="R20" s="467"/>
      <c r="S20" s="468"/>
      <c r="T20" s="467"/>
      <c r="U20" s="468"/>
      <c r="V20" s="467"/>
      <c r="W20" s="468"/>
      <c r="X20" s="454"/>
      <c r="Y20" s="367"/>
      <c r="Z20" s="453"/>
      <c r="AA20" s="453">
        <v>1</v>
      </c>
      <c r="AB20" s="453">
        <v>1</v>
      </c>
      <c r="AC20" s="453">
        <v>1</v>
      </c>
    </row>
    <row r="21" ht="15" spans="1:29">
      <c r="A21" s="219"/>
      <c r="B21" s="285" t="s">
        <v>230</v>
      </c>
      <c r="C21" s="273">
        <f>估价对象房地状况!G17</f>
        <v>0</v>
      </c>
      <c r="D21" s="271">
        <v>100</v>
      </c>
      <c r="E21" s="281"/>
      <c r="F21" s="282">
        <f>SUMIF(89:89,E22,90:90)-SUMIF(89:89,C22,90:90)+100</f>
        <v>100</v>
      </c>
      <c r="G21" s="283"/>
      <c r="H21" s="282">
        <f>SUMIF(89:89,G22,90:90)-SUMIF(89:89,C22,90:90)+100</f>
        <v>100</v>
      </c>
      <c r="I21" s="283"/>
      <c r="J21" s="282">
        <f>SUMIF(89:89,I22,90:90)-SUMIF(89:89,C22,90:90)+100</f>
        <v>100</v>
      </c>
      <c r="K21" s="2239"/>
      <c r="L21" s="398"/>
      <c r="M21" s="338"/>
      <c r="N21" s="338"/>
      <c r="O21" s="397"/>
      <c r="P21" s="367"/>
      <c r="Q21" s="390" t="str">
        <f t="shared" ref="Q21:Q36" si="8">B21</f>
        <v>区域土地利用方向</v>
      </c>
      <c r="R21" s="467" t="s">
        <v>935</v>
      </c>
      <c r="S21" s="468">
        <f>F21</f>
        <v>100</v>
      </c>
      <c r="T21" s="467" t="s">
        <v>935</v>
      </c>
      <c r="U21" s="468">
        <f>H21</f>
        <v>100</v>
      </c>
      <c r="V21" s="467" t="s">
        <v>935</v>
      </c>
      <c r="W21" s="468">
        <f>J21</f>
        <v>100</v>
      </c>
      <c r="X21" s="454"/>
      <c r="Y21" s="367"/>
      <c r="Z21" s="453" t="str">
        <f>Q21</f>
        <v>区域土地利用方向</v>
      </c>
      <c r="AA21" s="453">
        <f t="shared" si="3"/>
        <v>1</v>
      </c>
      <c r="AB21" s="453">
        <f t="shared" si="4"/>
        <v>1</v>
      </c>
      <c r="AC21" s="453">
        <f t="shared" si="5"/>
        <v>1</v>
      </c>
    </row>
    <row r="22" ht="15" spans="1:29">
      <c r="A22" s="219"/>
      <c r="B22" s="286"/>
      <c r="C22" s="268"/>
      <c r="D22" s="269"/>
      <c r="E22" s="546"/>
      <c r="F22" s="270"/>
      <c r="G22" s="547"/>
      <c r="H22" s="270"/>
      <c r="I22" s="547"/>
      <c r="J22" s="270"/>
      <c r="K22" s="2240"/>
      <c r="L22" s="398"/>
      <c r="M22" s="338"/>
      <c r="N22" s="338"/>
      <c r="O22" s="397"/>
      <c r="P22" s="367"/>
      <c r="Q22" s="390"/>
      <c r="R22" s="467"/>
      <c r="S22" s="468"/>
      <c r="T22" s="467"/>
      <c r="U22" s="468"/>
      <c r="V22" s="467"/>
      <c r="W22" s="468"/>
      <c r="X22" s="454"/>
      <c r="Y22" s="367"/>
      <c r="Z22" s="453"/>
      <c r="AA22" s="453"/>
      <c r="AB22" s="453"/>
      <c r="AC22" s="453"/>
    </row>
    <row r="23" ht="67.5" spans="1:29">
      <c r="A23" s="219"/>
      <c r="B23" s="292" t="s">
        <v>1102</v>
      </c>
      <c r="C23" s="273" t="str">
        <f>估价对象房地状况!G18</f>
        <v>该园区内是否有污染型企业，绿化情况，卫生条件，整体环境状况判断</v>
      </c>
      <c r="D23" s="271">
        <v>100</v>
      </c>
      <c r="E23" s="281"/>
      <c r="F23" s="271">
        <f>SUMIF(91:91,E24,92:92)-SUMIF(91:91,C24,92:92)+100</f>
        <v>100</v>
      </c>
      <c r="G23" s="281"/>
      <c r="H23" s="271">
        <f>SUMIF(91:91,G24,92:92)-SUMIF(91:91,C24,92:92)+100</f>
        <v>100</v>
      </c>
      <c r="I23" s="283"/>
      <c r="J23" s="271">
        <f>SUMIF(91:91,I24,92:92)-SUMIF(91:91,C24,92:92)+100</f>
        <v>100</v>
      </c>
      <c r="K23" s="2238"/>
      <c r="L23" s="398"/>
      <c r="M23" s="338"/>
      <c r="N23" s="338"/>
      <c r="O23" s="397"/>
      <c r="P23" s="367"/>
      <c r="Q23" s="390" t="str">
        <f t="shared" si="8"/>
        <v>环境状况</v>
      </c>
      <c r="R23" s="467" t="s">
        <v>935</v>
      </c>
      <c r="S23" s="468">
        <f>F23</f>
        <v>100</v>
      </c>
      <c r="T23" s="467" t="s">
        <v>935</v>
      </c>
      <c r="U23" s="468">
        <f>H23</f>
        <v>100</v>
      </c>
      <c r="V23" s="467" t="s">
        <v>935</v>
      </c>
      <c r="W23" s="468">
        <f>J23</f>
        <v>100</v>
      </c>
      <c r="X23" s="454"/>
      <c r="Y23" s="367"/>
      <c r="Z23" s="453" t="str">
        <f>Q23</f>
        <v>环境状况</v>
      </c>
      <c r="AA23" s="453">
        <f t="shared" si="3"/>
        <v>1</v>
      </c>
      <c r="AB23" s="453">
        <f t="shared" si="4"/>
        <v>1</v>
      </c>
      <c r="AC23" s="453">
        <f t="shared" si="5"/>
        <v>1</v>
      </c>
    </row>
    <row r="24" ht="15" spans="1:29">
      <c r="A24" s="219"/>
      <c r="B24" s="286"/>
      <c r="C24" s="268"/>
      <c r="D24" s="269"/>
      <c r="E24" s="574"/>
      <c r="F24" s="269"/>
      <c r="G24" s="574"/>
      <c r="H24" s="269"/>
      <c r="I24" s="268"/>
      <c r="J24" s="269"/>
      <c r="K24" s="2237"/>
      <c r="L24" s="398"/>
      <c r="M24" s="338"/>
      <c r="N24" s="338"/>
      <c r="O24" s="397"/>
      <c r="P24" s="367"/>
      <c r="Q24" s="390"/>
      <c r="R24" s="467"/>
      <c r="S24" s="468"/>
      <c r="T24" s="467"/>
      <c r="U24" s="468"/>
      <c r="V24" s="467"/>
      <c r="W24" s="468"/>
      <c r="X24" s="454"/>
      <c r="Y24" s="367"/>
      <c r="Z24" s="453"/>
      <c r="AA24" s="453">
        <v>1</v>
      </c>
      <c r="AB24" s="453">
        <v>1</v>
      </c>
      <c r="AC24" s="453">
        <v>1</v>
      </c>
    </row>
    <row r="25" s="189" customFormat="1" ht="40.5" spans="1:29">
      <c r="A25" s="346"/>
      <c r="B25" s="1127" t="s">
        <v>231</v>
      </c>
      <c r="C25" s="273" t="str">
        <f>估价对象房地状况!G19</f>
        <v>估价对象所在区域公共配套设施齐备情况</v>
      </c>
      <c r="D25" s="271">
        <v>100</v>
      </c>
      <c r="E25" s="281"/>
      <c r="F25" s="271">
        <f>SUMIF(93:93,E26,94:94)-SUMIF(93:93,C26,94:94)+100</f>
        <v>100</v>
      </c>
      <c r="G25" s="281"/>
      <c r="H25" s="271">
        <f>SUMIF(93:93,G26,94:94)-SUMIF(93:93,C26,94:94)+100</f>
        <v>100</v>
      </c>
      <c r="I25" s="283"/>
      <c r="J25" s="271">
        <f>SUMIF(93:93,I26,94:94)-SUMIF(93:93,C26,94:94)+100</f>
        <v>100</v>
      </c>
      <c r="K25" s="2238"/>
      <c r="L25" s="386"/>
      <c r="M25" s="387"/>
      <c r="N25" s="387"/>
      <c r="O25" s="389"/>
      <c r="P25" s="367"/>
      <c r="Q25" s="466" t="str">
        <f t="shared" si="8"/>
        <v>公共配套设施</v>
      </c>
      <c r="R25" s="462" t="s">
        <v>935</v>
      </c>
      <c r="S25" s="463">
        <f>F25</f>
        <v>100</v>
      </c>
      <c r="T25" s="462" t="s">
        <v>935</v>
      </c>
      <c r="U25" s="463">
        <f>H25</f>
        <v>100</v>
      </c>
      <c r="V25" s="462" t="s">
        <v>935</v>
      </c>
      <c r="W25" s="463">
        <f>J25</f>
        <v>100</v>
      </c>
      <c r="X25" s="464"/>
      <c r="Y25" s="367"/>
      <c r="Z25" s="481" t="str">
        <f>Q25</f>
        <v>公共配套设施</v>
      </c>
      <c r="AA25" s="453">
        <f>D25/F25</f>
        <v>1</v>
      </c>
      <c r="AB25" s="453">
        <f>D25/H25</f>
        <v>1</v>
      </c>
      <c r="AC25" s="453">
        <f>D25/J25</f>
        <v>1</v>
      </c>
    </row>
    <row r="26" s="189" customFormat="1" ht="15" spans="1:29">
      <c r="A26" s="346"/>
      <c r="B26" s="286"/>
      <c r="C26" s="2183"/>
      <c r="D26" s="269"/>
      <c r="E26" s="574"/>
      <c r="F26" s="269"/>
      <c r="G26" s="574"/>
      <c r="H26" s="269"/>
      <c r="I26" s="268"/>
      <c r="J26" s="269"/>
      <c r="K26" s="2237"/>
      <c r="L26" s="386"/>
      <c r="M26" s="387"/>
      <c r="N26" s="387"/>
      <c r="O26" s="389"/>
      <c r="P26" s="367"/>
      <c r="Q26" s="466"/>
      <c r="R26" s="462"/>
      <c r="S26" s="463"/>
      <c r="T26" s="462"/>
      <c r="U26" s="463"/>
      <c r="V26" s="462"/>
      <c r="W26" s="463"/>
      <c r="X26" s="464"/>
      <c r="Y26" s="367"/>
      <c r="Z26" s="481"/>
      <c r="AA26" s="481">
        <v>1</v>
      </c>
      <c r="AB26" s="481">
        <v>1</v>
      </c>
      <c r="AC26" s="481">
        <v>1</v>
      </c>
    </row>
    <row r="27" s="189" customFormat="1" ht="27" spans="1:29">
      <c r="A27" s="346"/>
      <c r="B27" s="1127" t="s">
        <v>232</v>
      </c>
      <c r="C27" s="273" t="str">
        <f>估价对象房地状况!G20</f>
        <v>估价对象所在区域基础设施水平</v>
      </c>
      <c r="D27" s="271">
        <v>100</v>
      </c>
      <c r="E27" s="281"/>
      <c r="F27" s="271">
        <f>SUMIF(95:95,E28,96:96)-SUMIF(95:95,C28,96:96)+100</f>
        <v>100</v>
      </c>
      <c r="G27" s="281"/>
      <c r="H27" s="271">
        <f>SUMIF(95:95,G28,96:96)-SUMIF(95:95,C28,96:96)+100</f>
        <v>100</v>
      </c>
      <c r="I27" s="283"/>
      <c r="J27" s="271">
        <f>SUMIF(95:95,I28,96:96)-SUMIF(95:95,C28,96:96)+100</f>
        <v>100</v>
      </c>
      <c r="K27" s="2238"/>
      <c r="L27" s="386"/>
      <c r="M27" s="387"/>
      <c r="N27" s="387"/>
      <c r="O27" s="389"/>
      <c r="P27" s="367"/>
      <c r="Q27" s="466" t="str">
        <f t="shared" ref="Q27" si="9">B27</f>
        <v>基础设施水平</v>
      </c>
      <c r="R27" s="462" t="s">
        <v>935</v>
      </c>
      <c r="S27" s="463">
        <f>F27</f>
        <v>100</v>
      </c>
      <c r="T27" s="462" t="s">
        <v>935</v>
      </c>
      <c r="U27" s="463">
        <f>H27</f>
        <v>100</v>
      </c>
      <c r="V27" s="462" t="s">
        <v>935</v>
      </c>
      <c r="W27" s="463">
        <f>J27</f>
        <v>100</v>
      </c>
      <c r="X27" s="464"/>
      <c r="Y27" s="367"/>
      <c r="Z27" s="481" t="str">
        <f>Q27</f>
        <v>基础设施水平</v>
      </c>
      <c r="AA27" s="453">
        <f>D27/F27</f>
        <v>1</v>
      </c>
      <c r="AB27" s="453">
        <f>D27/H27</f>
        <v>1</v>
      </c>
      <c r="AC27" s="453">
        <f>D27/J27</f>
        <v>1</v>
      </c>
    </row>
    <row r="28" s="189" customFormat="1" ht="15" spans="1:29">
      <c r="A28" s="346"/>
      <c r="B28" s="286"/>
      <c r="C28" s="2183"/>
      <c r="D28" s="269"/>
      <c r="E28" s="2184"/>
      <c r="F28" s="269"/>
      <c r="G28" s="2184"/>
      <c r="H28" s="269"/>
      <c r="I28" s="2184"/>
      <c r="J28" s="269"/>
      <c r="K28" s="2237"/>
      <c r="L28" s="386"/>
      <c r="M28" s="387"/>
      <c r="N28" s="387"/>
      <c r="O28" s="389"/>
      <c r="P28" s="367"/>
      <c r="Q28" s="466"/>
      <c r="R28" s="462"/>
      <c r="S28" s="463"/>
      <c r="T28" s="462"/>
      <c r="U28" s="463"/>
      <c r="V28" s="462"/>
      <c r="W28" s="463"/>
      <c r="X28" s="464"/>
      <c r="Y28" s="367"/>
      <c r="Z28" s="481"/>
      <c r="AA28" s="481">
        <v>1</v>
      </c>
      <c r="AB28" s="481">
        <v>1</v>
      </c>
      <c r="AC28" s="481">
        <v>1</v>
      </c>
    </row>
    <row r="29" ht="15" spans="1:29">
      <c r="A29" s="266"/>
      <c r="B29" s="286" t="s">
        <v>234</v>
      </c>
      <c r="C29" s="287"/>
      <c r="D29" s="258">
        <v>100</v>
      </c>
      <c r="E29" s="577"/>
      <c r="F29" s="258">
        <f>SUMIF(97:97,E29,98:98)-SUMIF(97:97,C29,98:98)+100</f>
        <v>100</v>
      </c>
      <c r="G29" s="577"/>
      <c r="H29" s="258">
        <f>SUMIF(97:97,G29,98:98)-SUMIF(97:97,C29,98:98)+100</f>
        <v>100</v>
      </c>
      <c r="I29" s="577"/>
      <c r="J29" s="258">
        <f>SUMIF(97:97,I29,98:98)-SUMIF(97:97,C29,98:98)+100</f>
        <v>100</v>
      </c>
      <c r="K29" s="2238"/>
      <c r="L29" s="398"/>
      <c r="M29" s="338"/>
      <c r="N29" s="338"/>
      <c r="O29" s="397"/>
      <c r="P29" s="367"/>
      <c r="Q29" s="390" t="str">
        <f t="shared" si="8"/>
        <v>临街状况</v>
      </c>
      <c r="R29" s="467" t="s">
        <v>935</v>
      </c>
      <c r="S29" s="468">
        <f t="shared" ref="S29:S42" si="10">F29</f>
        <v>100</v>
      </c>
      <c r="T29" s="467" t="s">
        <v>935</v>
      </c>
      <c r="U29" s="468">
        <f t="shared" ref="U29:U42" si="11">H29</f>
        <v>100</v>
      </c>
      <c r="V29" s="467" t="s">
        <v>935</v>
      </c>
      <c r="W29" s="468">
        <f t="shared" ref="W29:W42" si="12">J29</f>
        <v>100</v>
      </c>
      <c r="X29" s="454"/>
      <c r="Y29" s="367"/>
      <c r="Z29" s="453" t="str">
        <f t="shared" ref="Z29:Z42" si="13">Q29</f>
        <v>临街状况</v>
      </c>
      <c r="AA29" s="453">
        <f t="shared" si="3"/>
        <v>1</v>
      </c>
      <c r="AB29" s="453">
        <f t="shared" si="4"/>
        <v>1</v>
      </c>
      <c r="AC29" s="453">
        <f t="shared" si="5"/>
        <v>1</v>
      </c>
    </row>
    <row r="30" ht="27" spans="1:29">
      <c r="A30" s="266"/>
      <c r="B30" s="292" t="s">
        <v>952</v>
      </c>
      <c r="C30" s="2185">
        <f>估价对象房地状况!G22</f>
        <v>0</v>
      </c>
      <c r="D30" s="271">
        <v>100</v>
      </c>
      <c r="E30" s="281"/>
      <c r="F30" s="271">
        <f>SUMIF(99:99,E31,100:100)-SUMIF(99:99,C31,100:100)+100</f>
        <v>100</v>
      </c>
      <c r="G30" s="281"/>
      <c r="H30" s="271">
        <f>SUMIF(99:99,G31,100:100)-SUMIF(99:99,C31,100:100)+100</f>
        <v>100</v>
      </c>
      <c r="I30" s="283"/>
      <c r="J30" s="271">
        <f>SUMIF(99:99,I31,100:100)-SUMIF(99:99,C31,100:100)+100</f>
        <v>100</v>
      </c>
      <c r="K30" s="2238"/>
      <c r="L30" s="398"/>
      <c r="M30" s="338"/>
      <c r="N30" s="338"/>
      <c r="O30" s="397"/>
      <c r="P30" s="367"/>
      <c r="Q30" s="390" t="str">
        <f t="shared" si="8"/>
        <v>毗邻道路的类型与等级</v>
      </c>
      <c r="R30" s="467" t="s">
        <v>935</v>
      </c>
      <c r="S30" s="468">
        <f t="shared" si="10"/>
        <v>100</v>
      </c>
      <c r="T30" s="467" t="s">
        <v>935</v>
      </c>
      <c r="U30" s="468">
        <f t="shared" si="11"/>
        <v>100</v>
      </c>
      <c r="V30" s="467" t="s">
        <v>935</v>
      </c>
      <c r="W30" s="468">
        <f t="shared" si="12"/>
        <v>100</v>
      </c>
      <c r="X30" s="454"/>
      <c r="Y30" s="367"/>
      <c r="Z30" s="453" t="str">
        <f t="shared" si="13"/>
        <v>毗邻道路的类型与等级</v>
      </c>
      <c r="AA30" s="453">
        <f t="shared" si="3"/>
        <v>1</v>
      </c>
      <c r="AB30" s="453">
        <f t="shared" si="4"/>
        <v>1</v>
      </c>
      <c r="AC30" s="453">
        <f t="shared" si="5"/>
        <v>1</v>
      </c>
    </row>
    <row r="31" ht="15" spans="1:29">
      <c r="A31" s="266"/>
      <c r="B31" s="286"/>
      <c r="C31" s="268"/>
      <c r="D31" s="269"/>
      <c r="E31" s="268"/>
      <c r="F31" s="269"/>
      <c r="G31" s="268"/>
      <c r="H31" s="269"/>
      <c r="I31" s="268"/>
      <c r="J31" s="269"/>
      <c r="K31" s="395"/>
      <c r="L31" s="398"/>
      <c r="M31" s="338"/>
      <c r="N31" s="338"/>
      <c r="O31" s="397"/>
      <c r="P31" s="367"/>
      <c r="Q31" s="390"/>
      <c r="R31" s="467"/>
      <c r="S31" s="468"/>
      <c r="T31" s="467"/>
      <c r="U31" s="468"/>
      <c r="V31" s="467"/>
      <c r="W31" s="468"/>
      <c r="X31" s="454"/>
      <c r="Y31" s="367"/>
      <c r="Z31" s="453"/>
      <c r="AA31" s="453">
        <v>1</v>
      </c>
      <c r="AB31" s="453">
        <v>1</v>
      </c>
      <c r="AC31" s="453">
        <v>1</v>
      </c>
    </row>
    <row r="32" ht="15" spans="1:29">
      <c r="A32" s="266"/>
      <c r="B32" s="297" t="s">
        <v>953</v>
      </c>
      <c r="C32" s="2186">
        <f>估价对象房地状况!G23</f>
        <v>0</v>
      </c>
      <c r="D32" s="258">
        <v>100</v>
      </c>
      <c r="E32" s="577"/>
      <c r="F32" s="258">
        <f>SUMIF(101:101,E32,102:102)-SUMIF(101:101,C32,102:102)+100</f>
        <v>100</v>
      </c>
      <c r="G32" s="577"/>
      <c r="H32" s="258">
        <f>SUMIF(101:101,G32,102:102)-SUMIF(101:101,C32,102:102)+100</f>
        <v>100</v>
      </c>
      <c r="I32" s="577"/>
      <c r="J32" s="258">
        <f>SUMIF(101:101,I32,102:102)-SUMIF(101:101,C32,102:102)+100</f>
        <v>100</v>
      </c>
      <c r="K32" s="391"/>
      <c r="L32" s="398"/>
      <c r="M32" s="338"/>
      <c r="N32" s="338"/>
      <c r="O32" s="397"/>
      <c r="P32" s="367"/>
      <c r="Q32" s="390" t="str">
        <f t="shared" si="8"/>
        <v>土地级别</v>
      </c>
      <c r="R32" s="467" t="s">
        <v>935</v>
      </c>
      <c r="S32" s="468">
        <f t="shared" si="10"/>
        <v>100</v>
      </c>
      <c r="T32" s="467" t="s">
        <v>935</v>
      </c>
      <c r="U32" s="468">
        <f t="shared" si="11"/>
        <v>100</v>
      </c>
      <c r="V32" s="467" t="s">
        <v>935</v>
      </c>
      <c r="W32" s="468">
        <f t="shared" si="12"/>
        <v>100</v>
      </c>
      <c r="X32" s="454"/>
      <c r="Y32" s="367"/>
      <c r="Z32" s="453" t="str">
        <f t="shared" si="13"/>
        <v>土地级别</v>
      </c>
      <c r="AA32" s="453">
        <f t="shared" si="3"/>
        <v>1</v>
      </c>
      <c r="AB32" s="453">
        <f t="shared" si="4"/>
        <v>1</v>
      </c>
      <c r="AC32" s="453">
        <f t="shared" si="5"/>
        <v>1</v>
      </c>
    </row>
    <row r="33" ht="15" spans="1:29">
      <c r="A33" s="219"/>
      <c r="B33" s="548">
        <v>111</v>
      </c>
      <c r="C33" s="2182"/>
      <c r="D33" s="258">
        <v>100</v>
      </c>
      <c r="E33" s="1180"/>
      <c r="F33" s="258">
        <f>SUMIF(103:103,E33,104:104)-SUMIF(103:103,C33,104:104)+100</f>
        <v>100</v>
      </c>
      <c r="G33" s="1180"/>
      <c r="H33" s="258">
        <f>SUMIF(103:103,G33,104:104)-SUMIF(103:103,C33,104:104)+100</f>
        <v>100</v>
      </c>
      <c r="I33" s="368"/>
      <c r="J33" s="258">
        <f>SUMIF(103:103,I33,104:104)-SUMIF(103:103,C33,104:104)+100</f>
        <v>100</v>
      </c>
      <c r="K33" s="395"/>
      <c r="L33" s="398"/>
      <c r="M33" s="338"/>
      <c r="N33" s="338"/>
      <c r="O33" s="397"/>
      <c r="P33" s="367"/>
      <c r="Q33" s="390">
        <f t="shared" si="8"/>
        <v>111</v>
      </c>
      <c r="R33" s="467" t="s">
        <v>935</v>
      </c>
      <c r="S33" s="468">
        <f t="shared" si="10"/>
        <v>100</v>
      </c>
      <c r="T33" s="467" t="s">
        <v>935</v>
      </c>
      <c r="U33" s="468">
        <f t="shared" si="11"/>
        <v>100</v>
      </c>
      <c r="V33" s="467" t="s">
        <v>935</v>
      </c>
      <c r="W33" s="468">
        <f t="shared" si="12"/>
        <v>100</v>
      </c>
      <c r="X33" s="454"/>
      <c r="Y33" s="367"/>
      <c r="Z33" s="453">
        <f t="shared" si="13"/>
        <v>111</v>
      </c>
      <c r="AA33" s="453">
        <f t="shared" si="3"/>
        <v>1</v>
      </c>
      <c r="AB33" s="453">
        <f t="shared" si="4"/>
        <v>1</v>
      </c>
      <c r="AC33" s="453">
        <f t="shared" si="5"/>
        <v>1</v>
      </c>
    </row>
    <row r="34" ht="15" spans="1:29">
      <c r="A34" s="2187"/>
      <c r="B34" s="2188">
        <v>111</v>
      </c>
      <c r="C34" s="2182"/>
      <c r="D34" s="258">
        <v>100</v>
      </c>
      <c r="E34" s="1180"/>
      <c r="F34" s="258">
        <f>SUMIF(105:105,E35,106:106)-SUMIF(105:105,C35,106:106)+100</f>
        <v>100</v>
      </c>
      <c r="G34" s="1180"/>
      <c r="H34" s="258">
        <f>SUMIF(105:105,G34,106:106)-SUMIF(105:105,C34,106:106)+100</f>
        <v>100</v>
      </c>
      <c r="I34" s="2182"/>
      <c r="J34" s="258">
        <f>SUMIF(105:105,I34,106:106)-SUMIF(105:105,C34,106:106)+100</f>
        <v>100</v>
      </c>
      <c r="K34" s="395"/>
      <c r="L34" s="398"/>
      <c r="M34" s="338"/>
      <c r="N34" s="338"/>
      <c r="O34" s="397"/>
      <c r="P34" s="403" t="s">
        <v>954</v>
      </c>
      <c r="Q34" s="390">
        <f t="shared" si="8"/>
        <v>111</v>
      </c>
      <c r="R34" s="467" t="s">
        <v>935</v>
      </c>
      <c r="S34" s="468">
        <f t="shared" si="10"/>
        <v>100</v>
      </c>
      <c r="T34" s="467" t="s">
        <v>935</v>
      </c>
      <c r="U34" s="468">
        <f t="shared" si="11"/>
        <v>100</v>
      </c>
      <c r="V34" s="467" t="s">
        <v>935</v>
      </c>
      <c r="W34" s="468">
        <f t="shared" si="12"/>
        <v>100</v>
      </c>
      <c r="X34" s="454"/>
      <c r="Y34" s="406" t="s">
        <v>954</v>
      </c>
      <c r="Z34" s="453">
        <f t="shared" si="13"/>
        <v>111</v>
      </c>
      <c r="AA34" s="453">
        <f t="shared" si="3"/>
        <v>1</v>
      </c>
      <c r="AB34" s="453">
        <f t="shared" si="4"/>
        <v>1</v>
      </c>
      <c r="AC34" s="453">
        <f t="shared" si="5"/>
        <v>1</v>
      </c>
    </row>
    <row r="35" s="191" customFormat="1" ht="15.75" spans="1:29">
      <c r="A35" s="2189"/>
      <c r="B35" s="2190">
        <v>111</v>
      </c>
      <c r="C35" s="2191"/>
      <c r="D35" s="2192">
        <v>100</v>
      </c>
      <c r="E35" s="2193"/>
      <c r="F35" s="308">
        <f>SUMIF(107:107,E35,108:108)-SUMIF(107:107,C35,108:108)+100</f>
        <v>100</v>
      </c>
      <c r="G35" s="2193"/>
      <c r="H35" s="308">
        <f>SUMIF(107:107,G35,108:108)-SUMIF(107:107,C35,108:108)+100</f>
        <v>100</v>
      </c>
      <c r="I35" s="2191"/>
      <c r="J35" s="308">
        <f>SUMIF(107:107,I35,108:108)-SUMIF(107:107,C35,108:108)+100</f>
        <v>100</v>
      </c>
      <c r="K35" s="395"/>
      <c r="L35" s="396"/>
      <c r="M35" s="404"/>
      <c r="N35" s="404"/>
      <c r="O35" s="405"/>
      <c r="P35" s="406"/>
      <c r="Q35" s="390">
        <f t="shared" si="8"/>
        <v>111</v>
      </c>
      <c r="R35" s="470" t="s">
        <v>935</v>
      </c>
      <c r="S35" s="471">
        <f t="shared" si="10"/>
        <v>100</v>
      </c>
      <c r="T35" s="470" t="s">
        <v>935</v>
      </c>
      <c r="U35" s="471">
        <f t="shared" si="11"/>
        <v>100</v>
      </c>
      <c r="V35" s="470" t="s">
        <v>935</v>
      </c>
      <c r="W35" s="471">
        <f t="shared" si="12"/>
        <v>100</v>
      </c>
      <c r="X35" s="472"/>
      <c r="Y35" s="406"/>
      <c r="Z35" s="482">
        <f t="shared" si="13"/>
        <v>111</v>
      </c>
      <c r="AA35" s="453">
        <f t="shared" si="3"/>
        <v>1</v>
      </c>
      <c r="AB35" s="453">
        <f t="shared" si="4"/>
        <v>1</v>
      </c>
      <c r="AC35" s="453">
        <f t="shared" si="5"/>
        <v>1</v>
      </c>
    </row>
    <row r="36" ht="15" spans="1:29">
      <c r="A36" s="293" t="s">
        <v>955</v>
      </c>
      <c r="B36" s="286" t="s">
        <v>956</v>
      </c>
      <c r="C36" s="2194"/>
      <c r="D36" s="216">
        <v>100</v>
      </c>
      <c r="E36" s="2194"/>
      <c r="F36" s="216" t="e">
        <f>LOOKUP(E36,110:110,111:111)-LOOKUP(C36,110:110,111:111)+100</f>
        <v>#N/A</v>
      </c>
      <c r="G36" s="2194"/>
      <c r="H36" s="216" t="e">
        <f>LOOKUP(G36,110:110,111:111)-LOOKUP(C36,110:110,111:111)+100</f>
        <v>#N/A</v>
      </c>
      <c r="I36" s="360"/>
      <c r="J36" s="216" t="e">
        <f>LOOKUP(I36,110:110,111:111)-LOOKUP(C36,110:110,111:111)+100</f>
        <v>#N/A</v>
      </c>
      <c r="K36" s="395"/>
      <c r="L36" s="398"/>
      <c r="M36" s="338"/>
      <c r="N36" s="338"/>
      <c r="O36" s="397"/>
      <c r="P36" s="406"/>
      <c r="Q36" s="390" t="str">
        <f t="shared" si="8"/>
        <v>宗地面积</v>
      </c>
      <c r="R36" s="467" t="s">
        <v>935</v>
      </c>
      <c r="S36" s="468" t="e">
        <f t="shared" si="10"/>
        <v>#N/A</v>
      </c>
      <c r="T36" s="467" t="s">
        <v>935</v>
      </c>
      <c r="U36" s="468" t="e">
        <f t="shared" si="11"/>
        <v>#N/A</v>
      </c>
      <c r="V36" s="467" t="s">
        <v>935</v>
      </c>
      <c r="W36" s="468" t="e">
        <f t="shared" si="12"/>
        <v>#N/A</v>
      </c>
      <c r="X36" s="454"/>
      <c r="Y36" s="406"/>
      <c r="Z36" s="453" t="str">
        <f t="shared" si="13"/>
        <v>宗地面积</v>
      </c>
      <c r="AA36" s="453" t="e">
        <f t="shared" si="3"/>
        <v>#N/A</v>
      </c>
      <c r="AB36" s="453" t="e">
        <f t="shared" si="4"/>
        <v>#N/A</v>
      </c>
      <c r="AC36" s="453" t="e">
        <f t="shared" si="5"/>
        <v>#N/A</v>
      </c>
    </row>
    <row r="37" ht="15" spans="1:29">
      <c r="A37" s="301"/>
      <c r="B37" s="297" t="s">
        <v>957</v>
      </c>
      <c r="C37" s="582"/>
      <c r="D37" s="258">
        <v>100</v>
      </c>
      <c r="E37" s="582"/>
      <c r="F37" s="258">
        <f>SUMIF(112:112,E37,113:113)-SUMIF(112:112,C37,113:113)+100</f>
        <v>100</v>
      </c>
      <c r="G37" s="582"/>
      <c r="H37" s="258">
        <f>SUMIF(112:112,G37,113:113)-SUMIF(112:112,C37,113:113)+100</f>
        <v>100</v>
      </c>
      <c r="I37" s="582"/>
      <c r="J37" s="258">
        <f>SUMIF(112:112,I37,113:113)-SUMIF(112:112,C37,113:113)+100</f>
        <v>100</v>
      </c>
      <c r="K37" s="391"/>
      <c r="L37" s="398"/>
      <c r="M37" s="338"/>
      <c r="N37" s="338"/>
      <c r="O37" s="397"/>
      <c r="P37" s="406"/>
      <c r="Q37" s="390" t="str">
        <f t="shared" ref="Q37:Q42" si="14">B37</f>
        <v>宗地形状</v>
      </c>
      <c r="R37" s="467" t="s">
        <v>935</v>
      </c>
      <c r="S37" s="468">
        <f t="shared" si="10"/>
        <v>100</v>
      </c>
      <c r="T37" s="467" t="s">
        <v>935</v>
      </c>
      <c r="U37" s="468">
        <f t="shared" si="11"/>
        <v>100</v>
      </c>
      <c r="V37" s="467" t="s">
        <v>935</v>
      </c>
      <c r="W37" s="468">
        <f t="shared" si="12"/>
        <v>100</v>
      </c>
      <c r="X37" s="454"/>
      <c r="Y37" s="406"/>
      <c r="Z37" s="453" t="str">
        <f t="shared" si="13"/>
        <v>宗地形状</v>
      </c>
      <c r="AA37" s="453">
        <f t="shared" si="3"/>
        <v>1</v>
      </c>
      <c r="AB37" s="453">
        <f t="shared" si="4"/>
        <v>1</v>
      </c>
      <c r="AC37" s="453">
        <f t="shared" si="5"/>
        <v>1</v>
      </c>
    </row>
    <row r="38" s="189" customFormat="1" ht="15" spans="1:29">
      <c r="A38" s="304"/>
      <c r="B38" s="550" t="s">
        <v>960</v>
      </c>
      <c r="C38" s="2195"/>
      <c r="D38" s="248">
        <v>100</v>
      </c>
      <c r="E38" s="2195"/>
      <c r="F38" s="258">
        <f>SUMIF(114:114,E38,115:115)-SUMIF(114:114,C38,115:115)+100</f>
        <v>100</v>
      </c>
      <c r="G38" s="2195"/>
      <c r="H38" s="258">
        <f>SUMIF(114:114,G38,115:115)-SUMIF(114:114,C38,115:115)+100</f>
        <v>100</v>
      </c>
      <c r="I38" s="2195"/>
      <c r="J38" s="258">
        <f>SUMIF(114:114,I38,115:115)-SUMIF(114:114,C38,115:115)+100</f>
        <v>100</v>
      </c>
      <c r="K38" s="391"/>
      <c r="L38" s="386"/>
      <c r="M38" s="387"/>
      <c r="N38" s="387"/>
      <c r="O38" s="389"/>
      <c r="P38" s="406"/>
      <c r="Q38" s="390" t="str">
        <f t="shared" si="14"/>
        <v>宗地开发程度</v>
      </c>
      <c r="R38" s="462" t="s">
        <v>935</v>
      </c>
      <c r="S38" s="463">
        <f t="shared" si="10"/>
        <v>100</v>
      </c>
      <c r="T38" s="462" t="s">
        <v>935</v>
      </c>
      <c r="U38" s="463">
        <f t="shared" si="11"/>
        <v>100</v>
      </c>
      <c r="V38" s="462" t="s">
        <v>935</v>
      </c>
      <c r="W38" s="463">
        <f t="shared" si="12"/>
        <v>100</v>
      </c>
      <c r="X38" s="464"/>
      <c r="Y38" s="406"/>
      <c r="Z38" s="481" t="str">
        <f t="shared" si="13"/>
        <v>宗地开发程度</v>
      </c>
      <c r="AA38" s="481">
        <f t="shared" si="3"/>
        <v>1</v>
      </c>
      <c r="AB38" s="481">
        <f t="shared" si="4"/>
        <v>1</v>
      </c>
      <c r="AC38" s="481">
        <f t="shared" si="5"/>
        <v>1</v>
      </c>
    </row>
    <row r="39" ht="15" spans="1:29">
      <c r="A39" s="301"/>
      <c r="B39" s="297" t="s">
        <v>961</v>
      </c>
      <c r="C39" s="582"/>
      <c r="D39" s="258">
        <v>100</v>
      </c>
      <c r="E39" s="582"/>
      <c r="F39" s="258">
        <f>SUMIF(116:116,E39,117:117)-SUMIF(116:116,C39,117:117)+100</f>
        <v>100</v>
      </c>
      <c r="G39" s="582"/>
      <c r="H39" s="258">
        <f>SUMIF(116:116,G39,117:117)-SUMIF(116:116,C39,117:117)+100</f>
        <v>100</v>
      </c>
      <c r="I39" s="582"/>
      <c r="J39" s="258">
        <f>SUMIF(116:116,I39,117:117)-SUMIF(116:116,C39,117:117)+100</f>
        <v>100</v>
      </c>
      <c r="K39" s="391"/>
      <c r="L39" s="398"/>
      <c r="M39" s="338"/>
      <c r="N39" s="338"/>
      <c r="O39" s="397"/>
      <c r="P39" s="406" t="s">
        <v>954</v>
      </c>
      <c r="Q39" s="390" t="str">
        <f t="shared" si="14"/>
        <v>工程地质条件</v>
      </c>
      <c r="R39" s="467" t="s">
        <v>935</v>
      </c>
      <c r="S39" s="468">
        <f t="shared" si="10"/>
        <v>100</v>
      </c>
      <c r="T39" s="467" t="s">
        <v>935</v>
      </c>
      <c r="U39" s="468">
        <f t="shared" si="11"/>
        <v>100</v>
      </c>
      <c r="V39" s="467" t="s">
        <v>935</v>
      </c>
      <c r="W39" s="468">
        <f t="shared" si="12"/>
        <v>100</v>
      </c>
      <c r="X39" s="454"/>
      <c r="Y39" s="406" t="s">
        <v>954</v>
      </c>
      <c r="Z39" s="453" t="str">
        <f t="shared" si="13"/>
        <v>工程地质条件</v>
      </c>
      <c r="AA39" s="453">
        <f t="shared" si="3"/>
        <v>1</v>
      </c>
      <c r="AB39" s="453">
        <f t="shared" si="4"/>
        <v>1</v>
      </c>
      <c r="AC39" s="453">
        <f t="shared" si="5"/>
        <v>1</v>
      </c>
    </row>
    <row r="40" ht="15" spans="1:29">
      <c r="A40" s="301"/>
      <c r="B40" s="2188">
        <v>111</v>
      </c>
      <c r="C40" s="2182"/>
      <c r="D40" s="258">
        <v>100</v>
      </c>
      <c r="E40" s="2182"/>
      <c r="F40" s="258">
        <f>SUMIF(118:118,E40,119:119)-SUMIF(118:118,C40,119:119)+100</f>
        <v>100</v>
      </c>
      <c r="G40" s="2182"/>
      <c r="H40" s="258">
        <f>SUMIF(118:118,G40,119:119)-SUMIF(118:118,C40,119:119)+100</f>
        <v>100</v>
      </c>
      <c r="I40" s="368"/>
      <c r="J40" s="258">
        <f>SUMIF(118:118,I40,119:119)-SUMIF(118:118,C40,119:119)+100</f>
        <v>100</v>
      </c>
      <c r="K40" s="395"/>
      <c r="L40" s="398"/>
      <c r="M40" s="338"/>
      <c r="N40" s="338"/>
      <c r="O40" s="397"/>
      <c r="P40" s="406"/>
      <c r="Q40" s="390">
        <f t="shared" si="14"/>
        <v>111</v>
      </c>
      <c r="R40" s="467" t="s">
        <v>935</v>
      </c>
      <c r="S40" s="468">
        <f t="shared" si="10"/>
        <v>100</v>
      </c>
      <c r="T40" s="467" t="s">
        <v>935</v>
      </c>
      <c r="U40" s="468">
        <f t="shared" si="11"/>
        <v>100</v>
      </c>
      <c r="V40" s="467" t="s">
        <v>935</v>
      </c>
      <c r="W40" s="468">
        <f t="shared" si="12"/>
        <v>100</v>
      </c>
      <c r="X40" s="454"/>
      <c r="Y40" s="406"/>
      <c r="Z40" s="453">
        <f t="shared" si="13"/>
        <v>111</v>
      </c>
      <c r="AA40" s="453">
        <f t="shared" si="3"/>
        <v>1</v>
      </c>
      <c r="AB40" s="453">
        <f t="shared" si="4"/>
        <v>1</v>
      </c>
      <c r="AC40" s="453">
        <f t="shared" si="5"/>
        <v>1</v>
      </c>
    </row>
    <row r="41" ht="15" spans="1:29">
      <c r="A41" s="301"/>
      <c r="B41" s="2188">
        <v>111</v>
      </c>
      <c r="C41" s="2182"/>
      <c r="D41" s="258">
        <v>100</v>
      </c>
      <c r="E41" s="2182"/>
      <c r="F41" s="258">
        <f>SUMIF(120:120,E41,121:121)-SUMIF(120:120,C41,121:121)+100</f>
        <v>100</v>
      </c>
      <c r="G41" s="2182"/>
      <c r="H41" s="258">
        <f>SUMIF(120:120,G41,121:121)-SUMIF(120:120,C41,121:121)+100</f>
        <v>100</v>
      </c>
      <c r="I41" s="368"/>
      <c r="J41" s="258">
        <f>SUMIF(120:120,I41,121:121)-SUMIF(120:120,C41,121:121)+100</f>
        <v>100</v>
      </c>
      <c r="K41" s="395"/>
      <c r="L41" s="398"/>
      <c r="M41" s="338"/>
      <c r="N41" s="338"/>
      <c r="O41" s="397"/>
      <c r="P41" s="406"/>
      <c r="Q41" s="390">
        <f t="shared" si="14"/>
        <v>111</v>
      </c>
      <c r="R41" s="467" t="s">
        <v>935</v>
      </c>
      <c r="S41" s="468">
        <f t="shared" si="10"/>
        <v>100</v>
      </c>
      <c r="T41" s="467" t="s">
        <v>935</v>
      </c>
      <c r="U41" s="468">
        <f t="shared" si="11"/>
        <v>100</v>
      </c>
      <c r="V41" s="467" t="s">
        <v>935</v>
      </c>
      <c r="W41" s="468">
        <f t="shared" si="12"/>
        <v>100</v>
      </c>
      <c r="X41" s="454"/>
      <c r="Y41" s="406"/>
      <c r="Z41" s="453">
        <f t="shared" si="13"/>
        <v>111</v>
      </c>
      <c r="AA41" s="453">
        <f t="shared" si="3"/>
        <v>1</v>
      </c>
      <c r="AB41" s="453">
        <f t="shared" si="4"/>
        <v>1</v>
      </c>
      <c r="AC41" s="453">
        <f t="shared" si="5"/>
        <v>1</v>
      </c>
    </row>
    <row r="42" s="191" customFormat="1" ht="15.75" spans="1:29">
      <c r="A42" s="296"/>
      <c r="B42" s="2188">
        <v>111</v>
      </c>
      <c r="C42" s="2196"/>
      <c r="D42" s="2192">
        <v>100</v>
      </c>
      <c r="E42" s="2182"/>
      <c r="F42" s="308">
        <f>SUMIF(122:122,E42,123:123)-SUMIF(122:122,C42,123:123)+100</f>
        <v>100</v>
      </c>
      <c r="G42" s="2182"/>
      <c r="H42" s="308">
        <f>SUMIF(122:122,G42,123:123)-SUMIF(122:122,C42,123:123)+100</f>
        <v>100</v>
      </c>
      <c r="I42" s="368"/>
      <c r="J42" s="308">
        <f>SUMIF(122:122,I42,123:123)-SUMIF(122:122,C42,123:123)+100</f>
        <v>100</v>
      </c>
      <c r="K42" s="2241"/>
      <c r="L42" s="396"/>
      <c r="M42" s="404"/>
      <c r="N42" s="404"/>
      <c r="O42" s="405"/>
      <c r="P42" s="406"/>
      <c r="Q42" s="390">
        <f t="shared" si="14"/>
        <v>111</v>
      </c>
      <c r="R42" s="470" t="s">
        <v>935</v>
      </c>
      <c r="S42" s="471">
        <f t="shared" si="10"/>
        <v>100</v>
      </c>
      <c r="T42" s="470" t="s">
        <v>935</v>
      </c>
      <c r="U42" s="471">
        <f t="shared" si="11"/>
        <v>100</v>
      </c>
      <c r="V42" s="470" t="s">
        <v>935</v>
      </c>
      <c r="W42" s="471">
        <f t="shared" si="12"/>
        <v>100</v>
      </c>
      <c r="X42" s="472"/>
      <c r="Y42" s="406"/>
      <c r="Z42" s="482">
        <f t="shared" si="13"/>
        <v>111</v>
      </c>
      <c r="AA42" s="453">
        <f t="shared" si="3"/>
        <v>1</v>
      </c>
      <c r="AB42" s="453">
        <f t="shared" si="4"/>
        <v>1</v>
      </c>
      <c r="AC42" s="453">
        <f t="shared" si="5"/>
        <v>1</v>
      </c>
    </row>
    <row r="43" ht="15" spans="1:29">
      <c r="A43" s="311" t="s">
        <v>962</v>
      </c>
      <c r="B43" s="2197" t="s">
        <v>1103</v>
      </c>
      <c r="C43" s="2198" t="s">
        <v>138</v>
      </c>
      <c r="D43" s="314"/>
      <c r="E43" s="315"/>
      <c r="F43" s="316"/>
      <c r="G43" s="317"/>
      <c r="H43" s="318"/>
      <c r="I43" s="315"/>
      <c r="J43" s="318"/>
      <c r="K43" s="2242"/>
      <c r="L43" s="408"/>
      <c r="M43" s="338"/>
      <c r="N43" s="338"/>
      <c r="O43" s="338"/>
      <c r="P43" s="390" t="str">
        <f>A43</f>
        <v>成交单价</v>
      </c>
      <c r="Q43" s="390"/>
      <c r="R43" s="453">
        <f>E43</f>
        <v>0</v>
      </c>
      <c r="S43" s="453"/>
      <c r="T43" s="453">
        <f>G43</f>
        <v>0</v>
      </c>
      <c r="U43" s="453"/>
      <c r="V43" s="453">
        <f>I43</f>
        <v>0</v>
      </c>
      <c r="W43" s="453"/>
      <c r="X43" s="267"/>
      <c r="Y43" s="483"/>
      <c r="Z43" s="267"/>
      <c r="AA43" s="267"/>
      <c r="AB43" s="267"/>
      <c r="AC43" s="267"/>
    </row>
    <row r="44" ht="15.75" spans="1:29">
      <c r="A44" s="319" t="s">
        <v>963</v>
      </c>
      <c r="B44" s="2199"/>
      <c r="C44" s="2200" t="e">
        <f>R45</f>
        <v>#DIV/0!</v>
      </c>
      <c r="D44" s="322" t="s">
        <v>964</v>
      </c>
      <c r="E44" s="2200" t="e">
        <f>R44</f>
        <v>#DIV/0!</v>
      </c>
      <c r="F44" s="324"/>
      <c r="G44" s="2201" t="e">
        <f>T44</f>
        <v>#DIV/0!</v>
      </c>
      <c r="H44" s="324"/>
      <c r="I44" s="2200" t="e">
        <f>V44</f>
        <v>#DIV/0!</v>
      </c>
      <c r="J44" s="324"/>
      <c r="K44" s="2243">
        <f>F44+H44+J44</f>
        <v>0</v>
      </c>
      <c r="L44" s="408"/>
      <c r="M44" s="338"/>
      <c r="N44" s="338"/>
      <c r="O44" s="338"/>
      <c r="P44" s="390" t="str">
        <f>A44</f>
        <v>比较价格（元/平方米）</v>
      </c>
      <c r="Q44" s="390"/>
      <c r="R44" s="2254" t="e">
        <f>ROUND(PRODUCT(R43,AA9:AA42),0)</f>
        <v>#DIV/0!</v>
      </c>
      <c r="S44" s="2254"/>
      <c r="T44" s="2254" t="e">
        <f>ROUND(PRODUCT(T43,AB9:AB42),0)</f>
        <v>#DIV/0!</v>
      </c>
      <c r="U44" s="2254"/>
      <c r="V44" s="2254" t="e">
        <f>ROUND(PRODUCT(V43,AC9:AC42),0)</f>
        <v>#DIV/0!</v>
      </c>
      <c r="W44" s="2254"/>
      <c r="X44" s="267"/>
      <c r="Y44" s="267"/>
      <c r="Z44" s="267"/>
      <c r="AA44" s="267"/>
      <c r="AB44" s="267"/>
      <c r="AC44" s="267"/>
    </row>
    <row r="45" ht="15.75" spans="1:29">
      <c r="A45" s="325" t="s">
        <v>965</v>
      </c>
      <c r="B45" s="326"/>
      <c r="C45" s="2202" t="e">
        <f>R45</f>
        <v>#DIV/0!</v>
      </c>
      <c r="D45" s="2202"/>
      <c r="E45" s="2202"/>
      <c r="F45" s="2202"/>
      <c r="G45" s="2202"/>
      <c r="H45" s="2202"/>
      <c r="I45" s="2202"/>
      <c r="J45" s="2202"/>
      <c r="K45" s="2244"/>
      <c r="L45" s="408"/>
      <c r="M45" s="338"/>
      <c r="N45" s="338"/>
      <c r="O45" s="338"/>
      <c r="P45" s="288" t="str">
        <f>A45</f>
        <v>估价对象XX用房的比较价格（楼面单价，元/平方米）</v>
      </c>
      <c r="Q45" s="473"/>
      <c r="R45" s="2255" t="e">
        <f>ROUND(IF(D44="简单平均",AVERAGE(R44:W44),R44*F44+T44*H44+V44*J44),0)</f>
        <v>#DIV/0!</v>
      </c>
      <c r="S45" s="2255"/>
      <c r="T45" s="2255"/>
      <c r="U45" s="2255"/>
      <c r="V45" s="2255"/>
      <c r="W45" s="2255"/>
      <c r="X45" s="267"/>
      <c r="Y45" s="267"/>
      <c r="Z45" s="267"/>
      <c r="AA45" s="267"/>
      <c r="AB45" s="267"/>
      <c r="AC45" s="267"/>
    </row>
    <row r="46" spans="1:29">
      <c r="A46" s="327"/>
      <c r="B46" s="327"/>
      <c r="C46" s="327"/>
      <c r="D46" s="327"/>
      <c r="E46" s="327"/>
      <c r="F46" s="327"/>
      <c r="G46" s="328"/>
      <c r="H46" s="327"/>
      <c r="I46" s="327"/>
      <c r="J46" s="327"/>
      <c r="K46" s="411"/>
      <c r="L46" s="412"/>
      <c r="M46" s="338"/>
      <c r="N46" s="338"/>
      <c r="O46" s="338"/>
      <c r="P46" s="338"/>
      <c r="Q46" s="338"/>
      <c r="R46" s="338"/>
      <c r="S46" s="338"/>
      <c r="T46" s="338"/>
      <c r="U46" s="338"/>
      <c r="V46" s="338"/>
      <c r="W46" s="338"/>
      <c r="X46" s="338"/>
      <c r="Y46" s="338"/>
      <c r="Z46" s="338"/>
      <c r="AA46" s="338"/>
      <c r="AB46" s="338"/>
      <c r="AC46" s="338"/>
    </row>
    <row r="47" spans="1:29">
      <c r="A47" s="327"/>
      <c r="B47" s="327"/>
      <c r="C47" s="327"/>
      <c r="D47" s="327"/>
      <c r="E47" s="327"/>
      <c r="F47" s="327"/>
      <c r="G47" s="327"/>
      <c r="H47" s="327"/>
      <c r="I47" s="327"/>
      <c r="J47" s="327"/>
      <c r="K47" s="411"/>
      <c r="L47" s="412"/>
      <c r="M47" s="338"/>
      <c r="N47" s="338"/>
      <c r="O47" s="338"/>
      <c r="P47" s="338"/>
      <c r="Q47" s="338"/>
      <c r="R47" s="338"/>
      <c r="S47" s="338"/>
      <c r="T47" s="338"/>
      <c r="U47" s="338"/>
      <c r="V47" s="338"/>
      <c r="W47" s="338"/>
      <c r="X47" s="338"/>
      <c r="Y47" s="338"/>
      <c r="Z47" s="338"/>
      <c r="AA47" s="338"/>
      <c r="AB47" s="338"/>
      <c r="AC47" s="338"/>
    </row>
    <row r="48" ht="13.5" customHeight="1" spans="1:29">
      <c r="A48" s="327"/>
      <c r="B48" s="327"/>
      <c r="C48" s="329" t="s">
        <v>966</v>
      </c>
      <c r="D48" s="330"/>
      <c r="E48" s="331" t="e">
        <f>IF(E43&lt;E44,E44/E43-1,E43/E44-1)</f>
        <v>#DIV/0!</v>
      </c>
      <c r="F48" s="332" t="e">
        <f>IF(OR(E48&gt;=0.3,E48&lt;=-0.3),"超过30%","")</f>
        <v>#DIV/0!</v>
      </c>
      <c r="G48" s="331" t="e">
        <f>IF(G43&lt;G44,G44/G43-1,G43/G44-1)</f>
        <v>#DIV/0!</v>
      </c>
      <c r="H48" s="332" t="e">
        <f>IF(OR(G48&gt;=0.3,G48&lt;=-0.3),"超过30%","")</f>
        <v>#DIV/0!</v>
      </c>
      <c r="I48" s="331" t="e">
        <f>IF(I43&lt;I44,I44/I43-1,I43/I44-1)</f>
        <v>#DIV/0!</v>
      </c>
      <c r="J48" s="332" t="e">
        <f>IF(OR(I48&gt;=0.3,I48&lt;=-0.3),"超过30%","")</f>
        <v>#DIV/0!</v>
      </c>
      <c r="K48" s="411"/>
      <c r="L48" s="412"/>
      <c r="M48" s="338"/>
      <c r="N48" s="338"/>
      <c r="O48" s="338"/>
      <c r="P48" s="338"/>
      <c r="Q48" s="338"/>
      <c r="R48" s="338"/>
      <c r="S48" s="338"/>
      <c r="T48" s="338"/>
      <c r="U48" s="338"/>
      <c r="V48" s="338"/>
      <c r="W48" s="338"/>
      <c r="X48" s="338"/>
      <c r="Y48" s="338"/>
      <c r="Z48" s="338"/>
      <c r="AA48" s="338"/>
      <c r="AB48" s="338"/>
      <c r="AC48" s="338"/>
    </row>
    <row r="49" ht="13.5" customHeight="1" spans="1:29">
      <c r="A49" s="327"/>
      <c r="B49" s="327"/>
      <c r="C49" s="329" t="s">
        <v>967</v>
      </c>
      <c r="D49" s="333"/>
      <c r="E49" s="331" t="e">
        <f>IF(E44&lt;G44,G44/E44-1,E44/G44-1)</f>
        <v>#DIV/0!</v>
      </c>
      <c r="F49" s="332" t="e">
        <f>IF(OR(E49&gt;=0.2,E49&lt;=-0.2),"超过20%","")</f>
        <v>#DIV/0!</v>
      </c>
      <c r="G49" s="331" t="e">
        <f>IF(G44&lt;I44,I44/G44-1,G44/I44-1)</f>
        <v>#DIV/0!</v>
      </c>
      <c r="H49" s="332" t="e">
        <f>IF(OR(G49&gt;=0.2,G49&lt;=-0.2),"超过20%","")</f>
        <v>#DIV/0!</v>
      </c>
      <c r="I49" s="331" t="e">
        <f>IF(I44&lt;E44,E44/I44-1,I44/E44-1)</f>
        <v>#DIV/0!</v>
      </c>
      <c r="J49" s="332" t="e">
        <f>IF(OR(I49&gt;=0.2,I49&lt;=-0.2),"超过20%","")</f>
        <v>#DIV/0!</v>
      </c>
      <c r="K49" s="411"/>
      <c r="L49" s="412"/>
      <c r="M49" s="338"/>
      <c r="N49" s="338"/>
      <c r="O49" s="338"/>
      <c r="P49" s="338"/>
      <c r="Q49" s="338"/>
      <c r="R49" s="338"/>
      <c r="S49" s="338"/>
      <c r="T49" s="338"/>
      <c r="U49" s="338"/>
      <c r="V49" s="338"/>
      <c r="W49" s="338"/>
      <c r="X49" s="338"/>
      <c r="Y49" s="338"/>
      <c r="Z49" s="338"/>
      <c r="AA49" s="338"/>
      <c r="AB49" s="338"/>
      <c r="AC49" s="338"/>
    </row>
    <row r="50" s="192" customFormat="1" ht="13.5" customHeight="1" spans="1:29">
      <c r="A50" s="334"/>
      <c r="B50" s="334"/>
      <c r="C50" s="329" t="s">
        <v>968</v>
      </c>
      <c r="D50" s="333"/>
      <c r="E50" s="331" t="e">
        <f>IF(E43&lt;G43,G43/E43-1,E43/G43-1)</f>
        <v>#DIV/0!</v>
      </c>
      <c r="F50" s="332" t="e">
        <f>IF(OR(E50&gt;=0.3,E50&lt;=-0.3),"超过30%","")</f>
        <v>#DIV/0!</v>
      </c>
      <c r="G50" s="331" t="e">
        <f>IF(G43&lt;I43,I43/G43-1,G43/I43-1)</f>
        <v>#DIV/0!</v>
      </c>
      <c r="H50" s="332" t="e">
        <f>IF(OR(G50&gt;=0.3,G50&lt;=-0.3),"超过30%","")</f>
        <v>#DIV/0!</v>
      </c>
      <c r="I50" s="331" t="e">
        <f>IF(I43&lt;E43,E43/I43-1,I43/E43-1)</f>
        <v>#DIV/0!</v>
      </c>
      <c r="J50" s="332" t="e">
        <f>IF(OR(I50&gt;=0.3,I50&lt;=-0.3),"超过30%","")</f>
        <v>#DIV/0!</v>
      </c>
      <c r="K50" s="413"/>
      <c r="L50" s="414"/>
      <c r="M50" s="335"/>
      <c r="N50" s="335"/>
      <c r="O50" s="335"/>
      <c r="P50" s="335"/>
      <c r="Q50" s="335"/>
      <c r="R50" s="335"/>
      <c r="S50" s="335"/>
      <c r="T50" s="335"/>
      <c r="U50" s="335"/>
      <c r="V50" s="335"/>
      <c r="W50" s="335"/>
      <c r="X50" s="335"/>
      <c r="Y50" s="335"/>
      <c r="Z50" s="335"/>
      <c r="AA50" s="335"/>
      <c r="AB50" s="335"/>
      <c r="AC50" s="335"/>
    </row>
    <row r="51" s="192" customFormat="1" ht="15" spans="1:29">
      <c r="A51" s="334"/>
      <c r="B51" s="2203"/>
      <c r="C51" s="337"/>
      <c r="D51" s="335"/>
      <c r="E51" s="335"/>
      <c r="F51" s="335"/>
      <c r="G51" s="335"/>
      <c r="H51" s="335"/>
      <c r="I51" s="335"/>
      <c r="J51" s="335"/>
      <c r="K51" s="413"/>
      <c r="L51" s="414"/>
      <c r="M51" s="335"/>
      <c r="N51" s="335"/>
      <c r="O51" s="335"/>
      <c r="P51" s="335"/>
      <c r="Q51" s="335"/>
      <c r="R51" s="335"/>
      <c r="S51" s="335"/>
      <c r="T51" s="335"/>
      <c r="U51" s="335"/>
      <c r="V51" s="335"/>
      <c r="W51" s="335"/>
      <c r="X51" s="335"/>
      <c r="Y51" s="335"/>
      <c r="Z51" s="335"/>
      <c r="AA51" s="335"/>
      <c r="AB51" s="335"/>
      <c r="AC51" s="335"/>
    </row>
    <row r="52" ht="27" spans="1:29">
      <c r="A52" s="2204" t="s">
        <v>969</v>
      </c>
      <c r="B52" s="2205" t="s">
        <v>970</v>
      </c>
      <c r="C52" s="2206" t="s">
        <v>971</v>
      </c>
      <c r="D52" s="2207" t="s">
        <v>972</v>
      </c>
      <c r="E52" s="2208" t="s">
        <v>973</v>
      </c>
      <c r="F52" s="2209" t="s">
        <v>974</v>
      </c>
      <c r="G52" s="2210" t="s">
        <v>975</v>
      </c>
      <c r="H52" s="2211"/>
      <c r="I52" s="2245" t="s">
        <v>424</v>
      </c>
      <c r="J52" s="2246">
        <f>项目基本情况!F41</f>
        <v>0</v>
      </c>
      <c r="K52" s="2247" t="s">
        <v>976</v>
      </c>
      <c r="L52" s="412"/>
      <c r="M52" s="338"/>
      <c r="N52" s="338"/>
      <c r="O52" s="338"/>
      <c r="P52" s="338"/>
      <c r="Q52" s="338"/>
      <c r="R52" s="338"/>
      <c r="S52" s="338"/>
      <c r="T52" s="338"/>
      <c r="U52" s="338"/>
      <c r="V52" s="338"/>
      <c r="W52" s="338"/>
      <c r="X52" s="338"/>
      <c r="Y52" s="338"/>
      <c r="Z52" s="338"/>
      <c r="AA52" s="338"/>
      <c r="AB52" s="338"/>
      <c r="AC52" s="338"/>
    </row>
    <row r="53" s="2173" customFormat="1" ht="12.75" spans="1:29">
      <c r="A53" s="2212" t="s">
        <v>977</v>
      </c>
      <c r="B53" s="2213" t="e">
        <f>C45</f>
        <v>#DIV/0!</v>
      </c>
      <c r="C53" s="2214">
        <v>1</v>
      </c>
      <c r="D53" s="2215">
        <v>1</v>
      </c>
      <c r="E53" s="2214">
        <f>'数据-汇总表'!E8+'数据-汇总表'!E9</f>
        <v>210801.41</v>
      </c>
      <c r="F53" s="2216" t="e">
        <f t="shared" ref="F53:F62" si="15">ROUND(B53*E53/10000,0)</f>
        <v>#DIV/0!</v>
      </c>
      <c r="G53" s="2217"/>
      <c r="H53" s="2218"/>
      <c r="I53" s="2248">
        <v>1</v>
      </c>
      <c r="J53" s="2249">
        <v>1</v>
      </c>
      <c r="K53" s="2250"/>
      <c r="L53" s="2251"/>
      <c r="M53" s="2251"/>
      <c r="N53" s="2251"/>
      <c r="O53" s="2251"/>
      <c r="P53" s="2251"/>
      <c r="Q53" s="2251"/>
      <c r="R53" s="2251"/>
      <c r="S53" s="2251"/>
      <c r="T53" s="2251"/>
      <c r="U53" s="2251"/>
      <c r="V53" s="2251"/>
      <c r="W53" s="2251"/>
      <c r="X53" s="2251"/>
      <c r="Y53" s="2251"/>
      <c r="Z53" s="2251"/>
      <c r="AA53" s="2251"/>
      <c r="AB53" s="2251"/>
      <c r="AC53" s="2251"/>
    </row>
    <row r="54" s="2173" customFormat="1" ht="12.75" spans="1:29">
      <c r="A54" s="2219" t="s">
        <v>978</v>
      </c>
      <c r="B54" s="2220" t="e">
        <f>ROUND($C$45*C54*D54,0)</f>
        <v>#DIV/0!</v>
      </c>
      <c r="C54" s="1990">
        <f t="shared" ref="C54:C62" si="16">IF($C$52="北京市系数",I54,J54)</f>
        <v>0</v>
      </c>
      <c r="D54" s="2221">
        <v>0.25</v>
      </c>
      <c r="E54" s="2222"/>
      <c r="F54" s="2216" t="e">
        <f t="shared" si="15"/>
        <v>#DIV/0!</v>
      </c>
      <c r="G54" s="2223" t="s">
        <v>979</v>
      </c>
      <c r="H54" s="2224">
        <f>项目基本情况!B43</f>
        <v>0</v>
      </c>
      <c r="I54" s="2248">
        <f>SUMIF(修正!$A$45:$A$56,H54,修正!B45:B56)</f>
        <v>0</v>
      </c>
      <c r="J54" s="2252"/>
      <c r="K54" s="2250"/>
      <c r="L54" s="2251"/>
      <c r="M54" s="2251"/>
      <c r="N54" s="2251"/>
      <c r="O54" s="2251"/>
      <c r="P54" s="2251"/>
      <c r="Q54" s="2251"/>
      <c r="R54" s="2251"/>
      <c r="S54" s="2251"/>
      <c r="T54" s="2251"/>
      <c r="U54" s="2251"/>
      <c r="V54" s="2251"/>
      <c r="W54" s="2251"/>
      <c r="X54" s="2251"/>
      <c r="Y54" s="2251"/>
      <c r="Z54" s="2251"/>
      <c r="AA54" s="2251"/>
      <c r="AB54" s="2251"/>
      <c r="AC54" s="2251"/>
    </row>
    <row r="55" s="2173" customFormat="1" ht="12.75" spans="1:29">
      <c r="A55" s="2219" t="s">
        <v>980</v>
      </c>
      <c r="B55" s="2220" t="e">
        <f t="shared" ref="B55:B62" si="17">ROUND($C$45*C55*D55,0)</f>
        <v>#DIV/0!</v>
      </c>
      <c r="C55" s="1990">
        <f t="shared" si="16"/>
        <v>0</v>
      </c>
      <c r="D55" s="2221">
        <v>0.25</v>
      </c>
      <c r="E55" s="2222"/>
      <c r="F55" s="2216" t="e">
        <f t="shared" si="15"/>
        <v>#DIV/0!</v>
      </c>
      <c r="G55" s="2223"/>
      <c r="H55" s="2225">
        <f>项目基本情况!B43</f>
        <v>0</v>
      </c>
      <c r="I55" s="2248">
        <f>SUMIF(修正!$A$45:$A$56,H55,修正!C45:C56)</f>
        <v>0</v>
      </c>
      <c r="J55" s="2252"/>
      <c r="K55" s="2250"/>
      <c r="L55" s="2251"/>
      <c r="M55" s="2251"/>
      <c r="N55" s="2251"/>
      <c r="O55" s="2251"/>
      <c r="P55" s="2251"/>
      <c r="Q55" s="2251"/>
      <c r="R55" s="2251"/>
      <c r="S55" s="2251"/>
      <c r="T55" s="2251"/>
      <c r="U55" s="2251"/>
      <c r="V55" s="2251"/>
      <c r="W55" s="2251"/>
      <c r="X55" s="2251"/>
      <c r="Y55" s="2251"/>
      <c r="Z55" s="2251"/>
      <c r="AA55" s="2251"/>
      <c r="AB55" s="2251"/>
      <c r="AC55" s="2251"/>
    </row>
    <row r="56" s="2173" customFormat="1" ht="12.75" spans="1:29">
      <c r="A56" s="2219" t="s">
        <v>981</v>
      </c>
      <c r="B56" s="2220" t="e">
        <f t="shared" si="17"/>
        <v>#DIV/0!</v>
      </c>
      <c r="C56" s="1990">
        <f t="shared" si="16"/>
        <v>0</v>
      </c>
      <c r="D56" s="2221">
        <v>0.25</v>
      </c>
      <c r="E56" s="2222"/>
      <c r="F56" s="2216" t="e">
        <f t="shared" si="15"/>
        <v>#DIV/0!</v>
      </c>
      <c r="G56" s="2223"/>
      <c r="H56" s="2225">
        <f>项目基本情况!B43</f>
        <v>0</v>
      </c>
      <c r="I56" s="2248">
        <f>SUMIF(修正!$A$45:$A$56,H56,修正!D45:D56)</f>
        <v>0</v>
      </c>
      <c r="J56" s="2252"/>
      <c r="K56" s="2250"/>
      <c r="L56" s="2251"/>
      <c r="M56" s="2251"/>
      <c r="N56" s="2251"/>
      <c r="O56" s="2251"/>
      <c r="P56" s="2251"/>
      <c r="Q56" s="2251"/>
      <c r="R56" s="2251"/>
      <c r="S56" s="2251"/>
      <c r="T56" s="2251"/>
      <c r="U56" s="2251"/>
      <c r="V56" s="2251"/>
      <c r="W56" s="2251"/>
      <c r="X56" s="2251"/>
      <c r="Y56" s="2251"/>
      <c r="Z56" s="2251"/>
      <c r="AA56" s="2251"/>
      <c r="AB56" s="2251"/>
      <c r="AC56" s="2251"/>
    </row>
    <row r="57" s="2173" customFormat="1" ht="12.75" spans="1:29">
      <c r="A57" s="2219" t="s">
        <v>982</v>
      </c>
      <c r="B57" s="2220" t="e">
        <f t="shared" si="17"/>
        <v>#DIV/0!</v>
      </c>
      <c r="C57" s="1990">
        <f t="shared" si="16"/>
        <v>0</v>
      </c>
      <c r="D57" s="2221">
        <v>0.25</v>
      </c>
      <c r="E57" s="2222"/>
      <c r="F57" s="2216" t="e">
        <f t="shared" si="15"/>
        <v>#DIV/0!</v>
      </c>
      <c r="G57" s="2223"/>
      <c r="H57" s="2225">
        <f>项目基本情况!B43</f>
        <v>0</v>
      </c>
      <c r="I57" s="2248">
        <f>SUMIF(修正!$A$45:$A$56,H57,修正!E45:E56)</f>
        <v>0</v>
      </c>
      <c r="J57" s="2252"/>
      <c r="K57" s="2250"/>
      <c r="L57" s="2251"/>
      <c r="M57" s="2251"/>
      <c r="N57" s="2251"/>
      <c r="O57" s="2251"/>
      <c r="P57" s="2251"/>
      <c r="Q57" s="2251"/>
      <c r="R57" s="2251"/>
      <c r="S57" s="2251"/>
      <c r="T57" s="2251"/>
      <c r="U57" s="2251"/>
      <c r="V57" s="2251"/>
      <c r="W57" s="2251"/>
      <c r="X57" s="2251"/>
      <c r="Y57" s="2251"/>
      <c r="Z57" s="2251"/>
      <c r="AA57" s="2251"/>
      <c r="AB57" s="2251"/>
      <c r="AC57" s="2251"/>
    </row>
    <row r="58" s="2173" customFormat="1" ht="12.75" spans="1:29">
      <c r="A58" s="2226" t="s">
        <v>528</v>
      </c>
      <c r="B58" s="2220" t="e">
        <f t="shared" si="17"/>
        <v>#DIV/0!</v>
      </c>
      <c r="C58" s="1990">
        <f t="shared" si="16"/>
        <v>0</v>
      </c>
      <c r="D58" s="2221">
        <v>0.25</v>
      </c>
      <c r="E58" s="2227">
        <f>'数据-汇总表'!E11</f>
        <v>0</v>
      </c>
      <c r="F58" s="2216" t="e">
        <f t="shared" si="15"/>
        <v>#DIV/0!</v>
      </c>
      <c r="G58" s="2223" t="s">
        <v>983</v>
      </c>
      <c r="H58" s="2225">
        <f>项目基本情况!C43</f>
        <v>0</v>
      </c>
      <c r="I58" s="2248">
        <f>SUMIF(修正!$A$45:$A$56,H58,修正!F45:F56)</f>
        <v>0</v>
      </c>
      <c r="J58" s="2252"/>
      <c r="K58" s="2250"/>
      <c r="L58" s="2251"/>
      <c r="M58" s="2251"/>
      <c r="N58" s="2251"/>
      <c r="O58" s="2251"/>
      <c r="P58" s="2251"/>
      <c r="Q58" s="2251"/>
      <c r="R58" s="2251"/>
      <c r="S58" s="2251"/>
      <c r="T58" s="2251"/>
      <c r="U58" s="2251"/>
      <c r="V58" s="2251"/>
      <c r="W58" s="2251"/>
      <c r="X58" s="2251"/>
      <c r="Y58" s="2251"/>
      <c r="Z58" s="2251"/>
      <c r="AA58" s="2251"/>
      <c r="AB58" s="2251"/>
      <c r="AC58" s="2251"/>
    </row>
    <row r="59" s="2173" customFormat="1" ht="12.75" spans="1:29">
      <c r="A59" s="2219" t="s">
        <v>984</v>
      </c>
      <c r="B59" s="2220" t="e">
        <f t="shared" si="17"/>
        <v>#DIV/0!</v>
      </c>
      <c r="C59" s="1990">
        <f t="shared" si="16"/>
        <v>0</v>
      </c>
      <c r="D59" s="2221">
        <v>0.25</v>
      </c>
      <c r="E59" s="2227">
        <f>'数据-汇总表'!E12</f>
        <v>0</v>
      </c>
      <c r="F59" s="2216" t="e">
        <f t="shared" si="15"/>
        <v>#DIV/0!</v>
      </c>
      <c r="G59" s="2228" t="s">
        <v>379</v>
      </c>
      <c r="H59" s="2224">
        <f>IF(G59="商业",项目基本情况!B43,IF(G59="办公",项目基本情况!C43,IF(G59="住宅",项目基本情况!D43,项目基本情况!E43)))</f>
        <v>0</v>
      </c>
      <c r="I59" s="2248">
        <f>SUMIF(修正!$A$45:$A$56,H59,修正!G45:G56)</f>
        <v>0</v>
      </c>
      <c r="J59" s="2252"/>
      <c r="K59" s="2250"/>
      <c r="L59" s="2251"/>
      <c r="M59" s="2251"/>
      <c r="N59" s="2251"/>
      <c r="O59" s="2251"/>
      <c r="P59" s="2251"/>
      <c r="Q59" s="2251"/>
      <c r="R59" s="2251"/>
      <c r="S59" s="2251"/>
      <c r="T59" s="2251"/>
      <c r="U59" s="2251"/>
      <c r="V59" s="2251"/>
      <c r="W59" s="2251"/>
      <c r="X59" s="2251"/>
      <c r="Y59" s="2251"/>
      <c r="Z59" s="2251"/>
      <c r="AA59" s="2251"/>
      <c r="AB59" s="2251"/>
      <c r="AC59" s="2251"/>
    </row>
    <row r="60" s="2173" customFormat="1" ht="12.75" spans="1:29">
      <c r="A60" s="2219" t="s">
        <v>985</v>
      </c>
      <c r="B60" s="2220" t="e">
        <f t="shared" si="17"/>
        <v>#DIV/0!</v>
      </c>
      <c r="C60" s="1990">
        <f t="shared" si="16"/>
        <v>0</v>
      </c>
      <c r="D60" s="2221">
        <v>0.25</v>
      </c>
      <c r="E60" s="2227">
        <f>'数据-汇总表'!E13</f>
        <v>0</v>
      </c>
      <c r="F60" s="2216" t="e">
        <f t="shared" si="15"/>
        <v>#DIV/0!</v>
      </c>
      <c r="G60" s="2228" t="s">
        <v>377</v>
      </c>
      <c r="H60" s="2224">
        <f>IF(G60="商业",项目基本情况!B43,IF(G60="办公",项目基本情况!C43,IF(G60="住宅",项目基本情况!D43,项目基本情况!E43)))</f>
        <v>0</v>
      </c>
      <c r="I60" s="2248">
        <f>SUMIF(修正!$A$45:$A$56,H60,修正!H45:H56)</f>
        <v>0</v>
      </c>
      <c r="J60" s="2252"/>
      <c r="K60" s="2250"/>
      <c r="L60" s="2251"/>
      <c r="M60" s="2251"/>
      <c r="N60" s="2251"/>
      <c r="O60" s="2251"/>
      <c r="P60" s="2251"/>
      <c r="Q60" s="2251"/>
      <c r="R60" s="2251"/>
      <c r="S60" s="2251"/>
      <c r="T60" s="2251"/>
      <c r="U60" s="2251"/>
      <c r="V60" s="2251"/>
      <c r="W60" s="2251"/>
      <c r="X60" s="2251"/>
      <c r="Y60" s="2251"/>
      <c r="Z60" s="2251"/>
      <c r="AA60" s="2251"/>
      <c r="AB60" s="2251"/>
      <c r="AC60" s="2251"/>
    </row>
    <row r="61" s="2173" customFormat="1" ht="12.75" spans="1:29">
      <c r="A61" s="2219" t="s">
        <v>986</v>
      </c>
      <c r="B61" s="2220" t="e">
        <f t="shared" si="17"/>
        <v>#DIV/0!</v>
      </c>
      <c r="C61" s="1990">
        <f t="shared" si="16"/>
        <v>0</v>
      </c>
      <c r="D61" s="2221">
        <v>0.25</v>
      </c>
      <c r="E61" s="2227">
        <f>'数据-汇总表'!E14</f>
        <v>0</v>
      </c>
      <c r="F61" s="2216" t="e">
        <f t="shared" si="15"/>
        <v>#DIV/0!</v>
      </c>
      <c r="G61" s="2223" t="s">
        <v>979</v>
      </c>
      <c r="H61" s="2225">
        <f>项目基本情况!B43</f>
        <v>0</v>
      </c>
      <c r="I61" s="2248">
        <f>SUMIF(修正!$A$45:$A$56,H61,修正!H45:H56)</f>
        <v>0</v>
      </c>
      <c r="J61" s="2252"/>
      <c r="K61" s="2250"/>
      <c r="L61" s="2251"/>
      <c r="M61" s="2251"/>
      <c r="N61" s="2251"/>
      <c r="O61" s="2251"/>
      <c r="P61" s="2251"/>
      <c r="Q61" s="2251"/>
      <c r="R61" s="2251"/>
      <c r="S61" s="2251"/>
      <c r="T61" s="2251"/>
      <c r="U61" s="2251"/>
      <c r="V61" s="2251"/>
      <c r="W61" s="2251"/>
      <c r="X61" s="2251"/>
      <c r="Y61" s="2251"/>
      <c r="Z61" s="2251"/>
      <c r="AA61" s="2251"/>
      <c r="AB61" s="2251"/>
      <c r="AC61" s="2251"/>
    </row>
    <row r="62" s="2173" customFormat="1" ht="13.5" spans="1:29">
      <c r="A62" s="2219" t="s">
        <v>987</v>
      </c>
      <c r="B62" s="2220" t="e">
        <f t="shared" si="17"/>
        <v>#DIV/0!</v>
      </c>
      <c r="C62" s="1990">
        <f t="shared" si="16"/>
        <v>0</v>
      </c>
      <c r="D62" s="2221">
        <v>0.25</v>
      </c>
      <c r="E62" s="2227">
        <f>'数据-汇总表'!E15</f>
        <v>0</v>
      </c>
      <c r="F62" s="2216" t="e">
        <f t="shared" si="15"/>
        <v>#DIV/0!</v>
      </c>
      <c r="G62" s="2229" t="s">
        <v>983</v>
      </c>
      <c r="H62" s="2230">
        <f>项目基本情况!C43</f>
        <v>0</v>
      </c>
      <c r="I62" s="2248">
        <f>SUMIF(修正!$A$45:$A$56,H62,修正!H45:H56)</f>
        <v>0</v>
      </c>
      <c r="J62" s="2252"/>
      <c r="K62" s="2250"/>
      <c r="L62" s="2251"/>
      <c r="M62" s="2251"/>
      <c r="N62" s="2251"/>
      <c r="O62" s="2251"/>
      <c r="P62" s="2251"/>
      <c r="Q62" s="2251"/>
      <c r="R62" s="2251"/>
      <c r="S62" s="2251"/>
      <c r="T62" s="2251"/>
      <c r="U62" s="2251"/>
      <c r="V62" s="2251"/>
      <c r="W62" s="2251"/>
      <c r="X62" s="2251"/>
      <c r="Y62" s="2251"/>
      <c r="Z62" s="2251"/>
      <c r="AA62" s="2251"/>
      <c r="AB62" s="2251"/>
      <c r="AC62" s="2251"/>
    </row>
    <row r="63" s="2173" customFormat="1" ht="13.5" spans="1:29">
      <c r="A63" s="2231" t="s">
        <v>988</v>
      </c>
      <c r="B63" s="2232" t="s">
        <v>989</v>
      </c>
      <c r="C63" s="2232" t="s">
        <v>989</v>
      </c>
      <c r="D63" s="2232" t="s">
        <v>989</v>
      </c>
      <c r="E63" s="2232">
        <f>IF(B43="楼面地价",SUM(E53:E62),'数据-汇总表'!D3)</f>
        <v>101349.03</v>
      </c>
      <c r="F63" s="2233" t="e">
        <f>IF(B43="楼面地价",SUM(F53:F62),ROUND(C45*E63/10000,0))</f>
        <v>#DIV/0!</v>
      </c>
      <c r="G63" s="2234"/>
      <c r="H63" s="2234"/>
      <c r="I63" s="2234"/>
      <c r="J63" s="2234"/>
      <c r="K63" s="2253"/>
      <c r="L63" s="2251"/>
      <c r="M63" s="2251"/>
      <c r="N63" s="2251"/>
      <c r="O63" s="2251"/>
      <c r="P63" s="2251"/>
      <c r="Q63" s="2251"/>
      <c r="R63" s="2251"/>
      <c r="S63" s="2251"/>
      <c r="T63" s="2251"/>
      <c r="U63" s="2251"/>
      <c r="V63" s="2251"/>
      <c r="W63" s="2251"/>
      <c r="X63" s="2251"/>
      <c r="Y63" s="2251"/>
      <c r="Z63" s="2251"/>
      <c r="AA63" s="2251"/>
      <c r="AB63" s="2251"/>
      <c r="AC63" s="2251"/>
    </row>
    <row r="64" spans="1:29">
      <c r="A64" s="338"/>
      <c r="B64" s="336"/>
      <c r="C64" s="337"/>
      <c r="D64" s="338"/>
      <c r="E64" s="338"/>
      <c r="F64" s="338"/>
      <c r="G64" s="338"/>
      <c r="H64" s="338"/>
      <c r="I64" s="338"/>
      <c r="J64" s="338"/>
      <c r="K64" s="416"/>
      <c r="L64" s="412"/>
      <c r="M64" s="338"/>
      <c r="N64" s="338"/>
      <c r="O64" s="338"/>
      <c r="P64" s="338"/>
      <c r="Q64" s="338"/>
      <c r="R64" s="338"/>
      <c r="S64" s="338"/>
      <c r="T64" s="338"/>
      <c r="U64" s="338"/>
      <c r="V64" s="338"/>
      <c r="W64" s="338"/>
      <c r="X64" s="338"/>
      <c r="Y64" s="338"/>
      <c r="Z64" s="338"/>
      <c r="AA64" s="338"/>
      <c r="AB64" s="338"/>
      <c r="AC64" s="338"/>
    </row>
    <row r="65" spans="1:29">
      <c r="A65" s="338"/>
      <c r="B65" s="336"/>
      <c r="C65" s="2256" t="str">
        <f>YEAR(C9)&amp;"-"&amp;MONTH(C9)&amp;"-1"</f>
        <v>2023-11-1</v>
      </c>
      <c r="D65" s="2257">
        <f>EDATE(C65,-3)</f>
        <v>45139</v>
      </c>
      <c r="E65" s="2257">
        <f t="shared" ref="E65:N65" si="18">EDATE(D65,-3)</f>
        <v>45047</v>
      </c>
      <c r="F65" s="2257">
        <f t="shared" si="18"/>
        <v>44958</v>
      </c>
      <c r="G65" s="2257">
        <f t="shared" si="18"/>
        <v>44866</v>
      </c>
      <c r="H65" s="2257">
        <f t="shared" si="18"/>
        <v>44774</v>
      </c>
      <c r="I65" s="2257">
        <f t="shared" si="18"/>
        <v>44682</v>
      </c>
      <c r="J65" s="2257">
        <f t="shared" si="18"/>
        <v>44593</v>
      </c>
      <c r="K65" s="2257">
        <f t="shared" si="18"/>
        <v>44501</v>
      </c>
      <c r="L65" s="2257">
        <f t="shared" si="18"/>
        <v>44409</v>
      </c>
      <c r="M65" s="2257">
        <f t="shared" si="18"/>
        <v>44317</v>
      </c>
      <c r="N65" s="2257">
        <f t="shared" si="18"/>
        <v>44228</v>
      </c>
      <c r="O65" s="338"/>
      <c r="P65" s="338"/>
      <c r="Q65" s="338"/>
      <c r="R65" s="338"/>
      <c r="S65" s="338"/>
      <c r="T65" s="338"/>
      <c r="U65" s="338"/>
      <c r="V65" s="338"/>
      <c r="W65" s="338"/>
      <c r="X65" s="338"/>
      <c r="Y65" s="338"/>
      <c r="Z65" s="338"/>
      <c r="AA65" s="338"/>
      <c r="AB65" s="338"/>
      <c r="AC65" s="338"/>
    </row>
    <row r="66" ht="21" spans="1:29">
      <c r="A66" s="339" t="s">
        <v>990</v>
      </c>
      <c r="B66" s="267"/>
      <c r="C66" s="340"/>
      <c r="D66" s="340"/>
      <c r="E66" s="340"/>
      <c r="F66" s="341"/>
      <c r="G66" s="341"/>
      <c r="H66" s="340"/>
      <c r="I66" s="340"/>
      <c r="J66" s="340"/>
      <c r="K66" s="417"/>
      <c r="L66" s="418"/>
      <c r="M66" s="340"/>
      <c r="N66" s="340"/>
      <c r="O66" s="419"/>
      <c r="P66" s="419"/>
      <c r="Q66" s="422"/>
      <c r="R66" s="338"/>
      <c r="S66" s="338"/>
      <c r="T66" s="338"/>
      <c r="U66" s="338"/>
      <c r="V66" s="338"/>
      <c r="W66" s="338"/>
      <c r="X66" s="338"/>
      <c r="Y66" s="338"/>
      <c r="Z66" s="338"/>
      <c r="AA66" s="338"/>
      <c r="AB66" s="338"/>
      <c r="AC66" s="338"/>
    </row>
    <row r="67" s="193" customFormat="1" ht="15" spans="1:29">
      <c r="A67" s="2258" t="s">
        <v>1104</v>
      </c>
      <c r="B67" s="343"/>
      <c r="C67" s="2259" t="str">
        <f>YEAR(C65)&amp;"-"&amp;ROUNDUP(MONTH(C65)/3,0)</f>
        <v>2023-4</v>
      </c>
      <c r="D67" s="2259" t="str">
        <f t="shared" ref="D67:N67" si="19">YEAR(D65)&amp;"-"&amp;ROUNDUP(MONTH(D65)/3,0)</f>
        <v>2023-3</v>
      </c>
      <c r="E67" s="2259" t="str">
        <f t="shared" si="19"/>
        <v>2023-2</v>
      </c>
      <c r="F67" s="2259" t="str">
        <f t="shared" si="19"/>
        <v>2023-1</v>
      </c>
      <c r="G67" s="2259" t="str">
        <f t="shared" si="19"/>
        <v>2022-4</v>
      </c>
      <c r="H67" s="2259" t="str">
        <f t="shared" si="19"/>
        <v>2022-3</v>
      </c>
      <c r="I67" s="2259" t="str">
        <f t="shared" si="19"/>
        <v>2022-2</v>
      </c>
      <c r="J67" s="2259" t="str">
        <f t="shared" si="19"/>
        <v>2022-1</v>
      </c>
      <c r="K67" s="2259" t="str">
        <f t="shared" si="19"/>
        <v>2021-4</v>
      </c>
      <c r="L67" s="2259" t="str">
        <f t="shared" si="19"/>
        <v>2021-3</v>
      </c>
      <c r="M67" s="2259" t="str">
        <f t="shared" si="19"/>
        <v>2021-2</v>
      </c>
      <c r="N67" s="2259" t="str">
        <f t="shared" si="19"/>
        <v>2021-1</v>
      </c>
      <c r="O67" s="2266"/>
      <c r="P67" s="420"/>
      <c r="Q67" s="420"/>
      <c r="R67" s="420"/>
      <c r="S67" s="420"/>
      <c r="T67" s="420"/>
      <c r="U67" s="420"/>
      <c r="V67" s="420"/>
      <c r="W67" s="420"/>
      <c r="X67" s="420"/>
      <c r="Y67" s="420"/>
      <c r="Z67" s="420"/>
      <c r="AA67" s="420"/>
      <c r="AB67" s="420"/>
      <c r="AC67" s="420"/>
    </row>
    <row r="68" s="189" customFormat="1" ht="27.75" customHeight="1" spans="1:29">
      <c r="A68" s="2260" t="s">
        <v>164</v>
      </c>
      <c r="B68" s="1059" t="str">
        <f>"北京市平均增长率"&amp;TEXT(基准地价!P24,"0.00%")</f>
        <v>北京市平均增长率0.00%</v>
      </c>
      <c r="C68" s="466">
        <v>100</v>
      </c>
      <c r="D68" s="489"/>
      <c r="E68" s="489"/>
      <c r="F68" s="489"/>
      <c r="G68" s="489"/>
      <c r="H68" s="489"/>
      <c r="I68" s="489"/>
      <c r="J68" s="489"/>
      <c r="K68" s="489"/>
      <c r="L68" s="489"/>
      <c r="M68" s="548"/>
      <c r="N68" s="580"/>
      <c r="O68" s="427"/>
      <c r="P68" s="422"/>
      <c r="Q68" s="387"/>
      <c r="R68" s="387"/>
      <c r="S68" s="387"/>
      <c r="T68" s="387"/>
      <c r="U68" s="387"/>
      <c r="V68" s="387"/>
      <c r="W68" s="387"/>
      <c r="X68" s="387"/>
      <c r="Y68" s="387"/>
      <c r="Z68" s="387"/>
      <c r="AA68" s="387"/>
      <c r="AB68" s="387"/>
      <c r="AC68" s="387"/>
    </row>
    <row r="69" s="189" customFormat="1" ht="15.75" spans="1:29">
      <c r="A69" s="350" t="s">
        <v>1105</v>
      </c>
      <c r="B69" s="351"/>
      <c r="C69" s="2261"/>
      <c r="D69" s="2262"/>
      <c r="E69" s="2262"/>
      <c r="F69" s="2262"/>
      <c r="G69" s="2262"/>
      <c r="H69" s="2262"/>
      <c r="I69" s="2262"/>
      <c r="J69" s="2262"/>
      <c r="K69" s="2262"/>
      <c r="L69" s="2262"/>
      <c r="M69" s="2262"/>
      <c r="N69" s="2262"/>
      <c r="O69" s="427"/>
      <c r="P69" s="422"/>
      <c r="Q69" s="422"/>
      <c r="R69" s="387"/>
      <c r="S69" s="387"/>
      <c r="T69" s="387"/>
      <c r="U69" s="387"/>
      <c r="V69" s="387"/>
      <c r="W69" s="387"/>
      <c r="X69" s="387"/>
      <c r="Y69" s="387"/>
      <c r="Z69" s="387"/>
      <c r="AA69" s="387"/>
      <c r="AB69" s="387"/>
      <c r="AC69" s="387"/>
    </row>
    <row r="70" s="189" customFormat="1" ht="15" spans="1:29">
      <c r="A70" s="354" t="s">
        <v>936</v>
      </c>
      <c r="B70" s="347"/>
      <c r="C70" s="355" t="s">
        <v>937</v>
      </c>
      <c r="D70" s="356"/>
      <c r="E70" s="356"/>
      <c r="F70" s="356"/>
      <c r="G70" s="356"/>
      <c r="H70" s="356"/>
      <c r="I70" s="356"/>
      <c r="J70" s="356"/>
      <c r="K70" s="356"/>
      <c r="L70" s="425"/>
      <c r="M70" s="426"/>
      <c r="N70" s="2267"/>
      <c r="O70" s="427"/>
      <c r="P70" s="428"/>
      <c r="Q70" s="422"/>
      <c r="R70" s="387"/>
      <c r="S70" s="387"/>
      <c r="T70" s="387"/>
      <c r="U70" s="387"/>
      <c r="V70" s="387"/>
      <c r="W70" s="387"/>
      <c r="X70" s="387"/>
      <c r="Y70" s="387"/>
      <c r="Z70" s="387"/>
      <c r="AA70" s="387"/>
      <c r="AB70" s="387"/>
      <c r="AC70" s="387"/>
    </row>
    <row r="71" s="189" customFormat="1" ht="15.75" spans="1:29">
      <c r="A71" s="354"/>
      <c r="B71" s="347"/>
      <c r="C71" s="348">
        <v>100</v>
      </c>
      <c r="D71" s="349"/>
      <c r="E71" s="349"/>
      <c r="F71" s="349"/>
      <c r="G71" s="349"/>
      <c r="H71" s="349"/>
      <c r="I71" s="349"/>
      <c r="J71" s="349"/>
      <c r="K71" s="349"/>
      <c r="L71" s="349"/>
      <c r="M71" s="421"/>
      <c r="N71" s="2267"/>
      <c r="O71" s="427"/>
      <c r="P71" s="422"/>
      <c r="Q71" s="422"/>
      <c r="R71" s="387"/>
      <c r="S71" s="387"/>
      <c r="T71" s="387"/>
      <c r="U71" s="387"/>
      <c r="V71" s="387"/>
      <c r="W71" s="387"/>
      <c r="X71" s="387"/>
      <c r="Y71" s="387"/>
      <c r="Z71" s="387"/>
      <c r="AA71" s="387"/>
      <c r="AB71" s="387"/>
      <c r="AC71" s="387"/>
    </row>
    <row r="72" spans="1:29">
      <c r="A72" s="357" t="s">
        <v>993</v>
      </c>
      <c r="B72" s="358" t="s">
        <v>994</v>
      </c>
      <c r="C72" s="360"/>
      <c r="D72" s="360"/>
      <c r="E72" s="360"/>
      <c r="F72" s="360"/>
      <c r="G72" s="360"/>
      <c r="H72" s="360"/>
      <c r="I72" s="360"/>
      <c r="J72" s="360"/>
      <c r="K72" s="429"/>
      <c r="L72" s="430"/>
      <c r="M72" s="431"/>
      <c r="N72" s="2268"/>
      <c r="O72" s="432"/>
      <c r="P72" s="427"/>
      <c r="Q72" s="422"/>
      <c r="R72" s="338"/>
      <c r="S72" s="338"/>
      <c r="T72" s="338"/>
      <c r="U72" s="338"/>
      <c r="V72" s="338"/>
      <c r="W72" s="338"/>
      <c r="X72" s="338"/>
      <c r="Y72" s="338"/>
      <c r="Z72" s="338"/>
      <c r="AA72" s="338"/>
      <c r="AB72" s="338"/>
      <c r="AC72" s="338"/>
    </row>
    <row r="73" ht="15.75" spans="1:29">
      <c r="A73" s="266"/>
      <c r="B73" s="361"/>
      <c r="C73" s="362"/>
      <c r="D73" s="362"/>
      <c r="E73" s="362"/>
      <c r="F73" s="362"/>
      <c r="G73" s="362"/>
      <c r="H73" s="362"/>
      <c r="I73" s="362"/>
      <c r="J73" s="362"/>
      <c r="K73" s="362"/>
      <c r="L73" s="362"/>
      <c r="M73" s="433"/>
      <c r="N73" s="2269"/>
      <c r="O73" s="434"/>
      <c r="P73" s="427"/>
      <c r="Q73" s="422"/>
      <c r="R73" s="338"/>
      <c r="S73" s="338"/>
      <c r="T73" s="338"/>
      <c r="U73" s="338"/>
      <c r="V73" s="338"/>
      <c r="W73" s="338"/>
      <c r="X73" s="338"/>
      <c r="Y73" s="338"/>
      <c r="Z73" s="338"/>
      <c r="AA73" s="338"/>
      <c r="AB73" s="338"/>
      <c r="AC73" s="338"/>
    </row>
    <row r="74" ht="27.75" spans="1:29">
      <c r="A74" s="266"/>
      <c r="B74" s="363" t="s">
        <v>995</v>
      </c>
      <c r="C74" s="364"/>
      <c r="D74" s="364"/>
      <c r="E74" s="364"/>
      <c r="F74" s="364"/>
      <c r="G74" s="364"/>
      <c r="H74" s="364"/>
      <c r="I74" s="364"/>
      <c r="J74" s="364"/>
      <c r="K74" s="435"/>
      <c r="L74" s="436"/>
      <c r="M74" s="437"/>
      <c r="N74" s="2268"/>
      <c r="O74" s="432"/>
      <c r="P74" s="427"/>
      <c r="Q74" s="422"/>
      <c r="R74" s="338"/>
      <c r="S74" s="338"/>
      <c r="T74" s="338"/>
      <c r="U74" s="338"/>
      <c r="V74" s="338"/>
      <c r="W74" s="338"/>
      <c r="X74" s="338"/>
      <c r="Y74" s="338"/>
      <c r="Z74" s="338"/>
      <c r="AA74" s="338"/>
      <c r="AB74" s="338"/>
      <c r="AC74" s="338"/>
    </row>
    <row r="75" ht="15.75" spans="1:29">
      <c r="A75" s="266"/>
      <c r="B75" s="365"/>
      <c r="C75" s="366"/>
      <c r="D75" s="366"/>
      <c r="E75" s="366"/>
      <c r="F75" s="366"/>
      <c r="G75" s="366"/>
      <c r="H75" s="366"/>
      <c r="I75" s="366"/>
      <c r="J75" s="366"/>
      <c r="K75" s="366"/>
      <c r="L75" s="366"/>
      <c r="M75" s="438"/>
      <c r="N75" s="2269"/>
      <c r="O75" s="434"/>
      <c r="P75" s="427"/>
      <c r="Q75" s="422"/>
      <c r="R75" s="338"/>
      <c r="S75" s="338"/>
      <c r="T75" s="338"/>
      <c r="U75" s="338"/>
      <c r="V75" s="338"/>
      <c r="W75" s="338"/>
      <c r="X75" s="338"/>
      <c r="Y75" s="338"/>
      <c r="Z75" s="338"/>
      <c r="AA75" s="338"/>
      <c r="AB75" s="338"/>
      <c r="AC75" s="338"/>
    </row>
    <row r="76" ht="15.75" spans="1:29">
      <c r="A76" s="266"/>
      <c r="B76" s="486" t="s">
        <v>996</v>
      </c>
      <c r="C76" s="551" t="str">
        <f>C77&amp;"（含）"&amp;"-"&amp;D77</f>
        <v>（含）-</v>
      </c>
      <c r="D76" s="551" t="str">
        <f t="shared" ref="D76:L76" si="20">D77&amp;"（含）"&amp;"-"&amp;E77</f>
        <v>（含）-</v>
      </c>
      <c r="E76" s="551" t="str">
        <f t="shared" si="20"/>
        <v>（含）-</v>
      </c>
      <c r="F76" s="551" t="str">
        <f t="shared" si="20"/>
        <v>（含）-</v>
      </c>
      <c r="G76" s="551" t="str">
        <f t="shared" si="20"/>
        <v>（含）-</v>
      </c>
      <c r="H76" s="551" t="str">
        <f t="shared" si="20"/>
        <v>（含）-</v>
      </c>
      <c r="I76" s="551" t="str">
        <f t="shared" si="20"/>
        <v>（含）-</v>
      </c>
      <c r="J76" s="551" t="str">
        <f t="shared" si="20"/>
        <v>（含）-</v>
      </c>
      <c r="K76" s="551" t="str">
        <f t="shared" si="20"/>
        <v>（含）-</v>
      </c>
      <c r="L76" s="551" t="str">
        <f t="shared" si="20"/>
        <v>（含）-</v>
      </c>
      <c r="M76" s="269" t="str">
        <f>M77&amp;"（含）"&amp;"-"&amp;P77</f>
        <v>（含）-</v>
      </c>
      <c r="N76" s="2269"/>
      <c r="O76" s="434"/>
      <c r="P76" s="427"/>
      <c r="Q76" s="422"/>
      <c r="R76" s="338"/>
      <c r="S76" s="338"/>
      <c r="T76" s="338"/>
      <c r="U76" s="338"/>
      <c r="V76" s="338"/>
      <c r="W76" s="338"/>
      <c r="X76" s="338"/>
      <c r="Y76" s="338"/>
      <c r="Z76" s="338"/>
      <c r="AA76" s="338"/>
      <c r="AB76" s="338"/>
      <c r="AC76" s="338"/>
    </row>
    <row r="77" ht="15" spans="1:29">
      <c r="A77" s="266"/>
      <c r="B77" s="552"/>
      <c r="C77" s="368"/>
      <c r="D77" s="368"/>
      <c r="E77" s="368"/>
      <c r="F77" s="368"/>
      <c r="G77" s="368"/>
      <c r="H77" s="368"/>
      <c r="I77" s="368"/>
      <c r="J77" s="368"/>
      <c r="K77" s="439"/>
      <c r="L77" s="440"/>
      <c r="M77" s="441"/>
      <c r="N77" s="2268"/>
      <c r="O77" s="432"/>
      <c r="P77" s="427"/>
      <c r="Q77" s="422"/>
      <c r="R77" s="338"/>
      <c r="S77" s="338"/>
      <c r="T77" s="338"/>
      <c r="U77" s="338"/>
      <c r="V77" s="338"/>
      <c r="W77" s="338"/>
      <c r="X77" s="338"/>
      <c r="Y77" s="338"/>
      <c r="Z77" s="338"/>
      <c r="AA77" s="338"/>
      <c r="AB77" s="338"/>
      <c r="AC77" s="338"/>
    </row>
    <row r="78" ht="15.75" spans="1:29">
      <c r="A78" s="266"/>
      <c r="B78" s="361"/>
      <c r="C78" s="366">
        <v>100</v>
      </c>
      <c r="D78" s="366">
        <f>IF($B$43="单位面积地价",C78+$K13,C78-$K13)</f>
        <v>100</v>
      </c>
      <c r="E78" s="366">
        <f t="shared" ref="E78:M78" si="21">IF($B$43="单位面积地价",D78+$K13,D78-$K13)</f>
        <v>100</v>
      </c>
      <c r="F78" s="366">
        <f t="shared" si="21"/>
        <v>100</v>
      </c>
      <c r="G78" s="366">
        <f t="shared" si="21"/>
        <v>100</v>
      </c>
      <c r="H78" s="366">
        <f t="shared" si="21"/>
        <v>100</v>
      </c>
      <c r="I78" s="366">
        <f t="shared" si="21"/>
        <v>100</v>
      </c>
      <c r="J78" s="366">
        <f t="shared" si="21"/>
        <v>100</v>
      </c>
      <c r="K78" s="366">
        <f t="shared" si="21"/>
        <v>100</v>
      </c>
      <c r="L78" s="366">
        <f t="shared" si="21"/>
        <v>100</v>
      </c>
      <c r="M78" s="366">
        <f t="shared" si="21"/>
        <v>100</v>
      </c>
      <c r="N78" s="2269"/>
      <c r="O78" s="434"/>
      <c r="P78" s="427"/>
      <c r="Q78" s="422"/>
      <c r="R78" s="338"/>
      <c r="S78" s="338"/>
      <c r="T78" s="338"/>
      <c r="U78" s="338"/>
      <c r="V78" s="338"/>
      <c r="W78" s="338"/>
      <c r="X78" s="338"/>
      <c r="Y78" s="338"/>
      <c r="Z78" s="338"/>
      <c r="AA78" s="338"/>
      <c r="AB78" s="338"/>
      <c r="AC78" s="338"/>
    </row>
    <row r="79" s="191" customFormat="1" ht="15.75" spans="1:29">
      <c r="A79" s="370"/>
      <c r="B79" s="363">
        <f>B14</f>
        <v>111</v>
      </c>
      <c r="C79" s="371"/>
      <c r="D79" s="371"/>
      <c r="E79" s="371"/>
      <c r="F79" s="371"/>
      <c r="G79" s="371"/>
      <c r="H79" s="372"/>
      <c r="I79" s="372"/>
      <c r="J79" s="372"/>
      <c r="K79" s="372"/>
      <c r="L79" s="442"/>
      <c r="M79" s="443"/>
      <c r="N79" s="2270"/>
      <c r="O79" s="444"/>
      <c r="P79" s="444"/>
      <c r="Q79" s="475"/>
      <c r="R79" s="404"/>
      <c r="S79" s="404"/>
      <c r="T79" s="404"/>
      <c r="U79" s="404"/>
      <c r="V79" s="404"/>
      <c r="W79" s="404"/>
      <c r="X79" s="404"/>
      <c r="Y79" s="404"/>
      <c r="Z79" s="404"/>
      <c r="AA79" s="404"/>
      <c r="AB79" s="404"/>
      <c r="AC79" s="404"/>
    </row>
    <row r="80" s="191" customFormat="1" ht="15.75" spans="1:29">
      <c r="A80" s="370"/>
      <c r="B80" s="365"/>
      <c r="C80" s="369"/>
      <c r="D80" s="362"/>
      <c r="E80" s="362"/>
      <c r="F80" s="362"/>
      <c r="G80" s="362"/>
      <c r="H80" s="362"/>
      <c r="I80" s="362"/>
      <c r="J80" s="362"/>
      <c r="K80" s="362"/>
      <c r="L80" s="362"/>
      <c r="M80" s="433"/>
      <c r="N80" s="2269"/>
      <c r="O80" s="434"/>
      <c r="P80" s="444"/>
      <c r="Q80" s="475"/>
      <c r="R80" s="404"/>
      <c r="S80" s="404"/>
      <c r="T80" s="404"/>
      <c r="U80" s="404"/>
      <c r="V80" s="404"/>
      <c r="W80" s="404"/>
      <c r="X80" s="404"/>
      <c r="Y80" s="404"/>
      <c r="Z80" s="404"/>
      <c r="AA80" s="404"/>
      <c r="AB80" s="404"/>
      <c r="AC80" s="404"/>
    </row>
    <row r="81" s="191" customFormat="1" ht="15.75" spans="1:29">
      <c r="A81" s="370"/>
      <c r="B81" s="363">
        <f>B15</f>
        <v>111</v>
      </c>
      <c r="C81" s="371"/>
      <c r="D81" s="371"/>
      <c r="E81" s="371"/>
      <c r="F81" s="371"/>
      <c r="G81" s="371"/>
      <c r="H81" s="372"/>
      <c r="I81" s="372"/>
      <c r="J81" s="372"/>
      <c r="K81" s="372"/>
      <c r="L81" s="442"/>
      <c r="M81" s="443"/>
      <c r="N81" s="2270"/>
      <c r="O81" s="444"/>
      <c r="P81" s="404"/>
      <c r="Q81" s="476"/>
      <c r="R81" s="404"/>
      <c r="S81" s="404"/>
      <c r="T81" s="404"/>
      <c r="U81" s="404"/>
      <c r="V81" s="404"/>
      <c r="W81" s="404"/>
      <c r="X81" s="404"/>
      <c r="Y81" s="404"/>
      <c r="Z81" s="404"/>
      <c r="AA81" s="404"/>
      <c r="AB81" s="404"/>
      <c r="AC81" s="404"/>
    </row>
    <row r="82" s="191" customFormat="1" ht="15.75" spans="1:29">
      <c r="A82" s="370"/>
      <c r="B82" s="365"/>
      <c r="C82" s="369"/>
      <c r="D82" s="369"/>
      <c r="E82" s="369"/>
      <c r="F82" s="369"/>
      <c r="G82" s="369"/>
      <c r="H82" s="373"/>
      <c r="I82" s="373"/>
      <c r="J82" s="373"/>
      <c r="K82" s="373"/>
      <c r="L82" s="373"/>
      <c r="M82" s="445"/>
      <c r="N82" s="2270"/>
      <c r="O82" s="444"/>
      <c r="P82" s="444"/>
      <c r="Q82" s="475"/>
      <c r="R82" s="404"/>
      <c r="S82" s="404"/>
      <c r="T82" s="404"/>
      <c r="U82" s="404"/>
      <c r="V82" s="404"/>
      <c r="W82" s="404"/>
      <c r="X82" s="404"/>
      <c r="Y82" s="404"/>
      <c r="Z82" s="404"/>
      <c r="AA82" s="404"/>
      <c r="AB82" s="404"/>
      <c r="AC82" s="404"/>
    </row>
    <row r="83" s="191" customFormat="1" ht="15.75" spans="1:29">
      <c r="A83" s="370"/>
      <c r="B83" s="486">
        <f>B16</f>
        <v>111</v>
      </c>
      <c r="C83" s="356"/>
      <c r="D83" s="356"/>
      <c r="E83" s="356"/>
      <c r="F83" s="356"/>
      <c r="G83" s="356"/>
      <c r="H83" s="554"/>
      <c r="I83" s="554"/>
      <c r="J83" s="554"/>
      <c r="K83" s="554"/>
      <c r="L83" s="562"/>
      <c r="M83" s="563"/>
      <c r="N83" s="2270"/>
      <c r="O83" s="444"/>
      <c r="P83" s="564"/>
      <c r="Q83" s="475"/>
      <c r="R83" s="404"/>
      <c r="S83" s="404"/>
      <c r="T83" s="404"/>
      <c r="U83" s="404"/>
      <c r="V83" s="404"/>
      <c r="W83" s="404"/>
      <c r="X83" s="404"/>
      <c r="Y83" s="404"/>
      <c r="Z83" s="404"/>
      <c r="AA83" s="404"/>
      <c r="AB83" s="404"/>
      <c r="AC83" s="404"/>
    </row>
    <row r="84" s="191" customFormat="1" ht="15.75" spans="1:29">
      <c r="A84" s="555"/>
      <c r="B84" s="556"/>
      <c r="C84" s="557"/>
      <c r="D84" s="557"/>
      <c r="E84" s="557"/>
      <c r="F84" s="557"/>
      <c r="G84" s="557"/>
      <c r="H84" s="558"/>
      <c r="I84" s="558"/>
      <c r="J84" s="558"/>
      <c r="K84" s="558"/>
      <c r="L84" s="558"/>
      <c r="M84" s="565"/>
      <c r="N84" s="2270"/>
      <c r="O84" s="444"/>
      <c r="P84" s="444"/>
      <c r="Q84" s="475"/>
      <c r="R84" s="404"/>
      <c r="S84" s="404"/>
      <c r="T84" s="404"/>
      <c r="U84" s="404"/>
      <c r="V84" s="404"/>
      <c r="W84" s="404"/>
      <c r="X84" s="404"/>
      <c r="Y84" s="404"/>
      <c r="Z84" s="404"/>
      <c r="AA84" s="404"/>
      <c r="AB84" s="404"/>
      <c r="AC84" s="404"/>
    </row>
    <row r="85" spans="1:29">
      <c r="A85" s="357" t="s">
        <v>997</v>
      </c>
      <c r="B85" s="358" t="s">
        <v>228</v>
      </c>
      <c r="C85" s="374" t="s">
        <v>246</v>
      </c>
      <c r="D85" s="374" t="s">
        <v>258</v>
      </c>
      <c r="E85" s="374" t="s">
        <v>269</v>
      </c>
      <c r="F85" s="374" t="s">
        <v>279</v>
      </c>
      <c r="G85" s="374" t="s">
        <v>287</v>
      </c>
      <c r="H85" s="359"/>
      <c r="I85" s="359"/>
      <c r="J85" s="359"/>
      <c r="K85" s="446"/>
      <c r="L85" s="447"/>
      <c r="M85" s="448"/>
      <c r="N85" s="2268"/>
      <c r="O85" s="432"/>
      <c r="P85" s="449"/>
      <c r="Q85" s="422"/>
      <c r="R85" s="338"/>
      <c r="S85" s="338"/>
      <c r="T85" s="338"/>
      <c r="U85" s="338"/>
      <c r="V85" s="338"/>
      <c r="W85" s="338"/>
      <c r="X85" s="338"/>
      <c r="Y85" s="338"/>
      <c r="Z85" s="338"/>
      <c r="AA85" s="338"/>
      <c r="AB85" s="338"/>
      <c r="AC85" s="338"/>
    </row>
    <row r="86" ht="15.75" spans="1:29">
      <c r="A86" s="266"/>
      <c r="B86" s="365"/>
      <c r="C86" s="366">
        <v>100</v>
      </c>
      <c r="D86" s="366">
        <f>C86-$K17</f>
        <v>100</v>
      </c>
      <c r="E86" s="366">
        <f>D86-$K17</f>
        <v>100</v>
      </c>
      <c r="F86" s="366">
        <f>E86-$K17</f>
        <v>100</v>
      </c>
      <c r="G86" s="366">
        <f>F86-$K17</f>
        <v>100</v>
      </c>
      <c r="H86" s="366"/>
      <c r="I86" s="366"/>
      <c r="J86" s="366"/>
      <c r="K86" s="366"/>
      <c r="L86" s="366"/>
      <c r="M86" s="438"/>
      <c r="N86" s="2269"/>
      <c r="O86" s="434"/>
      <c r="P86" s="427"/>
      <c r="Q86" s="422"/>
      <c r="R86" s="338"/>
      <c r="S86" s="338"/>
      <c r="T86" s="338"/>
      <c r="U86" s="338"/>
      <c r="V86" s="338"/>
      <c r="W86" s="338"/>
      <c r="X86" s="338"/>
      <c r="Y86" s="338"/>
      <c r="Z86" s="338"/>
      <c r="AA86" s="338"/>
      <c r="AB86" s="338"/>
      <c r="AC86" s="338"/>
    </row>
    <row r="87" ht="15.75" spans="1:29">
      <c r="A87" s="266"/>
      <c r="B87" s="363" t="s">
        <v>229</v>
      </c>
      <c r="C87" s="376" t="s">
        <v>246</v>
      </c>
      <c r="D87" s="376" t="s">
        <v>258</v>
      </c>
      <c r="E87" s="376" t="s">
        <v>269</v>
      </c>
      <c r="F87" s="376" t="s">
        <v>279</v>
      </c>
      <c r="G87" s="376" t="s">
        <v>287</v>
      </c>
      <c r="H87" s="364"/>
      <c r="I87" s="364"/>
      <c r="J87" s="364"/>
      <c r="K87" s="435"/>
      <c r="L87" s="436"/>
      <c r="M87" s="437"/>
      <c r="N87" s="2268"/>
      <c r="O87" s="432"/>
      <c r="P87" s="427"/>
      <c r="Q87" s="422"/>
      <c r="R87" s="338"/>
      <c r="S87" s="338"/>
      <c r="T87" s="338"/>
      <c r="U87" s="338"/>
      <c r="V87" s="338"/>
      <c r="W87" s="338"/>
      <c r="X87" s="338"/>
      <c r="Y87" s="338"/>
      <c r="Z87" s="338"/>
      <c r="AA87" s="338"/>
      <c r="AB87" s="338"/>
      <c r="AC87" s="338"/>
    </row>
    <row r="88" ht="15.75" spans="1:29">
      <c r="A88" s="266"/>
      <c r="B88" s="365"/>
      <c r="C88" s="366">
        <v>100</v>
      </c>
      <c r="D88" s="366">
        <f>C88-$K19</f>
        <v>100</v>
      </c>
      <c r="E88" s="366">
        <f>D88-$K19</f>
        <v>100</v>
      </c>
      <c r="F88" s="366">
        <f>E88-$K19</f>
        <v>100</v>
      </c>
      <c r="G88" s="366">
        <f>F88-$K19</f>
        <v>100</v>
      </c>
      <c r="H88" s="366"/>
      <c r="I88" s="366"/>
      <c r="J88" s="366"/>
      <c r="K88" s="366"/>
      <c r="L88" s="366"/>
      <c r="M88" s="438"/>
      <c r="N88" s="2269"/>
      <c r="O88" s="434"/>
      <c r="P88" s="427"/>
      <c r="Q88" s="422"/>
      <c r="R88" s="338"/>
      <c r="S88" s="338"/>
      <c r="T88" s="338"/>
      <c r="U88" s="338"/>
      <c r="V88" s="338"/>
      <c r="W88" s="338"/>
      <c r="X88" s="338"/>
      <c r="Y88" s="338"/>
      <c r="Z88" s="338"/>
      <c r="AA88" s="338"/>
      <c r="AB88" s="338"/>
      <c r="AC88" s="338"/>
    </row>
    <row r="89" s="189" customFormat="1" ht="15.75" spans="1:29">
      <c r="A89" s="290"/>
      <c r="B89" s="363" t="s">
        <v>230</v>
      </c>
      <c r="C89" s="376" t="s">
        <v>246</v>
      </c>
      <c r="D89" s="376" t="s">
        <v>258</v>
      </c>
      <c r="E89" s="376" t="s">
        <v>269</v>
      </c>
      <c r="F89" s="376" t="s">
        <v>279</v>
      </c>
      <c r="G89" s="376" t="s">
        <v>287</v>
      </c>
      <c r="H89" s="376"/>
      <c r="I89" s="376"/>
      <c r="J89" s="376"/>
      <c r="K89" s="376"/>
      <c r="L89" s="2271"/>
      <c r="M89" s="501"/>
      <c r="N89" s="2267"/>
      <c r="O89" s="427"/>
      <c r="P89" s="427"/>
      <c r="Q89" s="422"/>
      <c r="R89" s="387"/>
      <c r="S89" s="387"/>
      <c r="T89" s="387"/>
      <c r="U89" s="387"/>
      <c r="V89" s="387"/>
      <c r="W89" s="387"/>
      <c r="X89" s="387"/>
      <c r="Y89" s="387"/>
      <c r="Z89" s="387"/>
      <c r="AA89" s="387"/>
      <c r="AB89" s="387"/>
      <c r="AC89" s="387"/>
    </row>
    <row r="90" s="189" customFormat="1" ht="15.75" spans="1:29">
      <c r="A90" s="290"/>
      <c r="B90" s="365"/>
      <c r="C90" s="488">
        <v>100</v>
      </c>
      <c r="D90" s="366">
        <f>C90-$K21</f>
        <v>100</v>
      </c>
      <c r="E90" s="366">
        <f>D90-$K21</f>
        <v>100</v>
      </c>
      <c r="F90" s="366">
        <f>E90-$K21</f>
        <v>100</v>
      </c>
      <c r="G90" s="366">
        <f>F90-$K21</f>
        <v>100</v>
      </c>
      <c r="H90" s="366"/>
      <c r="I90" s="366"/>
      <c r="J90" s="366"/>
      <c r="K90" s="366"/>
      <c r="L90" s="366"/>
      <c r="M90" s="438"/>
      <c r="N90" s="2269"/>
      <c r="O90" s="434"/>
      <c r="P90" s="427"/>
      <c r="Q90" s="422"/>
      <c r="R90" s="387"/>
      <c r="S90" s="387"/>
      <c r="T90" s="387"/>
      <c r="U90" s="387"/>
      <c r="V90" s="387"/>
      <c r="W90" s="387"/>
      <c r="X90" s="387"/>
      <c r="Y90" s="387"/>
      <c r="Z90" s="387"/>
      <c r="AA90" s="387"/>
      <c r="AB90" s="387"/>
      <c r="AC90" s="387"/>
    </row>
    <row r="91" s="189" customFormat="1" ht="27.75" spans="1:29">
      <c r="A91" s="290"/>
      <c r="B91" s="363" t="s">
        <v>950</v>
      </c>
      <c r="C91" s="374" t="s">
        <v>246</v>
      </c>
      <c r="D91" s="374" t="s">
        <v>258</v>
      </c>
      <c r="E91" s="374" t="s">
        <v>269</v>
      </c>
      <c r="F91" s="374" t="s">
        <v>279</v>
      </c>
      <c r="G91" s="374" t="s">
        <v>287</v>
      </c>
      <c r="H91" s="376"/>
      <c r="I91" s="376"/>
      <c r="J91" s="376"/>
      <c r="K91" s="376"/>
      <c r="L91" s="376"/>
      <c r="M91" s="501"/>
      <c r="N91" s="2267"/>
      <c r="O91" s="427"/>
      <c r="P91" s="427"/>
      <c r="Q91" s="422"/>
      <c r="R91" s="387"/>
      <c r="S91" s="387"/>
      <c r="T91" s="387"/>
      <c r="U91" s="387"/>
      <c r="V91" s="387"/>
      <c r="W91" s="387"/>
      <c r="X91" s="387"/>
      <c r="Y91" s="387"/>
      <c r="Z91" s="387"/>
      <c r="AA91" s="387"/>
      <c r="AB91" s="387"/>
      <c r="AC91" s="387"/>
    </row>
    <row r="92" s="189" customFormat="1" ht="15.75" spans="1:29">
      <c r="A92" s="290"/>
      <c r="B92" s="365"/>
      <c r="C92" s="366">
        <v>100</v>
      </c>
      <c r="D92" s="366">
        <f>C92-$K23</f>
        <v>100</v>
      </c>
      <c r="E92" s="366">
        <f>D92-$K23</f>
        <v>100</v>
      </c>
      <c r="F92" s="366">
        <f>E92-$K23</f>
        <v>100</v>
      </c>
      <c r="G92" s="366">
        <f>F92-$K23</f>
        <v>100</v>
      </c>
      <c r="H92" s="366"/>
      <c r="I92" s="366"/>
      <c r="J92" s="366"/>
      <c r="K92" s="366"/>
      <c r="L92" s="366"/>
      <c r="M92" s="438"/>
      <c r="N92" s="2269"/>
      <c r="O92" s="434"/>
      <c r="P92" s="427"/>
      <c r="Q92" s="422"/>
      <c r="R92" s="387"/>
      <c r="S92" s="387"/>
      <c r="T92" s="387"/>
      <c r="U92" s="387"/>
      <c r="V92" s="387"/>
      <c r="W92" s="387"/>
      <c r="X92" s="387"/>
      <c r="Y92" s="387"/>
      <c r="Z92" s="387"/>
      <c r="AA92" s="387"/>
      <c r="AB92" s="387"/>
      <c r="AC92" s="387"/>
    </row>
    <row r="93" s="191" customFormat="1" ht="15.75" spans="1:29">
      <c r="A93" s="370"/>
      <c r="B93" s="375" t="s">
        <v>231</v>
      </c>
      <c r="C93" s="374" t="s">
        <v>246</v>
      </c>
      <c r="D93" s="374" t="s">
        <v>258</v>
      </c>
      <c r="E93" s="374" t="s">
        <v>269</v>
      </c>
      <c r="F93" s="374" t="s">
        <v>279</v>
      </c>
      <c r="G93" s="374" t="s">
        <v>287</v>
      </c>
      <c r="H93" s="1185"/>
      <c r="I93" s="1185"/>
      <c r="J93" s="1185"/>
      <c r="K93" s="1185"/>
      <c r="L93" s="1186"/>
      <c r="M93" s="1187"/>
      <c r="N93" s="2270"/>
      <c r="O93" s="444"/>
      <c r="P93" s="444"/>
      <c r="Q93" s="475"/>
      <c r="R93" s="404"/>
      <c r="S93" s="404"/>
      <c r="T93" s="404"/>
      <c r="U93" s="404"/>
      <c r="V93" s="404"/>
      <c r="W93" s="404"/>
      <c r="X93" s="404"/>
      <c r="Y93" s="404"/>
      <c r="Z93" s="404"/>
      <c r="AA93" s="404"/>
      <c r="AB93" s="404"/>
      <c r="AC93" s="404"/>
    </row>
    <row r="94" s="191" customFormat="1" ht="15.75" spans="1:29">
      <c r="A94" s="370"/>
      <c r="B94" s="365"/>
      <c r="C94" s="366">
        <v>100</v>
      </c>
      <c r="D94" s="366">
        <f>C94-$K25</f>
        <v>100</v>
      </c>
      <c r="E94" s="366">
        <f>D94-$K25</f>
        <v>100</v>
      </c>
      <c r="F94" s="366">
        <f>E94-$K25</f>
        <v>100</v>
      </c>
      <c r="G94" s="366">
        <f>F94-$K25</f>
        <v>100</v>
      </c>
      <c r="H94" s="1190"/>
      <c r="I94" s="1190"/>
      <c r="J94" s="1190"/>
      <c r="K94" s="1190"/>
      <c r="L94" s="1190"/>
      <c r="M94" s="1191"/>
      <c r="N94" s="2270"/>
      <c r="O94" s="444"/>
      <c r="P94" s="444"/>
      <c r="Q94" s="475"/>
      <c r="R94" s="404"/>
      <c r="S94" s="404"/>
      <c r="T94" s="404"/>
      <c r="U94" s="404"/>
      <c r="V94" s="404"/>
      <c r="W94" s="404"/>
      <c r="X94" s="404"/>
      <c r="Y94" s="404"/>
      <c r="Z94" s="404"/>
      <c r="AA94" s="404"/>
      <c r="AB94" s="404"/>
      <c r="AC94" s="404"/>
    </row>
    <row r="95" s="191" customFormat="1" ht="15.75" spans="1:29">
      <c r="A95" s="370"/>
      <c r="B95" s="484" t="s">
        <v>232</v>
      </c>
      <c r="C95" s="485" t="s">
        <v>247</v>
      </c>
      <c r="D95" s="485" t="s">
        <v>259</v>
      </c>
      <c r="E95" s="485" t="s">
        <v>270</v>
      </c>
      <c r="F95" s="485" t="s">
        <v>280</v>
      </c>
      <c r="G95" s="485" t="s">
        <v>288</v>
      </c>
      <c r="H95" s="1185"/>
      <c r="I95" s="1185"/>
      <c r="J95" s="1185"/>
      <c r="K95" s="1185"/>
      <c r="L95" s="1185"/>
      <c r="M95" s="1187"/>
      <c r="N95" s="2270"/>
      <c r="O95" s="444"/>
      <c r="P95" s="444"/>
      <c r="Q95" s="475"/>
      <c r="R95" s="404"/>
      <c r="S95" s="404"/>
      <c r="T95" s="404"/>
      <c r="U95" s="404"/>
      <c r="V95" s="404"/>
      <c r="W95" s="404"/>
      <c r="X95" s="404"/>
      <c r="Y95" s="404"/>
      <c r="Z95" s="404"/>
      <c r="AA95" s="404"/>
      <c r="AB95" s="404"/>
      <c r="AC95" s="404"/>
    </row>
    <row r="96" s="191" customFormat="1" ht="15.75" spans="1:29">
      <c r="A96" s="370"/>
      <c r="B96" s="486"/>
      <c r="C96" s="366">
        <v>100</v>
      </c>
      <c r="D96" s="366">
        <f>C96-$K27</f>
        <v>100</v>
      </c>
      <c r="E96" s="366">
        <f>D96-$K27</f>
        <v>100</v>
      </c>
      <c r="F96" s="366">
        <f>E96-$K27</f>
        <v>100</v>
      </c>
      <c r="G96" s="366">
        <f>F96-$K27</f>
        <v>100</v>
      </c>
      <c r="H96" s="552"/>
      <c r="I96" s="552"/>
      <c r="J96" s="552"/>
      <c r="K96" s="552"/>
      <c r="L96" s="552"/>
      <c r="M96" s="2272"/>
      <c r="N96" s="2270"/>
      <c r="O96" s="444"/>
      <c r="P96" s="444"/>
      <c r="Q96" s="475"/>
      <c r="R96" s="404"/>
      <c r="S96" s="404"/>
      <c r="T96" s="404"/>
      <c r="U96" s="404"/>
      <c r="V96" s="404"/>
      <c r="W96" s="404"/>
      <c r="X96" s="404"/>
      <c r="Y96" s="404"/>
      <c r="Z96" s="404"/>
      <c r="AA96" s="404"/>
      <c r="AB96" s="404"/>
      <c r="AC96" s="404"/>
    </row>
    <row r="97" ht="15.75" spans="1:29">
      <c r="A97" s="266"/>
      <c r="B97" s="363" t="str">
        <f>B29</f>
        <v>临街状况</v>
      </c>
      <c r="C97" s="364" t="s">
        <v>998</v>
      </c>
      <c r="D97" s="364" t="s">
        <v>999</v>
      </c>
      <c r="E97" s="364" t="s">
        <v>1000</v>
      </c>
      <c r="F97" s="364" t="s">
        <v>1001</v>
      </c>
      <c r="G97" s="364"/>
      <c r="H97" s="364"/>
      <c r="I97" s="364"/>
      <c r="J97" s="364"/>
      <c r="K97" s="435"/>
      <c r="L97" s="436"/>
      <c r="M97" s="437"/>
      <c r="N97" s="2268"/>
      <c r="O97" s="432"/>
      <c r="P97" s="427"/>
      <c r="Q97" s="422"/>
      <c r="R97" s="338"/>
      <c r="S97" s="338"/>
      <c r="T97" s="338"/>
      <c r="U97" s="338"/>
      <c r="V97" s="338"/>
      <c r="W97" s="338"/>
      <c r="X97" s="338"/>
      <c r="Y97" s="338"/>
      <c r="Z97" s="338"/>
      <c r="AA97" s="338"/>
      <c r="AB97" s="338"/>
      <c r="AC97" s="338"/>
    </row>
    <row r="98" ht="15.75" spans="1:29">
      <c r="A98" s="266"/>
      <c r="B98" s="365"/>
      <c r="C98" s="366">
        <v>100</v>
      </c>
      <c r="D98" s="366">
        <f t="shared" ref="D98:M98" si="22">C98-$K29</f>
        <v>100</v>
      </c>
      <c r="E98" s="366">
        <f t="shared" si="22"/>
        <v>100</v>
      </c>
      <c r="F98" s="366">
        <f t="shared" si="22"/>
        <v>100</v>
      </c>
      <c r="G98" s="366">
        <f t="shared" si="22"/>
        <v>100</v>
      </c>
      <c r="H98" s="366">
        <f t="shared" si="22"/>
        <v>100</v>
      </c>
      <c r="I98" s="366">
        <f t="shared" si="22"/>
        <v>100</v>
      </c>
      <c r="J98" s="366">
        <f t="shared" si="22"/>
        <v>100</v>
      </c>
      <c r="K98" s="366">
        <f t="shared" si="22"/>
        <v>100</v>
      </c>
      <c r="L98" s="366">
        <f t="shared" si="22"/>
        <v>100</v>
      </c>
      <c r="M98" s="366">
        <f t="shared" si="22"/>
        <v>100</v>
      </c>
      <c r="N98" s="2269"/>
      <c r="O98" s="434"/>
      <c r="P98" s="427"/>
      <c r="Q98" s="422"/>
      <c r="R98" s="338"/>
      <c r="S98" s="338"/>
      <c r="T98" s="338"/>
      <c r="U98" s="338"/>
      <c r="V98" s="338"/>
      <c r="W98" s="338"/>
      <c r="X98" s="338"/>
      <c r="Y98" s="338"/>
      <c r="Z98" s="338"/>
      <c r="AA98" s="338"/>
      <c r="AB98" s="338"/>
      <c r="AC98" s="338"/>
    </row>
    <row r="99" ht="27.75" spans="1:29">
      <c r="A99" s="266"/>
      <c r="B99" s="363" t="s">
        <v>952</v>
      </c>
      <c r="C99" s="371"/>
      <c r="D99" s="371"/>
      <c r="E99" s="371"/>
      <c r="F99" s="371"/>
      <c r="G99" s="371"/>
      <c r="H99" s="487"/>
      <c r="I99" s="487"/>
      <c r="J99" s="487"/>
      <c r="K99" s="493"/>
      <c r="L99" s="494"/>
      <c r="M99" s="495"/>
      <c r="N99" s="2268"/>
      <c r="O99" s="432"/>
      <c r="P99" s="427"/>
      <c r="Q99" s="422"/>
      <c r="R99" s="338"/>
      <c r="S99" s="338"/>
      <c r="T99" s="338"/>
      <c r="U99" s="338"/>
      <c r="V99" s="338"/>
      <c r="W99" s="338"/>
      <c r="X99" s="338"/>
      <c r="Y99" s="338"/>
      <c r="Z99" s="338"/>
      <c r="AA99" s="338"/>
      <c r="AB99" s="338"/>
      <c r="AC99" s="338"/>
    </row>
    <row r="100" ht="15.75" spans="1:29">
      <c r="A100" s="266"/>
      <c r="B100" s="365"/>
      <c r="C100" s="366">
        <v>100</v>
      </c>
      <c r="D100" s="366">
        <f t="shared" ref="D100:M100" si="23">C100-$K30</f>
        <v>100</v>
      </c>
      <c r="E100" s="366">
        <f t="shared" si="23"/>
        <v>100</v>
      </c>
      <c r="F100" s="366">
        <f t="shared" si="23"/>
        <v>100</v>
      </c>
      <c r="G100" s="366">
        <f t="shared" si="23"/>
        <v>100</v>
      </c>
      <c r="H100" s="366">
        <f t="shared" si="23"/>
        <v>100</v>
      </c>
      <c r="I100" s="366">
        <f t="shared" si="23"/>
        <v>100</v>
      </c>
      <c r="J100" s="366">
        <f t="shared" si="23"/>
        <v>100</v>
      </c>
      <c r="K100" s="366">
        <f t="shared" si="23"/>
        <v>100</v>
      </c>
      <c r="L100" s="366">
        <f t="shared" si="23"/>
        <v>100</v>
      </c>
      <c r="M100" s="366">
        <f t="shared" si="23"/>
        <v>100</v>
      </c>
      <c r="N100" s="2269"/>
      <c r="O100" s="434"/>
      <c r="P100" s="427"/>
      <c r="Q100" s="422"/>
      <c r="R100" s="338"/>
      <c r="S100" s="338"/>
      <c r="T100" s="338"/>
      <c r="U100" s="338"/>
      <c r="V100" s="338"/>
      <c r="W100" s="338"/>
      <c r="X100" s="338"/>
      <c r="Y100" s="338"/>
      <c r="Z100" s="338"/>
      <c r="AA100" s="338"/>
      <c r="AB100" s="338"/>
      <c r="AC100" s="338"/>
    </row>
    <row r="101" ht="15.75" spans="1:29">
      <c r="A101" s="266"/>
      <c r="B101" s="363" t="s">
        <v>953</v>
      </c>
      <c r="C101" s="487"/>
      <c r="D101" s="487"/>
      <c r="E101" s="487"/>
      <c r="F101" s="487"/>
      <c r="G101" s="487"/>
      <c r="H101" s="487"/>
      <c r="I101" s="487"/>
      <c r="J101" s="487"/>
      <c r="K101" s="493"/>
      <c r="L101" s="494"/>
      <c r="M101" s="495"/>
      <c r="N101" s="2268"/>
      <c r="O101" s="432"/>
      <c r="P101" s="427"/>
      <c r="Q101" s="422"/>
      <c r="R101" s="338"/>
      <c r="S101" s="338"/>
      <c r="T101" s="338"/>
      <c r="U101" s="338"/>
      <c r="V101" s="338"/>
      <c r="W101" s="338"/>
      <c r="X101" s="338"/>
      <c r="Y101" s="338"/>
      <c r="Z101" s="338"/>
      <c r="AA101" s="338"/>
      <c r="AB101" s="338"/>
      <c r="AC101" s="338"/>
    </row>
    <row r="102" ht="15.75" spans="1:29">
      <c r="A102" s="266"/>
      <c r="B102" s="365"/>
      <c r="C102" s="366">
        <v>100</v>
      </c>
      <c r="D102" s="366">
        <f t="shared" ref="D102:M102" si="24">C102-$K32</f>
        <v>100</v>
      </c>
      <c r="E102" s="366">
        <f t="shared" si="24"/>
        <v>100</v>
      </c>
      <c r="F102" s="366">
        <f t="shared" si="24"/>
        <v>100</v>
      </c>
      <c r="G102" s="366">
        <f t="shared" si="24"/>
        <v>100</v>
      </c>
      <c r="H102" s="366">
        <f t="shared" si="24"/>
        <v>100</v>
      </c>
      <c r="I102" s="366">
        <f t="shared" si="24"/>
        <v>100</v>
      </c>
      <c r="J102" s="366">
        <f t="shared" si="24"/>
        <v>100</v>
      </c>
      <c r="K102" s="366">
        <f t="shared" si="24"/>
        <v>100</v>
      </c>
      <c r="L102" s="366">
        <f t="shared" si="24"/>
        <v>100</v>
      </c>
      <c r="M102" s="366">
        <f t="shared" si="24"/>
        <v>100</v>
      </c>
      <c r="N102" s="2269"/>
      <c r="O102" s="434"/>
      <c r="P102" s="427"/>
      <c r="Q102" s="422"/>
      <c r="R102" s="338"/>
      <c r="S102" s="338"/>
      <c r="T102" s="338"/>
      <c r="U102" s="338"/>
      <c r="V102" s="338"/>
      <c r="W102" s="338"/>
      <c r="X102" s="338"/>
      <c r="Y102" s="338"/>
      <c r="Z102" s="338"/>
      <c r="AA102" s="338"/>
      <c r="AB102" s="338"/>
      <c r="AC102" s="338"/>
    </row>
    <row r="103" ht="15.75" spans="1:29">
      <c r="A103" s="266"/>
      <c r="B103" s="486">
        <f>B33</f>
        <v>111</v>
      </c>
      <c r="C103" s="371"/>
      <c r="D103" s="371"/>
      <c r="E103" s="371"/>
      <c r="F103" s="371"/>
      <c r="G103" s="559"/>
      <c r="H103" s="559"/>
      <c r="I103" s="559"/>
      <c r="J103" s="559"/>
      <c r="K103" s="566"/>
      <c r="L103" s="567"/>
      <c r="M103" s="568"/>
      <c r="N103" s="2268"/>
      <c r="O103" s="432"/>
      <c r="P103" s="427"/>
      <c r="Q103" s="422"/>
      <c r="R103" s="338"/>
      <c r="S103" s="338"/>
      <c r="T103" s="338"/>
      <c r="U103" s="338"/>
      <c r="V103" s="338"/>
      <c r="W103" s="338"/>
      <c r="X103" s="338"/>
      <c r="Y103" s="338"/>
      <c r="Z103" s="338"/>
      <c r="AA103" s="338"/>
      <c r="AB103" s="338"/>
      <c r="AC103" s="338"/>
    </row>
    <row r="104" ht="15.75" spans="1:29">
      <c r="A104" s="266"/>
      <c r="B104" s="556"/>
      <c r="C104" s="369"/>
      <c r="D104" s="362"/>
      <c r="E104" s="362"/>
      <c r="F104" s="362"/>
      <c r="G104" s="560"/>
      <c r="H104" s="560"/>
      <c r="I104" s="560"/>
      <c r="J104" s="560"/>
      <c r="K104" s="560"/>
      <c r="L104" s="560"/>
      <c r="M104" s="569"/>
      <c r="N104" s="2269"/>
      <c r="O104" s="434"/>
      <c r="P104" s="427"/>
      <c r="Q104" s="422"/>
      <c r="R104" s="338"/>
      <c r="S104" s="338"/>
      <c r="T104" s="338"/>
      <c r="U104" s="338"/>
      <c r="V104" s="338"/>
      <c r="W104" s="338"/>
      <c r="X104" s="338"/>
      <c r="Y104" s="338"/>
      <c r="Z104" s="338"/>
      <c r="AA104" s="338"/>
      <c r="AB104" s="338"/>
      <c r="AC104" s="338"/>
    </row>
    <row r="105" ht="15" spans="1:29">
      <c r="A105" s="2187"/>
      <c r="B105" s="363">
        <f>B34</f>
        <v>111</v>
      </c>
      <c r="C105" s="371"/>
      <c r="D105" s="371"/>
      <c r="E105" s="371"/>
      <c r="F105" s="371"/>
      <c r="G105" s="487"/>
      <c r="H105" s="487"/>
      <c r="I105" s="487"/>
      <c r="J105" s="487"/>
      <c r="K105" s="493"/>
      <c r="L105" s="494"/>
      <c r="M105" s="495"/>
      <c r="N105" s="2268"/>
      <c r="O105" s="432"/>
      <c r="P105" s="427"/>
      <c r="Q105" s="422"/>
      <c r="R105" s="338"/>
      <c r="S105" s="338"/>
      <c r="T105" s="338"/>
      <c r="U105" s="338"/>
      <c r="V105" s="338"/>
      <c r="W105" s="338"/>
      <c r="X105" s="338"/>
      <c r="Y105" s="338"/>
      <c r="Z105" s="338"/>
      <c r="AA105" s="338"/>
      <c r="AB105" s="338"/>
      <c r="AC105" s="338"/>
    </row>
    <row r="106" ht="15.75" spans="1:29">
      <c r="A106" s="266"/>
      <c r="B106" s="365"/>
      <c r="C106" s="369"/>
      <c r="D106" s="369"/>
      <c r="E106" s="369"/>
      <c r="F106" s="369"/>
      <c r="G106" s="362"/>
      <c r="H106" s="362"/>
      <c r="I106" s="362"/>
      <c r="J106" s="362"/>
      <c r="K106" s="362"/>
      <c r="L106" s="362"/>
      <c r="M106" s="433"/>
      <c r="N106" s="2269"/>
      <c r="O106" s="434"/>
      <c r="P106" s="427"/>
      <c r="Q106" s="422"/>
      <c r="R106" s="338"/>
      <c r="S106" s="338"/>
      <c r="T106" s="338"/>
      <c r="U106" s="338"/>
      <c r="V106" s="338"/>
      <c r="W106" s="338"/>
      <c r="X106" s="338"/>
      <c r="Y106" s="338"/>
      <c r="Z106" s="338"/>
      <c r="AA106" s="338"/>
      <c r="AB106" s="338"/>
      <c r="AC106" s="338"/>
    </row>
    <row r="107" s="191" customFormat="1" ht="15.75" spans="1:29">
      <c r="A107" s="296"/>
      <c r="B107" s="561">
        <f>B35</f>
        <v>111</v>
      </c>
      <c r="C107" s="356"/>
      <c r="D107" s="356"/>
      <c r="E107" s="356"/>
      <c r="F107" s="356"/>
      <c r="G107" s="489"/>
      <c r="H107" s="489"/>
      <c r="I107" s="489"/>
      <c r="J107" s="502"/>
      <c r="K107" s="502"/>
      <c r="L107" s="503"/>
      <c r="M107" s="504"/>
      <c r="N107" s="2270"/>
      <c r="O107" s="444"/>
      <c r="P107" s="444"/>
      <c r="Q107" s="475"/>
      <c r="R107" s="404"/>
      <c r="S107" s="404"/>
      <c r="T107" s="404"/>
      <c r="U107" s="404"/>
      <c r="V107" s="404"/>
      <c r="W107" s="404"/>
      <c r="X107" s="404"/>
      <c r="Y107" s="404"/>
      <c r="Z107" s="404"/>
      <c r="AA107" s="404"/>
      <c r="AB107" s="404"/>
      <c r="AC107" s="404"/>
    </row>
    <row r="108" s="191" customFormat="1" ht="15.75" spans="1:29">
      <c r="A108" s="370"/>
      <c r="B108" s="486"/>
      <c r="C108" s="557"/>
      <c r="D108" s="557"/>
      <c r="E108" s="557"/>
      <c r="F108" s="557"/>
      <c r="G108" s="2263"/>
      <c r="H108" s="2263"/>
      <c r="I108" s="2263"/>
      <c r="J108" s="2263"/>
      <c r="K108" s="2263"/>
      <c r="L108" s="2263"/>
      <c r="M108" s="2273"/>
      <c r="N108" s="2269"/>
      <c r="O108" s="434"/>
      <c r="P108" s="444"/>
      <c r="Q108" s="475"/>
      <c r="R108" s="404"/>
      <c r="S108" s="404"/>
      <c r="T108" s="404"/>
      <c r="U108" s="404"/>
      <c r="V108" s="404"/>
      <c r="W108" s="404"/>
      <c r="X108" s="404"/>
      <c r="Y108" s="404"/>
      <c r="Z108" s="404"/>
      <c r="AA108" s="404"/>
      <c r="AB108" s="404"/>
      <c r="AC108" s="404"/>
    </row>
    <row r="109" spans="1:29">
      <c r="A109" s="357" t="s">
        <v>1002</v>
      </c>
      <c r="B109" s="358" t="s">
        <v>956</v>
      </c>
      <c r="C109" s="359" t="str">
        <f t="shared" ref="C109:L109" si="25">C110&amp;"(含)"&amp;"-"&amp;D110</f>
        <v>(含)-</v>
      </c>
      <c r="D109" s="359" t="str">
        <f t="shared" si="25"/>
        <v>(含)-</v>
      </c>
      <c r="E109" s="359" t="str">
        <f t="shared" si="25"/>
        <v>(含)-</v>
      </c>
      <c r="F109" s="359" t="str">
        <f t="shared" si="25"/>
        <v>(含)-</v>
      </c>
      <c r="G109" s="359" t="str">
        <f t="shared" si="25"/>
        <v>(含)-</v>
      </c>
      <c r="H109" s="359" t="str">
        <f t="shared" si="25"/>
        <v>(含)-</v>
      </c>
      <c r="I109" s="359" t="str">
        <f t="shared" si="25"/>
        <v>(含)-</v>
      </c>
      <c r="J109" s="359" t="str">
        <f t="shared" si="25"/>
        <v>(含)-</v>
      </c>
      <c r="K109" s="2274" t="str">
        <f t="shared" si="25"/>
        <v>(含)-</v>
      </c>
      <c r="L109" s="2275" t="str">
        <f t="shared" si="25"/>
        <v>(含)-</v>
      </c>
      <c r="M109" s="2276" t="str">
        <f>M110&amp;"(含)"&amp;"-"&amp;P110</f>
        <v>(含)-</v>
      </c>
      <c r="N109" s="2268"/>
      <c r="O109" s="432"/>
      <c r="P109" s="427"/>
      <c r="Q109" s="422"/>
      <c r="R109" s="338"/>
      <c r="S109" s="338"/>
      <c r="T109" s="338"/>
      <c r="U109" s="338"/>
      <c r="V109" s="338"/>
      <c r="W109" s="338"/>
      <c r="X109" s="338"/>
      <c r="Y109" s="338"/>
      <c r="Z109" s="338"/>
      <c r="AA109" s="338"/>
      <c r="AB109" s="338"/>
      <c r="AC109" s="338"/>
    </row>
    <row r="110" ht="15" spans="1:29">
      <c r="A110" s="266"/>
      <c r="B110" s="486"/>
      <c r="C110" s="489"/>
      <c r="D110" s="489"/>
      <c r="E110" s="489"/>
      <c r="F110" s="489"/>
      <c r="G110" s="489"/>
      <c r="H110" s="489"/>
      <c r="I110" s="489"/>
      <c r="J110" s="502"/>
      <c r="K110" s="502"/>
      <c r="L110" s="503"/>
      <c r="M110" s="504"/>
      <c r="N110" s="2268"/>
      <c r="O110" s="432"/>
      <c r="P110" s="427"/>
      <c r="Q110" s="422"/>
      <c r="R110" s="338"/>
      <c r="S110" s="338"/>
      <c r="T110" s="338"/>
      <c r="U110" s="338"/>
      <c r="V110" s="338"/>
      <c r="W110" s="338"/>
      <c r="X110" s="338"/>
      <c r="Y110" s="338"/>
      <c r="Z110" s="338"/>
      <c r="AA110" s="338"/>
      <c r="AB110" s="338"/>
      <c r="AC110" s="338"/>
    </row>
    <row r="111" ht="15.75" spans="1:29">
      <c r="A111" s="266"/>
      <c r="B111" s="365"/>
      <c r="C111" s="557"/>
      <c r="D111" s="560"/>
      <c r="E111" s="560"/>
      <c r="F111" s="560"/>
      <c r="G111" s="560"/>
      <c r="H111" s="560"/>
      <c r="I111" s="560"/>
      <c r="J111" s="560"/>
      <c r="K111" s="560"/>
      <c r="L111" s="560"/>
      <c r="M111" s="569"/>
      <c r="N111" s="2269"/>
      <c r="O111" s="434"/>
      <c r="P111" s="427"/>
      <c r="Q111" s="422"/>
      <c r="R111" s="338"/>
      <c r="S111" s="338"/>
      <c r="T111" s="338"/>
      <c r="U111" s="338"/>
      <c r="V111" s="338"/>
      <c r="W111" s="338"/>
      <c r="X111" s="338"/>
      <c r="Y111" s="338"/>
      <c r="Z111" s="338"/>
      <c r="AA111" s="338"/>
      <c r="AB111" s="338"/>
      <c r="AC111" s="338"/>
    </row>
    <row r="112" ht="15.75" spans="1:29">
      <c r="A112" s="301"/>
      <c r="B112" s="363" t="s">
        <v>957</v>
      </c>
      <c r="C112" s="487"/>
      <c r="D112" s="487"/>
      <c r="E112" s="487"/>
      <c r="F112" s="487"/>
      <c r="G112" s="487"/>
      <c r="H112" s="487"/>
      <c r="I112" s="487"/>
      <c r="J112" s="487"/>
      <c r="K112" s="493"/>
      <c r="L112" s="494"/>
      <c r="M112" s="495"/>
      <c r="N112" s="2268"/>
      <c r="O112" s="432"/>
      <c r="P112" s="427"/>
      <c r="Q112" s="422"/>
      <c r="R112" s="338"/>
      <c r="S112" s="338"/>
      <c r="T112" s="338"/>
      <c r="U112" s="338"/>
      <c r="V112" s="338"/>
      <c r="W112" s="338"/>
      <c r="X112" s="338"/>
      <c r="Y112" s="338"/>
      <c r="Z112" s="338"/>
      <c r="AA112" s="338"/>
      <c r="AB112" s="338"/>
      <c r="AC112" s="338"/>
    </row>
    <row r="113" ht="15.75" spans="1:29">
      <c r="A113" s="266"/>
      <c r="B113" s="365"/>
      <c r="C113" s="366">
        <v>100</v>
      </c>
      <c r="D113" s="366">
        <f t="shared" ref="D113:M113" si="26">C113-$K37</f>
        <v>100</v>
      </c>
      <c r="E113" s="366">
        <f t="shared" si="26"/>
        <v>100</v>
      </c>
      <c r="F113" s="366">
        <f t="shared" si="26"/>
        <v>100</v>
      </c>
      <c r="G113" s="366">
        <f t="shared" si="26"/>
        <v>100</v>
      </c>
      <c r="H113" s="366">
        <f t="shared" si="26"/>
        <v>100</v>
      </c>
      <c r="I113" s="366">
        <f t="shared" si="26"/>
        <v>100</v>
      </c>
      <c r="J113" s="366">
        <f t="shared" si="26"/>
        <v>100</v>
      </c>
      <c r="K113" s="366">
        <f t="shared" si="26"/>
        <v>100</v>
      </c>
      <c r="L113" s="366">
        <f t="shared" si="26"/>
        <v>100</v>
      </c>
      <c r="M113" s="438">
        <f t="shared" si="26"/>
        <v>100</v>
      </c>
      <c r="N113" s="2269"/>
      <c r="O113" s="434"/>
      <c r="P113" s="427"/>
      <c r="Q113" s="422"/>
      <c r="R113" s="338"/>
      <c r="S113" s="338"/>
      <c r="T113" s="338"/>
      <c r="U113" s="338"/>
      <c r="V113" s="338"/>
      <c r="W113" s="338"/>
      <c r="X113" s="338"/>
      <c r="Y113" s="338"/>
      <c r="Z113" s="338"/>
      <c r="AA113" s="338"/>
      <c r="AB113" s="338"/>
      <c r="AC113" s="338"/>
    </row>
    <row r="114" s="191" customFormat="1" ht="15.75" spans="1:29">
      <c r="A114" s="296"/>
      <c r="B114" s="375" t="s">
        <v>960</v>
      </c>
      <c r="C114" s="2264"/>
      <c r="D114" s="2264"/>
      <c r="E114" s="2264"/>
      <c r="F114" s="2264"/>
      <c r="G114" s="2264"/>
      <c r="H114" s="487"/>
      <c r="I114" s="487"/>
      <c r="J114" s="487"/>
      <c r="K114" s="493"/>
      <c r="L114" s="494"/>
      <c r="M114" s="495"/>
      <c r="N114" s="2270"/>
      <c r="O114" s="444"/>
      <c r="P114" s="444"/>
      <c r="Q114" s="475"/>
      <c r="R114" s="404"/>
      <c r="S114" s="404"/>
      <c r="T114" s="404"/>
      <c r="U114" s="404"/>
      <c r="V114" s="404"/>
      <c r="W114" s="404"/>
      <c r="X114" s="404"/>
      <c r="Y114" s="404"/>
      <c r="Z114" s="404"/>
      <c r="AA114" s="404"/>
      <c r="AB114" s="404"/>
      <c r="AC114" s="404"/>
    </row>
    <row r="115" s="191" customFormat="1" ht="15.75" spans="1:29">
      <c r="A115" s="370"/>
      <c r="B115" s="365"/>
      <c r="C115" s="366">
        <v>100</v>
      </c>
      <c r="D115" s="366">
        <f t="shared" ref="D115:M115" si="27">C115-$K38</f>
        <v>100</v>
      </c>
      <c r="E115" s="366">
        <f t="shared" si="27"/>
        <v>100</v>
      </c>
      <c r="F115" s="366">
        <f t="shared" si="27"/>
        <v>100</v>
      </c>
      <c r="G115" s="366">
        <f t="shared" si="27"/>
        <v>100</v>
      </c>
      <c r="H115" s="366">
        <f t="shared" si="27"/>
        <v>100</v>
      </c>
      <c r="I115" s="366">
        <f t="shared" si="27"/>
        <v>100</v>
      </c>
      <c r="J115" s="366">
        <f t="shared" si="27"/>
        <v>100</v>
      </c>
      <c r="K115" s="366">
        <f t="shared" si="27"/>
        <v>100</v>
      </c>
      <c r="L115" s="366">
        <f t="shared" si="27"/>
        <v>100</v>
      </c>
      <c r="M115" s="438">
        <f t="shared" si="27"/>
        <v>100</v>
      </c>
      <c r="N115" s="2270"/>
      <c r="O115" s="444"/>
      <c r="P115" s="444"/>
      <c r="Q115" s="475"/>
      <c r="R115" s="404"/>
      <c r="S115" s="404"/>
      <c r="T115" s="404"/>
      <c r="U115" s="404"/>
      <c r="V115" s="404"/>
      <c r="W115" s="404"/>
      <c r="X115" s="404"/>
      <c r="Y115" s="404"/>
      <c r="Z115" s="404"/>
      <c r="AA115" s="404"/>
      <c r="AB115" s="404"/>
      <c r="AC115" s="404"/>
    </row>
    <row r="116" ht="15.75" spans="1:29">
      <c r="A116" s="301"/>
      <c r="B116" s="363" t="s">
        <v>961</v>
      </c>
      <c r="C116" s="371"/>
      <c r="D116" s="371"/>
      <c r="E116" s="487"/>
      <c r="F116" s="487"/>
      <c r="G116" s="487"/>
      <c r="H116" s="487"/>
      <c r="I116" s="487"/>
      <c r="J116" s="487"/>
      <c r="K116" s="493"/>
      <c r="L116" s="494"/>
      <c r="M116" s="495"/>
      <c r="N116" s="2268"/>
      <c r="O116" s="432"/>
      <c r="P116" s="427"/>
      <c r="Q116" s="422"/>
      <c r="R116" s="338"/>
      <c r="S116" s="338"/>
      <c r="T116" s="338"/>
      <c r="U116" s="338"/>
      <c r="V116" s="338"/>
      <c r="W116" s="338"/>
      <c r="X116" s="338"/>
      <c r="Y116" s="338"/>
      <c r="Z116" s="338"/>
      <c r="AA116" s="338"/>
      <c r="AB116" s="338"/>
      <c r="AC116" s="338"/>
    </row>
    <row r="117" ht="15.75" spans="1:29">
      <c r="A117" s="266"/>
      <c r="B117" s="365"/>
      <c r="C117" s="366">
        <v>100</v>
      </c>
      <c r="D117" s="366">
        <f t="shared" ref="D117:M117" si="28">C117-$K39</f>
        <v>100</v>
      </c>
      <c r="E117" s="366">
        <f t="shared" si="28"/>
        <v>100</v>
      </c>
      <c r="F117" s="366">
        <f t="shared" si="28"/>
        <v>100</v>
      </c>
      <c r="G117" s="366">
        <f t="shared" si="28"/>
        <v>100</v>
      </c>
      <c r="H117" s="366">
        <f t="shared" si="28"/>
        <v>100</v>
      </c>
      <c r="I117" s="366">
        <f t="shared" si="28"/>
        <v>100</v>
      </c>
      <c r="J117" s="366">
        <f t="shared" si="28"/>
        <v>100</v>
      </c>
      <c r="K117" s="366">
        <f t="shared" si="28"/>
        <v>100</v>
      </c>
      <c r="L117" s="366">
        <f t="shared" si="28"/>
        <v>100</v>
      </c>
      <c r="M117" s="438">
        <f t="shared" si="28"/>
        <v>100</v>
      </c>
      <c r="N117" s="2269"/>
      <c r="O117" s="434"/>
      <c r="P117" s="427"/>
      <c r="Q117" s="422"/>
      <c r="R117" s="338"/>
      <c r="S117" s="338"/>
      <c r="T117" s="338"/>
      <c r="U117" s="338"/>
      <c r="V117" s="338"/>
      <c r="W117" s="338"/>
      <c r="X117" s="338"/>
      <c r="Y117" s="338"/>
      <c r="Z117" s="338"/>
      <c r="AA117" s="338"/>
      <c r="AB117" s="338"/>
      <c r="AC117" s="338"/>
    </row>
    <row r="118" ht="15.75" spans="1:29">
      <c r="A118" s="301"/>
      <c r="B118" s="363">
        <f>B40</f>
        <v>111</v>
      </c>
      <c r="C118" s="371"/>
      <c r="D118" s="371"/>
      <c r="E118" s="371"/>
      <c r="F118" s="371"/>
      <c r="G118" s="371"/>
      <c r="H118" s="487"/>
      <c r="I118" s="487"/>
      <c r="J118" s="487"/>
      <c r="K118" s="493"/>
      <c r="L118" s="494"/>
      <c r="M118" s="495"/>
      <c r="N118" s="2268"/>
      <c r="O118" s="432"/>
      <c r="P118" s="427"/>
      <c r="Q118" s="422"/>
      <c r="R118" s="338"/>
      <c r="S118" s="338"/>
      <c r="T118" s="338"/>
      <c r="U118" s="338"/>
      <c r="V118" s="338"/>
      <c r="W118" s="338"/>
      <c r="X118" s="338"/>
      <c r="Y118" s="338"/>
      <c r="Z118" s="338"/>
      <c r="AA118" s="338"/>
      <c r="AB118" s="338"/>
      <c r="AC118" s="338"/>
    </row>
    <row r="119" ht="15.75" spans="1:29">
      <c r="A119" s="266"/>
      <c r="B119" s="365"/>
      <c r="C119" s="369"/>
      <c r="D119" s="362"/>
      <c r="E119" s="362"/>
      <c r="F119" s="362"/>
      <c r="G119" s="362"/>
      <c r="H119" s="362"/>
      <c r="I119" s="362"/>
      <c r="J119" s="362"/>
      <c r="K119" s="362"/>
      <c r="L119" s="362"/>
      <c r="M119" s="433"/>
      <c r="N119" s="2269"/>
      <c r="O119" s="434"/>
      <c r="P119" s="427"/>
      <c r="Q119" s="422"/>
      <c r="R119" s="338"/>
      <c r="S119" s="338"/>
      <c r="T119" s="338"/>
      <c r="U119" s="338"/>
      <c r="V119" s="338"/>
      <c r="W119" s="338"/>
      <c r="X119" s="338"/>
      <c r="Y119" s="338"/>
      <c r="Z119" s="338"/>
      <c r="AA119" s="338"/>
      <c r="AB119" s="338"/>
      <c r="AC119" s="338"/>
    </row>
    <row r="120" ht="15.75" spans="1:29">
      <c r="A120" s="301"/>
      <c r="B120" s="363">
        <f>B41</f>
        <v>111</v>
      </c>
      <c r="C120" s="371"/>
      <c r="D120" s="371"/>
      <c r="E120" s="371"/>
      <c r="F120" s="371"/>
      <c r="G120" s="487"/>
      <c r="H120" s="487"/>
      <c r="I120" s="487"/>
      <c r="J120" s="487"/>
      <c r="K120" s="493"/>
      <c r="L120" s="494"/>
      <c r="M120" s="495"/>
      <c r="N120" s="2268"/>
      <c r="O120" s="432"/>
      <c r="P120" s="427"/>
      <c r="Q120" s="422"/>
      <c r="R120" s="338"/>
      <c r="S120" s="338"/>
      <c r="T120" s="338"/>
      <c r="U120" s="338"/>
      <c r="V120" s="338"/>
      <c r="W120" s="338"/>
      <c r="X120" s="338"/>
      <c r="Y120" s="338"/>
      <c r="Z120" s="338"/>
      <c r="AA120" s="338"/>
      <c r="AB120" s="338"/>
      <c r="AC120" s="338"/>
    </row>
    <row r="121" ht="15.75" spans="1:29">
      <c r="A121" s="266"/>
      <c r="B121" s="365"/>
      <c r="C121" s="369"/>
      <c r="D121" s="369"/>
      <c r="E121" s="369"/>
      <c r="F121" s="369"/>
      <c r="G121" s="362"/>
      <c r="H121" s="362"/>
      <c r="I121" s="362"/>
      <c r="J121" s="362"/>
      <c r="K121" s="362"/>
      <c r="L121" s="362"/>
      <c r="M121" s="433"/>
      <c r="N121" s="2269"/>
      <c r="O121" s="434"/>
      <c r="P121" s="427"/>
      <c r="Q121" s="422"/>
      <c r="R121" s="338"/>
      <c r="S121" s="338"/>
      <c r="T121" s="338"/>
      <c r="U121" s="338"/>
      <c r="V121" s="338"/>
      <c r="W121" s="338"/>
      <c r="X121" s="338"/>
      <c r="Y121" s="338"/>
      <c r="Z121" s="338"/>
      <c r="AA121" s="338"/>
      <c r="AB121" s="338"/>
      <c r="AC121" s="338"/>
    </row>
    <row r="122" s="191" customFormat="1" ht="15.75" spans="1:29">
      <c r="A122" s="296"/>
      <c r="B122" s="363">
        <f>B42</f>
        <v>111</v>
      </c>
      <c r="C122" s="356"/>
      <c r="D122" s="356"/>
      <c r="E122" s="356"/>
      <c r="F122" s="356"/>
      <c r="G122" s="372"/>
      <c r="H122" s="372"/>
      <c r="I122" s="372"/>
      <c r="J122" s="372"/>
      <c r="K122" s="372"/>
      <c r="L122" s="442"/>
      <c r="M122" s="443"/>
      <c r="N122" s="2270"/>
      <c r="O122" s="444"/>
      <c r="P122" s="444"/>
      <c r="Q122" s="475"/>
      <c r="R122" s="404"/>
      <c r="S122" s="404"/>
      <c r="T122" s="404"/>
      <c r="U122" s="404"/>
      <c r="V122" s="404"/>
      <c r="W122" s="404"/>
      <c r="X122" s="404"/>
      <c r="Y122" s="404"/>
      <c r="Z122" s="404"/>
      <c r="AA122" s="404"/>
      <c r="AB122" s="404"/>
      <c r="AC122" s="404"/>
    </row>
    <row r="123" s="191" customFormat="1" ht="15.75" spans="1:29">
      <c r="A123" s="555"/>
      <c r="B123" s="2265"/>
      <c r="C123" s="557"/>
      <c r="D123" s="557"/>
      <c r="E123" s="557"/>
      <c r="F123" s="557"/>
      <c r="G123" s="560"/>
      <c r="H123" s="560"/>
      <c r="I123" s="560"/>
      <c r="J123" s="560"/>
      <c r="K123" s="560"/>
      <c r="L123" s="560"/>
      <c r="M123" s="569"/>
      <c r="N123" s="2270"/>
      <c r="O123" s="444"/>
      <c r="P123" s="444"/>
      <c r="Q123" s="475"/>
      <c r="R123" s="404"/>
      <c r="S123" s="404"/>
      <c r="T123" s="404"/>
      <c r="U123" s="404"/>
      <c r="V123" s="404"/>
      <c r="W123" s="404"/>
      <c r="X123" s="404"/>
      <c r="Y123" s="404"/>
      <c r="Z123" s="404"/>
      <c r="AA123" s="404"/>
      <c r="AB123" s="404"/>
      <c r="AC123" s="404"/>
    </row>
    <row r="124" spans="1:29">
      <c r="A124" s="491"/>
      <c r="B124" s="491"/>
      <c r="C124" s="491"/>
      <c r="D124" s="491"/>
      <c r="E124" s="491"/>
      <c r="F124" s="491"/>
      <c r="G124" s="491"/>
      <c r="H124" s="491"/>
      <c r="I124" s="491"/>
      <c r="J124" s="491"/>
      <c r="K124" s="505"/>
      <c r="L124" s="506"/>
      <c r="M124" s="491"/>
      <c r="N124" s="491"/>
      <c r="O124" s="491"/>
      <c r="P124" s="491"/>
      <c r="Q124" s="491"/>
      <c r="R124" s="491"/>
      <c r="S124" s="491"/>
      <c r="T124" s="491"/>
      <c r="U124" s="491"/>
      <c r="V124" s="491"/>
      <c r="W124" s="491"/>
      <c r="X124" s="491"/>
      <c r="Y124" s="491"/>
      <c r="Z124" s="491"/>
      <c r="AA124" s="491"/>
      <c r="AB124" s="491"/>
      <c r="AC124" s="491"/>
    </row>
    <row r="125" spans="1:29">
      <c r="A125" s="491"/>
      <c r="B125" s="491"/>
      <c r="C125" s="491"/>
      <c r="D125" s="491"/>
      <c r="E125" s="491"/>
      <c r="F125" s="491"/>
      <c r="G125" s="491"/>
      <c r="H125" s="491"/>
      <c r="I125" s="491"/>
      <c r="J125" s="491"/>
      <c r="K125" s="505"/>
      <c r="L125" s="506"/>
      <c r="M125" s="491"/>
      <c r="N125" s="491"/>
      <c r="O125" s="491"/>
      <c r="P125" s="491"/>
      <c r="Q125" s="491"/>
      <c r="R125" s="491"/>
      <c r="S125" s="491"/>
      <c r="T125" s="491"/>
      <c r="U125" s="491"/>
      <c r="V125" s="491"/>
      <c r="W125" s="491"/>
      <c r="X125" s="491"/>
      <c r="Y125" s="491"/>
      <c r="Z125" s="491"/>
      <c r="AA125" s="491"/>
      <c r="AB125" s="491"/>
      <c r="AC125" s="491"/>
    </row>
    <row r="126" spans="1:29">
      <c r="A126" s="491"/>
      <c r="B126" s="491"/>
      <c r="C126" s="491"/>
      <c r="D126" s="491"/>
      <c r="E126" s="491"/>
      <c r="F126" s="491"/>
      <c r="G126" s="491"/>
      <c r="H126" s="491"/>
      <c r="I126" s="491"/>
      <c r="J126" s="491"/>
      <c r="K126" s="505"/>
      <c r="L126" s="506"/>
      <c r="M126" s="491"/>
      <c r="N126" s="491"/>
      <c r="O126" s="491"/>
      <c r="P126" s="491"/>
      <c r="Q126" s="491"/>
      <c r="R126" s="491"/>
      <c r="S126" s="491"/>
      <c r="T126" s="491"/>
      <c r="U126" s="491"/>
      <c r="V126" s="491"/>
      <c r="W126" s="491"/>
      <c r="X126" s="491"/>
      <c r="Y126" s="491"/>
      <c r="Z126" s="491"/>
      <c r="AA126" s="491"/>
      <c r="AB126" s="491"/>
      <c r="AC126" s="491"/>
    </row>
    <row r="127" spans="1:29">
      <c r="A127" s="491"/>
      <c r="B127" s="491"/>
      <c r="C127" s="491"/>
      <c r="D127" s="491"/>
      <c r="E127" s="491"/>
      <c r="F127" s="491"/>
      <c r="G127" s="491"/>
      <c r="H127" s="491"/>
      <c r="I127" s="491"/>
      <c r="J127" s="491"/>
      <c r="K127" s="505"/>
      <c r="L127" s="506"/>
      <c r="M127" s="491"/>
      <c r="N127" s="491"/>
      <c r="O127" s="491"/>
      <c r="P127" s="491"/>
      <c r="Q127" s="491"/>
      <c r="R127" s="491"/>
      <c r="S127" s="491"/>
      <c r="T127" s="491"/>
      <c r="U127" s="491"/>
      <c r="V127" s="491"/>
      <c r="W127" s="491"/>
      <c r="X127" s="491"/>
      <c r="Y127" s="491"/>
      <c r="Z127" s="491"/>
      <c r="AA127" s="491"/>
      <c r="AB127" s="491"/>
      <c r="AC127" s="491"/>
    </row>
    <row r="128" spans="1:29">
      <c r="A128" s="491"/>
      <c r="B128" s="491"/>
      <c r="C128" s="491"/>
      <c r="D128" s="491"/>
      <c r="E128" s="491"/>
      <c r="F128" s="491"/>
      <c r="G128" s="491"/>
      <c r="H128" s="491"/>
      <c r="I128" s="491"/>
      <c r="J128" s="491"/>
      <c r="K128" s="505"/>
      <c r="L128" s="506"/>
      <c r="M128" s="491"/>
      <c r="N128" s="491"/>
      <c r="O128" s="491"/>
      <c r="P128" s="491"/>
      <c r="Q128" s="491"/>
      <c r="R128" s="491"/>
      <c r="S128" s="491"/>
      <c r="T128" s="491"/>
      <c r="U128" s="491"/>
      <c r="V128" s="491"/>
      <c r="W128" s="491"/>
      <c r="X128" s="491"/>
      <c r="Y128" s="491"/>
      <c r="Z128" s="491"/>
      <c r="AA128" s="491"/>
      <c r="AB128" s="491"/>
      <c r="AC128" s="491"/>
    </row>
    <row r="129" spans="1:29">
      <c r="A129" s="491"/>
      <c r="B129" s="491"/>
      <c r="C129" s="491"/>
      <c r="D129" s="491"/>
      <c r="E129" s="491"/>
      <c r="F129" s="491"/>
      <c r="G129" s="491"/>
      <c r="H129" s="491"/>
      <c r="I129" s="491"/>
      <c r="J129" s="491"/>
      <c r="K129" s="505"/>
      <c r="L129" s="506"/>
      <c r="M129" s="491"/>
      <c r="N129" s="491"/>
      <c r="O129" s="491"/>
      <c r="P129" s="491"/>
      <c r="Q129" s="491"/>
      <c r="R129" s="491"/>
      <c r="S129" s="491"/>
      <c r="T129" s="491"/>
      <c r="U129" s="491"/>
      <c r="V129" s="491"/>
      <c r="W129" s="491"/>
      <c r="X129" s="491"/>
      <c r="Y129" s="491"/>
      <c r="Z129" s="491"/>
      <c r="AA129" s="491"/>
      <c r="AB129" s="491"/>
      <c r="AC129" s="491"/>
    </row>
    <row r="130" spans="1:29">
      <c r="A130" s="491"/>
      <c r="B130" s="491"/>
      <c r="C130" s="491"/>
      <c r="D130" s="491"/>
      <c r="E130" s="491"/>
      <c r="F130" s="491"/>
      <c r="G130" s="491"/>
      <c r="H130" s="491"/>
      <c r="I130" s="491"/>
      <c r="J130" s="491"/>
      <c r="K130" s="505"/>
      <c r="L130" s="506"/>
      <c r="M130" s="491"/>
      <c r="N130" s="491"/>
      <c r="O130" s="491"/>
      <c r="P130" s="491"/>
      <c r="Q130" s="491"/>
      <c r="R130" s="491"/>
      <c r="S130" s="491"/>
      <c r="T130" s="491"/>
      <c r="U130" s="491"/>
      <c r="V130" s="491"/>
      <c r="W130" s="491"/>
      <c r="X130" s="491"/>
      <c r="Y130" s="491"/>
      <c r="Z130" s="491"/>
      <c r="AA130" s="491"/>
      <c r="AB130" s="491"/>
      <c r="AC130" s="491"/>
    </row>
    <row r="131" spans="1:29">
      <c r="A131" s="491"/>
      <c r="B131" s="491"/>
      <c r="C131" s="491"/>
      <c r="D131" s="491"/>
      <c r="E131" s="491"/>
      <c r="F131" s="491"/>
      <c r="G131" s="491"/>
      <c r="H131" s="491"/>
      <c r="I131" s="491"/>
      <c r="J131" s="491"/>
      <c r="K131" s="505"/>
      <c r="L131" s="506"/>
      <c r="M131" s="491"/>
      <c r="N131" s="491"/>
      <c r="O131" s="491"/>
      <c r="P131" s="491"/>
      <c r="Q131" s="491"/>
      <c r="R131" s="491"/>
      <c r="S131" s="491"/>
      <c r="T131" s="491"/>
      <c r="U131" s="491"/>
      <c r="V131" s="491"/>
      <c r="W131" s="491"/>
      <c r="X131" s="491"/>
      <c r="Y131" s="491"/>
      <c r="Z131" s="491"/>
      <c r="AA131" s="491"/>
      <c r="AB131" s="491"/>
      <c r="AC131" s="491"/>
    </row>
    <row r="132" spans="1:29">
      <c r="A132" s="491"/>
      <c r="B132" s="491"/>
      <c r="C132" s="491"/>
      <c r="D132" s="491"/>
      <c r="E132" s="491"/>
      <c r="F132" s="491"/>
      <c r="G132" s="491"/>
      <c r="H132" s="491"/>
      <c r="I132" s="491"/>
      <c r="J132" s="491"/>
      <c r="K132" s="505"/>
      <c r="L132" s="506"/>
      <c r="M132" s="491"/>
      <c r="N132" s="491"/>
      <c r="O132" s="491"/>
      <c r="P132" s="491"/>
      <c r="Q132" s="491"/>
      <c r="R132" s="491"/>
      <c r="S132" s="491"/>
      <c r="T132" s="491"/>
      <c r="U132" s="491"/>
      <c r="V132" s="491"/>
      <c r="W132" s="491"/>
      <c r="X132" s="491"/>
      <c r="Y132" s="491"/>
      <c r="Z132" s="491"/>
      <c r="AA132" s="491"/>
      <c r="AB132" s="491"/>
      <c r="AC132" s="491"/>
    </row>
    <row r="133" spans="1:29">
      <c r="A133" s="491"/>
      <c r="B133" s="491"/>
      <c r="C133" s="491"/>
      <c r="D133" s="491"/>
      <c r="E133" s="491"/>
      <c r="F133" s="491"/>
      <c r="G133" s="491"/>
      <c r="H133" s="491"/>
      <c r="I133" s="491"/>
      <c r="J133" s="491"/>
      <c r="K133" s="505"/>
      <c r="L133" s="506"/>
      <c r="M133" s="491"/>
      <c r="N133" s="491"/>
      <c r="O133" s="491"/>
      <c r="P133" s="491"/>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491"/>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491"/>
      <c r="Q135" s="491"/>
      <c r="R135" s="491"/>
      <c r="S135" s="491"/>
      <c r="T135" s="491"/>
      <c r="U135" s="491"/>
      <c r="V135" s="491"/>
      <c r="W135" s="491"/>
      <c r="X135" s="491"/>
      <c r="Y135" s="491"/>
      <c r="Z135" s="491"/>
      <c r="AA135" s="491"/>
      <c r="AB135" s="491"/>
      <c r="AC135" s="491"/>
    </row>
    <row r="136" spans="1:29">
      <c r="A136" s="491"/>
      <c r="B136" s="491"/>
      <c r="C136" s="491"/>
      <c r="D136" s="491"/>
      <c r="E136" s="491"/>
      <c r="F136" s="491"/>
      <c r="G136" s="491"/>
      <c r="H136" s="491"/>
      <c r="I136" s="491"/>
      <c r="J136" s="491"/>
      <c r="K136" s="505"/>
      <c r="L136" s="506"/>
      <c r="M136" s="491"/>
      <c r="N136" s="491"/>
      <c r="O136" s="491"/>
      <c r="P136" s="491"/>
      <c r="Q136" s="491"/>
      <c r="R136" s="491"/>
      <c r="S136" s="491"/>
      <c r="T136" s="491"/>
      <c r="U136" s="491"/>
      <c r="V136" s="491"/>
      <c r="W136" s="491"/>
      <c r="X136" s="491"/>
      <c r="Y136" s="491"/>
      <c r="Z136" s="491"/>
      <c r="AA136" s="491"/>
      <c r="AB136" s="491"/>
      <c r="AC136" s="491"/>
    </row>
    <row r="137" spans="1:29">
      <c r="A137" s="491"/>
      <c r="B137" s="491"/>
      <c r="C137" s="491"/>
      <c r="D137" s="491"/>
      <c r="E137" s="491"/>
      <c r="F137" s="491"/>
      <c r="G137" s="491"/>
      <c r="H137" s="491"/>
      <c r="I137" s="491"/>
      <c r="J137" s="491"/>
      <c r="K137" s="505"/>
      <c r="L137" s="506"/>
      <c r="M137" s="491"/>
      <c r="N137" s="491"/>
      <c r="O137" s="491"/>
      <c r="P137" s="491"/>
      <c r="Q137" s="491"/>
      <c r="R137" s="491"/>
      <c r="S137" s="491"/>
      <c r="T137" s="491"/>
      <c r="U137" s="491"/>
      <c r="V137" s="491"/>
      <c r="W137" s="491"/>
      <c r="X137" s="491"/>
      <c r="Y137" s="491"/>
      <c r="Z137" s="491"/>
      <c r="AA137" s="491"/>
      <c r="AB137" s="491"/>
      <c r="AC137" s="491"/>
    </row>
    <row r="138" spans="1:29">
      <c r="A138" s="491"/>
      <c r="B138" s="491"/>
      <c r="C138" s="491"/>
      <c r="D138" s="491"/>
      <c r="E138" s="491"/>
      <c r="F138" s="491"/>
      <c r="G138" s="491"/>
      <c r="H138" s="491"/>
      <c r="I138" s="491"/>
      <c r="J138" s="491"/>
      <c r="K138" s="505"/>
      <c r="L138" s="506"/>
      <c r="M138" s="491"/>
      <c r="N138" s="491"/>
      <c r="O138" s="491"/>
      <c r="P138" s="491"/>
      <c r="Q138" s="491"/>
      <c r="R138" s="491"/>
      <c r="S138" s="491"/>
      <c r="T138" s="491"/>
      <c r="U138" s="491"/>
      <c r="V138" s="491"/>
      <c r="W138" s="491"/>
      <c r="X138" s="491"/>
      <c r="Y138" s="491"/>
      <c r="Z138" s="491"/>
      <c r="AA138" s="491"/>
      <c r="AB138" s="491"/>
      <c r="AC138" s="491"/>
    </row>
    <row r="139" spans="1:29">
      <c r="A139" s="491"/>
      <c r="B139" s="491"/>
      <c r="C139" s="491"/>
      <c r="D139" s="491"/>
      <c r="E139" s="491"/>
      <c r="F139" s="491"/>
      <c r="G139" s="491"/>
      <c r="H139" s="491"/>
      <c r="I139" s="491"/>
      <c r="J139" s="491"/>
      <c r="K139" s="505"/>
      <c r="L139" s="506"/>
      <c r="M139" s="491"/>
      <c r="N139" s="491"/>
      <c r="O139" s="491"/>
      <c r="P139" s="491"/>
      <c r="Q139" s="491"/>
      <c r="R139" s="491"/>
      <c r="S139" s="491"/>
      <c r="T139" s="491"/>
      <c r="U139" s="491"/>
      <c r="V139" s="491"/>
      <c r="W139" s="491"/>
      <c r="X139" s="491"/>
      <c r="Y139" s="491"/>
      <c r="Z139" s="491"/>
      <c r="AA139" s="491"/>
      <c r="AB139" s="491"/>
      <c r="AC139" s="491"/>
    </row>
    <row r="140" spans="1:29">
      <c r="A140" s="491"/>
      <c r="B140" s="491"/>
      <c r="C140" s="491"/>
      <c r="D140" s="491"/>
      <c r="E140" s="491"/>
      <c r="F140" s="491"/>
      <c r="G140" s="491"/>
      <c r="H140" s="491"/>
      <c r="I140" s="491"/>
      <c r="J140" s="491"/>
      <c r="K140" s="505"/>
      <c r="L140" s="506"/>
      <c r="M140" s="491"/>
      <c r="N140" s="491"/>
      <c r="O140" s="491"/>
      <c r="P140" s="491"/>
      <c r="Q140" s="491"/>
      <c r="R140" s="491"/>
      <c r="S140" s="491"/>
      <c r="T140" s="491"/>
      <c r="U140" s="491"/>
      <c r="V140" s="491"/>
      <c r="W140" s="491"/>
      <c r="X140" s="491"/>
      <c r="Y140" s="491"/>
      <c r="Z140" s="491"/>
      <c r="AA140" s="491"/>
      <c r="AB140" s="491"/>
      <c r="AC140" s="491"/>
    </row>
    <row r="141" spans="1:29">
      <c r="A141" s="491"/>
      <c r="B141" s="491"/>
      <c r="C141" s="491"/>
      <c r="D141" s="491"/>
      <c r="E141" s="491"/>
      <c r="F141" s="491"/>
      <c r="G141" s="491"/>
      <c r="H141" s="491"/>
      <c r="I141" s="491"/>
      <c r="J141" s="491"/>
      <c r="K141" s="505"/>
      <c r="L141" s="506"/>
      <c r="M141" s="491"/>
      <c r="N141" s="491"/>
      <c r="O141" s="491"/>
      <c r="P141" s="491"/>
      <c r="Q141" s="491"/>
      <c r="R141" s="491"/>
      <c r="S141" s="491"/>
      <c r="T141" s="491"/>
      <c r="U141" s="491"/>
      <c r="V141" s="491"/>
      <c r="W141" s="491"/>
      <c r="X141" s="491"/>
      <c r="Y141" s="491"/>
      <c r="Z141" s="491"/>
      <c r="AA141" s="491"/>
      <c r="AB141" s="491"/>
      <c r="AC141" s="491"/>
    </row>
    <row r="142" spans="1:29">
      <c r="A142" s="491"/>
      <c r="B142" s="491"/>
      <c r="C142" s="491"/>
      <c r="D142" s="491"/>
      <c r="E142" s="491"/>
      <c r="F142" s="491"/>
      <c r="G142" s="491"/>
      <c r="H142" s="491"/>
      <c r="I142" s="491"/>
      <c r="J142" s="491"/>
      <c r="K142" s="505"/>
      <c r="L142" s="506"/>
      <c r="M142" s="491"/>
      <c r="N142" s="491"/>
      <c r="O142" s="491"/>
      <c r="P142" s="491"/>
      <c r="Q142" s="491"/>
      <c r="R142" s="491"/>
      <c r="S142" s="491"/>
      <c r="T142" s="491"/>
      <c r="U142" s="491"/>
      <c r="V142" s="491"/>
      <c r="W142" s="491"/>
      <c r="X142" s="491"/>
      <c r="Y142" s="491"/>
      <c r="Z142" s="491"/>
      <c r="AA142" s="491"/>
      <c r="AB142" s="491"/>
      <c r="AC142" s="491"/>
    </row>
    <row r="143" spans="1:29">
      <c r="A143" s="491"/>
      <c r="B143" s="491"/>
      <c r="C143" s="491"/>
      <c r="D143" s="491"/>
      <c r="E143" s="491"/>
      <c r="F143" s="491"/>
      <c r="G143" s="491"/>
      <c r="H143" s="491"/>
      <c r="I143" s="491"/>
      <c r="J143" s="491"/>
      <c r="K143" s="505"/>
      <c r="L143" s="506"/>
      <c r="M143" s="491"/>
      <c r="N143" s="491"/>
      <c r="O143" s="491"/>
      <c r="P143" s="491"/>
      <c r="Q143" s="491"/>
      <c r="R143" s="491"/>
      <c r="S143" s="491"/>
      <c r="T143" s="491"/>
      <c r="U143" s="491"/>
      <c r="V143" s="491"/>
      <c r="W143" s="491"/>
      <c r="X143" s="491"/>
      <c r="Y143" s="491"/>
      <c r="Z143" s="491"/>
      <c r="AA143" s="491"/>
      <c r="AB143" s="491"/>
      <c r="AC143" s="491"/>
    </row>
    <row r="144" spans="1:29">
      <c r="A144" s="491"/>
      <c r="B144" s="491"/>
      <c r="C144" s="491"/>
      <c r="D144" s="491"/>
      <c r="E144" s="491"/>
      <c r="F144" s="491"/>
      <c r="G144" s="491"/>
      <c r="H144" s="491"/>
      <c r="I144" s="491"/>
      <c r="J144" s="491"/>
      <c r="K144" s="505"/>
      <c r="L144" s="506"/>
      <c r="M144" s="491"/>
      <c r="N144" s="491"/>
      <c r="O144" s="491"/>
      <c r="P144" s="491"/>
      <c r="Q144" s="491"/>
      <c r="R144" s="491"/>
      <c r="S144" s="491"/>
      <c r="T144" s="491"/>
      <c r="U144" s="491"/>
      <c r="V144" s="491"/>
      <c r="W144" s="491"/>
      <c r="X144" s="491"/>
      <c r="Y144" s="491"/>
      <c r="Z144" s="491"/>
      <c r="AA144" s="491"/>
      <c r="AB144" s="491"/>
      <c r="AC144" s="491"/>
    </row>
    <row r="145" spans="1:29">
      <c r="A145" s="491"/>
      <c r="B145" s="491"/>
      <c r="C145" s="491"/>
      <c r="D145" s="491"/>
      <c r="E145" s="491"/>
      <c r="F145" s="491"/>
      <c r="G145" s="491"/>
      <c r="H145" s="491"/>
      <c r="I145" s="491"/>
      <c r="J145" s="491"/>
      <c r="K145" s="505"/>
      <c r="L145" s="506"/>
      <c r="M145" s="491"/>
      <c r="N145" s="491"/>
      <c r="O145" s="491"/>
      <c r="P145" s="491"/>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491"/>
      <c r="Q146" s="491"/>
      <c r="R146" s="491"/>
      <c r="S146" s="491"/>
      <c r="T146" s="491"/>
      <c r="U146" s="491"/>
      <c r="V146" s="491"/>
      <c r="W146" s="491"/>
      <c r="X146" s="491"/>
      <c r="Y146" s="491"/>
      <c r="Z146" s="491"/>
      <c r="AA146" s="491"/>
      <c r="AB146" s="491"/>
      <c r="AC146" s="491"/>
    </row>
    <row r="147" spans="1:29">
      <c r="A147" s="491"/>
      <c r="B147" s="491"/>
      <c r="C147" s="491"/>
      <c r="D147" s="491"/>
      <c r="E147" s="491"/>
      <c r="F147" s="491"/>
      <c r="G147" s="491"/>
      <c r="H147" s="491"/>
      <c r="I147" s="491"/>
      <c r="J147" s="491"/>
      <c r="K147" s="505"/>
      <c r="L147" s="506"/>
      <c r="M147" s="491"/>
      <c r="N147" s="491"/>
      <c r="O147" s="491"/>
      <c r="P147" s="491"/>
      <c r="Q147" s="491"/>
      <c r="R147" s="491"/>
      <c r="S147" s="491"/>
      <c r="T147" s="491"/>
      <c r="U147" s="491"/>
      <c r="V147" s="491"/>
      <c r="W147" s="491"/>
      <c r="X147" s="491"/>
      <c r="Y147" s="491"/>
      <c r="Z147" s="491"/>
      <c r="AA147" s="491"/>
      <c r="AB147" s="491"/>
      <c r="AC147" s="491"/>
    </row>
    <row r="148" spans="1:29">
      <c r="A148" s="491"/>
      <c r="B148" s="491"/>
      <c r="C148" s="491"/>
      <c r="D148" s="491"/>
      <c r="E148" s="491"/>
      <c r="F148" s="491"/>
      <c r="G148" s="491"/>
      <c r="H148" s="491"/>
      <c r="I148" s="491"/>
      <c r="J148" s="491"/>
      <c r="K148" s="505"/>
      <c r="L148" s="506"/>
      <c r="M148" s="491"/>
      <c r="N148" s="491"/>
      <c r="O148" s="491"/>
      <c r="P148" s="491"/>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491"/>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491"/>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491"/>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491"/>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491"/>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491"/>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491"/>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491"/>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491"/>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491"/>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491"/>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491"/>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491"/>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491"/>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491"/>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491"/>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491"/>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491"/>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491"/>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491"/>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491"/>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491"/>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491"/>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491"/>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491"/>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491"/>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491"/>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491"/>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491"/>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491"/>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491"/>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491"/>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491"/>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491"/>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491"/>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491"/>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491"/>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491"/>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491"/>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491"/>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491"/>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491"/>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491"/>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491"/>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491"/>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491"/>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491"/>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491"/>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491"/>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491"/>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491"/>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491"/>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491"/>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491"/>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491"/>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491"/>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491"/>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491"/>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491"/>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491"/>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491"/>
      <c r="Q209" s="491"/>
      <c r="R209" s="491"/>
      <c r="S209" s="491"/>
      <c r="T209" s="491"/>
      <c r="U209" s="491"/>
      <c r="V209" s="491"/>
      <c r="W209" s="491"/>
      <c r="X209" s="491"/>
      <c r="Y209" s="491"/>
      <c r="Z209" s="491"/>
      <c r="AA209" s="491"/>
      <c r="AB209" s="491"/>
      <c r="AC209" s="491"/>
    </row>
    <row r="210" spans="1:29">
      <c r="A210" s="491"/>
      <c r="B210" s="491"/>
      <c r="C210" s="491"/>
      <c r="D210" s="491"/>
      <c r="E210" s="491"/>
      <c r="F210" s="491"/>
      <c r="G210" s="491"/>
      <c r="H210" s="491"/>
      <c r="I210" s="491"/>
      <c r="J210" s="491"/>
      <c r="K210" s="505"/>
      <c r="L210" s="506"/>
      <c r="M210" s="491"/>
      <c r="N210" s="491"/>
      <c r="O210" s="491"/>
      <c r="P210" s="491"/>
      <c r="Q210" s="491"/>
      <c r="R210" s="491"/>
      <c r="S210" s="491"/>
      <c r="T210" s="491"/>
      <c r="U210" s="491"/>
      <c r="V210" s="491"/>
      <c r="W210" s="491"/>
      <c r="X210" s="491"/>
      <c r="Y210" s="491"/>
      <c r="Z210" s="491"/>
      <c r="AA210" s="491"/>
      <c r="AB210" s="491"/>
      <c r="AC210" s="491"/>
    </row>
    <row r="211" spans="1:29">
      <c r="A211" s="491"/>
      <c r="B211" s="491"/>
      <c r="C211" s="491"/>
      <c r="D211" s="491"/>
      <c r="E211" s="491"/>
      <c r="F211" s="491"/>
      <c r="G211" s="491"/>
      <c r="H211" s="491"/>
      <c r="I211" s="491"/>
      <c r="J211" s="491"/>
      <c r="K211" s="505"/>
      <c r="L211" s="506"/>
      <c r="M211" s="491"/>
      <c r="N211" s="491"/>
      <c r="O211" s="491"/>
      <c r="P211" s="491"/>
      <c r="Q211" s="491"/>
      <c r="R211" s="491"/>
      <c r="S211" s="491"/>
      <c r="T211" s="491"/>
      <c r="U211" s="491"/>
      <c r="V211" s="491"/>
      <c r="W211" s="491"/>
      <c r="X211" s="491"/>
      <c r="Y211" s="491"/>
      <c r="Z211" s="491"/>
      <c r="AA211" s="491"/>
      <c r="AB211" s="491"/>
      <c r="AC211" s="491"/>
    </row>
    <row r="212" spans="1:29">
      <c r="A212" s="491"/>
      <c r="B212" s="491"/>
      <c r="C212" s="491"/>
      <c r="D212" s="491"/>
      <c r="E212" s="491"/>
      <c r="F212" s="491"/>
      <c r="G212" s="491"/>
      <c r="H212" s="491"/>
      <c r="I212" s="491"/>
      <c r="J212" s="491"/>
      <c r="K212" s="505"/>
      <c r="L212" s="506"/>
      <c r="M212" s="491"/>
      <c r="N212" s="491"/>
      <c r="O212" s="491"/>
      <c r="P212" s="491"/>
      <c r="Q212" s="491"/>
      <c r="R212" s="491"/>
      <c r="S212" s="491"/>
      <c r="T212" s="491"/>
      <c r="U212" s="491"/>
      <c r="V212" s="491"/>
      <c r="W212" s="491"/>
      <c r="X212" s="491"/>
      <c r="Y212" s="491"/>
      <c r="Z212" s="491"/>
      <c r="AA212" s="491"/>
      <c r="AB212" s="491"/>
      <c r="AC212" s="491"/>
    </row>
    <row r="213" spans="1:29">
      <c r="A213" s="491"/>
      <c r="B213" s="491"/>
      <c r="C213" s="491"/>
      <c r="D213" s="491"/>
      <c r="E213" s="491"/>
      <c r="F213" s="491"/>
      <c r="G213" s="491"/>
      <c r="H213" s="491"/>
      <c r="I213" s="491"/>
      <c r="J213" s="491"/>
      <c r="K213" s="505"/>
      <c r="L213" s="506"/>
      <c r="M213" s="491"/>
      <c r="N213" s="491"/>
      <c r="O213" s="491"/>
      <c r="P213" s="491"/>
      <c r="Q213" s="491"/>
      <c r="R213" s="491"/>
      <c r="S213" s="491"/>
      <c r="T213" s="491"/>
      <c r="U213" s="491"/>
      <c r="V213" s="491"/>
      <c r="W213" s="491"/>
      <c r="X213" s="491"/>
      <c r="Y213" s="491"/>
      <c r="Z213" s="491"/>
      <c r="AA213" s="491"/>
      <c r="AB213" s="491"/>
      <c r="AC213" s="491"/>
    </row>
    <row r="214" spans="1:29">
      <c r="A214" s="491"/>
      <c r="B214" s="491"/>
      <c r="C214" s="491"/>
      <c r="D214" s="491"/>
      <c r="E214" s="491"/>
      <c r="F214" s="491"/>
      <c r="G214" s="491"/>
      <c r="H214" s="491"/>
      <c r="I214" s="491"/>
      <c r="J214" s="491"/>
      <c r="K214" s="505"/>
      <c r="L214" s="506"/>
      <c r="M214" s="491"/>
      <c r="N214" s="491"/>
      <c r="O214" s="491"/>
      <c r="P214" s="491"/>
      <c r="Q214" s="491"/>
      <c r="R214" s="491"/>
      <c r="S214" s="491"/>
      <c r="T214" s="491"/>
      <c r="U214" s="491"/>
      <c r="V214" s="491"/>
      <c r="W214" s="491"/>
      <c r="X214" s="491"/>
      <c r="Y214" s="491"/>
      <c r="Z214" s="491"/>
      <c r="AA214" s="491"/>
      <c r="AB214" s="491"/>
      <c r="AC214" s="491"/>
    </row>
    <row r="215" spans="1:29">
      <c r="A215" s="491"/>
      <c r="B215" s="491"/>
      <c r="C215" s="491"/>
      <c r="D215" s="491"/>
      <c r="E215" s="491"/>
      <c r="F215" s="491"/>
      <c r="G215" s="491"/>
      <c r="H215" s="491"/>
      <c r="I215" s="491"/>
      <c r="J215" s="491"/>
      <c r="K215" s="505"/>
      <c r="L215" s="506"/>
      <c r="M215" s="491"/>
      <c r="N215" s="491"/>
      <c r="O215" s="491"/>
      <c r="P215" s="491"/>
      <c r="Q215" s="491"/>
      <c r="R215" s="491"/>
      <c r="S215" s="491"/>
      <c r="T215" s="491"/>
      <c r="U215" s="491"/>
      <c r="V215" s="491"/>
      <c r="W215" s="491"/>
      <c r="X215" s="491"/>
      <c r="Y215" s="491"/>
      <c r="Z215" s="491"/>
      <c r="AA215" s="491"/>
      <c r="AB215" s="491"/>
      <c r="AC215" s="491"/>
    </row>
    <row r="216" spans="1:29">
      <c r="A216" s="491"/>
      <c r="B216" s="491"/>
      <c r="C216" s="491"/>
      <c r="D216" s="491"/>
      <c r="E216" s="491"/>
      <c r="F216" s="491"/>
      <c r="G216" s="491"/>
      <c r="H216" s="491"/>
      <c r="I216" s="491"/>
      <c r="J216" s="491"/>
      <c r="K216" s="505"/>
      <c r="L216" s="506"/>
      <c r="M216" s="491"/>
      <c r="N216" s="491"/>
      <c r="O216" s="491"/>
      <c r="P216" s="491"/>
      <c r="Q216" s="491"/>
      <c r="R216" s="491"/>
      <c r="S216" s="491"/>
      <c r="T216" s="491"/>
      <c r="U216" s="491"/>
      <c r="V216" s="491"/>
      <c r="W216" s="491"/>
      <c r="X216" s="491"/>
      <c r="Y216" s="491"/>
      <c r="Z216" s="491"/>
      <c r="AA216" s="491"/>
      <c r="AB216" s="491"/>
      <c r="AC216" s="491"/>
    </row>
    <row r="217" spans="1:29">
      <c r="A217" s="491"/>
      <c r="B217" s="491"/>
      <c r="C217" s="491"/>
      <c r="D217" s="491"/>
      <c r="E217" s="491"/>
      <c r="F217" s="491"/>
      <c r="G217" s="491"/>
      <c r="H217" s="491"/>
      <c r="I217" s="491"/>
      <c r="J217" s="491"/>
      <c r="K217" s="505"/>
      <c r="L217" s="506"/>
      <c r="M217" s="491"/>
      <c r="N217" s="491"/>
      <c r="O217" s="491"/>
      <c r="P217" s="491"/>
      <c r="Q217" s="491"/>
      <c r="R217" s="491"/>
      <c r="S217" s="491"/>
      <c r="T217" s="491"/>
      <c r="U217" s="491"/>
      <c r="V217" s="491"/>
      <c r="W217" s="491"/>
      <c r="X217" s="491"/>
      <c r="Y217" s="491"/>
      <c r="Z217" s="491"/>
      <c r="AA217" s="491"/>
      <c r="AB217" s="491"/>
      <c r="AC217" s="491"/>
    </row>
    <row r="218" spans="1:29">
      <c r="A218" s="491"/>
      <c r="B218" s="491"/>
      <c r="C218" s="491"/>
      <c r="D218" s="491"/>
      <c r="E218" s="491"/>
      <c r="F218" s="491"/>
      <c r="G218" s="491"/>
      <c r="H218" s="491"/>
      <c r="I218" s="491"/>
      <c r="J218" s="491"/>
      <c r="K218" s="505"/>
      <c r="L218" s="506"/>
      <c r="M218" s="491"/>
      <c r="N218" s="491"/>
      <c r="O218" s="491"/>
      <c r="P218" s="491"/>
      <c r="Q218" s="491"/>
      <c r="R218" s="491"/>
      <c r="S218" s="491"/>
      <c r="T218" s="491"/>
      <c r="U218" s="491"/>
      <c r="V218" s="491"/>
      <c r="W218" s="491"/>
      <c r="X218" s="491"/>
      <c r="Y218" s="491"/>
      <c r="Z218" s="491"/>
      <c r="AA218" s="491"/>
      <c r="AB218" s="491"/>
      <c r="AC218" s="491"/>
    </row>
    <row r="219" spans="1:29">
      <c r="A219" s="491"/>
      <c r="B219" s="491"/>
      <c r="C219" s="491"/>
      <c r="D219" s="491"/>
      <c r="E219" s="491"/>
      <c r="F219" s="491"/>
      <c r="G219" s="491"/>
      <c r="H219" s="491"/>
      <c r="I219" s="491"/>
      <c r="J219" s="491"/>
      <c r="K219" s="505"/>
      <c r="L219" s="506"/>
      <c r="M219" s="491"/>
      <c r="N219" s="491"/>
      <c r="O219" s="491"/>
      <c r="P219" s="491"/>
      <c r="Q219" s="491"/>
      <c r="R219" s="491"/>
      <c r="S219" s="491"/>
      <c r="T219" s="491"/>
      <c r="U219" s="491"/>
      <c r="V219" s="491"/>
      <c r="W219" s="491"/>
      <c r="X219" s="491"/>
      <c r="Y219" s="491"/>
      <c r="Z219" s="491"/>
      <c r="AA219" s="491"/>
      <c r="AB219" s="491"/>
      <c r="AC219" s="491"/>
    </row>
    <row r="220" spans="1:29">
      <c r="A220" s="491"/>
      <c r="B220" s="491"/>
      <c r="C220" s="491"/>
      <c r="D220" s="491"/>
      <c r="E220" s="491"/>
      <c r="F220" s="491"/>
      <c r="G220" s="491"/>
      <c r="H220" s="491"/>
      <c r="I220" s="491"/>
      <c r="J220" s="491"/>
      <c r="K220" s="505"/>
      <c r="L220" s="506"/>
      <c r="M220" s="491"/>
      <c r="N220" s="491"/>
      <c r="O220" s="491"/>
      <c r="P220" s="491"/>
      <c r="Q220" s="491"/>
      <c r="R220" s="491"/>
      <c r="S220" s="491"/>
      <c r="T220" s="491"/>
      <c r="U220" s="491"/>
      <c r="V220" s="491"/>
      <c r="W220" s="491"/>
      <c r="X220" s="491"/>
      <c r="Y220" s="491"/>
      <c r="Z220" s="491"/>
      <c r="AA220" s="491"/>
      <c r="AB220" s="491"/>
      <c r="AC220" s="491"/>
    </row>
    <row r="221" spans="1:29">
      <c r="A221" s="491"/>
      <c r="B221" s="491"/>
      <c r="C221" s="491"/>
      <c r="D221" s="491"/>
      <c r="E221" s="491"/>
      <c r="F221" s="491"/>
      <c r="G221" s="491"/>
      <c r="H221" s="491"/>
      <c r="I221" s="491"/>
      <c r="J221" s="491"/>
      <c r="K221" s="505"/>
      <c r="L221" s="506"/>
      <c r="M221" s="491"/>
      <c r="N221" s="491"/>
      <c r="O221" s="491"/>
      <c r="P221" s="491"/>
      <c r="Q221" s="491"/>
      <c r="R221" s="491"/>
      <c r="S221" s="491"/>
      <c r="T221" s="491"/>
      <c r="U221" s="491"/>
      <c r="V221" s="491"/>
      <c r="W221" s="491"/>
      <c r="X221" s="491"/>
      <c r="Y221" s="491"/>
      <c r="Z221" s="491"/>
      <c r="AA221" s="491"/>
      <c r="AB221" s="491"/>
      <c r="AC221" s="491"/>
    </row>
    <row r="222" spans="1:29">
      <c r="A222" s="491"/>
      <c r="B222" s="491"/>
      <c r="C222" s="491"/>
      <c r="D222" s="491"/>
      <c r="E222" s="491"/>
      <c r="F222" s="491"/>
      <c r="G222" s="491"/>
      <c r="H222" s="491"/>
      <c r="I222" s="491"/>
      <c r="J222" s="491"/>
      <c r="K222" s="505"/>
      <c r="L222" s="506"/>
      <c r="M222" s="491"/>
      <c r="N222" s="491"/>
      <c r="O222" s="491"/>
      <c r="P222" s="491"/>
      <c r="Q222" s="491"/>
      <c r="R222" s="491"/>
      <c r="S222" s="491"/>
      <c r="T222" s="491"/>
      <c r="U222" s="491"/>
      <c r="V222" s="491"/>
      <c r="W222" s="491"/>
      <c r="X222" s="491"/>
      <c r="Y222" s="491"/>
      <c r="Z222" s="491"/>
      <c r="AA222" s="491"/>
      <c r="AB222" s="491"/>
      <c r="AC222" s="491"/>
    </row>
    <row r="223" spans="1:29">
      <c r="A223" s="491"/>
      <c r="B223" s="491"/>
      <c r="C223" s="491"/>
      <c r="D223" s="491"/>
      <c r="E223" s="491"/>
      <c r="F223" s="491"/>
      <c r="G223" s="491"/>
      <c r="H223" s="491"/>
      <c r="I223" s="491"/>
      <c r="J223" s="491"/>
      <c r="K223" s="505"/>
      <c r="L223" s="506"/>
      <c r="M223" s="491"/>
      <c r="N223" s="491"/>
      <c r="O223" s="491"/>
      <c r="P223" s="491"/>
      <c r="Q223" s="491"/>
      <c r="R223" s="491"/>
      <c r="S223" s="491"/>
      <c r="T223" s="491"/>
      <c r="U223" s="491"/>
      <c r="V223" s="491"/>
      <c r="W223" s="491"/>
      <c r="X223" s="491"/>
      <c r="Y223" s="491"/>
      <c r="Z223" s="491"/>
      <c r="AA223" s="491"/>
      <c r="AB223" s="491"/>
      <c r="AC223" s="491"/>
    </row>
    <row r="224" spans="1:29">
      <c r="A224" s="491"/>
      <c r="B224" s="491"/>
      <c r="C224" s="491"/>
      <c r="D224" s="491"/>
      <c r="E224" s="491"/>
      <c r="F224" s="491"/>
      <c r="G224" s="491"/>
      <c r="H224" s="491"/>
      <c r="I224" s="491"/>
      <c r="J224" s="491"/>
      <c r="K224" s="505"/>
      <c r="L224" s="506"/>
      <c r="M224" s="491"/>
      <c r="N224" s="491"/>
      <c r="O224" s="491"/>
      <c r="P224" s="491"/>
      <c r="Q224" s="491"/>
      <c r="R224" s="491"/>
      <c r="S224" s="491"/>
      <c r="T224" s="491"/>
      <c r="U224" s="491"/>
      <c r="V224" s="491"/>
      <c r="W224" s="491"/>
      <c r="X224" s="491"/>
      <c r="Y224" s="491"/>
      <c r="Z224" s="491"/>
      <c r="AA224" s="491"/>
      <c r="AB224" s="491"/>
      <c r="AC224" s="491"/>
    </row>
    <row r="225" spans="1:29">
      <c r="A225" s="491"/>
      <c r="B225" s="491"/>
      <c r="C225" s="491"/>
      <c r="D225" s="491"/>
      <c r="E225" s="491"/>
      <c r="F225" s="491"/>
      <c r="G225" s="491"/>
      <c r="H225" s="491"/>
      <c r="I225" s="491"/>
      <c r="J225" s="491"/>
      <c r="K225" s="505"/>
      <c r="L225" s="506"/>
      <c r="M225" s="491"/>
      <c r="N225" s="491"/>
      <c r="O225" s="491"/>
      <c r="P225" s="491"/>
      <c r="Q225" s="491"/>
      <c r="R225" s="491"/>
      <c r="S225" s="491"/>
      <c r="T225" s="491"/>
      <c r="U225" s="491"/>
      <c r="V225" s="491"/>
      <c r="W225" s="491"/>
      <c r="X225" s="491"/>
      <c r="Y225" s="491"/>
      <c r="Z225" s="491"/>
      <c r="AA225" s="491"/>
      <c r="AB225" s="491"/>
      <c r="AC225" s="491"/>
    </row>
    <row r="226" spans="1:29">
      <c r="A226" s="491"/>
      <c r="B226" s="491"/>
      <c r="C226" s="491"/>
      <c r="D226" s="491"/>
      <c r="E226" s="491"/>
      <c r="F226" s="491"/>
      <c r="G226" s="491"/>
      <c r="H226" s="491"/>
      <c r="I226" s="491"/>
      <c r="J226" s="491"/>
      <c r="K226" s="505"/>
      <c r="L226" s="506"/>
      <c r="M226" s="491"/>
      <c r="N226" s="491"/>
      <c r="O226" s="491"/>
      <c r="P226" s="491"/>
      <c r="Q226" s="491"/>
      <c r="R226" s="491"/>
      <c r="S226" s="491"/>
      <c r="T226" s="491"/>
      <c r="U226" s="491"/>
      <c r="V226" s="491"/>
      <c r="W226" s="491"/>
      <c r="X226" s="491"/>
      <c r="Y226" s="491"/>
      <c r="Z226" s="491"/>
      <c r="AA226" s="491"/>
      <c r="AB226" s="491"/>
      <c r="AC226" s="491"/>
    </row>
    <row r="227" spans="1:29">
      <c r="A227" s="491"/>
      <c r="B227" s="491"/>
      <c r="C227" s="491"/>
      <c r="D227" s="491"/>
      <c r="E227" s="491"/>
      <c r="F227" s="491"/>
      <c r="G227" s="491"/>
      <c r="H227" s="491"/>
      <c r="I227" s="491"/>
      <c r="J227" s="491"/>
      <c r="K227" s="505"/>
      <c r="L227" s="506"/>
      <c r="M227" s="491"/>
      <c r="N227" s="491"/>
      <c r="O227" s="491"/>
      <c r="P227" s="491"/>
      <c r="Q227" s="491"/>
      <c r="R227" s="491"/>
      <c r="S227" s="491"/>
      <c r="T227" s="491"/>
      <c r="U227" s="491"/>
      <c r="V227" s="491"/>
      <c r="W227" s="491"/>
      <c r="X227" s="491"/>
      <c r="Y227" s="491"/>
      <c r="Z227" s="491"/>
      <c r="AA227" s="491"/>
      <c r="AB227" s="491"/>
      <c r="AC227" s="491"/>
    </row>
    <row r="228" spans="1:29">
      <c r="A228" s="491"/>
      <c r="B228" s="491"/>
      <c r="C228" s="491"/>
      <c r="D228" s="491"/>
      <c r="E228" s="491"/>
      <c r="F228" s="491"/>
      <c r="G228" s="491"/>
      <c r="H228" s="491"/>
      <c r="I228" s="491"/>
      <c r="J228" s="491"/>
      <c r="K228" s="505"/>
      <c r="L228" s="506"/>
      <c r="M228" s="491"/>
      <c r="N228" s="491"/>
      <c r="O228" s="491"/>
      <c r="P228" s="491"/>
      <c r="Q228" s="491"/>
      <c r="R228" s="491"/>
      <c r="S228" s="491"/>
      <c r="T228" s="491"/>
      <c r="U228" s="491"/>
      <c r="V228" s="491"/>
      <c r="W228" s="491"/>
      <c r="X228" s="491"/>
      <c r="Y228" s="491"/>
      <c r="Z228" s="491"/>
      <c r="AA228" s="491"/>
      <c r="AB228" s="491"/>
      <c r="AC228" s="491"/>
    </row>
    <row r="229" spans="1:29">
      <c r="A229" s="491"/>
      <c r="B229" s="491"/>
      <c r="C229" s="491"/>
      <c r="D229" s="491"/>
      <c r="E229" s="491"/>
      <c r="F229" s="491"/>
      <c r="G229" s="491"/>
      <c r="H229" s="491"/>
      <c r="I229" s="491"/>
      <c r="J229" s="491"/>
      <c r="K229" s="505"/>
      <c r="L229" s="506"/>
      <c r="M229" s="491"/>
      <c r="N229" s="491"/>
      <c r="O229" s="491"/>
      <c r="P229" s="491"/>
      <c r="Q229" s="491"/>
      <c r="R229" s="491"/>
      <c r="S229" s="491"/>
      <c r="T229" s="491"/>
      <c r="U229" s="491"/>
      <c r="V229" s="491"/>
      <c r="W229" s="491"/>
      <c r="X229" s="491"/>
      <c r="Y229" s="491"/>
      <c r="Z229" s="491"/>
      <c r="AA229" s="491"/>
      <c r="AB229" s="491"/>
      <c r="AC229" s="491"/>
    </row>
    <row r="230" spans="1:29">
      <c r="A230" s="491"/>
      <c r="B230" s="491"/>
      <c r="C230" s="491"/>
      <c r="D230" s="491"/>
      <c r="E230" s="491"/>
      <c r="F230" s="491"/>
      <c r="G230" s="491"/>
      <c r="H230" s="491"/>
      <c r="I230" s="491"/>
      <c r="J230" s="491"/>
      <c r="K230" s="505"/>
      <c r="L230" s="506"/>
      <c r="M230" s="491"/>
      <c r="N230" s="491"/>
      <c r="O230" s="491"/>
      <c r="P230" s="491"/>
      <c r="Q230" s="491"/>
      <c r="R230" s="491"/>
      <c r="S230" s="491"/>
      <c r="T230" s="491"/>
      <c r="U230" s="491"/>
      <c r="V230" s="491"/>
      <c r="W230" s="491"/>
      <c r="X230" s="491"/>
      <c r="Y230" s="491"/>
      <c r="Z230" s="491"/>
      <c r="AA230" s="491"/>
      <c r="AB230" s="491"/>
      <c r="AC230" s="491"/>
    </row>
    <row r="231" spans="1:29">
      <c r="A231" s="491"/>
      <c r="B231" s="491"/>
      <c r="C231" s="491"/>
      <c r="D231" s="491"/>
      <c r="E231" s="491"/>
      <c r="F231" s="491"/>
      <c r="G231" s="491"/>
      <c r="H231" s="491"/>
      <c r="I231" s="491"/>
      <c r="J231" s="491"/>
      <c r="K231" s="505"/>
      <c r="L231" s="506"/>
      <c r="M231" s="491"/>
      <c r="N231" s="491"/>
      <c r="O231" s="491"/>
      <c r="P231" s="491"/>
      <c r="Q231" s="491"/>
      <c r="R231" s="491"/>
      <c r="S231" s="491"/>
      <c r="T231" s="491"/>
      <c r="U231" s="491"/>
      <c r="V231" s="491"/>
      <c r="W231" s="491"/>
      <c r="X231" s="491"/>
      <c r="Y231" s="491"/>
      <c r="Z231" s="491"/>
      <c r="AA231" s="491"/>
      <c r="AB231" s="491"/>
      <c r="AC231" s="491"/>
    </row>
    <row r="232" spans="1:29">
      <c r="A232" s="491"/>
      <c r="B232" s="491"/>
      <c r="C232" s="491"/>
      <c r="D232" s="491"/>
      <c r="E232" s="491"/>
      <c r="F232" s="491"/>
      <c r="G232" s="491"/>
      <c r="H232" s="491"/>
      <c r="I232" s="491"/>
      <c r="J232" s="491"/>
      <c r="K232" s="505"/>
      <c r="L232" s="506"/>
      <c r="M232" s="491"/>
      <c r="N232" s="491"/>
      <c r="O232" s="491"/>
      <c r="P232" s="491"/>
      <c r="Q232" s="491"/>
      <c r="R232" s="491"/>
      <c r="S232" s="491"/>
      <c r="T232" s="491"/>
      <c r="U232" s="491"/>
      <c r="V232" s="491"/>
      <c r="W232" s="491"/>
      <c r="X232" s="491"/>
      <c r="Y232" s="491"/>
      <c r="Z232" s="491"/>
      <c r="AA232" s="491"/>
      <c r="AB232" s="491"/>
      <c r="AC232" s="491"/>
    </row>
    <row r="233" spans="1:29">
      <c r="A233" s="491"/>
      <c r="B233" s="491"/>
      <c r="C233" s="491"/>
      <c r="D233" s="491"/>
      <c r="E233" s="491"/>
      <c r="F233" s="491"/>
      <c r="G233" s="491"/>
      <c r="H233" s="491"/>
      <c r="I233" s="491"/>
      <c r="J233" s="491"/>
      <c r="K233" s="505"/>
      <c r="L233" s="506"/>
      <c r="M233" s="491"/>
      <c r="N233" s="491"/>
      <c r="O233" s="491"/>
      <c r="P233" s="491"/>
      <c r="Q233" s="491"/>
      <c r="R233" s="491"/>
      <c r="S233" s="491"/>
      <c r="T233" s="491"/>
      <c r="U233" s="491"/>
      <c r="V233" s="491"/>
      <c r="W233" s="491"/>
      <c r="X233" s="491"/>
      <c r="Y233" s="491"/>
      <c r="Z233" s="491"/>
      <c r="AA233" s="491"/>
      <c r="AB233" s="491"/>
      <c r="AC233" s="491"/>
    </row>
    <row r="234" spans="1:29">
      <c r="A234" s="491"/>
      <c r="B234" s="491"/>
      <c r="C234" s="491"/>
      <c r="D234" s="491"/>
      <c r="E234" s="491"/>
      <c r="F234" s="491"/>
      <c r="G234" s="491"/>
      <c r="H234" s="491"/>
      <c r="I234" s="491"/>
      <c r="J234" s="491"/>
      <c r="K234" s="505"/>
      <c r="L234" s="506"/>
      <c r="M234" s="491"/>
      <c r="N234" s="491"/>
      <c r="O234" s="491"/>
      <c r="P234" s="491"/>
      <c r="Q234" s="491"/>
      <c r="R234" s="491"/>
      <c r="S234" s="491"/>
      <c r="T234" s="491"/>
      <c r="U234" s="491"/>
      <c r="V234" s="491"/>
      <c r="W234" s="491"/>
      <c r="X234" s="491"/>
      <c r="Y234" s="491"/>
      <c r="Z234" s="491"/>
      <c r="AA234" s="491"/>
      <c r="AB234" s="491"/>
      <c r="AC234" s="491"/>
    </row>
    <row r="235" spans="1:29">
      <c r="A235" s="491"/>
      <c r="B235" s="491"/>
      <c r="C235" s="491"/>
      <c r="D235" s="491"/>
      <c r="E235" s="491"/>
      <c r="F235" s="491"/>
      <c r="G235" s="491"/>
      <c r="H235" s="491"/>
      <c r="I235" s="491"/>
      <c r="J235" s="491"/>
      <c r="K235" s="505"/>
      <c r="L235" s="506"/>
      <c r="M235" s="491"/>
      <c r="N235" s="491"/>
      <c r="O235" s="491"/>
      <c r="P235" s="491"/>
      <c r="Q235" s="491"/>
      <c r="R235" s="491"/>
      <c r="S235" s="491"/>
      <c r="T235" s="491"/>
      <c r="U235" s="491"/>
      <c r="V235" s="491"/>
      <c r="W235" s="491"/>
      <c r="X235" s="491"/>
      <c r="Y235" s="491"/>
      <c r="Z235" s="491"/>
      <c r="AA235" s="491"/>
      <c r="AB235" s="491"/>
      <c r="AC235" s="491"/>
    </row>
    <row r="236" spans="1:29">
      <c r="A236" s="491"/>
      <c r="B236" s="491"/>
      <c r="C236" s="491"/>
      <c r="D236" s="491"/>
      <c r="E236" s="491"/>
      <c r="F236" s="491"/>
      <c r="G236" s="491"/>
      <c r="H236" s="491"/>
      <c r="I236" s="491"/>
      <c r="J236" s="491"/>
      <c r="K236" s="505"/>
      <c r="L236" s="506"/>
      <c r="M236" s="491"/>
      <c r="N236" s="491"/>
      <c r="O236" s="491"/>
      <c r="P236" s="491"/>
      <c r="Q236" s="491"/>
      <c r="R236" s="491"/>
      <c r="S236" s="491"/>
      <c r="T236" s="491"/>
      <c r="U236" s="491"/>
      <c r="V236" s="491"/>
      <c r="W236" s="491"/>
      <c r="X236" s="491"/>
      <c r="Y236" s="491"/>
      <c r="Z236" s="491"/>
      <c r="AA236" s="491"/>
      <c r="AB236" s="491"/>
      <c r="AC236" s="491"/>
    </row>
    <row r="237" spans="1:29">
      <c r="A237" s="491"/>
      <c r="B237" s="491"/>
      <c r="C237" s="491"/>
      <c r="D237" s="491"/>
      <c r="E237" s="491"/>
      <c r="F237" s="491"/>
      <c r="G237" s="491"/>
      <c r="H237" s="491"/>
      <c r="I237" s="491"/>
      <c r="J237" s="491"/>
      <c r="K237" s="505"/>
      <c r="L237" s="506"/>
      <c r="M237" s="491"/>
      <c r="N237" s="491"/>
      <c r="O237" s="491"/>
      <c r="P237" s="491"/>
      <c r="Q237" s="491"/>
      <c r="R237" s="491"/>
      <c r="S237" s="491"/>
      <c r="T237" s="491"/>
      <c r="U237" s="491"/>
      <c r="V237" s="491"/>
      <c r="W237" s="491"/>
      <c r="X237" s="491"/>
      <c r="Y237" s="491"/>
      <c r="Z237" s="491"/>
      <c r="AA237" s="491"/>
      <c r="AB237" s="491"/>
      <c r="AC237" s="491"/>
    </row>
    <row r="238" spans="1:29">
      <c r="A238" s="491"/>
      <c r="B238" s="491"/>
      <c r="C238" s="491"/>
      <c r="D238" s="491"/>
      <c r="E238" s="491"/>
      <c r="F238" s="491"/>
      <c r="G238" s="491"/>
      <c r="H238" s="491"/>
      <c r="I238" s="491"/>
      <c r="J238" s="491"/>
      <c r="K238" s="505"/>
      <c r="L238" s="506"/>
      <c r="M238" s="491"/>
      <c r="N238" s="491"/>
      <c r="O238" s="491"/>
      <c r="P238" s="491"/>
      <c r="Q238" s="491"/>
      <c r="R238" s="491"/>
      <c r="S238" s="491"/>
      <c r="T238" s="491"/>
      <c r="U238" s="491"/>
      <c r="V238" s="491"/>
      <c r="W238" s="491"/>
      <c r="X238" s="491"/>
      <c r="Y238" s="491"/>
      <c r="Z238" s="491"/>
      <c r="AA238" s="491"/>
      <c r="AB238" s="491"/>
      <c r="AC238" s="491"/>
    </row>
    <row r="239" spans="1:29">
      <c r="A239" s="491"/>
      <c r="B239" s="491"/>
      <c r="C239" s="491"/>
      <c r="D239" s="491"/>
      <c r="E239" s="491"/>
      <c r="F239" s="491"/>
      <c r="G239" s="491"/>
      <c r="H239" s="491"/>
      <c r="I239" s="491"/>
      <c r="J239" s="491"/>
      <c r="K239" s="505"/>
      <c r="L239" s="506"/>
      <c r="M239" s="491"/>
      <c r="N239" s="491"/>
      <c r="O239" s="491"/>
      <c r="P239" s="491"/>
      <c r="Q239" s="491"/>
      <c r="R239" s="491"/>
      <c r="S239" s="491"/>
      <c r="T239" s="491"/>
      <c r="U239" s="491"/>
      <c r="V239" s="491"/>
      <c r="W239" s="491"/>
      <c r="X239" s="491"/>
      <c r="Y239" s="491"/>
      <c r="Z239" s="491"/>
      <c r="AA239" s="491"/>
      <c r="AB239" s="491"/>
      <c r="AC239" s="491"/>
    </row>
    <row r="240" spans="1:29">
      <c r="A240" s="491"/>
      <c r="B240" s="491"/>
      <c r="C240" s="491"/>
      <c r="D240" s="491"/>
      <c r="E240" s="491"/>
      <c r="F240" s="491"/>
      <c r="G240" s="491"/>
      <c r="H240" s="491"/>
      <c r="I240" s="491"/>
      <c r="J240" s="491"/>
      <c r="K240" s="505"/>
      <c r="L240" s="506"/>
      <c r="M240" s="491"/>
      <c r="N240" s="491"/>
      <c r="O240" s="491"/>
      <c r="P240" s="491"/>
      <c r="Q240" s="491"/>
      <c r="R240" s="491"/>
      <c r="S240" s="491"/>
      <c r="T240" s="491"/>
      <c r="U240" s="491"/>
      <c r="V240" s="491"/>
      <c r="W240" s="491"/>
      <c r="X240" s="491"/>
      <c r="Y240" s="491"/>
      <c r="Z240" s="491"/>
      <c r="AA240" s="491"/>
      <c r="AB240" s="491"/>
      <c r="AC240" s="491"/>
    </row>
    <row r="241" spans="1:29">
      <c r="A241" s="491"/>
      <c r="B241" s="491"/>
      <c r="C241" s="491"/>
      <c r="D241" s="491"/>
      <c r="E241" s="491"/>
      <c r="F241" s="491"/>
      <c r="G241" s="491"/>
      <c r="H241" s="491"/>
      <c r="I241" s="491"/>
      <c r="J241" s="491"/>
      <c r="K241" s="505"/>
      <c r="L241" s="506"/>
      <c r="M241" s="491"/>
      <c r="N241" s="491"/>
      <c r="O241" s="491"/>
      <c r="P241" s="491"/>
      <c r="Q241" s="491"/>
      <c r="R241" s="491"/>
      <c r="S241" s="491"/>
      <c r="T241" s="491"/>
      <c r="U241" s="491"/>
      <c r="V241" s="491"/>
      <c r="W241" s="491"/>
      <c r="X241" s="491"/>
      <c r="Y241" s="491"/>
      <c r="Z241" s="491"/>
      <c r="AA241" s="491"/>
      <c r="AB241" s="491"/>
      <c r="AC241" s="491"/>
    </row>
    <row r="242" spans="1:29">
      <c r="A242" s="491"/>
      <c r="B242" s="491"/>
      <c r="C242" s="491"/>
      <c r="D242" s="491"/>
      <c r="E242" s="491"/>
      <c r="F242" s="491"/>
      <c r="G242" s="491"/>
      <c r="H242" s="491"/>
      <c r="I242" s="491"/>
      <c r="J242" s="491"/>
      <c r="K242" s="505"/>
      <c r="L242" s="506"/>
      <c r="M242" s="491"/>
      <c r="N242" s="491"/>
      <c r="O242" s="491"/>
      <c r="P242" s="491"/>
      <c r="Q242" s="491"/>
      <c r="R242" s="491"/>
      <c r="S242" s="491"/>
      <c r="T242" s="491"/>
      <c r="U242" s="491"/>
      <c r="V242" s="491"/>
      <c r="W242" s="491"/>
      <c r="X242" s="491"/>
      <c r="Y242" s="491"/>
      <c r="Z242" s="491"/>
      <c r="AA242" s="491"/>
      <c r="AB242" s="491"/>
      <c r="AC242" s="491"/>
    </row>
    <row r="243" spans="1:29">
      <c r="A243" s="491"/>
      <c r="B243" s="491"/>
      <c r="C243" s="491"/>
      <c r="D243" s="491"/>
      <c r="E243" s="491"/>
      <c r="F243" s="491"/>
      <c r="G243" s="491"/>
      <c r="H243" s="491"/>
      <c r="I243" s="491"/>
      <c r="J243" s="491"/>
      <c r="K243" s="505"/>
      <c r="L243" s="506"/>
      <c r="M243" s="491"/>
      <c r="N243" s="491"/>
      <c r="O243" s="491"/>
      <c r="P243" s="491"/>
      <c r="Q243" s="491"/>
      <c r="R243" s="491"/>
      <c r="S243" s="491"/>
      <c r="T243" s="491"/>
      <c r="U243" s="491"/>
      <c r="V243" s="491"/>
      <c r="W243" s="491"/>
      <c r="X243" s="491"/>
      <c r="Y243" s="491"/>
      <c r="Z243" s="491"/>
      <c r="AA243" s="491"/>
      <c r="AB243" s="491"/>
      <c r="AC243" s="491"/>
    </row>
    <row r="244" spans="1:29">
      <c r="A244" s="491"/>
      <c r="B244" s="491"/>
      <c r="C244" s="491"/>
      <c r="D244" s="491"/>
      <c r="E244" s="491"/>
      <c r="F244" s="491"/>
      <c r="G244" s="491"/>
      <c r="H244" s="491"/>
      <c r="I244" s="491"/>
      <c r="J244" s="491"/>
      <c r="K244" s="505"/>
      <c r="L244" s="506"/>
      <c r="M244" s="491"/>
      <c r="N244" s="491"/>
      <c r="O244" s="491"/>
      <c r="P244" s="491"/>
      <c r="Q244" s="491"/>
      <c r="R244" s="491"/>
      <c r="S244" s="491"/>
      <c r="T244" s="491"/>
      <c r="U244" s="491"/>
      <c r="V244" s="491"/>
      <c r="W244" s="491"/>
      <c r="X244" s="491"/>
      <c r="Y244" s="491"/>
      <c r="Z244" s="491"/>
      <c r="AA244" s="491"/>
      <c r="AB244" s="491"/>
      <c r="AC244" s="491"/>
    </row>
    <row r="245" spans="1:29">
      <c r="A245" s="491"/>
      <c r="B245" s="491"/>
      <c r="C245" s="491"/>
      <c r="D245" s="491"/>
      <c r="E245" s="491"/>
      <c r="F245" s="491"/>
      <c r="G245" s="491"/>
      <c r="H245" s="491"/>
      <c r="I245" s="491"/>
      <c r="J245" s="491"/>
      <c r="K245" s="505"/>
      <c r="L245" s="506"/>
      <c r="M245" s="491"/>
      <c r="N245" s="491"/>
      <c r="O245" s="491"/>
      <c r="P245" s="491"/>
      <c r="Q245" s="491"/>
      <c r="R245" s="491"/>
      <c r="S245" s="491"/>
      <c r="T245" s="491"/>
      <c r="U245" s="491"/>
      <c r="V245" s="491"/>
      <c r="W245" s="491"/>
      <c r="X245" s="491"/>
      <c r="Y245" s="491"/>
      <c r="Z245" s="491"/>
      <c r="AA245" s="491"/>
      <c r="AB245" s="491"/>
      <c r="AC245" s="491"/>
    </row>
    <row r="246" spans="1:29">
      <c r="A246" s="491"/>
      <c r="B246" s="491"/>
      <c r="C246" s="491"/>
      <c r="D246" s="491"/>
      <c r="E246" s="491"/>
      <c r="F246" s="491"/>
      <c r="G246" s="491"/>
      <c r="H246" s="491"/>
      <c r="I246" s="491"/>
      <c r="J246" s="491"/>
      <c r="K246" s="505"/>
      <c r="L246" s="506"/>
      <c r="M246" s="491"/>
      <c r="N246" s="491"/>
      <c r="O246" s="491"/>
      <c r="P246" s="491"/>
      <c r="Q246" s="491"/>
      <c r="R246" s="491"/>
      <c r="S246" s="491"/>
      <c r="T246" s="491"/>
      <c r="U246" s="491"/>
      <c r="V246" s="491"/>
      <c r="W246" s="491"/>
      <c r="X246" s="491"/>
      <c r="Y246" s="491"/>
      <c r="Z246" s="491"/>
      <c r="AA246" s="491"/>
      <c r="AB246" s="491"/>
      <c r="AC246" s="491"/>
    </row>
    <row r="247" spans="1:29">
      <c r="A247" s="491"/>
      <c r="B247" s="491"/>
      <c r="C247" s="491"/>
      <c r="D247" s="491"/>
      <c r="E247" s="491"/>
      <c r="F247" s="491"/>
      <c r="G247" s="491"/>
      <c r="H247" s="491"/>
      <c r="I247" s="491"/>
      <c r="J247" s="491"/>
      <c r="K247" s="505"/>
      <c r="L247" s="506"/>
      <c r="M247" s="491"/>
      <c r="N247" s="491"/>
      <c r="O247" s="491"/>
      <c r="P247" s="491"/>
      <c r="Q247" s="491"/>
      <c r="R247" s="491"/>
      <c r="S247" s="491"/>
      <c r="T247" s="491"/>
      <c r="U247" s="491"/>
      <c r="V247" s="491"/>
      <c r="W247" s="491"/>
      <c r="X247" s="491"/>
      <c r="Y247" s="491"/>
      <c r="Z247" s="491"/>
      <c r="AA247" s="491"/>
      <c r="AB247" s="491"/>
      <c r="AC247" s="491"/>
    </row>
    <row r="248" spans="1:29">
      <c r="A248" s="491"/>
      <c r="B248" s="491"/>
      <c r="C248" s="491"/>
      <c r="D248" s="491"/>
      <c r="E248" s="491"/>
      <c r="F248" s="491"/>
      <c r="G248" s="491"/>
      <c r="H248" s="491"/>
      <c r="I248" s="491"/>
      <c r="J248" s="491"/>
      <c r="K248" s="505"/>
      <c r="L248" s="506"/>
      <c r="M248" s="491"/>
      <c r="N248" s="491"/>
      <c r="O248" s="491"/>
      <c r="P248" s="491"/>
      <c r="Q248" s="491"/>
      <c r="R248" s="491"/>
      <c r="S248" s="491"/>
      <c r="T248" s="491"/>
      <c r="U248" s="491"/>
      <c r="V248" s="491"/>
      <c r="W248" s="491"/>
      <c r="X248" s="491"/>
      <c r="Y248" s="491"/>
      <c r="Z248" s="491"/>
      <c r="AA248" s="491"/>
      <c r="AB248" s="491"/>
      <c r="AC248" s="491"/>
    </row>
    <row r="249" spans="1:29">
      <c r="A249" s="491"/>
      <c r="B249" s="491"/>
      <c r="C249" s="491"/>
      <c r="D249" s="491"/>
      <c r="E249" s="491"/>
      <c r="F249" s="491"/>
      <c r="G249" s="491"/>
      <c r="H249" s="491"/>
      <c r="I249" s="491"/>
      <c r="J249" s="491"/>
      <c r="K249" s="505"/>
      <c r="L249" s="506"/>
      <c r="M249" s="491"/>
      <c r="N249" s="491"/>
      <c r="O249" s="491"/>
      <c r="P249" s="491"/>
      <c r="Q249" s="491"/>
      <c r="R249" s="491"/>
      <c r="S249" s="491"/>
      <c r="T249" s="491"/>
      <c r="U249" s="491"/>
      <c r="V249" s="491"/>
      <c r="W249" s="491"/>
      <c r="X249" s="491"/>
      <c r="Y249" s="491"/>
      <c r="Z249" s="491"/>
      <c r="AA249" s="491"/>
      <c r="AB249" s="491"/>
      <c r="AC249" s="491"/>
    </row>
    <row r="250" spans="1:29">
      <c r="A250" s="491"/>
      <c r="B250" s="491"/>
      <c r="C250" s="491"/>
      <c r="D250" s="491"/>
      <c r="E250" s="491"/>
      <c r="F250" s="491"/>
      <c r="G250" s="491"/>
      <c r="H250" s="491"/>
      <c r="I250" s="491"/>
      <c r="J250" s="491"/>
      <c r="K250" s="505"/>
      <c r="L250" s="506"/>
      <c r="M250" s="491"/>
      <c r="N250" s="491"/>
      <c r="O250" s="491"/>
      <c r="P250" s="491"/>
      <c r="Q250" s="491"/>
      <c r="R250" s="491"/>
      <c r="S250" s="491"/>
      <c r="T250" s="491"/>
      <c r="U250" s="491"/>
      <c r="V250" s="491"/>
      <c r="W250" s="491"/>
      <c r="X250" s="491"/>
      <c r="Y250" s="491"/>
      <c r="Z250" s="491"/>
      <c r="AA250" s="491"/>
      <c r="AB250" s="491"/>
      <c r="AC250" s="491"/>
    </row>
    <row r="251" spans="1:29">
      <c r="A251" s="491"/>
      <c r="B251" s="491"/>
      <c r="C251" s="491"/>
      <c r="D251" s="491"/>
      <c r="E251" s="491"/>
      <c r="F251" s="491"/>
      <c r="G251" s="491"/>
      <c r="H251" s="491"/>
      <c r="I251" s="491"/>
      <c r="J251" s="491"/>
      <c r="K251" s="505"/>
      <c r="L251" s="506"/>
      <c r="M251" s="491"/>
      <c r="N251" s="491"/>
      <c r="O251" s="491"/>
      <c r="P251" s="491"/>
      <c r="Q251" s="491"/>
      <c r="R251" s="491"/>
      <c r="S251" s="491"/>
      <c r="T251" s="491"/>
      <c r="U251" s="491"/>
      <c r="V251" s="491"/>
      <c r="W251" s="491"/>
      <c r="X251" s="491"/>
      <c r="Y251" s="491"/>
      <c r="Z251" s="491"/>
      <c r="AA251" s="491"/>
      <c r="AB251" s="491"/>
      <c r="AC251" s="491"/>
    </row>
    <row r="252" spans="1:29">
      <c r="A252" s="491"/>
      <c r="B252" s="491"/>
      <c r="C252" s="491"/>
      <c r="D252" s="491"/>
      <c r="E252" s="491"/>
      <c r="F252" s="491"/>
      <c r="G252" s="491"/>
      <c r="H252" s="491"/>
      <c r="I252" s="491"/>
      <c r="J252" s="491"/>
      <c r="K252" s="505"/>
      <c r="L252" s="506"/>
      <c r="M252" s="491"/>
      <c r="N252" s="491"/>
      <c r="O252" s="491"/>
      <c r="P252" s="491"/>
      <c r="Q252" s="491"/>
      <c r="R252" s="491"/>
      <c r="S252" s="491"/>
      <c r="T252" s="491"/>
      <c r="U252" s="491"/>
      <c r="V252" s="491"/>
      <c r="W252" s="491"/>
      <c r="X252" s="491"/>
      <c r="Y252" s="491"/>
      <c r="Z252" s="491"/>
      <c r="AA252" s="491"/>
      <c r="AB252" s="491"/>
      <c r="AC252" s="491"/>
    </row>
    <row r="253" spans="1:29">
      <c r="A253" s="491"/>
      <c r="B253" s="491"/>
      <c r="C253" s="491"/>
      <c r="D253" s="491"/>
      <c r="E253" s="491"/>
      <c r="F253" s="491"/>
      <c r="G253" s="491"/>
      <c r="H253" s="491"/>
      <c r="I253" s="491"/>
      <c r="J253" s="491"/>
      <c r="K253" s="505"/>
      <c r="L253" s="506"/>
      <c r="M253" s="491"/>
      <c r="N253" s="491"/>
      <c r="O253" s="491"/>
      <c r="P253" s="491"/>
      <c r="Q253" s="491"/>
      <c r="R253" s="491"/>
      <c r="S253" s="491"/>
      <c r="T253" s="491"/>
      <c r="U253" s="491"/>
      <c r="V253" s="491"/>
      <c r="W253" s="491"/>
      <c r="X253" s="491"/>
      <c r="Y253" s="491"/>
      <c r="Z253" s="491"/>
      <c r="AA253" s="491"/>
      <c r="AB253" s="491"/>
      <c r="AC253" s="491"/>
    </row>
    <row r="254" spans="1:29">
      <c r="A254" s="491"/>
      <c r="B254" s="491"/>
      <c r="C254" s="491"/>
      <c r="D254" s="491"/>
      <c r="E254" s="491"/>
      <c r="F254" s="491"/>
      <c r="G254" s="491"/>
      <c r="H254" s="491"/>
      <c r="I254" s="491"/>
      <c r="J254" s="491"/>
      <c r="K254" s="505"/>
      <c r="L254" s="506"/>
      <c r="M254" s="491"/>
      <c r="N254" s="491"/>
      <c r="O254" s="491"/>
      <c r="P254" s="491"/>
      <c r="Q254" s="491"/>
      <c r="R254" s="491"/>
      <c r="S254" s="491"/>
      <c r="T254" s="491"/>
      <c r="U254" s="491"/>
      <c r="V254" s="491"/>
      <c r="W254" s="491"/>
      <c r="X254" s="491"/>
      <c r="Y254" s="491"/>
      <c r="Z254" s="491"/>
      <c r="AA254" s="491"/>
      <c r="AB254" s="491"/>
      <c r="AC254" s="491"/>
    </row>
    <row r="255" spans="1:29">
      <c r="A255" s="491"/>
      <c r="B255" s="491"/>
      <c r="C255" s="491"/>
      <c r="D255" s="491"/>
      <c r="E255" s="491"/>
      <c r="F255" s="491"/>
      <c r="G255" s="491"/>
      <c r="H255" s="491"/>
      <c r="I255" s="491"/>
      <c r="J255" s="491"/>
      <c r="K255" s="505"/>
      <c r="L255" s="506"/>
      <c r="M255" s="491"/>
      <c r="N255" s="491"/>
      <c r="O255" s="491"/>
      <c r="P255" s="491"/>
      <c r="Q255" s="491"/>
      <c r="R255" s="491"/>
      <c r="S255" s="491"/>
      <c r="T255" s="491"/>
      <c r="U255" s="491"/>
      <c r="V255" s="491"/>
      <c r="W255" s="491"/>
      <c r="X255" s="491"/>
      <c r="Y255" s="491"/>
      <c r="Z255" s="491"/>
      <c r="AA255" s="491"/>
      <c r="AB255" s="491"/>
      <c r="AC255" s="491"/>
    </row>
    <row r="256" spans="1:29">
      <c r="A256" s="491"/>
      <c r="B256" s="491"/>
      <c r="C256" s="491"/>
      <c r="D256" s="491"/>
      <c r="E256" s="491"/>
      <c r="F256" s="491"/>
      <c r="G256" s="491"/>
      <c r="H256" s="491"/>
      <c r="I256" s="491"/>
      <c r="J256" s="491"/>
      <c r="K256" s="505"/>
      <c r="L256" s="506"/>
      <c r="M256" s="491"/>
      <c r="N256" s="491"/>
      <c r="O256" s="491"/>
      <c r="P256" s="491"/>
      <c r="Q256" s="491"/>
      <c r="R256" s="491"/>
      <c r="S256" s="491"/>
      <c r="T256" s="491"/>
      <c r="U256" s="491"/>
      <c r="V256" s="491"/>
      <c r="W256" s="491"/>
      <c r="X256" s="491"/>
      <c r="Y256" s="491"/>
      <c r="Z256" s="491"/>
      <c r="AA256" s="491"/>
      <c r="AB256" s="491"/>
      <c r="AC256" s="491"/>
    </row>
    <row r="257" spans="1:29">
      <c r="A257" s="491"/>
      <c r="B257" s="491"/>
      <c r="C257" s="491"/>
      <c r="D257" s="491"/>
      <c r="E257" s="491"/>
      <c r="F257" s="491"/>
      <c r="G257" s="491"/>
      <c r="H257" s="491"/>
      <c r="I257" s="491"/>
      <c r="J257" s="491"/>
      <c r="K257" s="505"/>
      <c r="L257" s="506"/>
      <c r="M257" s="491"/>
      <c r="N257" s="491"/>
      <c r="O257" s="491"/>
      <c r="P257" s="491"/>
      <c r="Q257" s="491"/>
      <c r="R257" s="491"/>
      <c r="S257" s="491"/>
      <c r="T257" s="491"/>
      <c r="U257" s="491"/>
      <c r="V257" s="491"/>
      <c r="W257" s="491"/>
      <c r="X257" s="491"/>
      <c r="Y257" s="491"/>
      <c r="Z257" s="491"/>
      <c r="AA257" s="491"/>
      <c r="AB257" s="491"/>
      <c r="AC257" s="491"/>
    </row>
    <row r="258" spans="1:29">
      <c r="A258" s="491"/>
      <c r="B258" s="491"/>
      <c r="C258" s="491"/>
      <c r="D258" s="491"/>
      <c r="E258" s="491"/>
      <c r="F258" s="491"/>
      <c r="G258" s="491"/>
      <c r="H258" s="491"/>
      <c r="I258" s="491"/>
      <c r="J258" s="491"/>
      <c r="K258" s="505"/>
      <c r="L258" s="506"/>
      <c r="M258" s="491"/>
      <c r="N258" s="491"/>
      <c r="O258" s="491"/>
      <c r="P258" s="491"/>
      <c r="Q258" s="491"/>
      <c r="R258" s="491"/>
      <c r="S258" s="491"/>
      <c r="T258" s="491"/>
      <c r="U258" s="491"/>
      <c r="V258" s="491"/>
      <c r="W258" s="491"/>
      <c r="X258" s="491"/>
      <c r="Y258" s="491"/>
      <c r="Z258" s="491"/>
      <c r="AA258" s="491"/>
      <c r="AB258" s="491"/>
      <c r="AC258" s="491"/>
    </row>
    <row r="259" spans="1:29">
      <c r="A259" s="491"/>
      <c r="B259" s="491"/>
      <c r="C259" s="491"/>
      <c r="D259" s="491"/>
      <c r="E259" s="491"/>
      <c r="F259" s="491"/>
      <c r="G259" s="491"/>
      <c r="H259" s="491"/>
      <c r="I259" s="491"/>
      <c r="J259" s="491"/>
      <c r="K259" s="505"/>
      <c r="L259" s="506"/>
      <c r="M259" s="491"/>
      <c r="N259" s="491"/>
      <c r="O259" s="491"/>
      <c r="P259" s="491"/>
      <c r="Q259" s="491"/>
      <c r="R259" s="491"/>
      <c r="S259" s="491"/>
      <c r="T259" s="491"/>
      <c r="U259" s="491"/>
      <c r="V259" s="491"/>
      <c r="W259" s="491"/>
      <c r="X259" s="491"/>
      <c r="Y259" s="491"/>
      <c r="Z259" s="491"/>
      <c r="AA259" s="491"/>
      <c r="AB259" s="491"/>
      <c r="AC259" s="491"/>
    </row>
    <row r="260" spans="1:29">
      <c r="A260" s="491"/>
      <c r="B260" s="491"/>
      <c r="C260" s="491"/>
      <c r="D260" s="491"/>
      <c r="E260" s="491"/>
      <c r="F260" s="491"/>
      <c r="G260" s="491"/>
      <c r="H260" s="491"/>
      <c r="I260" s="491"/>
      <c r="J260" s="491"/>
      <c r="K260" s="505"/>
      <c r="L260" s="506"/>
      <c r="M260" s="491"/>
      <c r="N260" s="491"/>
      <c r="O260" s="491"/>
      <c r="P260" s="491"/>
      <c r="Q260" s="491"/>
      <c r="R260" s="491"/>
      <c r="S260" s="491"/>
      <c r="T260" s="491"/>
      <c r="U260" s="491"/>
      <c r="V260" s="491"/>
      <c r="W260" s="491"/>
      <c r="X260" s="491"/>
      <c r="Y260" s="491"/>
      <c r="Z260" s="491"/>
      <c r="AA260" s="491"/>
      <c r="AB260" s="491"/>
      <c r="AC260" s="491"/>
    </row>
    <row r="261" spans="1:29">
      <c r="A261" s="491"/>
      <c r="B261" s="491"/>
      <c r="C261" s="491"/>
      <c r="D261" s="491"/>
      <c r="E261" s="491"/>
      <c r="F261" s="491"/>
      <c r="G261" s="491"/>
      <c r="H261" s="491"/>
      <c r="I261" s="491"/>
      <c r="J261" s="491"/>
      <c r="K261" s="505"/>
      <c r="L261" s="506"/>
      <c r="M261" s="491"/>
      <c r="N261" s="491"/>
      <c r="O261" s="491"/>
      <c r="P261" s="491"/>
      <c r="Q261" s="491"/>
      <c r="R261" s="491"/>
      <c r="S261" s="491"/>
      <c r="T261" s="491"/>
      <c r="U261" s="491"/>
      <c r="V261" s="491"/>
      <c r="W261" s="491"/>
      <c r="X261" s="491"/>
      <c r="Y261" s="491"/>
      <c r="Z261" s="491"/>
      <c r="AA261" s="491"/>
      <c r="AB261" s="491"/>
      <c r="AC261" s="491"/>
    </row>
    <row r="262" spans="1:29">
      <c r="A262" s="491"/>
      <c r="B262" s="491"/>
      <c r="C262" s="491"/>
      <c r="D262" s="491"/>
      <c r="E262" s="491"/>
      <c r="F262" s="491"/>
      <c r="G262" s="491"/>
      <c r="H262" s="491"/>
      <c r="I262" s="491"/>
      <c r="J262" s="491"/>
      <c r="K262" s="505"/>
      <c r="L262" s="506"/>
      <c r="M262" s="491"/>
      <c r="N262" s="491"/>
      <c r="O262" s="491"/>
      <c r="P262" s="491"/>
      <c r="Q262" s="491"/>
      <c r="R262" s="491"/>
      <c r="S262" s="491"/>
      <c r="T262" s="491"/>
      <c r="U262" s="491"/>
      <c r="V262" s="491"/>
      <c r="W262" s="491"/>
      <c r="X262" s="491"/>
      <c r="Y262" s="491"/>
      <c r="Z262" s="491"/>
      <c r="AA262" s="491"/>
      <c r="AB262" s="491"/>
      <c r="AC262" s="491"/>
    </row>
  </sheetData>
  <sheetProtection password="CEE9" sheet="1" formatCells="0" formatColumns="0" formatRows="0" objects="1" scenarios="1"/>
  <mergeCells count="42">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3:Q43"/>
    <mergeCell ref="R43:S43"/>
    <mergeCell ref="T43:U43"/>
    <mergeCell ref="V43:W43"/>
    <mergeCell ref="P44:Q44"/>
    <mergeCell ref="R44:S44"/>
    <mergeCell ref="T44:U44"/>
    <mergeCell ref="V44:W44"/>
    <mergeCell ref="P45:Q45"/>
    <mergeCell ref="R45:W45"/>
    <mergeCell ref="G54:G57"/>
    <mergeCell ref="P11:P16"/>
    <mergeCell ref="P17:P33"/>
    <mergeCell ref="P34:P42"/>
    <mergeCell ref="Y11:Y16"/>
    <mergeCell ref="Y17:Y33"/>
    <mergeCell ref="Y34:Y42"/>
    <mergeCell ref="AA6:AA8"/>
    <mergeCell ref="AB6:AB8"/>
    <mergeCell ref="AC6:AC8"/>
    <mergeCell ref="G52:H53"/>
    <mergeCell ref="P6:Q8"/>
    <mergeCell ref="R6:S8"/>
    <mergeCell ref="T6:U8"/>
    <mergeCell ref="V6:W8"/>
    <mergeCell ref="Y6:Z8"/>
  </mergeCells>
  <conditionalFormatting sqref="F44">
    <cfRule type="expression" dxfId="7" priority="4">
      <formula>$D$44="简单平均"</formula>
    </cfRule>
  </conditionalFormatting>
  <conditionalFormatting sqref="H44">
    <cfRule type="expression" dxfId="7" priority="3">
      <formula>$D$44="简单平均"</formula>
    </cfRule>
  </conditionalFormatting>
  <conditionalFormatting sqref="J44">
    <cfRule type="expression" dxfId="7" priority="2">
      <formula>$D$44="简单平均"</formula>
    </cfRule>
  </conditionalFormatting>
  <conditionalFormatting sqref="E48">
    <cfRule type="expression" dxfId="10" priority="13" stopIfTrue="1">
      <formula>$F$48="超过30%"</formula>
    </cfRule>
  </conditionalFormatting>
  <conditionalFormatting sqref="G48">
    <cfRule type="expression" dxfId="10" priority="9" stopIfTrue="1">
      <formula>$H$48="超过30%"</formula>
    </cfRule>
  </conditionalFormatting>
  <conditionalFormatting sqref="I48">
    <cfRule type="expression" dxfId="10" priority="7" stopIfTrue="1">
      <formula>$J$48="超过30%"</formula>
    </cfRule>
  </conditionalFormatting>
  <conditionalFormatting sqref="E49">
    <cfRule type="expression" dxfId="10" priority="51" stopIfTrue="1">
      <formula>#REF!+$F$49="超过20%"</formula>
    </cfRule>
  </conditionalFormatting>
  <conditionalFormatting sqref="G49">
    <cfRule type="expression" dxfId="10" priority="8" stopIfTrue="1">
      <formula>$H$49="超过20%"</formula>
    </cfRule>
  </conditionalFormatting>
  <conditionalFormatting sqref="I49">
    <cfRule type="expression" dxfId="10" priority="6" stopIfTrue="1">
      <formula>$J$49="超过20%"</formula>
    </cfRule>
  </conditionalFormatting>
  <conditionalFormatting sqref="E50">
    <cfRule type="expression" dxfId="10" priority="10" stopIfTrue="1">
      <formula>$F$50="超过30%"</formula>
    </cfRule>
  </conditionalFormatting>
  <conditionalFormatting sqref="G50">
    <cfRule type="expression" dxfId="10" priority="12" stopIfTrue="1">
      <formula>$H$50="超过30%"</formula>
    </cfRule>
  </conditionalFormatting>
  <conditionalFormatting sqref="I50">
    <cfRule type="expression" dxfId="10" priority="5" stopIfTrue="1">
      <formula>$J$50="超过30%"</formula>
    </cfRule>
  </conditionalFormatting>
  <conditionalFormatting sqref="F9:F42 H9:H42 J9:J42">
    <cfRule type="cellIs" dxfId="11" priority="1" operator="notEqual">
      <formula>100</formula>
    </cfRule>
  </conditionalFormatting>
  <conditionalFormatting sqref="F48:F50 H48:H50 J48:J50">
    <cfRule type="containsText" dxfId="12" priority="14" stopIfTrue="1" operator="between" text="超过">
      <formula>NOT(ISERROR(SEARCH("超过",F48)))</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R118"/>
  <sheetViews>
    <sheetView view="pageBreakPreview" zoomScale="60" zoomScaleNormal="60" workbookViewId="0">
      <selection activeCell="C19" sqref="C19"/>
    </sheetView>
  </sheetViews>
  <sheetFormatPr defaultColWidth="12" defaultRowHeight="12"/>
  <cols>
    <col min="1" max="1" width="9.725" style="1827" customWidth="1"/>
    <col min="2" max="2" width="20.9083333333333" style="1828" customWidth="1"/>
    <col min="3" max="4" width="12" style="1829"/>
    <col min="5" max="5" width="14.6333333333333" style="1829" customWidth="1"/>
    <col min="6" max="8" width="12" style="1829"/>
    <col min="9" max="9" width="12.2666666666667" style="1829" customWidth="1"/>
    <col min="10" max="10" width="12" style="1829"/>
    <col min="11" max="11" width="9.63333333333333" style="1826" customWidth="1"/>
    <col min="12" max="12" width="12" style="1829"/>
    <col min="13" max="14" width="10.6333333333333" style="1829" customWidth="1"/>
    <col min="15" max="17" width="12" style="1829"/>
    <col min="18" max="18" width="12" style="1827"/>
    <col min="19" max="22" width="15.45" style="1827" customWidth="1"/>
    <col min="23" max="28" width="12" style="1829"/>
    <col min="29" max="29" width="9.36666666666667" style="1827" customWidth="1"/>
    <col min="30" max="35" width="9.36666666666667" style="1830" customWidth="1"/>
    <col min="36" max="39" width="9.36666666666667" style="1827" customWidth="1"/>
    <col min="40" max="41" width="9.36666666666667" style="1829" customWidth="1"/>
    <col min="42" max="16384" width="12" style="1829"/>
  </cols>
  <sheetData>
    <row r="1" ht="20.25" spans="1:29">
      <c r="A1" s="1831" t="s">
        <v>1106</v>
      </c>
      <c r="B1" s="1832"/>
      <c r="C1" s="1833" t="s">
        <v>389</v>
      </c>
      <c r="D1" s="1834">
        <f>SUM(D29:D30,D33:D39)</f>
        <v>0</v>
      </c>
      <c r="E1" s="1833" t="s">
        <v>392</v>
      </c>
      <c r="F1" s="1835"/>
      <c r="G1" s="1836"/>
      <c r="H1" s="1836"/>
      <c r="I1" s="1836"/>
      <c r="J1" s="1836"/>
      <c r="K1" s="2025"/>
      <c r="L1" s="2026" t="s">
        <v>1107</v>
      </c>
      <c r="M1" s="2027">
        <f>SUMPRODUCT((区片价!B5:B9=I2)*(区片价!C3:F3=E2)*(区片价!C5:F9))</f>
        <v>0</v>
      </c>
      <c r="N1" s="2028">
        <f>SUMPRODUCT((因素修正幅度!B5:B9=I2)*(因素修正幅度!C3:F3=E2)*(因素修正幅度!C5:F9))</f>
        <v>0</v>
      </c>
      <c r="O1" s="2025"/>
      <c r="P1" s="2025"/>
      <c r="Q1" s="2025"/>
      <c r="R1" s="2107" t="s">
        <v>1108</v>
      </c>
      <c r="S1" s="2107" t="s">
        <v>1109</v>
      </c>
      <c r="T1" s="2107" t="s">
        <v>1110</v>
      </c>
      <c r="U1" s="2107" t="s">
        <v>1111</v>
      </c>
      <c r="V1" s="2107" t="s">
        <v>623</v>
      </c>
      <c r="W1" s="2025"/>
      <c r="X1" s="2025"/>
      <c r="Y1" s="2025"/>
      <c r="Z1" s="2025"/>
      <c r="AA1" s="2025"/>
      <c r="AB1" s="2025"/>
      <c r="AC1" s="2048"/>
    </row>
    <row r="2" ht="15.75" spans="1:29">
      <c r="A2" s="1833" t="s">
        <v>1014</v>
      </c>
      <c r="B2" s="1837" t="e">
        <f ca="1">C26</f>
        <v>#DIV/0!</v>
      </c>
      <c r="C2" s="1838" t="s">
        <v>1112</v>
      </c>
      <c r="D2" s="1839" t="s">
        <v>354</v>
      </c>
      <c r="E2" s="1840"/>
      <c r="F2" s="1839" t="s">
        <v>217</v>
      </c>
      <c r="G2" s="1841">
        <f>IF(E2="商业",项目基本情况!B43,IF(E2="办公",项目基本情况!C43,IF(E2="住宅",项目基本情况!D43,项目基本情况!E43)))</f>
        <v>0</v>
      </c>
      <c r="H2" s="1839" t="s">
        <v>425</v>
      </c>
      <c r="I2" s="1876">
        <f>IF(E2="商业",项目基本情况!B44,IF(E2="办公",项目基本情况!C44,IF(E2="住宅",项目基本情况!D44,项目基本情况!E44)))</f>
        <v>0</v>
      </c>
      <c r="J2" s="1836"/>
      <c r="K2" s="2025"/>
      <c r="L2" s="2029" t="s">
        <v>1113</v>
      </c>
      <c r="M2" s="2030">
        <f>SUMPRODUCT((区片价!B10:B28=I2)*(区片价!C3:F3=E2)*(区片价!C10:F28))</f>
        <v>0</v>
      </c>
      <c r="N2" s="2031">
        <f>SUMPRODUCT((因素修正幅度!B10:B28=I2)*(因素修正幅度!C3:F3=E2)*(因素修正幅度!C10:F28))</f>
        <v>0</v>
      </c>
      <c r="O2" s="2025"/>
      <c r="P2" s="2025"/>
      <c r="Q2" s="2025"/>
      <c r="R2" s="2108">
        <v>1</v>
      </c>
      <c r="S2" s="2108" t="e">
        <f>ROUND(IF(G3&gt;1,IF(R2&lt;7,SUMPRODUCT((B93:B98=R2)*(C92:N92=G2)*(C93:N98)),SUMIF(C92:N92,G2,C100:N100)),IF(R2&lt;7,SUMPRODUCT((B102:B107=R2)*(C92:N92=G2)*(C102:N107)),SUMIF(C92:N92,G2,C109:N109))),4)</f>
        <v>#DIV/0!</v>
      </c>
      <c r="T2" s="2108" t="e">
        <f ca="1">ROUND($C$5*$C$18*$C$19*$C$20*S2*$C$24,0)</f>
        <v>#DIV/0!</v>
      </c>
      <c r="U2" s="2109"/>
      <c r="V2" s="2108" t="e">
        <f ca="1">ROUND(T2*U2/10000,0)</f>
        <v>#DIV/0!</v>
      </c>
      <c r="W2" s="2025"/>
      <c r="X2" s="2025"/>
      <c r="Y2" s="2025"/>
      <c r="Z2" s="2025"/>
      <c r="AA2" s="2025"/>
      <c r="AB2" s="2025"/>
      <c r="AC2" s="2048"/>
    </row>
    <row r="3" ht="15.75" spans="1:29">
      <c r="A3" s="1842" t="s">
        <v>920</v>
      </c>
      <c r="B3" s="1837" t="e">
        <f ca="1">ROUND(B2*10000/D1,0)</f>
        <v>#DIV/0!</v>
      </c>
      <c r="C3" s="1838" t="s">
        <v>1114</v>
      </c>
      <c r="D3" s="1839" t="s">
        <v>1115</v>
      </c>
      <c r="E3" s="1843"/>
      <c r="F3" s="1844"/>
      <c r="G3" s="1845">
        <f>IF(F3="宗地容积率",'数据-汇总表'!I4,IF(F3="估价对象容积率",'数据-汇总表'!I6,'数据-汇总表'!I7))</f>
        <v>0</v>
      </c>
      <c r="H3" s="1839" t="s">
        <v>1116</v>
      </c>
      <c r="I3" s="2032"/>
      <c r="J3" s="1836" t="s">
        <v>1117</v>
      </c>
      <c r="K3" s="2025"/>
      <c r="L3" s="2029" t="s">
        <v>1118</v>
      </c>
      <c r="M3" s="2030">
        <f>SUMPRODUCT((区片价!B29:B48=I2)*(区片价!C3:F3=E2)*(区片价!C29:F48))</f>
        <v>0</v>
      </c>
      <c r="N3" s="2031">
        <f>SUMPRODUCT((因素修正幅度!B29:B48=I2)*(因素修正幅度!C3:F3=E2)*(因素修正幅度!C29:F48))</f>
        <v>0</v>
      </c>
      <c r="O3" s="2025"/>
      <c r="P3" s="2025"/>
      <c r="Q3" s="2025"/>
      <c r="R3" s="2108">
        <v>2</v>
      </c>
      <c r="S3" s="2108" t="e">
        <f>ROUND(IF(G3&gt;1,IF(R3&lt;7,SUMPRODUCT((B93:B98=R3)*(C92:N92=G2)*(C93:N98)),SUMIF(C92:N92,G2,C100:N100)),IF(R3&lt;7,SUMPRODUCT((B102:B107=R3)*(C92:N92=G2)*(C102:N107)),SUMIF(C92:N92,G2,C109:N109))),4)</f>
        <v>#DIV/0!</v>
      </c>
      <c r="T3" s="2108" t="e">
        <f ca="1" t="shared" ref="T3:T16" si="0">ROUND($C$5*$C$18*$C$19*$C$20*S3*$C$24,0)</f>
        <v>#DIV/0!</v>
      </c>
      <c r="U3" s="2109"/>
      <c r="V3" s="2108" t="e">
        <f ca="1" t="shared" ref="V3:V16" si="1">ROUND(T3*U3/10000,0)</f>
        <v>#DIV/0!</v>
      </c>
      <c r="W3" s="2025"/>
      <c r="X3" s="2025"/>
      <c r="Y3" s="2025"/>
      <c r="Z3" s="2025"/>
      <c r="AA3" s="2025"/>
      <c r="AB3" s="2025"/>
      <c r="AC3" s="2048"/>
    </row>
    <row r="4" ht="28.5" spans="1:29">
      <c r="A4" s="1846" t="s">
        <v>1119</v>
      </c>
      <c r="B4" s="1847" t="e">
        <f ca="1">ROUND(B2*10000/F1,0)</f>
        <v>#DIV/0!</v>
      </c>
      <c r="C4" s="1848" t="s">
        <v>1114</v>
      </c>
      <c r="D4" s="1848" t="e">
        <f ca="1">ROUND(B2/(F1/666.67),0)</f>
        <v>#DIV/0!</v>
      </c>
      <c r="E4" s="1848" t="s">
        <v>1120</v>
      </c>
      <c r="F4" s="1849"/>
      <c r="G4" s="1849"/>
      <c r="H4" s="1849"/>
      <c r="I4" s="1849"/>
      <c r="J4" s="2033"/>
      <c r="K4" s="2034"/>
      <c r="L4" s="2029" t="s">
        <v>1121</v>
      </c>
      <c r="M4" s="2030">
        <f>SUMPRODUCT((区片价!B49:B75=I2)*(区片价!C3:F3=E2)*(区片价!C49:F75))</f>
        <v>0</v>
      </c>
      <c r="N4" s="2031">
        <f>SUMPRODUCT((因素修正幅度!B49:B75=I2)*(因素修正幅度!C3:F3=E2)*(因素修正幅度!C49:F75))</f>
        <v>0</v>
      </c>
      <c r="O4" s="2034"/>
      <c r="P4" s="2025"/>
      <c r="Q4" s="2025"/>
      <c r="R4" s="2108">
        <v>3</v>
      </c>
      <c r="S4" s="2108" t="e">
        <f>ROUND(IF(G3&gt;1,IF(R4&lt;7,SUMPRODUCT((B93:B98=R4)*(C92:N92=G2)*(C93:N98)),SUMIF(C92:N92,G2,C100:N100)),IF(R4&lt;7,SUMPRODUCT((B102:B107=R4)*(C92:N92=G2)*(C102:N107)),SUMIF(C92:N92,G2,C109:N109))),4)</f>
        <v>#DIV/0!</v>
      </c>
      <c r="T4" s="2108" t="e">
        <f ca="1" t="shared" si="0"/>
        <v>#DIV/0!</v>
      </c>
      <c r="U4" s="2109"/>
      <c r="V4" s="2108" t="e">
        <f ca="1" t="shared" si="1"/>
        <v>#DIV/0!</v>
      </c>
      <c r="W4" s="2025"/>
      <c r="X4" s="2025"/>
      <c r="Y4" s="2025"/>
      <c r="Z4" s="2025"/>
      <c r="AA4" s="2025"/>
      <c r="AB4" s="2025"/>
      <c r="AC4" s="2048"/>
    </row>
    <row r="5" s="1825" customFormat="1" ht="15.75" spans="1:39">
      <c r="A5" s="1850" t="s">
        <v>852</v>
      </c>
      <c r="B5" s="1851" t="s">
        <v>1122</v>
      </c>
      <c r="C5" s="1852" t="e">
        <f>ROUND(IF(E2="商业",C6*C7+C16,(IF(E2="住宅",C6*C12+C16,C6+C16))),0)</f>
        <v>#DIV/0!</v>
      </c>
      <c r="D5" s="1853" t="e">
        <f>ROUND(C6+C16,0)</f>
        <v>#DIV/0!</v>
      </c>
      <c r="E5" s="1853"/>
      <c r="F5" s="1854"/>
      <c r="G5" s="1855"/>
      <c r="H5" s="1855"/>
      <c r="I5" s="1855"/>
      <c r="J5" s="2035"/>
      <c r="K5" s="2036"/>
      <c r="L5" s="2029" t="s">
        <v>1123</v>
      </c>
      <c r="M5" s="2030">
        <f>SUMPRODUCT((区片价!B76:B109=I2)*(区片价!C3:F3=E2)*(区片价!C76:F109))</f>
        <v>0</v>
      </c>
      <c r="N5" s="2031">
        <f>SUMPRODUCT((因素修正幅度!B76:B109=I2)*(因素修正幅度!C3:F3=E2)*(因素修正幅度!C76:F109))</f>
        <v>0</v>
      </c>
      <c r="O5" s="2036"/>
      <c r="P5" s="2037"/>
      <c r="Q5" s="2025"/>
      <c r="R5" s="2108">
        <v>4</v>
      </c>
      <c r="S5" s="2108" t="e">
        <f>ROUND(IF(G3&gt;1,IF(R5&lt;7,SUMPRODUCT((B93:B98=R5)*(C92:N92=G2)*(C93:N98)),SUMIF(C92:N92,G2,C100:N100)),IF(R5&lt;7,SUMPRODUCT((B102:B107=R5)*(C92:N92=G2)*(C102:N107)),SUMIF(C92:N92,G2,C109:N109))),4)</f>
        <v>#DIV/0!</v>
      </c>
      <c r="T5" s="2108" t="e">
        <f ca="1" t="shared" si="0"/>
        <v>#DIV/0!</v>
      </c>
      <c r="U5" s="2109"/>
      <c r="V5" s="2108" t="e">
        <f ca="1" t="shared" si="1"/>
        <v>#DIV/0!</v>
      </c>
      <c r="W5" s="2025"/>
      <c r="X5" s="2025"/>
      <c r="Y5" s="2025"/>
      <c r="Z5" s="2025"/>
      <c r="AA5" s="2025"/>
      <c r="AB5" s="2025"/>
      <c r="AC5" s="2119"/>
      <c r="AD5" s="2120"/>
      <c r="AE5" s="2120"/>
      <c r="AF5" s="2120"/>
      <c r="AG5" s="2120"/>
      <c r="AH5" s="2120"/>
      <c r="AI5" s="2120"/>
      <c r="AJ5" s="2129"/>
      <c r="AK5" s="2129"/>
      <c r="AL5" s="2129"/>
      <c r="AM5" s="2129"/>
    </row>
    <row r="6" ht="15.75" spans="1:36">
      <c r="A6" s="1856" t="s">
        <v>1124</v>
      </c>
      <c r="B6" s="1857" t="s">
        <v>1122</v>
      </c>
      <c r="C6" s="1858">
        <f>SUMIF(L1:L12,基准地价!G2,M1:M12)</f>
        <v>0</v>
      </c>
      <c r="D6" s="1859" t="s">
        <v>1125</v>
      </c>
      <c r="E6" s="1860"/>
      <c r="F6" s="1860"/>
      <c r="G6" s="1861"/>
      <c r="H6" s="1861"/>
      <c r="I6" s="1861"/>
      <c r="J6" s="2038"/>
      <c r="K6" s="2025"/>
      <c r="L6" s="2029" t="s">
        <v>1126</v>
      </c>
      <c r="M6" s="2030">
        <f>SUMPRODUCT((区片价!B110:B157=I2)*(区片价!C3:F3=E2)*(区片价!C110:F157))</f>
        <v>0</v>
      </c>
      <c r="N6" s="2031">
        <f>SUMPRODUCT((因素修正幅度!B110:B157=I2)*(因素修正幅度!C3:F3=E2)*(因素修正幅度!C110:F157))</f>
        <v>0</v>
      </c>
      <c r="O6" s="2025"/>
      <c r="P6" s="2039"/>
      <c r="Q6" s="2025"/>
      <c r="R6" s="2108">
        <v>5</v>
      </c>
      <c r="S6" s="2108" t="e">
        <f>ROUND(IF(G3&gt;1,IF(R6&lt;7,SUMPRODUCT((B93:B98=R6)*(C92:N92=G2)*(C93:N98)),SUMIF(C92:N92,G2,C100:N100)),IF(R6&lt;7,SUMPRODUCT((B102:B107=R6)*(C92:N92=G2)*(C102:N107)),SUMIF(C92:N92,G2,C109:N109))),4)</f>
        <v>#DIV/0!</v>
      </c>
      <c r="T6" s="2108" t="e">
        <f ca="1" t="shared" si="0"/>
        <v>#DIV/0!</v>
      </c>
      <c r="U6" s="2109"/>
      <c r="V6" s="2108" t="e">
        <f ca="1" t="shared" si="1"/>
        <v>#DIV/0!</v>
      </c>
      <c r="W6" s="2025"/>
      <c r="X6" s="2025"/>
      <c r="Y6" s="2025"/>
      <c r="Z6" s="2025"/>
      <c r="AA6" s="2025"/>
      <c r="AB6" s="2025"/>
      <c r="AC6" s="2119"/>
      <c r="AD6" s="2120"/>
      <c r="AE6" s="2120"/>
      <c r="AF6" s="2120"/>
      <c r="AG6" s="2120"/>
      <c r="AH6" s="2120"/>
      <c r="AI6" s="2120"/>
      <c r="AJ6" s="2129"/>
    </row>
    <row r="7" ht="24" spans="1:36">
      <c r="A7" s="1862" t="str">
        <f>IF(E2="商业",IF(C8="不临58条商业街","",2),"")</f>
        <v/>
      </c>
      <c r="B7" s="1863" t="s">
        <v>1127</v>
      </c>
      <c r="C7" s="1864" t="e">
        <f>IF(C8="不临58条商业街",1,ROUND(1+(1.6*E8+1.2*E9+0.8*E10+0.4*E11)*C9,4))</f>
        <v>#DIV/0!</v>
      </c>
      <c r="D7" s="1865" t="s">
        <v>1128</v>
      </c>
      <c r="E7" s="1866"/>
      <c r="F7" s="1867"/>
      <c r="G7" s="1868"/>
      <c r="H7" s="1868"/>
      <c r="I7" s="1868"/>
      <c r="J7" s="2040"/>
      <c r="K7" s="2025"/>
      <c r="L7" s="2029" t="s">
        <v>1129</v>
      </c>
      <c r="M7" s="2030">
        <f>SUMPRODUCT((区片价!B158:B205=I2)*(区片价!C3:F3=E2)*(区片价!C158:F205))</f>
        <v>0</v>
      </c>
      <c r="N7" s="2031">
        <f>SUMPRODUCT((因素修正幅度!B158:B205=I2)*(因素修正幅度!C3:F3=E2)*(因素修正幅度!C158:F205))</f>
        <v>0</v>
      </c>
      <c r="O7" s="2025"/>
      <c r="P7" s="2039"/>
      <c r="Q7" s="2025"/>
      <c r="R7" s="2108">
        <v>6</v>
      </c>
      <c r="S7" s="2108" t="e">
        <f>ROUND(IF(G3&gt;1,IF(R7&lt;7,SUMPRODUCT((B93:B98=R7)*(C92:N92=G2)*(C93:N98)),SUMIF(C92:N92,G2,C100:N100)),IF(R7&lt;7,SUMPRODUCT((B102:B107=R7)*(C92:N92=G2)*(C102:N107)),SUMIF(C92:N92,G2,C109:N109))),4)</f>
        <v>#DIV/0!</v>
      </c>
      <c r="T7" s="2108" t="e">
        <f ca="1" t="shared" si="0"/>
        <v>#DIV/0!</v>
      </c>
      <c r="U7" s="2109"/>
      <c r="V7" s="2108" t="e">
        <f ca="1" t="shared" si="1"/>
        <v>#DIV/0!</v>
      </c>
      <c r="W7" s="2110" t="s">
        <v>1130</v>
      </c>
      <c r="X7" s="2111">
        <f>G2</f>
        <v>0</v>
      </c>
      <c r="Y7" s="2111" t="s">
        <v>1131</v>
      </c>
      <c r="Z7" s="2121">
        <f>G3</f>
        <v>0</v>
      </c>
      <c r="AA7" s="2116"/>
      <c r="AB7" s="2116"/>
      <c r="AC7" s="2053"/>
      <c r="AD7" s="2122"/>
      <c r="AE7" s="2122"/>
      <c r="AF7" s="2122"/>
      <c r="AG7" s="2122"/>
      <c r="AH7" s="2122"/>
      <c r="AI7" s="2122"/>
      <c r="AJ7" s="2130"/>
    </row>
    <row r="8" ht="15" spans="1:36">
      <c r="A8" s="1869"/>
      <c r="B8" s="1839" t="s">
        <v>1132</v>
      </c>
      <c r="C8" s="1870"/>
      <c r="D8" s="1871" t="s">
        <v>1133</v>
      </c>
      <c r="E8" s="1872" t="e">
        <f>ROUND(C11/E7,4)</f>
        <v>#DIV/0!</v>
      </c>
      <c r="F8" s="1873" t="s">
        <v>1134</v>
      </c>
      <c r="G8" s="1874"/>
      <c r="H8" s="1874"/>
      <c r="I8" s="1874"/>
      <c r="J8" s="2041"/>
      <c r="K8" s="2025"/>
      <c r="L8" s="2029" t="s">
        <v>1135</v>
      </c>
      <c r="M8" s="2030">
        <f>SUMPRODUCT((区片价!B206:B244=I2)*(区片价!C3:F3=E2)*(区片价!C206:F244))</f>
        <v>0</v>
      </c>
      <c r="N8" s="2031">
        <f>SUMPRODUCT((因素修正幅度!B206:B244=I2)*(因素修正幅度!C3:F3=E2)*(因素修正幅度!C206:F244))</f>
        <v>0</v>
      </c>
      <c r="O8" s="2025"/>
      <c r="P8" s="2025"/>
      <c r="Q8" s="2025"/>
      <c r="R8" s="2108">
        <v>7</v>
      </c>
      <c r="S8" s="2109"/>
      <c r="T8" s="2108" t="e">
        <f ca="1" t="shared" si="0"/>
        <v>#DIV/0!</v>
      </c>
      <c r="U8" s="2109"/>
      <c r="V8" s="2108" t="e">
        <f ca="1" t="shared" si="1"/>
        <v>#DIV/0!</v>
      </c>
      <c r="W8" s="2112" t="s">
        <v>1136</v>
      </c>
      <c r="X8" s="2113"/>
      <c r="Y8" s="1964" t="s">
        <v>1137</v>
      </c>
      <c r="Z8" s="1964" t="s">
        <v>1138</v>
      </c>
      <c r="AA8" s="1964" t="s">
        <v>1139</v>
      </c>
      <c r="AB8" s="1964" t="s">
        <v>1140</v>
      </c>
      <c r="AC8" s="1964" t="s">
        <v>1141</v>
      </c>
      <c r="AD8" s="1964" t="s">
        <v>1142</v>
      </c>
      <c r="AE8" s="1964" t="s">
        <v>1143</v>
      </c>
      <c r="AF8" s="1964" t="s">
        <v>1144</v>
      </c>
      <c r="AG8" s="1964" t="s">
        <v>1145</v>
      </c>
      <c r="AH8" s="1964" t="s">
        <v>1146</v>
      </c>
      <c r="AI8" s="1964" t="s">
        <v>1147</v>
      </c>
      <c r="AJ8" s="1964" t="s">
        <v>1148</v>
      </c>
    </row>
    <row r="9" ht="15" spans="1:36">
      <c r="A9" s="1869"/>
      <c r="B9" s="1839" t="s">
        <v>1149</v>
      </c>
      <c r="C9" s="1875">
        <f>SUMIF(修正!C59:C119,C8,修正!E59:E119)</f>
        <v>0</v>
      </c>
      <c r="D9" s="1876" t="s">
        <v>1150</v>
      </c>
      <c r="E9" s="1876" t="e">
        <f>ROUND(C11/E7,4)</f>
        <v>#DIV/0!</v>
      </c>
      <c r="F9" s="1873" t="s">
        <v>1151</v>
      </c>
      <c r="G9" s="1874"/>
      <c r="H9" s="1874"/>
      <c r="I9" s="1874"/>
      <c r="J9" s="2041"/>
      <c r="K9" s="2025"/>
      <c r="L9" s="2029" t="s">
        <v>1152</v>
      </c>
      <c r="M9" s="2030">
        <f>SUMPRODUCT((区片价!B245:B289=I2)*(区片价!C3:F3=E2)*(区片价!C245:F289))</f>
        <v>0</v>
      </c>
      <c r="N9" s="2031">
        <f>SUMPRODUCT((因素修正幅度!B245:B289=I2)*(因素修正幅度!C3:F3=E2)*(因素修正幅度!C245:F289))</f>
        <v>0</v>
      </c>
      <c r="O9" s="2025"/>
      <c r="P9" s="2025"/>
      <c r="Q9" s="2025"/>
      <c r="R9" s="2108">
        <v>8</v>
      </c>
      <c r="S9" s="2109"/>
      <c r="T9" s="2108" t="e">
        <f ca="1" t="shared" si="0"/>
        <v>#DIV/0!</v>
      </c>
      <c r="U9" s="2109"/>
      <c r="V9" s="2108" t="e">
        <f ca="1" t="shared" si="1"/>
        <v>#DIV/0!</v>
      </c>
      <c r="W9" s="2110" t="s">
        <v>1153</v>
      </c>
      <c r="X9" s="2114" t="s">
        <v>1154</v>
      </c>
      <c r="Y9" s="2123"/>
      <c r="Z9" s="2124">
        <f t="shared" ref="Z9:AJ9" si="2">$Y$9</f>
        <v>0</v>
      </c>
      <c r="AA9" s="2124">
        <f t="shared" si="2"/>
        <v>0</v>
      </c>
      <c r="AB9" s="2124">
        <f t="shared" si="2"/>
        <v>0</v>
      </c>
      <c r="AC9" s="2124">
        <f t="shared" si="2"/>
        <v>0</v>
      </c>
      <c r="AD9" s="2124">
        <f t="shared" si="2"/>
        <v>0</v>
      </c>
      <c r="AE9" s="2124">
        <f t="shared" si="2"/>
        <v>0</v>
      </c>
      <c r="AF9" s="2124">
        <f t="shared" si="2"/>
        <v>0</v>
      </c>
      <c r="AG9" s="2124">
        <f t="shared" si="2"/>
        <v>0</v>
      </c>
      <c r="AH9" s="2124">
        <f t="shared" si="2"/>
        <v>0</v>
      </c>
      <c r="AI9" s="2124">
        <f t="shared" si="2"/>
        <v>0</v>
      </c>
      <c r="AJ9" s="2124">
        <f t="shared" si="2"/>
        <v>0</v>
      </c>
    </row>
    <row r="10" ht="15" spans="1:36">
      <c r="A10" s="1869"/>
      <c r="B10" s="1839" t="s">
        <v>1155</v>
      </c>
      <c r="C10" s="1876">
        <f>SUMIF(修正!C59:C119,C8,修正!F59:F119)</f>
        <v>0</v>
      </c>
      <c r="D10" s="1876" t="s">
        <v>1156</v>
      </c>
      <c r="E10" s="1876" t="e">
        <f>ROUND(C11/E7,4)</f>
        <v>#DIV/0!</v>
      </c>
      <c r="F10" s="1873" t="s">
        <v>1157</v>
      </c>
      <c r="G10" s="1874"/>
      <c r="H10" s="1874"/>
      <c r="I10" s="1874"/>
      <c r="J10" s="2041"/>
      <c r="K10" s="2025"/>
      <c r="L10" s="2029" t="s">
        <v>1158</v>
      </c>
      <c r="M10" s="2030">
        <f>SUMPRODUCT((区片价!B290:B316=I2)*(区片价!C3:F3=E2)*(区片价!C290:F316))</f>
        <v>0</v>
      </c>
      <c r="N10" s="2031">
        <f>SUMPRODUCT((因素修正幅度!B290:B316=I2)*(因素修正幅度!C3:F3=E2)*(因素修正幅度!C290:F316))</f>
        <v>0</v>
      </c>
      <c r="O10" s="2025"/>
      <c r="P10" s="2025"/>
      <c r="Q10" s="2025"/>
      <c r="R10" s="2108">
        <v>9</v>
      </c>
      <c r="S10" s="2109"/>
      <c r="T10" s="2108" t="e">
        <f ca="1" t="shared" si="0"/>
        <v>#DIV/0!</v>
      </c>
      <c r="U10" s="2109"/>
      <c r="V10" s="2108" t="e">
        <f ca="1" t="shared" si="1"/>
        <v>#DIV/0!</v>
      </c>
      <c r="W10" s="2110"/>
      <c r="X10" s="2114">
        <v>7</v>
      </c>
      <c r="Y10" s="2125">
        <f>(-0.163*(Y9^2)-0.59*Y9+7617)*(10^(-4))</f>
        <v>0.7617</v>
      </c>
      <c r="Z10" s="2125">
        <f>(-0.163*(Z9^2)-0.59*Z9+7617)*(10^(-4))</f>
        <v>0.7617</v>
      </c>
      <c r="AA10" s="2125">
        <f>(-0.161*(AA9^2)-7.509*AA9+6533)*(10^(-4))</f>
        <v>0.6533</v>
      </c>
      <c r="AB10" s="2125">
        <f>(-0.161*(AB9^2)-7.509*AB9+6533)*(10^(-4))</f>
        <v>0.6533</v>
      </c>
      <c r="AC10" s="2125">
        <f>(-0.161*(AC9^2)-7.509*AC9+6533)*(10^(-4))</f>
        <v>0.6533</v>
      </c>
      <c r="AD10" s="2125">
        <f>(-0.161*(AD9^2)-7.509*AD9+6533)*(10^(-4))</f>
        <v>0.6533</v>
      </c>
      <c r="AE10" s="2125">
        <f>(-0.161*(AE9^2)-7.509*AE9+6533)*(10^(-4))</f>
        <v>0.6533</v>
      </c>
      <c r="AF10" s="2125">
        <f>(-0.214*(AF9^2)-21.991*AF9+4665)*(10^(-4))</f>
        <v>0.4665</v>
      </c>
      <c r="AG10" s="2125">
        <f>(-0.214*(AG9^2)-21.991*AG9+4665)*(10^(-4))</f>
        <v>0.4665</v>
      </c>
      <c r="AH10" s="2125">
        <f>(-0.214*(AH9^2)-21.991*AH9+4665)*(10^(-4))</f>
        <v>0.4665</v>
      </c>
      <c r="AI10" s="2125">
        <f>(-0.214*(AI9^2)-21.991*AI9+4665)*(10^(-4))</f>
        <v>0.4665</v>
      </c>
      <c r="AJ10" s="2125">
        <f>(-0.214*(AJ9^2)-21.991*AJ9+4665)*(10^(-4))</f>
        <v>0.4665</v>
      </c>
    </row>
    <row r="11" ht="15.75" customHeight="1" spans="1:36">
      <c r="A11" s="1869"/>
      <c r="B11" s="1877" t="s">
        <v>1159</v>
      </c>
      <c r="C11" s="1878">
        <f>C10/4</f>
        <v>0</v>
      </c>
      <c r="D11" s="1878" t="s">
        <v>1160</v>
      </c>
      <c r="E11" s="1878" t="e">
        <f>ROUND(C11/E7,4)</f>
        <v>#DIV/0!</v>
      </c>
      <c r="F11" s="1879" t="s">
        <v>1161</v>
      </c>
      <c r="G11" s="1880"/>
      <c r="H11" s="1880"/>
      <c r="I11" s="1880"/>
      <c r="J11" s="2042"/>
      <c r="K11" s="2025"/>
      <c r="L11" s="2029" t="s">
        <v>1162</v>
      </c>
      <c r="M11" s="2030">
        <f>SUMPRODUCT((区片价!B317:B337=I2)*(区片价!C3:F3=E2)*(区片价!C317:F337))</f>
        <v>0</v>
      </c>
      <c r="N11" s="2031">
        <f>SUMPRODUCT((因素修正幅度!B317:B337=I2)*(因素修正幅度!C3:F3=E2)*(因素修正幅度!C317:F337))</f>
        <v>0</v>
      </c>
      <c r="O11" s="2025"/>
      <c r="P11" s="2025"/>
      <c r="Q11" s="2025"/>
      <c r="R11" s="2108">
        <v>10</v>
      </c>
      <c r="S11" s="2109"/>
      <c r="T11" s="2108" t="e">
        <f ca="1" t="shared" si="0"/>
        <v>#DIV/0!</v>
      </c>
      <c r="U11" s="2109"/>
      <c r="V11" s="2108" t="e">
        <f ca="1" t="shared" si="1"/>
        <v>#DIV/0!</v>
      </c>
      <c r="W11" s="2110" t="s">
        <v>1163</v>
      </c>
      <c r="X11" s="1876" t="s">
        <v>1131</v>
      </c>
      <c r="Y11" s="1876">
        <f>$G$3</f>
        <v>0</v>
      </c>
      <c r="Z11" s="1876">
        <f t="shared" ref="Z11:AJ11" si="3">$G$3</f>
        <v>0</v>
      </c>
      <c r="AA11" s="1876">
        <f t="shared" si="3"/>
        <v>0</v>
      </c>
      <c r="AB11" s="1876">
        <f t="shared" si="3"/>
        <v>0</v>
      </c>
      <c r="AC11" s="1876">
        <f t="shared" si="3"/>
        <v>0</v>
      </c>
      <c r="AD11" s="1876">
        <f t="shared" si="3"/>
        <v>0</v>
      </c>
      <c r="AE11" s="1876">
        <f t="shared" si="3"/>
        <v>0</v>
      </c>
      <c r="AF11" s="1876">
        <f t="shared" si="3"/>
        <v>0</v>
      </c>
      <c r="AG11" s="1876">
        <f t="shared" si="3"/>
        <v>0</v>
      </c>
      <c r="AH11" s="1876">
        <f t="shared" si="3"/>
        <v>0</v>
      </c>
      <c r="AI11" s="1876">
        <f t="shared" si="3"/>
        <v>0</v>
      </c>
      <c r="AJ11" s="1876">
        <f t="shared" si="3"/>
        <v>0</v>
      </c>
    </row>
    <row r="12" ht="25.5" spans="1:36">
      <c r="A12" s="1862" t="s">
        <v>1164</v>
      </c>
      <c r="B12" s="1881" t="s">
        <v>1165</v>
      </c>
      <c r="C12" s="1864">
        <f>ROUND(C15*D15*E15*F15*G15*H15*I15*J15,4)</f>
        <v>1</v>
      </c>
      <c r="D12" s="1882" t="s">
        <v>1166</v>
      </c>
      <c r="E12" s="1883"/>
      <c r="F12" s="1883"/>
      <c r="G12" s="1884"/>
      <c r="H12" s="1884"/>
      <c r="I12" s="1884"/>
      <c r="J12" s="2043"/>
      <c r="K12" s="2025"/>
      <c r="L12" s="2044" t="s">
        <v>1167</v>
      </c>
      <c r="M12" s="2045">
        <f>SUMPRODUCT((区片价!B338:B344=I2)*(区片价!C3:F3=E2)*(区片价!C338:F344))</f>
        <v>0</v>
      </c>
      <c r="N12" s="2046">
        <f>SUMPRODUCT((因素修正幅度!B338:B344=I2)*(因素修正幅度!C3:F3=E2)*(因素修正幅度!C338:F344))</f>
        <v>0</v>
      </c>
      <c r="O12" s="2025"/>
      <c r="P12" s="2025"/>
      <c r="Q12" s="2025"/>
      <c r="R12" s="2108">
        <v>11</v>
      </c>
      <c r="S12" s="2109"/>
      <c r="T12" s="2108" t="e">
        <f ca="1" t="shared" si="0"/>
        <v>#DIV/0!</v>
      </c>
      <c r="U12" s="2109"/>
      <c r="V12" s="2108" t="e">
        <f ca="1" t="shared" si="1"/>
        <v>#DIV/0!</v>
      </c>
      <c r="W12" s="2110"/>
      <c r="X12" s="2115" t="s">
        <v>1168</v>
      </c>
      <c r="Y12" s="2124">
        <f t="shared" ref="Y12:AJ12" si="4">Y9</f>
        <v>0</v>
      </c>
      <c r="Z12" s="2124">
        <f t="shared" si="4"/>
        <v>0</v>
      </c>
      <c r="AA12" s="2124">
        <f t="shared" si="4"/>
        <v>0</v>
      </c>
      <c r="AB12" s="2124">
        <f t="shared" si="4"/>
        <v>0</v>
      </c>
      <c r="AC12" s="2124">
        <f t="shared" si="4"/>
        <v>0</v>
      </c>
      <c r="AD12" s="2124">
        <f t="shared" si="4"/>
        <v>0</v>
      </c>
      <c r="AE12" s="2124">
        <f t="shared" si="4"/>
        <v>0</v>
      </c>
      <c r="AF12" s="2124">
        <f t="shared" si="4"/>
        <v>0</v>
      </c>
      <c r="AG12" s="2124">
        <f t="shared" si="4"/>
        <v>0</v>
      </c>
      <c r="AH12" s="2124">
        <f t="shared" si="4"/>
        <v>0</v>
      </c>
      <c r="AI12" s="2124">
        <f t="shared" si="4"/>
        <v>0</v>
      </c>
      <c r="AJ12" s="2124">
        <f t="shared" si="4"/>
        <v>0</v>
      </c>
    </row>
    <row r="13" ht="24" spans="1:36">
      <c r="A13" s="1885"/>
      <c r="B13" s="1886" t="s">
        <v>1169</v>
      </c>
      <c r="C13" s="1887" t="s">
        <v>1170</v>
      </c>
      <c r="D13" s="1765" t="s">
        <v>1171</v>
      </c>
      <c r="E13" s="1765" t="s">
        <v>1172</v>
      </c>
      <c r="F13" s="1888" t="s">
        <v>1173</v>
      </c>
      <c r="G13" s="1889" t="s">
        <v>1174</v>
      </c>
      <c r="H13" s="1890" t="s">
        <v>1174</v>
      </c>
      <c r="I13" s="1890" t="s">
        <v>1174</v>
      </c>
      <c r="J13" s="2047" t="s">
        <v>1174</v>
      </c>
      <c r="K13" s="2048"/>
      <c r="L13" s="2048"/>
      <c r="M13" s="2048"/>
      <c r="N13" s="2048"/>
      <c r="O13" s="2048"/>
      <c r="P13" s="2025"/>
      <c r="Q13" s="2025"/>
      <c r="R13" s="2108">
        <v>12</v>
      </c>
      <c r="S13" s="2109"/>
      <c r="T13" s="2108" t="e">
        <f ca="1" t="shared" si="0"/>
        <v>#DIV/0!</v>
      </c>
      <c r="U13" s="2109"/>
      <c r="V13" s="2108" t="e">
        <f ca="1" t="shared" si="1"/>
        <v>#DIV/0!</v>
      </c>
      <c r="W13" s="2110"/>
      <c r="X13" s="2115"/>
      <c r="Y13" s="2125" t="e">
        <f>(-0.163*(Y12^2)-0.59*Y12+7617)*(10^(-4))/Y11</f>
        <v>#DIV/0!</v>
      </c>
      <c r="Z13" s="2125" t="e">
        <f t="shared" ref="Z13:AJ13" si="5">(-0.163*(Z12^2)-0.59*Z12+7617)*(10^(-4))/Z11</f>
        <v>#DIV/0!</v>
      </c>
      <c r="AA13" s="2125" t="e">
        <f t="shared" si="5"/>
        <v>#DIV/0!</v>
      </c>
      <c r="AB13" s="2125" t="e">
        <f t="shared" si="5"/>
        <v>#DIV/0!</v>
      </c>
      <c r="AC13" s="2125" t="e">
        <f t="shared" si="5"/>
        <v>#DIV/0!</v>
      </c>
      <c r="AD13" s="2125" t="e">
        <f t="shared" si="5"/>
        <v>#DIV/0!</v>
      </c>
      <c r="AE13" s="2125" t="e">
        <f t="shared" si="5"/>
        <v>#DIV/0!</v>
      </c>
      <c r="AF13" s="2125" t="e">
        <f t="shared" si="5"/>
        <v>#DIV/0!</v>
      </c>
      <c r="AG13" s="2125" t="e">
        <f t="shared" si="5"/>
        <v>#DIV/0!</v>
      </c>
      <c r="AH13" s="2125" t="e">
        <f t="shared" si="5"/>
        <v>#DIV/0!</v>
      </c>
      <c r="AI13" s="2125" t="e">
        <f t="shared" si="5"/>
        <v>#DIV/0!</v>
      </c>
      <c r="AJ13" s="2125" t="e">
        <f t="shared" si="5"/>
        <v>#DIV/0!</v>
      </c>
    </row>
    <row r="14" ht="12.75" customHeight="1" spans="1:29">
      <c r="A14" s="1885"/>
      <c r="B14" s="1891"/>
      <c r="C14" s="1892"/>
      <c r="D14" s="1893"/>
      <c r="E14" s="1893"/>
      <c r="F14" s="1894"/>
      <c r="G14" s="1895" t="s">
        <v>1175</v>
      </c>
      <c r="H14" s="1836"/>
      <c r="I14" s="2049"/>
      <c r="J14" s="2050"/>
      <c r="K14" s="2051"/>
      <c r="L14" s="2051"/>
      <c r="M14" s="2051"/>
      <c r="N14" s="2051"/>
      <c r="O14" s="2051"/>
      <c r="P14" s="2025"/>
      <c r="Q14" s="2025"/>
      <c r="R14" s="2108">
        <v>13</v>
      </c>
      <c r="S14" s="2109"/>
      <c r="T14" s="2108" t="e">
        <f ca="1" t="shared" si="0"/>
        <v>#DIV/0!</v>
      </c>
      <c r="U14" s="2109"/>
      <c r="V14" s="2108" t="e">
        <f ca="1" t="shared" si="1"/>
        <v>#DIV/0!</v>
      </c>
      <c r="W14" s="2025"/>
      <c r="X14" s="2025"/>
      <c r="Y14" s="2025"/>
      <c r="Z14" s="2025"/>
      <c r="AA14" s="2025"/>
      <c r="AB14" s="2025"/>
      <c r="AC14" s="2048"/>
    </row>
    <row r="15" ht="13.5" customHeight="1" spans="1:29">
      <c r="A15" s="1896"/>
      <c r="B15" s="1897" t="s">
        <v>1176</v>
      </c>
      <c r="C15" s="1878">
        <f>IF(C14="有",1.1,1)</f>
        <v>1</v>
      </c>
      <c r="D15" s="1878">
        <f>IF(D14="有",1.1,1)</f>
        <v>1</v>
      </c>
      <c r="E15" s="1878">
        <f>IF(E14="有",1.1,1)</f>
        <v>1</v>
      </c>
      <c r="F15" s="1878">
        <f>IF(F14="500米范围内",1.2,IF(F14="500-1000米",1.1,1))</f>
        <v>1</v>
      </c>
      <c r="G15" s="1898">
        <v>1</v>
      </c>
      <c r="H15" s="1898">
        <v>1</v>
      </c>
      <c r="I15" s="1898">
        <v>1</v>
      </c>
      <c r="J15" s="2052">
        <v>1</v>
      </c>
      <c r="K15" s="2053"/>
      <c r="L15" s="2053"/>
      <c r="M15" s="2053"/>
      <c r="N15" s="2053"/>
      <c r="O15" s="2053"/>
      <c r="P15" s="2025"/>
      <c r="Q15" s="2025"/>
      <c r="R15" s="2108">
        <v>14</v>
      </c>
      <c r="S15" s="2109"/>
      <c r="T15" s="2108" t="e">
        <f ca="1" t="shared" si="0"/>
        <v>#DIV/0!</v>
      </c>
      <c r="U15" s="2109"/>
      <c r="V15" s="2108" t="e">
        <f ca="1" t="shared" si="1"/>
        <v>#DIV/0!</v>
      </c>
      <c r="W15" s="2025"/>
      <c r="X15" s="2025"/>
      <c r="Y15" s="2025"/>
      <c r="Z15" s="2025"/>
      <c r="AA15" s="2025"/>
      <c r="AB15" s="2025"/>
      <c r="AC15" s="2048"/>
    </row>
    <row r="16" ht="24.65" customHeight="1" spans="1:29">
      <c r="A16" s="1862" t="s">
        <v>905</v>
      </c>
      <c r="B16" s="1863" t="s">
        <v>1177</v>
      </c>
      <c r="C16" s="1899" t="e">
        <f>ROUND(IF(F17="与级别开发程度一致",0,(G17-E17)/C17),0)</f>
        <v>#DIV/0!</v>
      </c>
      <c r="D16" s="1900" t="s">
        <v>1178</v>
      </c>
      <c r="E16" s="1901"/>
      <c r="F16" s="1900" t="s">
        <v>1179</v>
      </c>
      <c r="G16" s="1901"/>
      <c r="H16" s="1902"/>
      <c r="I16" s="1902"/>
      <c r="J16" s="1902"/>
      <c r="K16" s="1902"/>
      <c r="L16" s="1902"/>
      <c r="M16" s="1902"/>
      <c r="N16" s="1902"/>
      <c r="O16" s="2054"/>
      <c r="P16" s="2025"/>
      <c r="Q16" s="2116"/>
      <c r="R16" s="2108">
        <v>15</v>
      </c>
      <c r="S16" s="2109"/>
      <c r="T16" s="2108" t="e">
        <f ca="1" t="shared" si="0"/>
        <v>#DIV/0!</v>
      </c>
      <c r="U16" s="2109"/>
      <c r="V16" s="2108" t="e">
        <f ca="1" t="shared" si="1"/>
        <v>#DIV/0!</v>
      </c>
      <c r="W16" s="2116"/>
      <c r="X16" s="2116"/>
      <c r="Y16" s="2116"/>
      <c r="Z16" s="2116"/>
      <c r="AA16" s="2116"/>
      <c r="AB16" s="2116"/>
      <c r="AC16" s="2053"/>
    </row>
    <row r="17" ht="13.5" spans="1:39">
      <c r="A17" s="1903"/>
      <c r="B17" s="1904" t="s">
        <v>1180</v>
      </c>
      <c r="C17" s="1905">
        <f>SUMPRODUCT((修正!A2:A5=E2)*(修正!B1:M1=G2)*(修正!B2:M5))</f>
        <v>0</v>
      </c>
      <c r="D17" s="1906" t="str">
        <f>IF(OR(G2="八级",G2="九级",G2="十级",G2="十一级",G2="十二级"),"五通一平","七通一平")</f>
        <v>七通一平</v>
      </c>
      <c r="E17" s="1907">
        <f>SUMPRODUCT((修正!B1:M1=G2)*(修正!B15:M15))</f>
        <v>0</v>
      </c>
      <c r="F17" s="1908"/>
      <c r="G17" s="1907">
        <f>SUM(H17:O17)</f>
        <v>0</v>
      </c>
      <c r="H17" s="1909">
        <f>SUMPRODUCT((七通一平=H16)*(修正!B1:M1=G2)*(修正!B6:M14))</f>
        <v>0</v>
      </c>
      <c r="I17" s="1909">
        <f>SUMPRODUCT((七通一平=I16)*(修正!B1:M1=G2)*(修正!B6:M14))</f>
        <v>0</v>
      </c>
      <c r="J17" s="1909">
        <f>SUMPRODUCT((七通一平=J16)*(修正!B1:M1=G2)*(修正!B6:M14))</f>
        <v>0</v>
      </c>
      <c r="K17" s="1909">
        <f>SUMPRODUCT((七通一平=K16)*(修正!B1:M1=G2)*(修正!B6:M14))</f>
        <v>0</v>
      </c>
      <c r="L17" s="1909">
        <f>SUMPRODUCT((七通一平=L16)*(修正!B1:M1=G2)*(修正!B6:M14))</f>
        <v>0</v>
      </c>
      <c r="M17" s="1909">
        <f>SUMPRODUCT((七通一平=M16)*(修正!B1:M1=G2)*(修正!B6:M14))</f>
        <v>0</v>
      </c>
      <c r="N17" s="1909">
        <f>SUMPRODUCT((七通一平=N16)*(修正!B1:M1=G2)*(修正!B6:M14))</f>
        <v>0</v>
      </c>
      <c r="O17" s="2055">
        <f>SUMPRODUCT((七通一平=O16)*(修正!B1:M1=G2)*(修正!B6:M14))</f>
        <v>0</v>
      </c>
      <c r="P17" s="2025"/>
      <c r="Q17" s="2116"/>
      <c r="R17" s="2053"/>
      <c r="S17" s="2053"/>
      <c r="T17" s="2053"/>
      <c r="U17" s="2053"/>
      <c r="V17" s="2053"/>
      <c r="W17" s="2116"/>
      <c r="X17" s="2116"/>
      <c r="Y17" s="2116"/>
      <c r="Z17" s="2116"/>
      <c r="AA17" s="2116"/>
      <c r="AB17" s="2116"/>
      <c r="AC17" s="2053"/>
      <c r="AH17" s="1826"/>
      <c r="AI17" s="1826"/>
      <c r="AJ17" s="1829"/>
      <c r="AK17" s="1829"/>
      <c r="AL17" s="1829"/>
      <c r="AM17" s="1829"/>
    </row>
    <row r="18" s="1825" customFormat="1" ht="15.75" spans="1:38">
      <c r="A18" s="1910" t="s">
        <v>861</v>
      </c>
      <c r="B18" s="1911" t="s">
        <v>1181</v>
      </c>
      <c r="C18" s="1912">
        <f>SUMIF(修正!C18:C39,E3,修正!E18:E39)</f>
        <v>0</v>
      </c>
      <c r="D18" s="1913"/>
      <c r="E18" s="1914"/>
      <c r="F18" s="1915"/>
      <c r="G18" s="1916"/>
      <c r="H18" s="1916"/>
      <c r="I18" s="1916"/>
      <c r="J18" s="2056"/>
      <c r="K18" s="2036"/>
      <c r="L18" s="1916"/>
      <c r="M18" s="1916"/>
      <c r="N18" s="1916"/>
      <c r="O18" s="1916"/>
      <c r="P18" s="2036"/>
      <c r="Q18" s="2117"/>
      <c r="R18" s="2117"/>
      <c r="S18" s="2117"/>
      <c r="T18" s="2117"/>
      <c r="U18" s="2117"/>
      <c r="V18" s="2117"/>
      <c r="W18" s="2053"/>
      <c r="X18" s="2053"/>
      <c r="Y18" s="2053"/>
      <c r="Z18" s="2053"/>
      <c r="AA18" s="2116"/>
      <c r="AB18" s="2116"/>
      <c r="AC18" s="2076"/>
      <c r="AD18" s="2126"/>
      <c r="AE18" s="2126"/>
      <c r="AF18" s="2126"/>
      <c r="AG18" s="2126"/>
      <c r="AH18" s="1830"/>
      <c r="AI18" s="1830"/>
      <c r="AJ18" s="1827"/>
      <c r="AK18" s="1827"/>
      <c r="AL18" s="1827"/>
    </row>
    <row r="19" s="1825" customFormat="1" ht="27.75" spans="1:35">
      <c r="A19" s="1917" t="s">
        <v>866</v>
      </c>
      <c r="B19" s="1918" t="s">
        <v>1182</v>
      </c>
      <c r="C19" s="1919" t="e">
        <f>ROUND(IF(H19="按公示增长率计算",SUMPRODUCT((地价!A3:A37=YEAR(G19)&amp;"-"&amp;ROUNDUP(MONTH(G19)/3,0))*(地价!X2:AB2=E2)*(地价!X3:AB37)),IF(H19="地价指数",M20/M19,(1+I19)^O19)),4)</f>
        <v>#VALUE!</v>
      </c>
      <c r="D19" s="1920" t="s">
        <v>1183</v>
      </c>
      <c r="E19" s="1921">
        <v>41640</v>
      </c>
      <c r="F19" s="1920" t="s">
        <v>360</v>
      </c>
      <c r="G19" s="1922">
        <f>'数据-取费表'!B2</f>
        <v>45252</v>
      </c>
      <c r="H19" s="1923"/>
      <c r="I19" s="2057" t="str">
        <f>IF(H19="季度增幅（自定义）",SUMIF(N21:N24,E2,O21:O24),"")</f>
        <v/>
      </c>
      <c r="J19" s="2058"/>
      <c r="K19" s="2036"/>
      <c r="L19" s="2059" t="s">
        <v>1184</v>
      </c>
      <c r="M19" s="2060">
        <f>ROUND(SUMIF(地价!B2:F2,E2,地价!B37:F37),0)</f>
        <v>0</v>
      </c>
      <c r="N19" s="2061" t="s">
        <v>1185</v>
      </c>
      <c r="O19" s="2062">
        <f>ROUNDDOWN(DATEDIF(E19,G19,"M")/3,0)</f>
        <v>39</v>
      </c>
      <c r="P19" s="2053"/>
      <c r="Q19" s="2074"/>
      <c r="R19" s="2076"/>
      <c r="S19" s="2076"/>
      <c r="T19" s="2076"/>
      <c r="U19" s="2076"/>
      <c r="V19" s="2076"/>
      <c r="W19" s="2076"/>
      <c r="X19" s="2076"/>
      <c r="Y19" s="1830"/>
      <c r="Z19" s="1830"/>
      <c r="AA19" s="1830"/>
      <c r="AB19" s="1830"/>
      <c r="AC19" s="2126"/>
      <c r="AD19" s="2127"/>
      <c r="AE19" s="2128"/>
      <c r="AF19" s="1827"/>
      <c r="AG19" s="2129"/>
      <c r="AH19" s="2129"/>
      <c r="AI19" s="2129"/>
    </row>
    <row r="20" s="1825" customFormat="1" ht="27.75" spans="1:30">
      <c r="A20" s="1910" t="s">
        <v>869</v>
      </c>
      <c r="B20" s="1924" t="s">
        <v>1186</v>
      </c>
      <c r="C20" s="1925" t="e">
        <f ca="1">ROUND(POWER(1+G20,J20-I20)*(POWER(1+G20,I20)-1)/(POWER(1+G20,J20)-1),4)</f>
        <v>#DIV/0!</v>
      </c>
      <c r="D20" s="1926" t="s">
        <v>1187</v>
      </c>
      <c r="E20" s="1927">
        <f ca="1">存贷款利率!I4/100</f>
        <v>0.0435</v>
      </c>
      <c r="F20" s="1926" t="s">
        <v>1188</v>
      </c>
      <c r="G20" s="1928">
        <f ca="1">SUMIF(M26:P26,E2,M28:P28)</f>
        <v>0</v>
      </c>
      <c r="H20" s="1926" t="s">
        <v>1189</v>
      </c>
      <c r="I20" s="2063" t="e">
        <f>SUMIF('数据-取费表'!C6:C15,E2,'数据-取费表'!F6:F15)/COUNTIF('数据-取费表'!C6:C15,E2)</f>
        <v>#DIV/0!</v>
      </c>
      <c r="J20" s="2064">
        <f>IF(E2="住宅",70,IF(E2="商业",40,50))</f>
        <v>50</v>
      </c>
      <c r="K20" s="2053"/>
      <c r="L20" s="2065" t="s">
        <v>1190</v>
      </c>
      <c r="M20" s="2066">
        <f>ROUND(SUMPRODUCT((地价!A4:A37=YEAR(G19)&amp;"-"&amp;ROUNDUP(MONTH(G19)/3,0))*(地价!B2:F2=E2)*(地价!B4:F37)),0)</f>
        <v>0</v>
      </c>
      <c r="N20" s="2067" t="s">
        <v>1191</v>
      </c>
      <c r="O20" s="2068" t="s">
        <v>1192</v>
      </c>
      <c r="P20" s="2069" t="s">
        <v>1193</v>
      </c>
      <c r="Q20" s="2074"/>
      <c r="R20" s="2076"/>
      <c r="S20" s="2076"/>
      <c r="T20" s="2076"/>
      <c r="U20" s="2076"/>
      <c r="V20" s="2076"/>
      <c r="W20" s="2076"/>
      <c r="X20" s="2076"/>
      <c r="Y20" s="2126"/>
      <c r="Z20" s="2126"/>
      <c r="AA20" s="2126"/>
      <c r="AB20" s="2126"/>
      <c r="AC20" s="2126"/>
      <c r="AD20" s="2126"/>
    </row>
    <row r="21" s="1825" customFormat="1" ht="14.25" spans="1:30">
      <c r="A21" s="1929" t="s">
        <v>893</v>
      </c>
      <c r="B21" s="1930"/>
      <c r="C21" s="1931" t="e">
        <f>IF(B21="容积率修正",IF(G3&lt;=10,D22,J22),C23)</f>
        <v>#DIV/0!</v>
      </c>
      <c r="D21" s="1916"/>
      <c r="E21" s="1916"/>
      <c r="F21" s="1916"/>
      <c r="G21" s="1916"/>
      <c r="H21" s="1916"/>
      <c r="I21" s="1916"/>
      <c r="J21" s="2070"/>
      <c r="K21" s="2036"/>
      <c r="L21" s="1916"/>
      <c r="M21" s="1916"/>
      <c r="N21" s="2071" t="s">
        <v>378</v>
      </c>
      <c r="O21" s="2072"/>
      <c r="P21" s="2073">
        <f>SUMPRODUCT((地价!A3:A37=YEAR(G19)&amp;"-"&amp;ROUNDUP(MONTH(G19)/3,0))*(地价!AD2:AH2=N21)*(地价!AD3:AH37))</f>
        <v>0</v>
      </c>
      <c r="Q21" s="2074"/>
      <c r="R21" s="2076"/>
      <c r="S21" s="2076"/>
      <c r="T21" s="2076"/>
      <c r="U21" s="2076"/>
      <c r="V21" s="2076"/>
      <c r="W21" s="2076"/>
      <c r="X21" s="2076"/>
      <c r="Y21" s="1830"/>
      <c r="Z21" s="1830"/>
      <c r="AA21" s="1830"/>
      <c r="AB21" s="1830"/>
      <c r="AC21" s="2126"/>
      <c r="AD21" s="2126"/>
    </row>
    <row r="22" s="1825" customFormat="1" ht="14.25" spans="1:30">
      <c r="A22" s="1932" t="s">
        <v>1124</v>
      </c>
      <c r="B22" s="1933" t="s">
        <v>1194</v>
      </c>
      <c r="C22" s="1934" t="s">
        <v>1195</v>
      </c>
      <c r="D22" s="1934" t="b">
        <f>IF(E22=G22,F22,IF(G3&lt;=10,ROUND(F22+(H22-F22)*(G3-E22)/(G22-E22),4),"——"))</f>
        <v>0</v>
      </c>
      <c r="E22" s="1845">
        <f>ROUNDDOWN(G3,1)</f>
        <v>0</v>
      </c>
      <c r="F22" s="1934"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845">
        <f>ROUNDUP(G3,1)</f>
        <v>0</v>
      </c>
      <c r="H22" s="1934">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934" t="s">
        <v>1196</v>
      </c>
      <c r="J22" s="1934" t="str">
        <f>IF(G3&gt;10,D113,"——")</f>
        <v>——</v>
      </c>
      <c r="K22" s="2074"/>
      <c r="L22" s="1916"/>
      <c r="M22" s="1916"/>
      <c r="N22" s="2071" t="s">
        <v>379</v>
      </c>
      <c r="O22" s="2072"/>
      <c r="P22" s="2073">
        <f>SUMPRODUCT((地价!A3:A37=YEAR(G19)&amp;"-"&amp;ROUNDUP(MONTH(G19)/3,0))*(地价!AD2:AH2=N22)*(地价!AD3:AH37))</f>
        <v>0</v>
      </c>
      <c r="Q22" s="2074"/>
      <c r="R22" s="2076"/>
      <c r="S22" s="2076"/>
      <c r="T22" s="2076"/>
      <c r="U22" s="2076"/>
      <c r="V22" s="2076"/>
      <c r="W22" s="2076"/>
      <c r="X22" s="2076"/>
      <c r="Y22" s="2126"/>
      <c r="Z22" s="2126"/>
      <c r="AA22" s="2126"/>
      <c r="AB22" s="2126"/>
      <c r="AC22" s="2126"/>
      <c r="AD22" s="2126"/>
    </row>
    <row r="23" ht="15.75" spans="1:39">
      <c r="A23" s="1932" t="s">
        <v>1164</v>
      </c>
      <c r="B23" s="1933" t="s">
        <v>1197</v>
      </c>
      <c r="C23" s="1935" t="e">
        <f>ROUND(IF(G3&gt;1,IF(I3&lt;7,SUMPRODUCT((B93:B98=I3)*(C92:N92=G2)*(C93:N98)),SUMIF(C92:N92,G2,C100:N100)),IF(I3&lt;7,SUMPRODUCT((B102:B107=I3)*(C92:N92=G2)*(C102:N107)),SUMIF(C92:N92,G2,C109:N109))),4)</f>
        <v>#DIV/0!</v>
      </c>
      <c r="D23" s="1936"/>
      <c r="E23" s="1936"/>
      <c r="F23" s="1937"/>
      <c r="G23" s="1938"/>
      <c r="H23" s="1939"/>
      <c r="I23" s="2075"/>
      <c r="J23" s="2075"/>
      <c r="K23" s="2076"/>
      <c r="L23" s="1836"/>
      <c r="M23" s="1836"/>
      <c r="N23" s="2071" t="s">
        <v>377</v>
      </c>
      <c r="O23" s="2072"/>
      <c r="P23" s="2073">
        <f>SUMPRODUCT((地价!A3:A37=YEAR(G19)&amp;"-"&amp;ROUNDUP(MONTH(G19)/3,0))*(地价!AD2:AH2=N23)*(地价!AD3:AH37))</f>
        <v>0</v>
      </c>
      <c r="Q23" s="2074"/>
      <c r="R23" s="2076"/>
      <c r="S23" s="2076"/>
      <c r="T23" s="2076"/>
      <c r="U23" s="2076"/>
      <c r="V23" s="2076"/>
      <c r="W23" s="2076"/>
      <c r="X23" s="2076"/>
      <c r="Y23" s="1830"/>
      <c r="Z23" s="1830"/>
      <c r="AA23" s="1830"/>
      <c r="AB23" s="1830"/>
      <c r="AC23" s="1830"/>
      <c r="AE23" s="1827"/>
      <c r="AF23" s="1827"/>
      <c r="AG23" s="1827"/>
      <c r="AH23" s="1827"/>
      <c r="AI23" s="1827"/>
      <c r="AJ23" s="1829"/>
      <c r="AK23" s="1829"/>
      <c r="AL23" s="1829"/>
      <c r="AM23" s="1829"/>
    </row>
    <row r="24" s="1825" customFormat="1" ht="15.75" spans="1:30">
      <c r="A24" s="1940" t="s">
        <v>1198</v>
      </c>
      <c r="B24" s="1851" t="s">
        <v>1199</v>
      </c>
      <c r="C24" s="1941">
        <f>SUMIF(A44:A87,E2,B44:B87)</f>
        <v>0</v>
      </c>
      <c r="D24" s="1942"/>
      <c r="E24" s="1943"/>
      <c r="F24" s="1943"/>
      <c r="G24" s="1943"/>
      <c r="H24" s="1943"/>
      <c r="I24" s="1943"/>
      <c r="J24" s="1943"/>
      <c r="K24" s="2076"/>
      <c r="L24" s="1916"/>
      <c r="M24" s="1916"/>
      <c r="N24" s="2071" t="s">
        <v>164</v>
      </c>
      <c r="O24" s="2077"/>
      <c r="P24" s="2073">
        <f>SUMPRODUCT((地价!A3:A37=YEAR(G19)&amp;"-"&amp;ROUNDUP(MONTH(G19)/3,0))*(地价!AD2:AH2=N24)*(地价!AD3:AH37))</f>
        <v>0</v>
      </c>
      <c r="Q24" s="2074"/>
      <c r="R24" s="2076"/>
      <c r="S24" s="2076"/>
      <c r="T24" s="2076"/>
      <c r="U24" s="2076"/>
      <c r="V24" s="2076"/>
      <c r="W24" s="2076"/>
      <c r="X24" s="2076"/>
      <c r="Y24" s="2126"/>
      <c r="Z24" s="2126"/>
      <c r="AA24" s="2126"/>
      <c r="AB24" s="2126"/>
      <c r="AC24" s="2126"/>
      <c r="AD24" s="2126"/>
    </row>
    <row r="25" ht="15" spans="1:39">
      <c r="A25" s="1940" t="s">
        <v>1200</v>
      </c>
      <c r="B25" s="1944" t="s">
        <v>1201</v>
      </c>
      <c r="C25" s="1945"/>
      <c r="D25" s="1868"/>
      <c r="E25" s="1868"/>
      <c r="F25" s="1946"/>
      <c r="G25" s="1868"/>
      <c r="H25" s="1868"/>
      <c r="I25" s="1868"/>
      <c r="J25" s="2040"/>
      <c r="K25" s="2025"/>
      <c r="L25" s="2076"/>
      <c r="M25" s="2076"/>
      <c r="N25" s="2078" t="s">
        <v>1202</v>
      </c>
      <c r="O25" s="2079"/>
      <c r="P25" s="2080">
        <f>SUMPRODUCT((地价!A3:A37=YEAR(G19)&amp;"-"&amp;ROUNDUP(MONTH(G19)/3,0))*(地价!AD2:AH2=N25)*(地价!AD3:AH37))</f>
        <v>0</v>
      </c>
      <c r="Q25" s="2074"/>
      <c r="R25" s="2076"/>
      <c r="S25" s="2076"/>
      <c r="T25" s="2076"/>
      <c r="U25" s="2076"/>
      <c r="V25" s="2076"/>
      <c r="W25" s="2076"/>
      <c r="X25" s="2076"/>
      <c r="Y25" s="1830"/>
      <c r="Z25" s="1830"/>
      <c r="AA25" s="1830"/>
      <c r="AB25" s="1830"/>
      <c r="AC25" s="1830"/>
      <c r="AE25" s="1827"/>
      <c r="AF25" s="1827"/>
      <c r="AG25" s="1827"/>
      <c r="AH25" s="1827"/>
      <c r="AI25" s="1829"/>
      <c r="AJ25" s="1829"/>
      <c r="AK25" s="1829"/>
      <c r="AL25" s="1829"/>
      <c r="AM25" s="1829"/>
    </row>
    <row r="26" ht="14.25" spans="1:39">
      <c r="A26" s="1947"/>
      <c r="B26" s="1933" t="s">
        <v>1033</v>
      </c>
      <c r="C26" s="1948" t="e">
        <f ca="1">IF(B21="容积率修正",E29+SUM(E33:E39),SUM(V2:V16)+SUM(E33:E39))</f>
        <v>#DIV/0!</v>
      </c>
      <c r="D26" s="1949"/>
      <c r="E26" s="1836"/>
      <c r="F26" s="1950"/>
      <c r="G26" s="1836"/>
      <c r="H26" s="1836"/>
      <c r="I26" s="1836"/>
      <c r="J26" s="2081"/>
      <c r="K26" s="2025"/>
      <c r="L26" s="2082" t="s">
        <v>354</v>
      </c>
      <c r="M26" s="1865" t="s">
        <v>378</v>
      </c>
      <c r="N26" s="1865" t="s">
        <v>379</v>
      </c>
      <c r="O26" s="1865" t="s">
        <v>377</v>
      </c>
      <c r="P26" s="2083" t="s">
        <v>164</v>
      </c>
      <c r="Q26" s="2074"/>
      <c r="R26" s="2076"/>
      <c r="S26" s="2076"/>
      <c r="T26" s="2076"/>
      <c r="U26" s="2076"/>
      <c r="V26" s="2076"/>
      <c r="W26" s="2076"/>
      <c r="X26" s="2076"/>
      <c r="Y26" s="2126"/>
      <c r="Z26" s="2126"/>
      <c r="AA26" s="2126"/>
      <c r="AB26" s="2126"/>
      <c r="AC26" s="1830"/>
      <c r="AE26" s="1827"/>
      <c r="AF26" s="1827"/>
      <c r="AG26" s="1827"/>
      <c r="AH26" s="1827"/>
      <c r="AI26" s="1829"/>
      <c r="AJ26" s="1829"/>
      <c r="AK26" s="1829"/>
      <c r="AL26" s="1829"/>
      <c r="AM26" s="1829"/>
    </row>
    <row r="27" ht="15" spans="1:29">
      <c r="A27" s="1947"/>
      <c r="B27" s="1951" t="s">
        <v>1203</v>
      </c>
      <c r="C27" s="1952" t="e">
        <f ca="1">E30+SUM(I33:I39)</f>
        <v>#DIV/0!</v>
      </c>
      <c r="D27" s="1953"/>
      <c r="E27" s="1954"/>
      <c r="F27" s="1955"/>
      <c r="G27" s="1954"/>
      <c r="H27" s="1954"/>
      <c r="I27" s="1954"/>
      <c r="J27" s="2084"/>
      <c r="K27" s="2025"/>
      <c r="L27" s="2085" t="s">
        <v>1204</v>
      </c>
      <c r="M27" s="1875">
        <v>0.25</v>
      </c>
      <c r="N27" s="1875">
        <v>0.2</v>
      </c>
      <c r="O27" s="1875">
        <v>0.15</v>
      </c>
      <c r="P27" s="2086">
        <v>0.1</v>
      </c>
      <c r="Q27" s="2076"/>
      <c r="R27" s="2074"/>
      <c r="S27" s="2074"/>
      <c r="T27" s="2074"/>
      <c r="U27" s="2074"/>
      <c r="V27" s="2074"/>
      <c r="W27" s="2076"/>
      <c r="X27" s="2076"/>
      <c r="Y27" s="2076"/>
      <c r="Z27" s="2076"/>
      <c r="AA27" s="2076"/>
      <c r="AB27" s="2076"/>
      <c r="AC27" s="2076"/>
    </row>
    <row r="28" ht="15" spans="1:33">
      <c r="A28" s="1956"/>
      <c r="B28" s="1957" t="s">
        <v>1205</v>
      </c>
      <c r="C28" s="1958" t="s">
        <v>1206</v>
      </c>
      <c r="D28" s="1958" t="s">
        <v>389</v>
      </c>
      <c r="E28" s="1959" t="s">
        <v>623</v>
      </c>
      <c r="F28" s="1960"/>
      <c r="G28" s="1884"/>
      <c r="H28" s="1884"/>
      <c r="I28" s="1884"/>
      <c r="J28" s="2043"/>
      <c r="K28" s="2025"/>
      <c r="L28" s="2087" t="s">
        <v>1188</v>
      </c>
      <c r="M28" s="2088">
        <f ca="1">ROUND($E$20*(1+M27),3)</f>
        <v>0.054</v>
      </c>
      <c r="N28" s="2088">
        <f ca="1">ROUND($E$20*(1+N27),3)</f>
        <v>0.052</v>
      </c>
      <c r="O28" s="2088">
        <f ca="1">ROUND($E$20*(1+O27),3)</f>
        <v>0.05</v>
      </c>
      <c r="P28" s="2089">
        <f ca="1">ROUND($E$20*(1+P27),3)</f>
        <v>0.048</v>
      </c>
      <c r="Q28" s="2076"/>
      <c r="R28" s="2074"/>
      <c r="S28" s="2074"/>
      <c r="T28" s="2074"/>
      <c r="U28" s="2074"/>
      <c r="V28" s="2074"/>
      <c r="W28" s="2076"/>
      <c r="X28" s="2076"/>
      <c r="Y28" s="2076"/>
      <c r="Z28" s="2076"/>
      <c r="AA28" s="2076"/>
      <c r="AB28" s="2076"/>
      <c r="AC28" s="2076"/>
      <c r="AD28" s="2126"/>
      <c r="AE28" s="2126"/>
      <c r="AF28" s="2126"/>
      <c r="AG28" s="2126"/>
    </row>
    <row r="29" ht="14.25" spans="1:40">
      <c r="A29" s="1961"/>
      <c r="B29" s="1962" t="s">
        <v>1207</v>
      </c>
      <c r="C29" s="1963" t="e">
        <f ca="1">ROUND(C5*C18*C19*C20*C21*C24,0)</f>
        <v>#DIV/0!</v>
      </c>
      <c r="D29" s="1835"/>
      <c r="E29" s="1964" t="e">
        <f ca="1">ROUND(C29*D29/10000,0)</f>
        <v>#DIV/0!</v>
      </c>
      <c r="F29" s="1965" t="s">
        <v>1208</v>
      </c>
      <c r="G29" s="1966"/>
      <c r="H29" s="1966"/>
      <c r="I29" s="1966"/>
      <c r="J29" s="2090"/>
      <c r="K29" s="2091"/>
      <c r="L29" s="2091"/>
      <c r="M29" s="2091"/>
      <c r="N29" s="2091"/>
      <c r="O29" s="2091"/>
      <c r="P29" s="2025"/>
      <c r="Q29" s="2076"/>
      <c r="R29" s="2076"/>
      <c r="S29" s="2076"/>
      <c r="T29" s="2076"/>
      <c r="U29" s="2076"/>
      <c r="V29" s="2076"/>
      <c r="W29" s="2074"/>
      <c r="X29" s="2074"/>
      <c r="Y29" s="2074"/>
      <c r="Z29" s="2074"/>
      <c r="AA29" s="2074"/>
      <c r="AB29" s="2076"/>
      <c r="AC29" s="2076"/>
      <c r="AD29" s="2076"/>
      <c r="AE29" s="2076"/>
      <c r="AF29" s="2076"/>
      <c r="AG29" s="2076"/>
      <c r="AH29" s="2076"/>
      <c r="AJ29" s="1830"/>
      <c r="AK29" s="1830"/>
      <c r="AL29" s="1830"/>
      <c r="AM29" s="1826"/>
      <c r="AN29" s="1826"/>
    </row>
    <row r="30" ht="24.75" spans="1:40">
      <c r="A30" s="1967"/>
      <c r="B30" s="1968" t="s">
        <v>1209</v>
      </c>
      <c r="C30" s="1909" t="e">
        <f ca="1">ROUND(IF(E2="工业",C29*M39,C29*M38),0)</f>
        <v>#DIV/0!</v>
      </c>
      <c r="D30" s="1969"/>
      <c r="E30" s="1964" t="e">
        <f ca="1">ROUND(C30*D30/10000,0)</f>
        <v>#DIV/0!</v>
      </c>
      <c r="F30" s="1970" t="s">
        <v>1210</v>
      </c>
      <c r="G30" s="1971"/>
      <c r="H30" s="1971"/>
      <c r="I30" s="1971"/>
      <c r="J30" s="2092"/>
      <c r="K30" s="2025"/>
      <c r="L30" s="2025"/>
      <c r="M30" s="2025"/>
      <c r="N30" s="2025"/>
      <c r="O30" s="2025"/>
      <c r="P30" s="2025"/>
      <c r="Q30" s="2025"/>
      <c r="R30" s="2025"/>
      <c r="S30" s="2025"/>
      <c r="T30" s="2025"/>
      <c r="U30" s="2025"/>
      <c r="V30" s="2025"/>
      <c r="W30" s="2048"/>
      <c r="X30" s="2048"/>
      <c r="Y30" s="2048"/>
      <c r="Z30" s="2048"/>
      <c r="AA30" s="2048"/>
      <c r="AB30" s="2025"/>
      <c r="AC30" s="2025"/>
      <c r="AD30" s="2025"/>
      <c r="AE30" s="2025"/>
      <c r="AF30" s="2025"/>
      <c r="AG30" s="2025"/>
      <c r="AH30" s="2025"/>
      <c r="AI30" s="2126"/>
      <c r="AJ30" s="2126"/>
      <c r="AK30" s="2126"/>
      <c r="AL30" s="2126"/>
      <c r="AM30" s="1826"/>
      <c r="AN30" s="1826"/>
    </row>
    <row r="31" spans="1:40">
      <c r="A31" s="1972"/>
      <c r="B31" s="1973" t="s">
        <v>1211</v>
      </c>
      <c r="C31" s="1974" t="s">
        <v>1212</v>
      </c>
      <c r="D31" s="1884"/>
      <c r="E31" s="1974"/>
      <c r="F31" s="1974"/>
      <c r="G31" s="1882" t="s">
        <v>1210</v>
      </c>
      <c r="H31" s="1884"/>
      <c r="I31" s="2093"/>
      <c r="J31" s="2043"/>
      <c r="K31" s="2025"/>
      <c r="L31" s="2025"/>
      <c r="M31" s="2025"/>
      <c r="N31" s="2025"/>
      <c r="O31" s="2025"/>
      <c r="P31" s="2025"/>
      <c r="Q31" s="2025"/>
      <c r="R31" s="2025"/>
      <c r="S31" s="2025"/>
      <c r="T31" s="2025"/>
      <c r="U31" s="2025"/>
      <c r="V31" s="2025"/>
      <c r="W31" s="2048"/>
      <c r="X31" s="2048"/>
      <c r="Y31" s="2048"/>
      <c r="Z31" s="2048"/>
      <c r="AA31" s="2048"/>
      <c r="AB31" s="2025"/>
      <c r="AC31" s="2025"/>
      <c r="AD31" s="2025"/>
      <c r="AE31" s="2025"/>
      <c r="AF31" s="2025"/>
      <c r="AG31" s="2025"/>
      <c r="AH31" s="2025"/>
      <c r="AJ31" s="1830"/>
      <c r="AK31" s="1830"/>
      <c r="AL31" s="1830"/>
      <c r="AM31" s="1826"/>
      <c r="AN31" s="1826"/>
    </row>
    <row r="32" ht="24" spans="1:40">
      <c r="A32" s="1961"/>
      <c r="B32" s="1975"/>
      <c r="C32" s="1976" t="s">
        <v>1206</v>
      </c>
      <c r="D32" s="1977" t="s">
        <v>389</v>
      </c>
      <c r="E32" s="1977" t="s">
        <v>623</v>
      </c>
      <c r="F32" s="1834" t="s">
        <v>1213</v>
      </c>
      <c r="G32" s="1978" t="s">
        <v>1206</v>
      </c>
      <c r="H32" s="1978" t="s">
        <v>389</v>
      </c>
      <c r="I32" s="1978" t="s">
        <v>623</v>
      </c>
      <c r="J32" s="2094"/>
      <c r="K32" s="2039"/>
      <c r="L32" s="2039"/>
      <c r="M32" s="2039"/>
      <c r="N32" s="2039"/>
      <c r="O32" s="2039"/>
      <c r="P32" s="2025"/>
      <c r="Q32" s="2025"/>
      <c r="R32" s="2025"/>
      <c r="S32" s="2025"/>
      <c r="T32" s="2025"/>
      <c r="U32" s="2025"/>
      <c r="V32" s="2025"/>
      <c r="W32" s="2048"/>
      <c r="X32" s="2048"/>
      <c r="Y32" s="2048"/>
      <c r="Z32" s="2048"/>
      <c r="AA32" s="2048"/>
      <c r="AB32" s="2025"/>
      <c r="AC32" s="2025"/>
      <c r="AD32" s="2025"/>
      <c r="AE32" s="2025"/>
      <c r="AF32" s="2025"/>
      <c r="AG32" s="2025"/>
      <c r="AH32" s="2025"/>
      <c r="AI32" s="1826"/>
      <c r="AJ32" s="1826"/>
      <c r="AK32" s="1826"/>
      <c r="AL32" s="1826"/>
      <c r="AM32" s="1826"/>
      <c r="AN32" s="1826"/>
    </row>
    <row r="33" ht="12.75" spans="1:44">
      <c r="A33" s="1979"/>
      <c r="B33" s="1980" t="s">
        <v>1214</v>
      </c>
      <c r="C33" s="1963" t="e">
        <f ca="1">ROUND(D5*C19*C20*C24*F33,0)</f>
        <v>#DIV/0!</v>
      </c>
      <c r="D33" s="1981"/>
      <c r="E33" s="1876" t="e">
        <f ca="1">ROUND(C33*D33/10000,0)</f>
        <v>#DIV/0!</v>
      </c>
      <c r="F33" s="1876">
        <f>SUMIF(修正!A45:A56,G2,修正!B45:B56)</f>
        <v>0</v>
      </c>
      <c r="G33" s="1876" t="e">
        <f ca="1" t="shared" ref="G33" si="6">ROUND(IF(E2="工业",C33*$M$39,C33*$M$38),0)</f>
        <v>#DIV/0!</v>
      </c>
      <c r="H33" s="1876">
        <f>D33</f>
        <v>0</v>
      </c>
      <c r="I33" s="1876" t="e">
        <f ca="1">ROUND(G33*H33/10000,0)</f>
        <v>#DIV/0!</v>
      </c>
      <c r="J33" s="1979" t="s">
        <v>1215</v>
      </c>
      <c r="K33" s="2048"/>
      <c r="L33" s="2048"/>
      <c r="M33" s="2048"/>
      <c r="N33" s="2048"/>
      <c r="O33" s="2048"/>
      <c r="P33" s="2025"/>
      <c r="Q33" s="2025"/>
      <c r="R33" s="2025"/>
      <c r="S33" s="2025"/>
      <c r="T33" s="2025"/>
      <c r="U33" s="2025"/>
      <c r="V33" s="2025"/>
      <c r="W33" s="2048"/>
      <c r="X33" s="2048"/>
      <c r="Y33" s="2048"/>
      <c r="Z33" s="2048"/>
      <c r="AA33" s="2048"/>
      <c r="AB33" s="2025"/>
      <c r="AC33" s="2025"/>
      <c r="AD33" s="2025"/>
      <c r="AE33" s="2025"/>
      <c r="AF33" s="2025"/>
      <c r="AG33" s="2025"/>
      <c r="AH33" s="2048"/>
      <c r="AJ33" s="1830"/>
      <c r="AK33" s="1830"/>
      <c r="AL33" s="1830"/>
      <c r="AM33" s="1830"/>
      <c r="AN33" s="1830"/>
      <c r="AO33" s="1827"/>
      <c r="AP33" s="1827"/>
      <c r="AQ33" s="1827"/>
      <c r="AR33" s="1827"/>
    </row>
    <row r="34" ht="12.75" spans="1:44">
      <c r="A34" s="1982"/>
      <c r="B34" s="1887" t="s">
        <v>1216</v>
      </c>
      <c r="C34" s="1963" t="e">
        <f ca="1">ROUND(D5*C19*C20*C24*F34,0)</f>
        <v>#DIV/0!</v>
      </c>
      <c r="D34" s="1981"/>
      <c r="E34" s="1876" t="e">
        <f ca="1" t="shared" ref="E34:E39" si="7">ROUND(C34*D34/10000,0)</f>
        <v>#DIV/0!</v>
      </c>
      <c r="F34" s="1876">
        <f>SUMIF(修正!A45:A56,G2,修正!C45:C56)</f>
        <v>0</v>
      </c>
      <c r="G34" s="1876" t="e">
        <f ca="1">ROUND(IF(E2="工业",C34*$M$39,C34*$M$38),0)</f>
        <v>#DIV/0!</v>
      </c>
      <c r="H34" s="1876">
        <f t="shared" ref="H34:H39" si="8">D34</f>
        <v>0</v>
      </c>
      <c r="I34" s="1876" t="e">
        <f ca="1" t="shared" ref="I34:I39" si="9">ROUND(G34*H34/10000,0)</f>
        <v>#DIV/0!</v>
      </c>
      <c r="J34" s="1982"/>
      <c r="K34" s="2048"/>
      <c r="L34" s="2048"/>
      <c r="M34" s="2048"/>
      <c r="N34" s="2048"/>
      <c r="O34" s="2048"/>
      <c r="P34" s="2025"/>
      <c r="Q34" s="2025"/>
      <c r="R34" s="2025"/>
      <c r="S34" s="2025"/>
      <c r="T34" s="2025"/>
      <c r="U34" s="2025"/>
      <c r="V34" s="2025"/>
      <c r="W34" s="2048"/>
      <c r="X34" s="2048"/>
      <c r="Y34" s="2048"/>
      <c r="Z34" s="2048"/>
      <c r="AA34" s="2048"/>
      <c r="AB34" s="2025"/>
      <c r="AC34" s="2025"/>
      <c r="AD34" s="2025"/>
      <c r="AE34" s="2025"/>
      <c r="AF34" s="2025"/>
      <c r="AG34" s="2025"/>
      <c r="AH34" s="2048"/>
      <c r="AJ34" s="1830"/>
      <c r="AK34" s="1830"/>
      <c r="AL34" s="1830"/>
      <c r="AM34" s="1830"/>
      <c r="AN34" s="1830"/>
      <c r="AO34" s="1827"/>
      <c r="AP34" s="1827"/>
      <c r="AQ34" s="1827"/>
      <c r="AR34" s="1827"/>
    </row>
    <row r="35" ht="12.75" spans="1:44">
      <c r="A35" s="1982"/>
      <c r="B35" s="1887" t="s">
        <v>1217</v>
      </c>
      <c r="C35" s="1963" t="e">
        <f ca="1">ROUND(D5*C19*C20*C24*F35,0)</f>
        <v>#DIV/0!</v>
      </c>
      <c r="D35" s="1981"/>
      <c r="E35" s="1876" t="e">
        <f ca="1" t="shared" si="7"/>
        <v>#DIV/0!</v>
      </c>
      <c r="F35" s="1876">
        <f>SUMIF(修正!A45:A56,G2,修正!D45:D56)</f>
        <v>0</v>
      </c>
      <c r="G35" s="1876" t="e">
        <f ca="1">ROUND(IF(E2="工业",C35*$M$39,C35*$M$38),0)</f>
        <v>#DIV/0!</v>
      </c>
      <c r="H35" s="1876">
        <f t="shared" si="8"/>
        <v>0</v>
      </c>
      <c r="I35" s="1876" t="e">
        <f ca="1" t="shared" si="9"/>
        <v>#DIV/0!</v>
      </c>
      <c r="J35" s="1982"/>
      <c r="K35" s="2048"/>
      <c r="L35" s="2048"/>
      <c r="M35" s="2048"/>
      <c r="N35" s="2048"/>
      <c r="O35" s="2048"/>
      <c r="P35" s="2025"/>
      <c r="Q35" s="2025"/>
      <c r="R35" s="2025"/>
      <c r="S35" s="2025"/>
      <c r="T35" s="2025"/>
      <c r="U35" s="2025"/>
      <c r="V35" s="2025"/>
      <c r="W35" s="2048"/>
      <c r="X35" s="2048"/>
      <c r="Y35" s="2048"/>
      <c r="Z35" s="2048"/>
      <c r="AA35" s="2048"/>
      <c r="AB35" s="2025"/>
      <c r="AC35" s="2025"/>
      <c r="AD35" s="2025"/>
      <c r="AE35" s="2025"/>
      <c r="AF35" s="2025"/>
      <c r="AG35" s="2025"/>
      <c r="AH35" s="2048"/>
      <c r="AJ35" s="1830"/>
      <c r="AK35" s="1830"/>
      <c r="AL35" s="1830"/>
      <c r="AM35" s="1830"/>
      <c r="AN35" s="1830"/>
      <c r="AO35" s="1827"/>
      <c r="AP35" s="1827"/>
      <c r="AQ35" s="1827"/>
      <c r="AR35" s="1827"/>
    </row>
    <row r="36" ht="13.5" spans="1:44">
      <c r="A36" s="1983"/>
      <c r="B36" s="1887" t="s">
        <v>1218</v>
      </c>
      <c r="C36" s="1963" t="e">
        <f ca="1">ROUND(D5*C19*C20*C24*F36,0)</f>
        <v>#DIV/0!</v>
      </c>
      <c r="D36" s="1981"/>
      <c r="E36" s="1876" t="e">
        <f ca="1" t="shared" si="7"/>
        <v>#DIV/0!</v>
      </c>
      <c r="F36" s="1876">
        <f>SUMIF(修正!A45:A56,G2,修正!E45:E56)</f>
        <v>0</v>
      </c>
      <c r="G36" s="1876" t="e">
        <f ca="1">ROUND(IF(E2="工业",C36*$M$39,C36*$M$38),0)</f>
        <v>#DIV/0!</v>
      </c>
      <c r="H36" s="1876">
        <f t="shared" si="8"/>
        <v>0</v>
      </c>
      <c r="I36" s="1876" t="e">
        <f ca="1" t="shared" si="9"/>
        <v>#DIV/0!</v>
      </c>
      <c r="J36" s="1983"/>
      <c r="K36" s="2048"/>
      <c r="L36" s="2048"/>
      <c r="M36" s="2048"/>
      <c r="N36" s="2048"/>
      <c r="O36" s="2048"/>
      <c r="P36" s="2025"/>
      <c r="Q36" s="2025"/>
      <c r="R36" s="2025"/>
      <c r="S36" s="2025"/>
      <c r="T36" s="2025"/>
      <c r="U36" s="2025"/>
      <c r="V36" s="2025"/>
      <c r="W36" s="2048"/>
      <c r="X36" s="2048"/>
      <c r="Y36" s="2048"/>
      <c r="Z36" s="2048"/>
      <c r="AA36" s="2048"/>
      <c r="AB36" s="2025"/>
      <c r="AC36" s="2025"/>
      <c r="AD36" s="2025"/>
      <c r="AE36" s="2025"/>
      <c r="AF36" s="2025"/>
      <c r="AG36" s="2025"/>
      <c r="AH36" s="2048"/>
      <c r="AJ36" s="1830"/>
      <c r="AK36" s="1830"/>
      <c r="AL36" s="1830"/>
      <c r="AM36" s="1830"/>
      <c r="AN36" s="1830"/>
      <c r="AO36" s="1827"/>
      <c r="AP36" s="1827"/>
      <c r="AQ36" s="1827"/>
      <c r="AR36" s="1827"/>
    </row>
    <row r="37" ht="12.75" spans="1:29">
      <c r="A37" s="1984"/>
      <c r="B37" s="1887" t="s">
        <v>1219</v>
      </c>
      <c r="C37" s="1876" t="e">
        <f ca="1">ROUND(D5*C19*C20*C24*F37,0)</f>
        <v>#DIV/0!</v>
      </c>
      <c r="D37" s="1981"/>
      <c r="E37" s="1876" t="e">
        <f ca="1" t="shared" si="7"/>
        <v>#DIV/0!</v>
      </c>
      <c r="F37" s="1963">
        <f>SUMIF(修正!A45:A56,G2,修正!F45:F56)</f>
        <v>0</v>
      </c>
      <c r="G37" s="1876" t="e">
        <f ca="1">ROUND(IF(E2="工业",C37*$M$39,C37*$M$38),0)</f>
        <v>#DIV/0!</v>
      </c>
      <c r="H37" s="1876">
        <f t="shared" si="8"/>
        <v>0</v>
      </c>
      <c r="I37" s="1876" t="e">
        <f ca="1" t="shared" si="9"/>
        <v>#DIV/0!</v>
      </c>
      <c r="J37" s="2095"/>
      <c r="K37" s="2025"/>
      <c r="L37" s="2096" t="s">
        <v>1220</v>
      </c>
      <c r="M37" s="2097"/>
      <c r="N37" s="2025"/>
      <c r="O37" s="2025"/>
      <c r="P37" s="2025"/>
      <c r="Q37" s="2025"/>
      <c r="R37" s="2048"/>
      <c r="S37" s="2048"/>
      <c r="T37" s="2048"/>
      <c r="U37" s="2048"/>
      <c r="V37" s="2048"/>
      <c r="W37" s="2025"/>
      <c r="X37" s="2025"/>
      <c r="Y37" s="2025"/>
      <c r="Z37" s="2025"/>
      <c r="AA37" s="2025"/>
      <c r="AB37" s="2025"/>
      <c r="AC37" s="2048"/>
    </row>
    <row r="38" ht="12.75" spans="1:29">
      <c r="A38" s="1984"/>
      <c r="B38" s="1887" t="s">
        <v>1221</v>
      </c>
      <c r="C38" s="1876" t="e">
        <f ca="1">ROUND(D5*C19*C41*C24*F38,0)</f>
        <v>#DIV/0!</v>
      </c>
      <c r="D38" s="1981"/>
      <c r="E38" s="1876" t="e">
        <f ca="1" t="shared" si="7"/>
        <v>#DIV/0!</v>
      </c>
      <c r="F38" s="1963">
        <f>SUMIF(修正!A45:A56,G2,修正!G45:G56)</f>
        <v>0</v>
      </c>
      <c r="G38" s="1876" t="e">
        <f ca="1">ROUND(IF(E2="工业",C38*$M$39,C38*$M$38),0)</f>
        <v>#DIV/0!</v>
      </c>
      <c r="H38" s="1876">
        <f t="shared" si="8"/>
        <v>0</v>
      </c>
      <c r="I38" s="1876" t="e">
        <f ca="1" t="shared" si="9"/>
        <v>#DIV/0!</v>
      </c>
      <c r="J38" s="2095"/>
      <c r="K38" s="2025"/>
      <c r="L38" s="2098" t="s">
        <v>1222</v>
      </c>
      <c r="M38" s="2099">
        <v>0.25</v>
      </c>
      <c r="N38" s="2025"/>
      <c r="O38" s="2025"/>
      <c r="P38" s="2025"/>
      <c r="Q38" s="2025"/>
      <c r="R38" s="2048"/>
      <c r="S38" s="2048"/>
      <c r="T38" s="2048"/>
      <c r="U38" s="2048"/>
      <c r="V38" s="2048"/>
      <c r="W38" s="2025"/>
      <c r="X38" s="2025"/>
      <c r="Y38" s="2025"/>
      <c r="Z38" s="2025"/>
      <c r="AA38" s="2025"/>
      <c r="AB38" s="2025"/>
      <c r="AC38" s="2048"/>
    </row>
    <row r="39" ht="13.5" spans="1:29">
      <c r="A39" s="1967"/>
      <c r="B39" s="1985" t="s">
        <v>455</v>
      </c>
      <c r="C39" s="1909" t="e">
        <f ca="1">ROUND(D5*C19*C41*C24*F39,0)</f>
        <v>#DIV/0!</v>
      </c>
      <c r="D39" s="1986"/>
      <c r="E39" s="1909" t="e">
        <f ca="1" t="shared" si="7"/>
        <v>#DIV/0!</v>
      </c>
      <c r="F39" s="1987">
        <f>SUMIF(修正!A45:A56,G2,修正!H45:H56)</f>
        <v>0</v>
      </c>
      <c r="G39" s="1909" t="e">
        <f ca="1">ROUND(IF(E2="工业",C39*$M$39,C39*$M$38),0)</f>
        <v>#DIV/0!</v>
      </c>
      <c r="H39" s="1909">
        <f t="shared" si="8"/>
        <v>0</v>
      </c>
      <c r="I39" s="1909" t="e">
        <f ca="1" t="shared" si="9"/>
        <v>#DIV/0!</v>
      </c>
      <c r="J39" s="2100"/>
      <c r="K39" s="2025"/>
      <c r="L39" s="2101" t="s">
        <v>1223</v>
      </c>
      <c r="M39" s="2102">
        <v>0.15</v>
      </c>
      <c r="N39" s="2025"/>
      <c r="O39" s="2025"/>
      <c r="P39" s="2025"/>
      <c r="Q39" s="2025"/>
      <c r="R39" s="2048"/>
      <c r="S39" s="2048"/>
      <c r="T39" s="2048"/>
      <c r="U39" s="2048"/>
      <c r="V39" s="2048"/>
      <c r="W39" s="2025"/>
      <c r="X39" s="2025"/>
      <c r="Y39" s="2025"/>
      <c r="Z39" s="2025"/>
      <c r="AA39" s="2025"/>
      <c r="AB39" s="2025"/>
      <c r="AC39" s="2048"/>
    </row>
    <row r="40" s="1826" customFormat="1" spans="2:39">
      <c r="B40" s="1988"/>
      <c r="C40" s="1988"/>
      <c r="D40" s="1988"/>
      <c r="E40" s="1988"/>
      <c r="F40" s="1988"/>
      <c r="G40" s="1988"/>
      <c r="H40" s="1988"/>
      <c r="I40" s="1988"/>
      <c r="J40" s="1988"/>
      <c r="K40" s="1988"/>
      <c r="L40" s="1988"/>
      <c r="M40" s="1988"/>
      <c r="N40" s="1988"/>
      <c r="O40" s="1988"/>
      <c r="P40" s="1988"/>
      <c r="Q40" s="1988"/>
      <c r="R40" s="2118"/>
      <c r="S40" s="2118"/>
      <c r="T40" s="2118"/>
      <c r="U40" s="2118"/>
      <c r="V40" s="2118"/>
      <c r="W40" s="1988"/>
      <c r="X40" s="1988"/>
      <c r="Y40" s="1988"/>
      <c r="Z40" s="1988"/>
      <c r="AA40" s="1988"/>
      <c r="AB40" s="1988"/>
      <c r="AC40" s="2118"/>
      <c r="AD40" s="1830"/>
      <c r="AE40" s="1830"/>
      <c r="AF40" s="1830"/>
      <c r="AG40" s="1830"/>
      <c r="AH40" s="1830"/>
      <c r="AI40" s="1830"/>
      <c r="AJ40" s="1830"/>
      <c r="AK40" s="1830"/>
      <c r="AL40" s="1830"/>
      <c r="AM40" s="1830"/>
    </row>
    <row r="41" s="1826" customFormat="1" ht="12.75" spans="1:39">
      <c r="A41" s="1830"/>
      <c r="B41" s="1989" t="s">
        <v>1224</v>
      </c>
      <c r="C41" s="895" t="e">
        <f ca="1">ROUND(POWER(1+E41,H41-G41)*(POWER(1+E41,G41)-1)/(POWER(1+E41,H41)-1),4)</f>
        <v>#DIV/0!</v>
      </c>
      <c r="D41" s="1990" t="s">
        <v>1225</v>
      </c>
      <c r="E41" s="1991">
        <f ca="1">G20</f>
        <v>0</v>
      </c>
      <c r="F41" s="1990" t="s">
        <v>1226</v>
      </c>
      <c r="G41" s="1992"/>
      <c r="H41" s="1990">
        <v>50</v>
      </c>
      <c r="I41" s="1988"/>
      <c r="J41" s="1988"/>
      <c r="K41" s="1988"/>
      <c r="L41" s="1988"/>
      <c r="M41" s="1988"/>
      <c r="N41" s="1988"/>
      <c r="O41" s="1988"/>
      <c r="P41" s="1988"/>
      <c r="Q41" s="1988"/>
      <c r="R41" s="2118"/>
      <c r="S41" s="2118"/>
      <c r="T41" s="2118"/>
      <c r="U41" s="2118"/>
      <c r="V41" s="2118"/>
      <c r="W41" s="1988"/>
      <c r="X41" s="1988"/>
      <c r="Y41" s="1988"/>
      <c r="Z41" s="1988"/>
      <c r="AA41" s="1988"/>
      <c r="AB41" s="1988"/>
      <c r="AC41" s="2118"/>
      <c r="AD41" s="1830"/>
      <c r="AE41" s="1830"/>
      <c r="AF41" s="1830"/>
      <c r="AG41" s="1830"/>
      <c r="AH41" s="1830"/>
      <c r="AI41" s="1830"/>
      <c r="AJ41" s="1830"/>
      <c r="AK41" s="1830"/>
      <c r="AL41" s="1830"/>
      <c r="AM41" s="1830"/>
    </row>
    <row r="42" s="1826" customFormat="1" spans="1:39">
      <c r="A42" s="1830"/>
      <c r="B42" s="1993"/>
      <c r="C42" s="1988"/>
      <c r="D42" s="1988"/>
      <c r="E42" s="1988"/>
      <c r="F42" s="1988"/>
      <c r="G42" s="1988"/>
      <c r="H42" s="1988"/>
      <c r="I42" s="1988"/>
      <c r="J42" s="1988"/>
      <c r="K42" s="1988"/>
      <c r="L42" s="1988"/>
      <c r="M42" s="1988"/>
      <c r="N42" s="1988"/>
      <c r="O42" s="1988"/>
      <c r="P42" s="1988"/>
      <c r="Q42" s="1988"/>
      <c r="R42" s="2118"/>
      <c r="S42" s="2118"/>
      <c r="T42" s="2118"/>
      <c r="U42" s="2118"/>
      <c r="V42" s="2118"/>
      <c r="W42" s="1988"/>
      <c r="X42" s="1988"/>
      <c r="Y42" s="1988"/>
      <c r="Z42" s="1988"/>
      <c r="AA42" s="1988"/>
      <c r="AB42" s="1988"/>
      <c r="AC42" s="2118"/>
      <c r="AD42" s="1830"/>
      <c r="AE42" s="1830"/>
      <c r="AF42" s="1830"/>
      <c r="AG42" s="1830"/>
      <c r="AH42" s="1830"/>
      <c r="AI42" s="1830"/>
      <c r="AJ42" s="1830"/>
      <c r="AK42" s="1830"/>
      <c r="AL42" s="1830"/>
      <c r="AM42" s="1830"/>
    </row>
    <row r="43" s="1826" customFormat="1" spans="1:39">
      <c r="A43" s="1830"/>
      <c r="B43" s="1993"/>
      <c r="C43" s="1988"/>
      <c r="D43" s="1988"/>
      <c r="E43" s="1988"/>
      <c r="F43" s="1988"/>
      <c r="G43" s="1988"/>
      <c r="H43" s="1988"/>
      <c r="I43" s="1988"/>
      <c r="J43" s="1988"/>
      <c r="K43" s="1988"/>
      <c r="L43" s="1988"/>
      <c r="M43" s="1988"/>
      <c r="N43" s="1988"/>
      <c r="O43" s="1988"/>
      <c r="P43" s="1988"/>
      <c r="Q43" s="1988"/>
      <c r="R43" s="2118"/>
      <c r="S43" s="2118"/>
      <c r="T43" s="2118"/>
      <c r="U43" s="2118"/>
      <c r="V43" s="2118"/>
      <c r="W43" s="1988"/>
      <c r="X43" s="1988"/>
      <c r="Y43" s="1988"/>
      <c r="Z43" s="1988"/>
      <c r="AA43" s="1988"/>
      <c r="AB43" s="1988"/>
      <c r="AC43" s="2118"/>
      <c r="AD43" s="1830"/>
      <c r="AE43" s="1830"/>
      <c r="AF43" s="1830"/>
      <c r="AG43" s="1830"/>
      <c r="AH43" s="1830"/>
      <c r="AI43" s="1830"/>
      <c r="AJ43" s="1830"/>
      <c r="AK43" s="1830"/>
      <c r="AL43" s="1830"/>
      <c r="AM43" s="1830"/>
    </row>
    <row r="44" s="1826" customFormat="1" ht="15" spans="1:39">
      <c r="A44" s="1994" t="s">
        <v>1227</v>
      </c>
      <c r="B44" s="1995"/>
      <c r="C44" s="1996"/>
      <c r="D44" s="1997"/>
      <c r="E44" s="1997"/>
      <c r="F44" s="1998"/>
      <c r="G44" s="1746"/>
      <c r="H44" s="1998"/>
      <c r="I44" s="1746"/>
      <c r="J44" s="1746"/>
      <c r="K44" s="1746"/>
      <c r="L44" s="1746"/>
      <c r="M44" s="1746"/>
      <c r="O44" s="1988"/>
      <c r="P44" s="1988"/>
      <c r="Q44" s="1988"/>
      <c r="R44" s="2118"/>
      <c r="S44" s="2118"/>
      <c r="T44" s="2118"/>
      <c r="U44" s="2118"/>
      <c r="V44" s="2118"/>
      <c r="W44" s="1988"/>
      <c r="X44" s="1988"/>
      <c r="Y44" s="1988"/>
      <c r="Z44" s="1988"/>
      <c r="AA44" s="1988"/>
      <c r="AB44" s="1988"/>
      <c r="AC44" s="2118"/>
      <c r="AD44" s="1830"/>
      <c r="AE44" s="1830"/>
      <c r="AF44" s="1830"/>
      <c r="AG44" s="1830"/>
      <c r="AH44" s="1830"/>
      <c r="AI44" s="1830"/>
      <c r="AJ44" s="1830"/>
      <c r="AK44" s="1830"/>
      <c r="AL44" s="1830"/>
      <c r="AM44" s="1830"/>
    </row>
    <row r="45" s="1826" customFormat="1" ht="15" spans="1:39">
      <c r="A45" s="1999" t="s">
        <v>378</v>
      </c>
      <c r="B45" s="2000">
        <f>1+E47</f>
        <v>1</v>
      </c>
      <c r="C45" s="2001"/>
      <c r="D45" s="2002"/>
      <c r="E45" s="2003"/>
      <c r="F45" s="1994"/>
      <c r="G45" s="1998"/>
      <c r="H45" s="1998"/>
      <c r="I45" s="1746"/>
      <c r="J45" s="1746"/>
      <c r="K45" s="1746"/>
      <c r="L45" s="1746"/>
      <c r="M45" s="1746"/>
      <c r="O45" s="1988"/>
      <c r="P45" s="1988"/>
      <c r="Q45" s="1988"/>
      <c r="R45" s="2118"/>
      <c r="S45" s="2118"/>
      <c r="T45" s="2118"/>
      <c r="U45" s="2118"/>
      <c r="V45" s="2118"/>
      <c r="W45" s="1988"/>
      <c r="X45" s="1988"/>
      <c r="Y45" s="1988"/>
      <c r="Z45" s="1988"/>
      <c r="AA45" s="1988"/>
      <c r="AB45" s="1988"/>
      <c r="AC45" s="2118"/>
      <c r="AD45" s="1830"/>
      <c r="AE45" s="1830"/>
      <c r="AF45" s="1830"/>
      <c r="AG45" s="1830"/>
      <c r="AH45" s="1830"/>
      <c r="AI45" s="1830"/>
      <c r="AJ45" s="1830"/>
      <c r="AK45" s="1830"/>
      <c r="AL45" s="1830"/>
      <c r="AM45" s="1830"/>
    </row>
    <row r="46" s="1826" customFormat="1" ht="24" spans="1:40">
      <c r="A46" s="1796" t="s">
        <v>1228</v>
      </c>
      <c r="B46" s="1797" t="s">
        <v>1229</v>
      </c>
      <c r="C46" s="2004" t="s">
        <v>1230</v>
      </c>
      <c r="D46" s="2005" t="s">
        <v>1231</v>
      </c>
      <c r="E46" s="2006" t="s">
        <v>1232</v>
      </c>
      <c r="F46" s="2007" t="s">
        <v>1233</v>
      </c>
      <c r="G46" s="2005" t="s">
        <v>1234</v>
      </c>
      <c r="H46" s="2008" t="s">
        <v>1235</v>
      </c>
      <c r="I46" s="2005" t="s">
        <v>1236</v>
      </c>
      <c r="J46" s="2103" t="s">
        <v>250</v>
      </c>
      <c r="K46" s="2103" t="s">
        <v>262</v>
      </c>
      <c r="L46" s="2103" t="s">
        <v>272</v>
      </c>
      <c r="M46" s="2103" t="s">
        <v>282</v>
      </c>
      <c r="N46" s="2103" t="s">
        <v>289</v>
      </c>
      <c r="P46" s="1988"/>
      <c r="Q46" s="1988"/>
      <c r="R46" s="2118"/>
      <c r="S46" s="2118"/>
      <c r="T46" s="2118"/>
      <c r="U46" s="2118"/>
      <c r="V46" s="2118"/>
      <c r="W46" s="1988"/>
      <c r="X46" s="1988"/>
      <c r="Y46" s="1988"/>
      <c r="Z46" s="1988"/>
      <c r="AA46" s="1988"/>
      <c r="AB46" s="1988"/>
      <c r="AC46" s="1988"/>
      <c r="AD46" s="2118"/>
      <c r="AE46" s="1830"/>
      <c r="AF46" s="1830"/>
      <c r="AG46" s="1830"/>
      <c r="AH46" s="1830"/>
      <c r="AI46" s="1830"/>
      <c r="AJ46" s="1830"/>
      <c r="AK46" s="1830"/>
      <c r="AL46" s="1830"/>
      <c r="AM46" s="1830"/>
      <c r="AN46" s="1830"/>
    </row>
    <row r="47" s="1826" customFormat="1" ht="36" spans="1:40">
      <c r="A47" s="1796" t="s">
        <v>1237</v>
      </c>
      <c r="B47" s="2009" t="str">
        <f>估价对象房地状况!C16</f>
        <v>估价对象位于XX商圈，周边商业氛围成熟，人流量大，商业繁华度好</v>
      </c>
      <c r="C47" s="2010"/>
      <c r="D47" s="2011">
        <f t="shared" ref="D47:D55" si="10">SUMIF($J$46:$N$46,C47,J47:N47)</f>
        <v>0</v>
      </c>
      <c r="E47" s="2012">
        <f>ROUND(SUM(D47:D55),4)</f>
        <v>0</v>
      </c>
      <c r="F47" s="2013" t="str">
        <f>IF(E2="商业",SUMIF(L1:L12,G2,N1:N12),"——")</f>
        <v>——</v>
      </c>
      <c r="G47" s="2014"/>
      <c r="H47" s="2015" t="str">
        <f t="shared" ref="H47:H55" si="11">IFERROR(ROUNDDOWN(($F$47*I47/2),4),"——")</f>
        <v>——</v>
      </c>
      <c r="I47" s="2104">
        <v>0.33</v>
      </c>
      <c r="J47" s="2105">
        <f t="shared" ref="J47:J55" si="12">K47+$G47</f>
        <v>0</v>
      </c>
      <c r="K47" s="2105">
        <f t="shared" ref="K47:K55" si="13">$L47+$G47</f>
        <v>0</v>
      </c>
      <c r="L47" s="2105">
        <v>0</v>
      </c>
      <c r="M47" s="2105">
        <f t="shared" ref="M47:N55" si="14">L47-$G47</f>
        <v>0</v>
      </c>
      <c r="N47" s="2105">
        <f t="shared" si="14"/>
        <v>0</v>
      </c>
      <c r="P47" s="1988"/>
      <c r="Q47" s="1988"/>
      <c r="R47" s="2118"/>
      <c r="S47" s="2118"/>
      <c r="T47" s="2118"/>
      <c r="U47" s="2118"/>
      <c r="V47" s="2118"/>
      <c r="W47" s="1988"/>
      <c r="X47" s="1988"/>
      <c r="Y47" s="1988"/>
      <c r="Z47" s="1988"/>
      <c r="AA47" s="1988"/>
      <c r="AB47" s="1988"/>
      <c r="AC47" s="1988"/>
      <c r="AD47" s="2118"/>
      <c r="AE47" s="1830"/>
      <c r="AF47" s="1830"/>
      <c r="AG47" s="1830"/>
      <c r="AH47" s="1830"/>
      <c r="AI47" s="1830"/>
      <c r="AJ47" s="1830"/>
      <c r="AK47" s="1830"/>
      <c r="AL47" s="1830"/>
      <c r="AM47" s="1830"/>
      <c r="AN47" s="1830"/>
    </row>
    <row r="48" s="1826" customFormat="1" ht="48" spans="1:40">
      <c r="A48" s="1796" t="s">
        <v>671</v>
      </c>
      <c r="B48" s="1797" t="str">
        <f>估价对象房地状况!C18</f>
        <v>估价对象周边道路状况、公共交通通达情况、停车便捷程度，综合评价交通便捷度较好</v>
      </c>
      <c r="C48" s="2010"/>
      <c r="D48" s="2011">
        <f t="shared" si="10"/>
        <v>0</v>
      </c>
      <c r="E48" s="2016"/>
      <c r="F48" s="2013"/>
      <c r="G48" s="2014"/>
      <c r="H48" s="2015" t="str">
        <f t="shared" si="11"/>
        <v>——</v>
      </c>
      <c r="I48" s="2104">
        <v>0.25</v>
      </c>
      <c r="J48" s="2105">
        <f t="shared" si="12"/>
        <v>0</v>
      </c>
      <c r="K48" s="2105">
        <f t="shared" si="13"/>
        <v>0</v>
      </c>
      <c r="L48" s="2105">
        <v>0</v>
      </c>
      <c r="M48" s="2105">
        <f t="shared" si="14"/>
        <v>0</v>
      </c>
      <c r="N48" s="2105">
        <f t="shared" si="14"/>
        <v>0</v>
      </c>
      <c r="P48" s="1988"/>
      <c r="Q48" s="1988"/>
      <c r="R48" s="2118"/>
      <c r="S48" s="2118"/>
      <c r="T48" s="2118"/>
      <c r="U48" s="2118"/>
      <c r="V48" s="2118"/>
      <c r="W48" s="1988"/>
      <c r="X48" s="1988"/>
      <c r="Y48" s="1988"/>
      <c r="Z48" s="1988"/>
      <c r="AA48" s="1988"/>
      <c r="AB48" s="1988"/>
      <c r="AC48" s="1988"/>
      <c r="AD48" s="2118"/>
      <c r="AE48" s="1830"/>
      <c r="AF48" s="1830"/>
      <c r="AG48" s="1830"/>
      <c r="AH48" s="1830"/>
      <c r="AI48" s="1830"/>
      <c r="AJ48" s="1830"/>
      <c r="AK48" s="1830"/>
      <c r="AL48" s="1830"/>
      <c r="AM48" s="1830"/>
      <c r="AN48" s="1830"/>
    </row>
    <row r="49" s="1826" customFormat="1" ht="24" spans="1:40">
      <c r="A49" s="1796" t="s">
        <v>683</v>
      </c>
      <c r="B49" s="1797">
        <f>估价对象房地状况!C19</f>
        <v>0</v>
      </c>
      <c r="C49" s="2010"/>
      <c r="D49" s="2011">
        <f t="shared" si="10"/>
        <v>0</v>
      </c>
      <c r="E49" s="2016"/>
      <c r="F49" s="2013"/>
      <c r="G49" s="2014"/>
      <c r="H49" s="2015" t="str">
        <f t="shared" si="11"/>
        <v>——</v>
      </c>
      <c r="I49" s="2104">
        <v>0.05</v>
      </c>
      <c r="J49" s="2105">
        <f t="shared" si="12"/>
        <v>0</v>
      </c>
      <c r="K49" s="2105">
        <f t="shared" si="13"/>
        <v>0</v>
      </c>
      <c r="L49" s="2105">
        <v>0</v>
      </c>
      <c r="M49" s="2105">
        <f t="shared" si="14"/>
        <v>0</v>
      </c>
      <c r="N49" s="2105">
        <f t="shared" si="14"/>
        <v>0</v>
      </c>
      <c r="P49" s="1988"/>
      <c r="Q49" s="1988"/>
      <c r="R49" s="2118"/>
      <c r="S49" s="2118"/>
      <c r="T49" s="2118"/>
      <c r="U49" s="2118"/>
      <c r="V49" s="2118"/>
      <c r="W49" s="1988"/>
      <c r="X49" s="1988"/>
      <c r="Y49" s="1988"/>
      <c r="Z49" s="1988"/>
      <c r="AA49" s="1988"/>
      <c r="AB49" s="1988"/>
      <c r="AC49" s="1988"/>
      <c r="AD49" s="2118"/>
      <c r="AE49" s="1830"/>
      <c r="AF49" s="1830"/>
      <c r="AG49" s="1830"/>
      <c r="AH49" s="1830"/>
      <c r="AI49" s="1830"/>
      <c r="AJ49" s="1830"/>
      <c r="AK49" s="1830"/>
      <c r="AL49" s="1830"/>
      <c r="AM49" s="1830"/>
      <c r="AN49" s="1830"/>
    </row>
    <row r="50" s="1826" customFormat="1" ht="36" spans="1:40">
      <c r="A50" s="1796" t="s">
        <v>1238</v>
      </c>
      <c r="B50" s="2017" t="s">
        <v>1239</v>
      </c>
      <c r="C50" s="2010"/>
      <c r="D50" s="2011">
        <f t="shared" si="10"/>
        <v>0</v>
      </c>
      <c r="E50" s="2016"/>
      <c r="F50" s="2013"/>
      <c r="G50" s="2014"/>
      <c r="H50" s="2015" t="str">
        <f t="shared" si="11"/>
        <v>——</v>
      </c>
      <c r="I50" s="2104">
        <v>0.05</v>
      </c>
      <c r="J50" s="2105">
        <f t="shared" si="12"/>
        <v>0</v>
      </c>
      <c r="K50" s="2105">
        <f t="shared" si="13"/>
        <v>0</v>
      </c>
      <c r="L50" s="2105">
        <v>0</v>
      </c>
      <c r="M50" s="2105">
        <f t="shared" si="14"/>
        <v>0</v>
      </c>
      <c r="N50" s="2105">
        <f t="shared" si="14"/>
        <v>0</v>
      </c>
      <c r="P50" s="1988"/>
      <c r="Q50" s="1988"/>
      <c r="R50" s="2118"/>
      <c r="S50" s="2118"/>
      <c r="T50" s="2118"/>
      <c r="U50" s="2118"/>
      <c r="V50" s="2118"/>
      <c r="W50" s="1988"/>
      <c r="X50" s="1988"/>
      <c r="Y50" s="1988"/>
      <c r="Z50" s="1988"/>
      <c r="AA50" s="1988"/>
      <c r="AB50" s="1988"/>
      <c r="AC50" s="1988"/>
      <c r="AD50" s="2118"/>
      <c r="AE50" s="1830"/>
      <c r="AF50" s="1830"/>
      <c r="AG50" s="1830"/>
      <c r="AH50" s="1830"/>
      <c r="AI50" s="1830"/>
      <c r="AJ50" s="1830"/>
      <c r="AK50" s="1830"/>
      <c r="AL50" s="1830"/>
      <c r="AM50" s="1830"/>
      <c r="AN50" s="1830"/>
    </row>
    <row r="51" s="1826" customFormat="1" ht="24" spans="1:40">
      <c r="A51" s="1796" t="s">
        <v>1240</v>
      </c>
      <c r="B51" s="1797">
        <f>估价对象房地状况!C24</f>
        <v>0</v>
      </c>
      <c r="C51" s="2010"/>
      <c r="D51" s="2011">
        <f t="shared" si="10"/>
        <v>0</v>
      </c>
      <c r="E51" s="2016"/>
      <c r="F51" s="2013"/>
      <c r="G51" s="2014"/>
      <c r="H51" s="2015" t="str">
        <f t="shared" si="11"/>
        <v>——</v>
      </c>
      <c r="I51" s="2104">
        <v>0.08</v>
      </c>
      <c r="J51" s="2105">
        <f t="shared" si="12"/>
        <v>0</v>
      </c>
      <c r="K51" s="2105">
        <f t="shared" si="13"/>
        <v>0</v>
      </c>
      <c r="L51" s="2105">
        <v>0</v>
      </c>
      <c r="M51" s="2105">
        <f t="shared" si="14"/>
        <v>0</v>
      </c>
      <c r="N51" s="2105">
        <f t="shared" si="14"/>
        <v>0</v>
      </c>
      <c r="P51" s="1988"/>
      <c r="Q51" s="1988"/>
      <c r="R51" s="2118"/>
      <c r="S51" s="2118"/>
      <c r="T51" s="2118"/>
      <c r="U51" s="2118"/>
      <c r="V51" s="2118"/>
      <c r="W51" s="1988"/>
      <c r="X51" s="1988"/>
      <c r="Y51" s="1988"/>
      <c r="Z51" s="1988"/>
      <c r="AA51" s="1988"/>
      <c r="AB51" s="1988"/>
      <c r="AC51" s="1988"/>
      <c r="AD51" s="2118"/>
      <c r="AE51" s="1830"/>
      <c r="AF51" s="1830"/>
      <c r="AG51" s="1830"/>
      <c r="AH51" s="1830"/>
      <c r="AI51" s="1830"/>
      <c r="AJ51" s="1830"/>
      <c r="AK51" s="1830"/>
      <c r="AL51" s="1830"/>
      <c r="AM51" s="1830"/>
      <c r="AN51" s="1830"/>
    </row>
    <row r="52" s="1826" customFormat="1" ht="24" spans="1:40">
      <c r="A52" s="1796" t="s">
        <v>1241</v>
      </c>
      <c r="B52" s="2018" t="s">
        <v>1242</v>
      </c>
      <c r="C52" s="2010"/>
      <c r="D52" s="2011">
        <f t="shared" si="10"/>
        <v>0</v>
      </c>
      <c r="E52" s="2016"/>
      <c r="F52" s="2013"/>
      <c r="G52" s="2014"/>
      <c r="H52" s="2015" t="str">
        <f t="shared" si="11"/>
        <v>——</v>
      </c>
      <c r="I52" s="2104">
        <v>0.03</v>
      </c>
      <c r="J52" s="2105">
        <f t="shared" si="12"/>
        <v>0</v>
      </c>
      <c r="K52" s="2105">
        <f t="shared" si="13"/>
        <v>0</v>
      </c>
      <c r="L52" s="2105">
        <v>0</v>
      </c>
      <c r="M52" s="2105">
        <f t="shared" si="14"/>
        <v>0</v>
      </c>
      <c r="N52" s="2105">
        <f t="shared" si="14"/>
        <v>0</v>
      </c>
      <c r="P52" s="1988"/>
      <c r="Q52" s="1988"/>
      <c r="R52" s="2118"/>
      <c r="S52" s="2118"/>
      <c r="T52" s="2118"/>
      <c r="U52" s="2118"/>
      <c r="V52" s="2118"/>
      <c r="W52" s="1988"/>
      <c r="X52" s="1988"/>
      <c r="Y52" s="1988"/>
      <c r="Z52" s="1988"/>
      <c r="AA52" s="1988"/>
      <c r="AB52" s="1988"/>
      <c r="AC52" s="1988"/>
      <c r="AD52" s="2118"/>
      <c r="AE52" s="1830"/>
      <c r="AF52" s="1830"/>
      <c r="AG52" s="1830"/>
      <c r="AH52" s="1830"/>
      <c r="AI52" s="1830"/>
      <c r="AJ52" s="1830"/>
      <c r="AK52" s="1830"/>
      <c r="AL52" s="1830"/>
      <c r="AM52" s="1830"/>
      <c r="AN52" s="1830"/>
    </row>
    <row r="53" s="1826" customFormat="1" ht="24" spans="1:40">
      <c r="A53" s="2019" t="s">
        <v>1243</v>
      </c>
      <c r="B53" s="1799" t="str">
        <f>估价对象房地状况!C21</f>
        <v>估价对象所在区域公共配套设施齐备情况</v>
      </c>
      <c r="C53" s="2010"/>
      <c r="D53" s="2011">
        <f t="shared" si="10"/>
        <v>0</v>
      </c>
      <c r="E53" s="2016"/>
      <c r="F53" s="2013"/>
      <c r="G53" s="2014"/>
      <c r="H53" s="2015" t="str">
        <f t="shared" si="11"/>
        <v>——</v>
      </c>
      <c r="I53" s="2104">
        <v>0.05</v>
      </c>
      <c r="J53" s="2105">
        <f t="shared" si="12"/>
        <v>0</v>
      </c>
      <c r="K53" s="2105">
        <f t="shared" si="13"/>
        <v>0</v>
      </c>
      <c r="L53" s="2105">
        <v>0</v>
      </c>
      <c r="M53" s="2105">
        <f t="shared" si="14"/>
        <v>0</v>
      </c>
      <c r="N53" s="2105">
        <f t="shared" si="14"/>
        <v>0</v>
      </c>
      <c r="P53" s="1988"/>
      <c r="Q53" s="1988"/>
      <c r="R53" s="2118"/>
      <c r="S53" s="2118"/>
      <c r="T53" s="2118"/>
      <c r="U53" s="2118"/>
      <c r="V53" s="2118"/>
      <c r="W53" s="1988"/>
      <c r="X53" s="1988"/>
      <c r="Y53" s="1988"/>
      <c r="Z53" s="1988"/>
      <c r="AA53" s="1988"/>
      <c r="AB53" s="1988"/>
      <c r="AC53" s="1988"/>
      <c r="AD53" s="2118"/>
      <c r="AE53" s="1830"/>
      <c r="AF53" s="1830"/>
      <c r="AG53" s="1830"/>
      <c r="AH53" s="1830"/>
      <c r="AI53" s="1830"/>
      <c r="AJ53" s="1830"/>
      <c r="AK53" s="1830"/>
      <c r="AL53" s="1830"/>
      <c r="AM53" s="1830"/>
      <c r="AN53" s="1830"/>
    </row>
    <row r="54" s="1826" customFormat="1" ht="24" spans="1:40">
      <c r="A54" s="2019" t="s">
        <v>1244</v>
      </c>
      <c r="B54" s="1797" t="str">
        <f>估价对象房地状况!C22</f>
        <v>估价对象所在区域基础设施水平</v>
      </c>
      <c r="C54" s="2010"/>
      <c r="D54" s="2011">
        <f t="shared" si="10"/>
        <v>0</v>
      </c>
      <c r="E54" s="2016"/>
      <c r="F54" s="2013"/>
      <c r="G54" s="2014"/>
      <c r="H54" s="2015" t="str">
        <f t="shared" si="11"/>
        <v>——</v>
      </c>
      <c r="I54" s="2104">
        <v>0.1</v>
      </c>
      <c r="J54" s="2105">
        <f t="shared" si="12"/>
        <v>0</v>
      </c>
      <c r="K54" s="2105">
        <f t="shared" si="13"/>
        <v>0</v>
      </c>
      <c r="L54" s="2105">
        <v>0</v>
      </c>
      <c r="M54" s="2105">
        <f t="shared" si="14"/>
        <v>0</v>
      </c>
      <c r="N54" s="2105">
        <f t="shared" si="14"/>
        <v>0</v>
      </c>
      <c r="P54" s="1988"/>
      <c r="Q54" s="1988"/>
      <c r="R54" s="2118"/>
      <c r="S54" s="2118"/>
      <c r="T54" s="2118"/>
      <c r="U54" s="2118"/>
      <c r="V54" s="2118"/>
      <c r="W54" s="1988"/>
      <c r="X54" s="1988"/>
      <c r="Y54" s="1988"/>
      <c r="Z54" s="1988"/>
      <c r="AA54" s="1988"/>
      <c r="AB54" s="1988"/>
      <c r="AC54" s="1988"/>
      <c r="AD54" s="2118"/>
      <c r="AE54" s="1830"/>
      <c r="AF54" s="1830"/>
      <c r="AG54" s="1830"/>
      <c r="AH54" s="1830"/>
      <c r="AI54" s="1830"/>
      <c r="AJ54" s="1830"/>
      <c r="AK54" s="1830"/>
      <c r="AL54" s="1830"/>
      <c r="AM54" s="1830"/>
      <c r="AN54" s="1830"/>
    </row>
    <row r="55" s="1826" customFormat="1" ht="24.75" spans="1:40">
      <c r="A55" s="2020" t="s">
        <v>1245</v>
      </c>
      <c r="B55" s="2021" t="str">
        <f>估价对象房地状况!C20</f>
        <v>区域自然环境：；人文环境；综合评价环境状况一般</v>
      </c>
      <c r="C55" s="2010"/>
      <c r="D55" s="2011">
        <f t="shared" si="10"/>
        <v>0</v>
      </c>
      <c r="E55" s="2022"/>
      <c r="F55" s="2013"/>
      <c r="G55" s="2014"/>
      <c r="H55" s="2015" t="str">
        <f t="shared" si="11"/>
        <v>——</v>
      </c>
      <c r="I55" s="2106">
        <v>0.06</v>
      </c>
      <c r="J55" s="2105">
        <f t="shared" si="12"/>
        <v>0</v>
      </c>
      <c r="K55" s="2105">
        <f t="shared" si="13"/>
        <v>0</v>
      </c>
      <c r="L55" s="2105">
        <v>0</v>
      </c>
      <c r="M55" s="2105">
        <f t="shared" si="14"/>
        <v>0</v>
      </c>
      <c r="N55" s="2105">
        <f t="shared" si="14"/>
        <v>0</v>
      </c>
      <c r="P55" s="1988"/>
      <c r="Q55" s="1988"/>
      <c r="R55" s="2118"/>
      <c r="S55" s="2118"/>
      <c r="T55" s="2118"/>
      <c r="U55" s="2118"/>
      <c r="V55" s="2118"/>
      <c r="W55" s="1988"/>
      <c r="X55" s="1988"/>
      <c r="Y55" s="1988"/>
      <c r="Z55" s="1988"/>
      <c r="AA55" s="1988"/>
      <c r="AB55" s="1988"/>
      <c r="AC55" s="1988"/>
      <c r="AD55" s="2118"/>
      <c r="AE55" s="1830"/>
      <c r="AF55" s="1830"/>
      <c r="AG55" s="1830"/>
      <c r="AH55" s="1830"/>
      <c r="AI55" s="1830"/>
      <c r="AJ55" s="1830"/>
      <c r="AK55" s="1830"/>
      <c r="AL55" s="1830"/>
      <c r="AM55" s="1830"/>
      <c r="AN55" s="1830"/>
    </row>
    <row r="56" s="1826" customFormat="1" ht="15" spans="1:40">
      <c r="A56" s="1999" t="s">
        <v>379</v>
      </c>
      <c r="B56" s="2000">
        <f>1+E58</f>
        <v>1</v>
      </c>
      <c r="C56" s="2023"/>
      <c r="D56" s="2002"/>
      <c r="E56" s="2003"/>
      <c r="F56" s="1994"/>
      <c r="G56" s="1998"/>
      <c r="H56" s="1998"/>
      <c r="I56" s="1998"/>
      <c r="J56" s="1746"/>
      <c r="K56" s="1746"/>
      <c r="L56" s="1746"/>
      <c r="M56" s="1746"/>
      <c r="N56" s="1746"/>
      <c r="P56" s="1988"/>
      <c r="Q56" s="1988"/>
      <c r="R56" s="2118"/>
      <c r="S56" s="2118"/>
      <c r="T56" s="2118"/>
      <c r="U56" s="2118"/>
      <c r="V56" s="2118"/>
      <c r="W56" s="1988"/>
      <c r="X56" s="1988"/>
      <c r="Y56" s="1988"/>
      <c r="Z56" s="1988"/>
      <c r="AA56" s="1988"/>
      <c r="AB56" s="1988"/>
      <c r="AC56" s="1988"/>
      <c r="AD56" s="2118"/>
      <c r="AE56" s="1830"/>
      <c r="AF56" s="1830"/>
      <c r="AG56" s="1830"/>
      <c r="AH56" s="1830"/>
      <c r="AI56" s="1830"/>
      <c r="AJ56" s="1830"/>
      <c r="AK56" s="1830"/>
      <c r="AL56" s="1830"/>
      <c r="AM56" s="1830"/>
      <c r="AN56" s="1830"/>
    </row>
    <row r="57" s="1826" customFormat="1" ht="24" spans="1:40">
      <c r="A57" s="1796" t="s">
        <v>1228</v>
      </c>
      <c r="B57" s="1797"/>
      <c r="C57" s="2004" t="s">
        <v>1230</v>
      </c>
      <c r="D57" s="2005" t="s">
        <v>1231</v>
      </c>
      <c r="E57" s="2006" t="s">
        <v>1232</v>
      </c>
      <c r="F57" s="2007" t="s">
        <v>1233</v>
      </c>
      <c r="G57" s="2005" t="s">
        <v>1234</v>
      </c>
      <c r="H57" s="2008" t="s">
        <v>1235</v>
      </c>
      <c r="I57" s="2005" t="s">
        <v>1236</v>
      </c>
      <c r="J57" s="2103" t="s">
        <v>250</v>
      </c>
      <c r="K57" s="2103" t="s">
        <v>262</v>
      </c>
      <c r="L57" s="2103" t="s">
        <v>272</v>
      </c>
      <c r="M57" s="2103" t="s">
        <v>282</v>
      </c>
      <c r="N57" s="2103" t="s">
        <v>289</v>
      </c>
      <c r="P57" s="1988"/>
      <c r="Q57" s="1988"/>
      <c r="R57" s="2118"/>
      <c r="S57" s="2118"/>
      <c r="T57" s="2118"/>
      <c r="U57" s="2118"/>
      <c r="V57" s="2118"/>
      <c r="W57" s="1988"/>
      <c r="X57" s="1988"/>
      <c r="Y57" s="1988"/>
      <c r="Z57" s="1988"/>
      <c r="AA57" s="1988"/>
      <c r="AB57" s="1988"/>
      <c r="AC57" s="1988"/>
      <c r="AD57" s="2118"/>
      <c r="AE57" s="1830"/>
      <c r="AF57" s="1830"/>
      <c r="AG57" s="1830"/>
      <c r="AH57" s="1830"/>
      <c r="AI57" s="1830"/>
      <c r="AJ57" s="1830"/>
      <c r="AK57" s="1830"/>
      <c r="AL57" s="1830"/>
      <c r="AM57" s="1830"/>
      <c r="AN57" s="1830"/>
    </row>
    <row r="58" s="1826" customFormat="1" ht="36" spans="1:40">
      <c r="A58" s="1796" t="s">
        <v>673</v>
      </c>
      <c r="B58" s="2009" t="str">
        <f>估价对象房地状况!C17</f>
        <v>估价对象位于XX商圈，周边办公楼项目较多，入驻率高，办公集聚程度较好</v>
      </c>
      <c r="C58" s="2010"/>
      <c r="D58" s="2011">
        <f t="shared" ref="D58:D66" si="15">SUMIF($J$57:$N$57,C58,J58:N58)</f>
        <v>0</v>
      </c>
      <c r="E58" s="2012">
        <f>ROUND(SUM(D58:D66),4)</f>
        <v>0</v>
      </c>
      <c r="F58" s="2013" t="str">
        <f>IF(E2="办公",SUMIF(L1:L12,G2,N1:N12),"——")</f>
        <v>——</v>
      </c>
      <c r="G58" s="2014"/>
      <c r="H58" s="2015" t="str">
        <f>IFERROR(ROUNDDOWN($F$58*I58/2,4),"——")</f>
        <v>——</v>
      </c>
      <c r="I58" s="2104">
        <v>0.24</v>
      </c>
      <c r="J58" s="2105">
        <f t="shared" ref="J58:J66" si="16">K58+$G58</f>
        <v>0</v>
      </c>
      <c r="K58" s="2105">
        <f t="shared" ref="K58:K66" si="17">$L58+$G58</f>
        <v>0</v>
      </c>
      <c r="L58" s="2105">
        <v>0</v>
      </c>
      <c r="M58" s="2105">
        <f t="shared" ref="M58:N66" si="18">L58-$G58</f>
        <v>0</v>
      </c>
      <c r="N58" s="2105">
        <f t="shared" si="18"/>
        <v>0</v>
      </c>
      <c r="P58" s="1988"/>
      <c r="Q58" s="1988"/>
      <c r="R58" s="2118"/>
      <c r="S58" s="2118"/>
      <c r="T58" s="2118"/>
      <c r="U58" s="2118"/>
      <c r="V58" s="2118"/>
      <c r="W58" s="1988"/>
      <c r="X58" s="1988"/>
      <c r="Y58" s="1988"/>
      <c r="Z58" s="1988"/>
      <c r="AA58" s="1988"/>
      <c r="AB58" s="1988"/>
      <c r="AC58" s="1988"/>
      <c r="AD58" s="2118"/>
      <c r="AE58" s="1830"/>
      <c r="AF58" s="1830"/>
      <c r="AG58" s="1830"/>
      <c r="AH58" s="1830"/>
      <c r="AI58" s="1830"/>
      <c r="AJ58" s="1830"/>
      <c r="AK58" s="1830"/>
      <c r="AL58" s="1830"/>
      <c r="AM58" s="1830"/>
      <c r="AN58" s="1830"/>
    </row>
    <row r="59" s="1826" customFormat="1" ht="48" spans="1:40">
      <c r="A59" s="1796" t="s">
        <v>671</v>
      </c>
      <c r="B59" s="1797" t="str">
        <f>估价对象房地状况!C18</f>
        <v>估价对象周边道路状况、公共交通通达情况、停车便捷程度，综合评价交通便捷度较好</v>
      </c>
      <c r="C59" s="2010"/>
      <c r="D59" s="2011">
        <f t="shared" si="15"/>
        <v>0</v>
      </c>
      <c r="E59" s="2016"/>
      <c r="F59" s="2013"/>
      <c r="G59" s="2014"/>
      <c r="H59" s="2024" t="str">
        <f t="shared" ref="H59:H66" si="19">IFERROR($F$58*I59/2,"——")</f>
        <v>——</v>
      </c>
      <c r="I59" s="2104">
        <v>0.3</v>
      </c>
      <c r="J59" s="2105">
        <f t="shared" si="16"/>
        <v>0</v>
      </c>
      <c r="K59" s="2105">
        <f t="shared" si="17"/>
        <v>0</v>
      </c>
      <c r="L59" s="2105">
        <v>0</v>
      </c>
      <c r="M59" s="2105">
        <f t="shared" si="18"/>
        <v>0</v>
      </c>
      <c r="N59" s="2105">
        <f t="shared" si="18"/>
        <v>0</v>
      </c>
      <c r="P59" s="1988"/>
      <c r="Q59" s="1988"/>
      <c r="R59" s="2118"/>
      <c r="S59" s="2118"/>
      <c r="T59" s="2118"/>
      <c r="U59" s="2118"/>
      <c r="V59" s="2118"/>
      <c r="W59" s="1988"/>
      <c r="X59" s="1988"/>
      <c r="Y59" s="1988"/>
      <c r="Z59" s="1988"/>
      <c r="AA59" s="1988"/>
      <c r="AB59" s="1988"/>
      <c r="AC59" s="1988"/>
      <c r="AD59" s="2118"/>
      <c r="AE59" s="1830"/>
      <c r="AF59" s="1830"/>
      <c r="AG59" s="1830"/>
      <c r="AH59" s="1830"/>
      <c r="AI59" s="1830"/>
      <c r="AJ59" s="1830"/>
      <c r="AK59" s="1830"/>
      <c r="AL59" s="1830"/>
      <c r="AM59" s="1830"/>
      <c r="AN59" s="1830"/>
    </row>
    <row r="60" s="1826" customFormat="1" ht="24" spans="1:40">
      <c r="A60" s="1796" t="s">
        <v>683</v>
      </c>
      <c r="B60" s="1797">
        <f>估价对象房地状况!C19</f>
        <v>0</v>
      </c>
      <c r="C60" s="2010"/>
      <c r="D60" s="2011">
        <f t="shared" si="15"/>
        <v>0</v>
      </c>
      <c r="E60" s="2016"/>
      <c r="F60" s="2013"/>
      <c r="G60" s="2014"/>
      <c r="H60" s="2024" t="str">
        <f t="shared" si="19"/>
        <v>——</v>
      </c>
      <c r="I60" s="2104">
        <v>0.08</v>
      </c>
      <c r="J60" s="2105">
        <f t="shared" si="16"/>
        <v>0</v>
      </c>
      <c r="K60" s="2105">
        <f t="shared" si="17"/>
        <v>0</v>
      </c>
      <c r="L60" s="2105">
        <v>0</v>
      </c>
      <c r="M60" s="2105">
        <f t="shared" si="18"/>
        <v>0</v>
      </c>
      <c r="N60" s="2105">
        <f t="shared" si="18"/>
        <v>0</v>
      </c>
      <c r="P60" s="1988"/>
      <c r="Q60" s="1988"/>
      <c r="R60" s="2118"/>
      <c r="S60" s="2118"/>
      <c r="T60" s="2118"/>
      <c r="U60" s="2118"/>
      <c r="V60" s="2118"/>
      <c r="W60" s="1988"/>
      <c r="X60" s="1988"/>
      <c r="Y60" s="1988"/>
      <c r="Z60" s="1988"/>
      <c r="AA60" s="1988"/>
      <c r="AB60" s="1988"/>
      <c r="AC60" s="1988"/>
      <c r="AD60" s="2118"/>
      <c r="AE60" s="1830"/>
      <c r="AF60" s="1830"/>
      <c r="AG60" s="1830"/>
      <c r="AH60" s="1830"/>
      <c r="AI60" s="1830"/>
      <c r="AJ60" s="1830"/>
      <c r="AK60" s="1830"/>
      <c r="AL60" s="1830"/>
      <c r="AM60" s="1830"/>
      <c r="AN60" s="1830"/>
    </row>
    <row r="61" s="1826" customFormat="1" ht="36" spans="1:40">
      <c r="A61" s="1796" t="s">
        <v>1238</v>
      </c>
      <c r="B61" s="2017" t="s">
        <v>1239</v>
      </c>
      <c r="C61" s="2010"/>
      <c r="D61" s="2011">
        <f t="shared" si="15"/>
        <v>0</v>
      </c>
      <c r="E61" s="2016"/>
      <c r="F61" s="2013"/>
      <c r="G61" s="2014"/>
      <c r="H61" s="2024" t="str">
        <f t="shared" si="19"/>
        <v>——</v>
      </c>
      <c r="I61" s="2104">
        <v>0.04</v>
      </c>
      <c r="J61" s="2105">
        <f t="shared" si="16"/>
        <v>0</v>
      </c>
      <c r="K61" s="2105">
        <f t="shared" si="17"/>
        <v>0</v>
      </c>
      <c r="L61" s="2105">
        <v>0</v>
      </c>
      <c r="M61" s="2105">
        <f t="shared" si="18"/>
        <v>0</v>
      </c>
      <c r="N61" s="2105">
        <f t="shared" si="18"/>
        <v>0</v>
      </c>
      <c r="P61" s="1988"/>
      <c r="Q61" s="1988"/>
      <c r="R61" s="2118"/>
      <c r="S61" s="2118"/>
      <c r="T61" s="2118"/>
      <c r="U61" s="2118"/>
      <c r="V61" s="2118"/>
      <c r="W61" s="1988"/>
      <c r="X61" s="1988"/>
      <c r="Y61" s="1988"/>
      <c r="Z61" s="1988"/>
      <c r="AA61" s="1988"/>
      <c r="AB61" s="1988"/>
      <c r="AC61" s="1988"/>
      <c r="AD61" s="2118"/>
      <c r="AE61" s="1830"/>
      <c r="AF61" s="1830"/>
      <c r="AG61" s="1830"/>
      <c r="AH61" s="1830"/>
      <c r="AI61" s="1830"/>
      <c r="AJ61" s="1830"/>
      <c r="AK61" s="1830"/>
      <c r="AL61" s="1830"/>
      <c r="AM61" s="1830"/>
      <c r="AN61" s="1830"/>
    </row>
    <row r="62" s="1826" customFormat="1" ht="24" spans="1:40">
      <c r="A62" s="1796" t="s">
        <v>1240</v>
      </c>
      <c r="B62" s="1797">
        <f>估价对象房地状况!C24</f>
        <v>0</v>
      </c>
      <c r="C62" s="2010"/>
      <c r="D62" s="2011">
        <f t="shared" si="15"/>
        <v>0</v>
      </c>
      <c r="E62" s="2016"/>
      <c r="F62" s="2013"/>
      <c r="G62" s="2014"/>
      <c r="H62" s="2024" t="str">
        <f t="shared" si="19"/>
        <v>——</v>
      </c>
      <c r="I62" s="2104">
        <v>0.05</v>
      </c>
      <c r="J62" s="2105">
        <f t="shared" si="16"/>
        <v>0</v>
      </c>
      <c r="K62" s="2105">
        <f t="shared" si="17"/>
        <v>0</v>
      </c>
      <c r="L62" s="2105">
        <v>0</v>
      </c>
      <c r="M62" s="2105">
        <f t="shared" si="18"/>
        <v>0</v>
      </c>
      <c r="N62" s="2105">
        <f t="shared" si="18"/>
        <v>0</v>
      </c>
      <c r="P62" s="1988"/>
      <c r="Q62" s="1988"/>
      <c r="R62" s="2118"/>
      <c r="S62" s="2118"/>
      <c r="T62" s="2118"/>
      <c r="U62" s="2118"/>
      <c r="V62" s="2118"/>
      <c r="W62" s="1988"/>
      <c r="X62" s="1988"/>
      <c r="Y62" s="1988"/>
      <c r="Z62" s="1988"/>
      <c r="AA62" s="1988"/>
      <c r="AB62" s="1988"/>
      <c r="AC62" s="1988"/>
      <c r="AD62" s="2118"/>
      <c r="AE62" s="1830"/>
      <c r="AF62" s="1830"/>
      <c r="AG62" s="1830"/>
      <c r="AH62" s="1830"/>
      <c r="AI62" s="1830"/>
      <c r="AJ62" s="1830"/>
      <c r="AK62" s="1830"/>
      <c r="AL62" s="1830"/>
      <c r="AM62" s="1830"/>
      <c r="AN62" s="1830"/>
    </row>
    <row r="63" s="1826" customFormat="1" ht="24" spans="1:40">
      <c r="A63" s="1796" t="s">
        <v>1241</v>
      </c>
      <c r="B63" s="2018" t="s">
        <v>1242</v>
      </c>
      <c r="C63" s="2010"/>
      <c r="D63" s="2011">
        <f t="shared" si="15"/>
        <v>0</v>
      </c>
      <c r="E63" s="2016"/>
      <c r="F63" s="2013"/>
      <c r="G63" s="2014"/>
      <c r="H63" s="2024" t="str">
        <f t="shared" si="19"/>
        <v>——</v>
      </c>
      <c r="I63" s="2104">
        <v>0.05</v>
      </c>
      <c r="J63" s="2105">
        <f t="shared" si="16"/>
        <v>0</v>
      </c>
      <c r="K63" s="2105">
        <f t="shared" si="17"/>
        <v>0</v>
      </c>
      <c r="L63" s="2105">
        <v>0</v>
      </c>
      <c r="M63" s="2105">
        <f t="shared" si="18"/>
        <v>0</v>
      </c>
      <c r="N63" s="2105">
        <f t="shared" si="18"/>
        <v>0</v>
      </c>
      <c r="P63" s="1988"/>
      <c r="Q63" s="1988"/>
      <c r="R63" s="2118"/>
      <c r="S63" s="2118"/>
      <c r="T63" s="2118"/>
      <c r="U63" s="2118"/>
      <c r="V63" s="2118"/>
      <c r="W63" s="1988"/>
      <c r="X63" s="1988"/>
      <c r="Y63" s="1988"/>
      <c r="Z63" s="1988"/>
      <c r="AA63" s="1988"/>
      <c r="AB63" s="1988"/>
      <c r="AC63" s="1988"/>
      <c r="AD63" s="2118"/>
      <c r="AE63" s="1830"/>
      <c r="AF63" s="1830"/>
      <c r="AG63" s="1830"/>
      <c r="AH63" s="1830"/>
      <c r="AI63" s="1830"/>
      <c r="AJ63" s="1830"/>
      <c r="AK63" s="1830"/>
      <c r="AL63" s="1830"/>
      <c r="AM63" s="1830"/>
      <c r="AN63" s="1830"/>
    </row>
    <row r="64" s="1826" customFormat="1" ht="24" spans="1:40">
      <c r="A64" s="1796" t="s">
        <v>1243</v>
      </c>
      <c r="B64" s="1799" t="str">
        <f>估价对象房地状况!C21</f>
        <v>估价对象所在区域公共配套设施齐备情况</v>
      </c>
      <c r="C64" s="2010"/>
      <c r="D64" s="2011">
        <f t="shared" si="15"/>
        <v>0</v>
      </c>
      <c r="E64" s="2016"/>
      <c r="F64" s="2013"/>
      <c r="G64" s="2014"/>
      <c r="H64" s="2024" t="str">
        <f t="shared" si="19"/>
        <v>——</v>
      </c>
      <c r="I64" s="2104">
        <v>0.06</v>
      </c>
      <c r="J64" s="2105">
        <f t="shared" si="16"/>
        <v>0</v>
      </c>
      <c r="K64" s="2105">
        <f t="shared" si="17"/>
        <v>0</v>
      </c>
      <c r="L64" s="2105">
        <v>0</v>
      </c>
      <c r="M64" s="2105">
        <f t="shared" si="18"/>
        <v>0</v>
      </c>
      <c r="N64" s="2105">
        <f t="shared" si="18"/>
        <v>0</v>
      </c>
      <c r="P64" s="1988"/>
      <c r="Q64" s="1988"/>
      <c r="R64" s="2118"/>
      <c r="S64" s="2118"/>
      <c r="T64" s="2118"/>
      <c r="U64" s="2118"/>
      <c r="V64" s="2118"/>
      <c r="W64" s="1988"/>
      <c r="X64" s="1988"/>
      <c r="Y64" s="1988"/>
      <c r="Z64" s="1988"/>
      <c r="AA64" s="1988"/>
      <c r="AB64" s="1988"/>
      <c r="AC64" s="1988"/>
      <c r="AD64" s="2118"/>
      <c r="AE64" s="1830"/>
      <c r="AF64" s="1830"/>
      <c r="AG64" s="1830"/>
      <c r="AH64" s="1830"/>
      <c r="AI64" s="1830"/>
      <c r="AJ64" s="1830"/>
      <c r="AK64" s="1830"/>
      <c r="AL64" s="1830"/>
      <c r="AM64" s="1830"/>
      <c r="AN64" s="1830"/>
    </row>
    <row r="65" s="1826" customFormat="1" ht="24" spans="1:40">
      <c r="A65" s="1796" t="s">
        <v>1244</v>
      </c>
      <c r="B65" s="1799" t="str">
        <f>估价对象房地状况!C22</f>
        <v>估价对象所在区域基础设施水平</v>
      </c>
      <c r="C65" s="2010"/>
      <c r="D65" s="2011">
        <f t="shared" si="15"/>
        <v>0</v>
      </c>
      <c r="E65" s="2016"/>
      <c r="F65" s="2013"/>
      <c r="G65" s="2014"/>
      <c r="H65" s="2024" t="str">
        <f t="shared" si="19"/>
        <v>——</v>
      </c>
      <c r="I65" s="2104">
        <v>0.12</v>
      </c>
      <c r="J65" s="2105">
        <f t="shared" si="16"/>
        <v>0</v>
      </c>
      <c r="K65" s="2105">
        <f t="shared" si="17"/>
        <v>0</v>
      </c>
      <c r="L65" s="2105">
        <v>0</v>
      </c>
      <c r="M65" s="2105">
        <f t="shared" si="18"/>
        <v>0</v>
      </c>
      <c r="N65" s="2105">
        <f t="shared" si="18"/>
        <v>0</v>
      </c>
      <c r="P65" s="1988"/>
      <c r="Q65" s="1988"/>
      <c r="R65" s="2118"/>
      <c r="S65" s="2118"/>
      <c r="T65" s="2118"/>
      <c r="U65" s="2118"/>
      <c r="V65" s="2118"/>
      <c r="W65" s="1988"/>
      <c r="X65" s="1988"/>
      <c r="Y65" s="1988"/>
      <c r="Z65" s="1988"/>
      <c r="AA65" s="1988"/>
      <c r="AB65" s="1988"/>
      <c r="AC65" s="1988"/>
      <c r="AD65" s="2118"/>
      <c r="AE65" s="1830"/>
      <c r="AF65" s="1830"/>
      <c r="AG65" s="1830"/>
      <c r="AH65" s="1830"/>
      <c r="AI65" s="1830"/>
      <c r="AJ65" s="1830"/>
      <c r="AK65" s="1830"/>
      <c r="AL65" s="1830"/>
      <c r="AM65" s="1830"/>
      <c r="AN65" s="1830"/>
    </row>
    <row r="66" s="1826" customFormat="1" ht="24.75" spans="1:40">
      <c r="A66" s="2020" t="s">
        <v>1245</v>
      </c>
      <c r="B66" s="2131" t="str">
        <f>估价对象房地状况!C20</f>
        <v>区域自然环境：；人文环境；综合评价环境状况一般</v>
      </c>
      <c r="C66" s="2010"/>
      <c r="D66" s="2011">
        <f t="shared" si="15"/>
        <v>0</v>
      </c>
      <c r="E66" s="2022"/>
      <c r="F66" s="2013"/>
      <c r="G66" s="2014"/>
      <c r="H66" s="2024" t="str">
        <f t="shared" si="19"/>
        <v>——</v>
      </c>
      <c r="I66" s="2106">
        <v>0.06</v>
      </c>
      <c r="J66" s="2105">
        <f t="shared" si="16"/>
        <v>0</v>
      </c>
      <c r="K66" s="2105">
        <f t="shared" si="17"/>
        <v>0</v>
      </c>
      <c r="L66" s="2105">
        <v>0</v>
      </c>
      <c r="M66" s="2105">
        <f t="shared" si="18"/>
        <v>0</v>
      </c>
      <c r="N66" s="2105">
        <f t="shared" si="18"/>
        <v>0</v>
      </c>
      <c r="P66" s="1988"/>
      <c r="Q66" s="1988"/>
      <c r="R66" s="2118"/>
      <c r="S66" s="2118"/>
      <c r="T66" s="2118"/>
      <c r="U66" s="2118"/>
      <c r="V66" s="2118"/>
      <c r="W66" s="1988"/>
      <c r="X66" s="1988"/>
      <c r="Y66" s="1988"/>
      <c r="Z66" s="1988"/>
      <c r="AA66" s="1988"/>
      <c r="AB66" s="1988"/>
      <c r="AC66" s="1988"/>
      <c r="AD66" s="2118"/>
      <c r="AE66" s="1830"/>
      <c r="AF66" s="1830"/>
      <c r="AG66" s="1830"/>
      <c r="AH66" s="1830"/>
      <c r="AI66" s="1830"/>
      <c r="AJ66" s="1830"/>
      <c r="AK66" s="1830"/>
      <c r="AL66" s="1830"/>
      <c r="AM66" s="1830"/>
      <c r="AN66" s="1830"/>
    </row>
    <row r="67" s="1826" customFormat="1" ht="15" spans="1:40">
      <c r="A67" s="1999" t="s">
        <v>377</v>
      </c>
      <c r="B67" s="2000">
        <f>1+E69</f>
        <v>1</v>
      </c>
      <c r="C67" s="2023"/>
      <c r="D67" s="2002"/>
      <c r="E67" s="2003"/>
      <c r="F67" s="1994"/>
      <c r="G67" s="1998"/>
      <c r="H67" s="1998"/>
      <c r="I67" s="1998"/>
      <c r="J67" s="1746"/>
      <c r="K67" s="1746"/>
      <c r="L67" s="1746"/>
      <c r="M67" s="1746"/>
      <c r="N67" s="1746"/>
      <c r="P67" s="1988"/>
      <c r="Q67" s="1988"/>
      <c r="R67" s="2118"/>
      <c r="S67" s="2118"/>
      <c r="T67" s="2118"/>
      <c r="U67" s="2118"/>
      <c r="V67" s="2118"/>
      <c r="W67" s="1988"/>
      <c r="X67" s="1988"/>
      <c r="Y67" s="1988"/>
      <c r="Z67" s="1988"/>
      <c r="AA67" s="1988"/>
      <c r="AB67" s="1988"/>
      <c r="AC67" s="1988"/>
      <c r="AD67" s="2118"/>
      <c r="AE67" s="1830"/>
      <c r="AF67" s="1830"/>
      <c r="AG67" s="1830"/>
      <c r="AH67" s="1830"/>
      <c r="AI67" s="1830"/>
      <c r="AJ67" s="1830"/>
      <c r="AK67" s="1830"/>
      <c r="AL67" s="1830"/>
      <c r="AM67" s="1830"/>
      <c r="AN67" s="1830"/>
    </row>
    <row r="68" s="1826" customFormat="1" ht="24" spans="1:40">
      <c r="A68" s="1796" t="s">
        <v>1228</v>
      </c>
      <c r="B68" s="1797"/>
      <c r="C68" s="2004" t="s">
        <v>1230</v>
      </c>
      <c r="D68" s="2005" t="s">
        <v>1231</v>
      </c>
      <c r="E68" s="2006" t="s">
        <v>1232</v>
      </c>
      <c r="F68" s="2007" t="s">
        <v>1233</v>
      </c>
      <c r="G68" s="2005" t="s">
        <v>1234</v>
      </c>
      <c r="H68" s="2008" t="s">
        <v>1235</v>
      </c>
      <c r="I68" s="2005" t="s">
        <v>1236</v>
      </c>
      <c r="J68" s="2103" t="s">
        <v>250</v>
      </c>
      <c r="K68" s="2103" t="s">
        <v>262</v>
      </c>
      <c r="L68" s="2103" t="s">
        <v>272</v>
      </c>
      <c r="M68" s="2103" t="s">
        <v>282</v>
      </c>
      <c r="N68" s="2103" t="s">
        <v>289</v>
      </c>
      <c r="P68" s="1988"/>
      <c r="Q68" s="1988"/>
      <c r="R68" s="2118"/>
      <c r="S68" s="2118"/>
      <c r="T68" s="2118"/>
      <c r="U68" s="2118"/>
      <c r="V68" s="2118"/>
      <c r="W68" s="1988"/>
      <c r="X68" s="1988"/>
      <c r="Y68" s="1988"/>
      <c r="Z68" s="1988"/>
      <c r="AA68" s="1988"/>
      <c r="AB68" s="1988"/>
      <c r="AC68" s="1988"/>
      <c r="AD68" s="2118"/>
      <c r="AE68" s="1830"/>
      <c r="AF68" s="1830"/>
      <c r="AG68" s="1830"/>
      <c r="AH68" s="1830"/>
      <c r="AI68" s="1830"/>
      <c r="AJ68" s="1830"/>
      <c r="AK68" s="1830"/>
      <c r="AL68" s="1830"/>
      <c r="AM68" s="1830"/>
      <c r="AN68" s="1830"/>
    </row>
    <row r="69" s="1826" customFormat="1" ht="48" spans="1:40">
      <c r="A69" s="1796" t="s">
        <v>665</v>
      </c>
      <c r="B69" s="2009" t="str">
        <f>估价对象房地状况!C15</f>
        <v>估价对象周边居住用地比例、居住小区规模和社区发展完善程度，综合评价居住社区成熟度一般</v>
      </c>
      <c r="C69" s="2132"/>
      <c r="D69" s="2011">
        <f t="shared" ref="D69:D77" si="20">SUMIF($J$68:$N$68,C69,J69:N69)</f>
        <v>0</v>
      </c>
      <c r="E69" s="2012">
        <f>ROUND(SUM(D69:D77),4)</f>
        <v>0</v>
      </c>
      <c r="F69" s="2013" t="str">
        <f>IF(E2="住宅",SUMIF(L1:L12,G2,N1:N12),"——")</f>
        <v>——</v>
      </c>
      <c r="G69" s="2133"/>
      <c r="H69" s="2134" t="str">
        <f t="shared" ref="H69:H77" si="21">IFERROR(ROUNDDOWN($F$69*I69/2,4),"——")</f>
        <v>——</v>
      </c>
      <c r="I69" s="2104">
        <v>0.14</v>
      </c>
      <c r="J69" s="2105">
        <f t="shared" ref="J69:J77" si="22">K69+$G69</f>
        <v>0</v>
      </c>
      <c r="K69" s="2105">
        <f t="shared" ref="K69:K77" si="23">$L69+$G69</f>
        <v>0</v>
      </c>
      <c r="L69" s="2105">
        <v>0</v>
      </c>
      <c r="M69" s="2105">
        <f t="shared" ref="M69:N77" si="24">L69-$G69</f>
        <v>0</v>
      </c>
      <c r="N69" s="2105">
        <f t="shared" si="24"/>
        <v>0</v>
      </c>
      <c r="P69" s="1988"/>
      <c r="Q69" s="1988"/>
      <c r="R69" s="2118"/>
      <c r="S69" s="2118"/>
      <c r="T69" s="2118"/>
      <c r="U69" s="2118"/>
      <c r="V69" s="2118"/>
      <c r="W69" s="1988"/>
      <c r="X69" s="1988"/>
      <c r="Y69" s="1988"/>
      <c r="Z69" s="1988"/>
      <c r="AA69" s="1988"/>
      <c r="AB69" s="1988"/>
      <c r="AC69" s="1988"/>
      <c r="AD69" s="2118"/>
      <c r="AE69" s="1830"/>
      <c r="AF69" s="1830"/>
      <c r="AG69" s="1830"/>
      <c r="AH69" s="1830"/>
      <c r="AI69" s="1830"/>
      <c r="AJ69" s="1830"/>
      <c r="AK69" s="1830"/>
      <c r="AL69" s="1830"/>
      <c r="AM69" s="1830"/>
      <c r="AN69" s="1830"/>
    </row>
    <row r="70" s="1826" customFormat="1" ht="48" spans="1:40">
      <c r="A70" s="1796" t="s">
        <v>671</v>
      </c>
      <c r="B70" s="1797" t="str">
        <f>估价对象房地状况!C18</f>
        <v>估价对象周边道路状况、公共交通通达情况、停车便捷程度，综合评价交通便捷度较好</v>
      </c>
      <c r="C70" s="2132"/>
      <c r="D70" s="2011">
        <f t="shared" si="20"/>
        <v>0</v>
      </c>
      <c r="E70" s="2135"/>
      <c r="F70" s="2136"/>
      <c r="G70" s="2133"/>
      <c r="H70" s="2134" t="str">
        <f t="shared" si="21"/>
        <v>——</v>
      </c>
      <c r="I70" s="2104">
        <v>0.3</v>
      </c>
      <c r="J70" s="2105">
        <f t="shared" si="22"/>
        <v>0</v>
      </c>
      <c r="K70" s="2105">
        <f t="shared" si="23"/>
        <v>0</v>
      </c>
      <c r="L70" s="2105">
        <v>0</v>
      </c>
      <c r="M70" s="2105">
        <f t="shared" si="24"/>
        <v>0</v>
      </c>
      <c r="N70" s="2105">
        <f t="shared" si="24"/>
        <v>0</v>
      </c>
      <c r="P70" s="1988"/>
      <c r="Q70" s="1988"/>
      <c r="R70" s="2118"/>
      <c r="S70" s="2118"/>
      <c r="T70" s="2118"/>
      <c r="U70" s="2118"/>
      <c r="V70" s="2118"/>
      <c r="W70" s="1988"/>
      <c r="X70" s="1988"/>
      <c r="Y70" s="1988"/>
      <c r="Z70" s="1988"/>
      <c r="AA70" s="1988"/>
      <c r="AB70" s="1988"/>
      <c r="AC70" s="1988"/>
      <c r="AD70" s="2118"/>
      <c r="AE70" s="1830"/>
      <c r="AF70" s="1830"/>
      <c r="AG70" s="1830"/>
      <c r="AH70" s="1830"/>
      <c r="AI70" s="1830"/>
      <c r="AJ70" s="1830"/>
      <c r="AK70" s="1830"/>
      <c r="AL70" s="1830"/>
      <c r="AM70" s="1830"/>
      <c r="AN70" s="1830"/>
    </row>
    <row r="71" s="1826" customFormat="1" ht="24" spans="1:40">
      <c r="A71" s="1796" t="s">
        <v>683</v>
      </c>
      <c r="B71" s="1797">
        <f>估价对象房地状况!C19</f>
        <v>0</v>
      </c>
      <c r="C71" s="2132"/>
      <c r="D71" s="2011">
        <f t="shared" si="20"/>
        <v>0</v>
      </c>
      <c r="E71" s="2135"/>
      <c r="F71" s="2136"/>
      <c r="G71" s="2133"/>
      <c r="H71" s="2134" t="str">
        <f t="shared" si="21"/>
        <v>——</v>
      </c>
      <c r="I71" s="2104">
        <v>0.08</v>
      </c>
      <c r="J71" s="2105">
        <f t="shared" si="22"/>
        <v>0</v>
      </c>
      <c r="K71" s="2105">
        <f t="shared" si="23"/>
        <v>0</v>
      </c>
      <c r="L71" s="2105">
        <v>0</v>
      </c>
      <c r="M71" s="2105">
        <f t="shared" si="24"/>
        <v>0</v>
      </c>
      <c r="N71" s="2105">
        <f t="shared" si="24"/>
        <v>0</v>
      </c>
      <c r="P71" s="1988"/>
      <c r="Q71" s="1988"/>
      <c r="R71" s="2118"/>
      <c r="S71" s="2118"/>
      <c r="T71" s="2118"/>
      <c r="U71" s="2118"/>
      <c r="V71" s="2118"/>
      <c r="W71" s="1988"/>
      <c r="X71" s="1988"/>
      <c r="Y71" s="1988"/>
      <c r="Z71" s="1988"/>
      <c r="AA71" s="1988"/>
      <c r="AB71" s="1988"/>
      <c r="AC71" s="1988"/>
      <c r="AD71" s="2118"/>
      <c r="AE71" s="1830"/>
      <c r="AF71" s="1830"/>
      <c r="AG71" s="1830"/>
      <c r="AH71" s="1830"/>
      <c r="AI71" s="1830"/>
      <c r="AJ71" s="1830"/>
      <c r="AK71" s="1830"/>
      <c r="AL71" s="1830"/>
      <c r="AM71" s="1830"/>
      <c r="AN71" s="1830"/>
    </row>
    <row r="72" s="1826" customFormat="1" ht="14.25" spans="1:40">
      <c r="A72" s="1796" t="s">
        <v>1246</v>
      </c>
      <c r="B72" s="1797">
        <f>估价对象房地状况!C24</f>
        <v>0</v>
      </c>
      <c r="C72" s="2132"/>
      <c r="D72" s="2011">
        <f t="shared" si="20"/>
        <v>0</v>
      </c>
      <c r="E72" s="2135"/>
      <c r="F72" s="2136"/>
      <c r="G72" s="2133"/>
      <c r="H72" s="2134" t="str">
        <f t="shared" si="21"/>
        <v>——</v>
      </c>
      <c r="I72" s="2104">
        <v>0.04</v>
      </c>
      <c r="J72" s="2105">
        <f t="shared" si="22"/>
        <v>0</v>
      </c>
      <c r="K72" s="2105">
        <f t="shared" si="23"/>
        <v>0</v>
      </c>
      <c r="L72" s="2105">
        <v>0</v>
      </c>
      <c r="M72" s="2105">
        <f t="shared" si="24"/>
        <v>0</v>
      </c>
      <c r="N72" s="2105">
        <f t="shared" si="24"/>
        <v>0</v>
      </c>
      <c r="P72" s="1988"/>
      <c r="Q72" s="1988"/>
      <c r="R72" s="2118"/>
      <c r="S72" s="2118"/>
      <c r="T72" s="2118"/>
      <c r="U72" s="2118"/>
      <c r="V72" s="2118"/>
      <c r="W72" s="1988"/>
      <c r="X72" s="1988"/>
      <c r="Y72" s="1988"/>
      <c r="Z72" s="1988"/>
      <c r="AA72" s="1988"/>
      <c r="AB72" s="1988"/>
      <c r="AC72" s="1988"/>
      <c r="AD72" s="2118"/>
      <c r="AE72" s="1830"/>
      <c r="AF72" s="1830"/>
      <c r="AG72" s="1830"/>
      <c r="AH72" s="1830"/>
      <c r="AI72" s="1830"/>
      <c r="AJ72" s="1830"/>
      <c r="AK72" s="1830"/>
      <c r="AL72" s="1830"/>
      <c r="AM72" s="1830"/>
      <c r="AN72" s="1830"/>
    </row>
    <row r="73" s="1826" customFormat="1" ht="24" spans="1:40">
      <c r="A73" s="1796" t="s">
        <v>1243</v>
      </c>
      <c r="B73" s="1799" t="str">
        <f>估价对象房地状况!C21</f>
        <v>估价对象所在区域公共配套设施齐备情况</v>
      </c>
      <c r="C73" s="2132"/>
      <c r="D73" s="2011">
        <f t="shared" si="20"/>
        <v>0</v>
      </c>
      <c r="E73" s="2135"/>
      <c r="F73" s="2136"/>
      <c r="G73" s="2133"/>
      <c r="H73" s="2134" t="str">
        <f t="shared" si="21"/>
        <v>——</v>
      </c>
      <c r="I73" s="2104">
        <v>0.08</v>
      </c>
      <c r="J73" s="2105">
        <f t="shared" si="22"/>
        <v>0</v>
      </c>
      <c r="K73" s="2105">
        <f t="shared" si="23"/>
        <v>0</v>
      </c>
      <c r="L73" s="2105">
        <v>0</v>
      </c>
      <c r="M73" s="2105">
        <f t="shared" si="24"/>
        <v>0</v>
      </c>
      <c r="N73" s="2105">
        <f t="shared" si="24"/>
        <v>0</v>
      </c>
      <c r="P73" s="1988"/>
      <c r="Q73" s="1988"/>
      <c r="R73" s="2118"/>
      <c r="S73" s="2118"/>
      <c r="T73" s="2118"/>
      <c r="U73" s="2118"/>
      <c r="V73" s="2118"/>
      <c r="W73" s="1988"/>
      <c r="X73" s="1988"/>
      <c r="Y73" s="1988"/>
      <c r="Z73" s="1988"/>
      <c r="AA73" s="1988"/>
      <c r="AB73" s="1988"/>
      <c r="AC73" s="1988"/>
      <c r="AD73" s="2118"/>
      <c r="AE73" s="1830"/>
      <c r="AF73" s="1830"/>
      <c r="AG73" s="1830"/>
      <c r="AH73" s="1830"/>
      <c r="AI73" s="1830"/>
      <c r="AJ73" s="1830"/>
      <c r="AK73" s="1830"/>
      <c r="AL73" s="1830"/>
      <c r="AM73" s="1830"/>
      <c r="AN73" s="1830"/>
    </row>
    <row r="74" s="1826" customFormat="1" ht="24" spans="1:40">
      <c r="A74" s="1796" t="s">
        <v>1244</v>
      </c>
      <c r="B74" s="1799" t="str">
        <f>估价对象房地状况!C22</f>
        <v>估价对象所在区域基础设施水平</v>
      </c>
      <c r="C74" s="2132"/>
      <c r="D74" s="2011">
        <f t="shared" si="20"/>
        <v>0</v>
      </c>
      <c r="E74" s="2135"/>
      <c r="F74" s="2136"/>
      <c r="G74" s="2133"/>
      <c r="H74" s="2134" t="str">
        <f t="shared" si="21"/>
        <v>——</v>
      </c>
      <c r="I74" s="2104">
        <v>0.12</v>
      </c>
      <c r="J74" s="2105">
        <f t="shared" si="22"/>
        <v>0</v>
      </c>
      <c r="K74" s="2105">
        <f t="shared" si="23"/>
        <v>0</v>
      </c>
      <c r="L74" s="2105">
        <v>0</v>
      </c>
      <c r="M74" s="2105">
        <f t="shared" si="24"/>
        <v>0</v>
      </c>
      <c r="N74" s="2105">
        <f t="shared" si="24"/>
        <v>0</v>
      </c>
      <c r="P74" s="1988"/>
      <c r="Q74" s="1988"/>
      <c r="R74" s="2118"/>
      <c r="S74" s="2118"/>
      <c r="T74" s="2118"/>
      <c r="U74" s="2118"/>
      <c r="V74" s="2118"/>
      <c r="W74" s="1988"/>
      <c r="X74" s="1988"/>
      <c r="Y74" s="1988"/>
      <c r="Z74" s="1988"/>
      <c r="AA74" s="1988"/>
      <c r="AB74" s="1988"/>
      <c r="AC74" s="1988"/>
      <c r="AD74" s="2118"/>
      <c r="AE74" s="1830"/>
      <c r="AF74" s="1830"/>
      <c r="AG74" s="1830"/>
      <c r="AH74" s="1830"/>
      <c r="AI74" s="1830"/>
      <c r="AJ74" s="1830"/>
      <c r="AK74" s="1830"/>
      <c r="AL74" s="1830"/>
      <c r="AM74" s="1830"/>
      <c r="AN74" s="1830"/>
    </row>
    <row r="75" s="1826" customFormat="1" ht="24" spans="1:40">
      <c r="A75" s="1796" t="s">
        <v>1241</v>
      </c>
      <c r="B75" s="2018" t="s">
        <v>1242</v>
      </c>
      <c r="C75" s="2132"/>
      <c r="D75" s="2011">
        <f t="shared" si="20"/>
        <v>0</v>
      </c>
      <c r="E75" s="2135"/>
      <c r="F75" s="2136"/>
      <c r="G75" s="2133"/>
      <c r="H75" s="2134" t="str">
        <f t="shared" si="21"/>
        <v>——</v>
      </c>
      <c r="I75" s="2104">
        <v>0.05</v>
      </c>
      <c r="J75" s="2105">
        <f t="shared" si="22"/>
        <v>0</v>
      </c>
      <c r="K75" s="2105">
        <f t="shared" si="23"/>
        <v>0</v>
      </c>
      <c r="L75" s="2105">
        <v>0</v>
      </c>
      <c r="M75" s="2105">
        <f t="shared" si="24"/>
        <v>0</v>
      </c>
      <c r="N75" s="2105">
        <f t="shared" si="24"/>
        <v>0</v>
      </c>
      <c r="P75" s="1988"/>
      <c r="Q75" s="1988"/>
      <c r="R75" s="2118"/>
      <c r="S75" s="2118"/>
      <c r="T75" s="2118"/>
      <c r="U75" s="2118"/>
      <c r="V75" s="2118"/>
      <c r="W75" s="1988"/>
      <c r="X75" s="1988"/>
      <c r="Y75" s="1988"/>
      <c r="Z75" s="1988"/>
      <c r="AA75" s="1988"/>
      <c r="AB75" s="1988"/>
      <c r="AC75" s="1988"/>
      <c r="AD75" s="2118"/>
      <c r="AE75" s="1830"/>
      <c r="AF75" s="1830"/>
      <c r="AG75" s="1830"/>
      <c r="AH75" s="1830"/>
      <c r="AI75" s="1830"/>
      <c r="AJ75" s="1830"/>
      <c r="AK75" s="1830"/>
      <c r="AL75" s="1830"/>
      <c r="AM75" s="1830"/>
      <c r="AN75" s="1830"/>
    </row>
    <row r="76" ht="24" spans="1:40">
      <c r="A76" s="1796" t="s">
        <v>1245</v>
      </c>
      <c r="B76" s="2009" t="str">
        <f>估价对象房地状况!C20</f>
        <v>区域自然环境：；人文环境；综合评价环境状况一般</v>
      </c>
      <c r="C76" s="2132"/>
      <c r="D76" s="2011">
        <f t="shared" si="20"/>
        <v>0</v>
      </c>
      <c r="E76" s="2135"/>
      <c r="F76" s="2136"/>
      <c r="G76" s="2133"/>
      <c r="H76" s="2134" t="str">
        <f t="shared" si="21"/>
        <v>——</v>
      </c>
      <c r="I76" s="2104">
        <v>0.15</v>
      </c>
      <c r="J76" s="2105">
        <f t="shared" si="22"/>
        <v>0</v>
      </c>
      <c r="K76" s="2105">
        <f t="shared" si="23"/>
        <v>0</v>
      </c>
      <c r="L76" s="2105">
        <v>0</v>
      </c>
      <c r="M76" s="2105">
        <f t="shared" si="24"/>
        <v>0</v>
      </c>
      <c r="N76" s="2105">
        <f t="shared" si="24"/>
        <v>0</v>
      </c>
      <c r="P76" s="2166"/>
      <c r="Q76" s="2166"/>
      <c r="R76" s="2172"/>
      <c r="S76" s="2172"/>
      <c r="T76" s="2172"/>
      <c r="U76" s="2172"/>
      <c r="V76" s="2172"/>
      <c r="W76" s="2166"/>
      <c r="X76" s="2166"/>
      <c r="Y76" s="2166"/>
      <c r="Z76" s="2166"/>
      <c r="AA76" s="2166"/>
      <c r="AB76" s="2166"/>
      <c r="AC76" s="2166"/>
      <c r="AD76" s="2172"/>
      <c r="AJ76" s="1830"/>
      <c r="AN76" s="1827"/>
    </row>
    <row r="77" ht="24.75" spans="1:40">
      <c r="A77" s="2020" t="s">
        <v>1247</v>
      </c>
      <c r="B77" s="2137"/>
      <c r="C77" s="2132"/>
      <c r="D77" s="2011">
        <f t="shared" si="20"/>
        <v>0</v>
      </c>
      <c r="E77" s="2080"/>
      <c r="F77" s="2136"/>
      <c r="G77" s="2133"/>
      <c r="H77" s="2134" t="str">
        <f t="shared" si="21"/>
        <v>——</v>
      </c>
      <c r="I77" s="2106">
        <v>0.04</v>
      </c>
      <c r="J77" s="2105">
        <f t="shared" si="22"/>
        <v>0</v>
      </c>
      <c r="K77" s="2105">
        <f t="shared" si="23"/>
        <v>0</v>
      </c>
      <c r="L77" s="2105">
        <v>0</v>
      </c>
      <c r="M77" s="2105">
        <f t="shared" si="24"/>
        <v>0</v>
      </c>
      <c r="N77" s="2105">
        <f t="shared" si="24"/>
        <v>0</v>
      </c>
      <c r="AC77" s="1829"/>
      <c r="AD77" s="1827"/>
      <c r="AJ77" s="1830"/>
      <c r="AN77" s="1827"/>
    </row>
    <row r="78" ht="15" spans="1:40">
      <c r="A78" s="1999" t="s">
        <v>164</v>
      </c>
      <c r="B78" s="2000">
        <f>1+E80</f>
        <v>1</v>
      </c>
      <c r="C78" s="2023"/>
      <c r="D78" s="2002"/>
      <c r="E78" s="2003"/>
      <c r="F78" s="1994"/>
      <c r="G78" s="1998"/>
      <c r="H78" s="1998"/>
      <c r="I78" s="1998"/>
      <c r="J78" s="1746"/>
      <c r="K78" s="1746"/>
      <c r="L78" s="1746"/>
      <c r="M78" s="1746"/>
      <c r="N78" s="1746"/>
      <c r="AC78" s="1829"/>
      <c r="AD78" s="1827"/>
      <c r="AJ78" s="1830"/>
      <c r="AN78" s="1827"/>
    </row>
    <row r="79" ht="24" spans="1:40">
      <c r="A79" s="1796" t="s">
        <v>1228</v>
      </c>
      <c r="B79" s="1797"/>
      <c r="C79" s="2004" t="s">
        <v>1230</v>
      </c>
      <c r="D79" s="2005" t="s">
        <v>1231</v>
      </c>
      <c r="E79" s="2006" t="s">
        <v>1232</v>
      </c>
      <c r="F79" s="2007" t="s">
        <v>1233</v>
      </c>
      <c r="G79" s="2005" t="s">
        <v>1234</v>
      </c>
      <c r="H79" s="2008" t="s">
        <v>1235</v>
      </c>
      <c r="I79" s="2005" t="s">
        <v>1236</v>
      </c>
      <c r="J79" s="2103" t="s">
        <v>250</v>
      </c>
      <c r="K79" s="2103" t="s">
        <v>262</v>
      </c>
      <c r="L79" s="2103" t="s">
        <v>272</v>
      </c>
      <c r="M79" s="2103" t="s">
        <v>282</v>
      </c>
      <c r="N79" s="2103" t="s">
        <v>289</v>
      </c>
      <c r="AC79" s="1829"/>
      <c r="AD79" s="1827"/>
      <c r="AJ79" s="1830"/>
      <c r="AN79" s="1827"/>
    </row>
    <row r="80" ht="36" spans="1:40">
      <c r="A80" s="1796" t="s">
        <v>667</v>
      </c>
      <c r="B80" s="1797" t="str">
        <f>估价对象房地状况!G15</f>
        <v>估价对象位于XX开发区，园区建设成熟度XX，产业集聚程度XX</v>
      </c>
      <c r="C80" s="2010"/>
      <c r="D80" s="2011">
        <f t="shared" ref="D80:D87" si="25">SUMIF($J$79:$N$79,C80,J80:N80)</f>
        <v>0</v>
      </c>
      <c r="E80" s="2012">
        <f>ROUND(SUM(D80:D87),4)</f>
        <v>0</v>
      </c>
      <c r="F80" s="2013" t="str">
        <f>IF(E2="工业",SUMIF(L1:L12,G2,N1:N12),"——")</f>
        <v>——</v>
      </c>
      <c r="G80" s="2014"/>
      <c r="H80" s="2015" t="str">
        <f t="shared" ref="H80:H87" si="26">IFERROR(ROUNDDOWN($F$80*I80/2,4),"——")</f>
        <v>——</v>
      </c>
      <c r="I80" s="2104">
        <v>0.26</v>
      </c>
      <c r="J80" s="2105">
        <f t="shared" ref="J80:J87" si="27">K80+$G80</f>
        <v>0</v>
      </c>
      <c r="K80" s="2105">
        <f t="shared" ref="K80:K87" si="28">$L80+$G80</f>
        <v>0</v>
      </c>
      <c r="L80" s="2105">
        <v>0</v>
      </c>
      <c r="M80" s="2105">
        <f t="shared" ref="M80:N87" si="29">L80-$G80</f>
        <v>0</v>
      </c>
      <c r="N80" s="2105">
        <f t="shared" si="29"/>
        <v>0</v>
      </c>
      <c r="AC80" s="1829"/>
      <c r="AD80" s="1827"/>
      <c r="AJ80" s="1830"/>
      <c r="AN80" s="1827"/>
    </row>
    <row r="81" ht="48" spans="1:40">
      <c r="A81" s="1796" t="s">
        <v>671</v>
      </c>
      <c r="B81" s="1797" t="str">
        <f>估价对象房地状况!G16</f>
        <v>估价对象周边道路状况、公共交通通达情况、停车便捷程度，综合评价交通便捷度较好</v>
      </c>
      <c r="C81" s="2010"/>
      <c r="D81" s="2011">
        <f t="shared" si="25"/>
        <v>0</v>
      </c>
      <c r="E81" s="2135"/>
      <c r="F81" s="2136"/>
      <c r="G81" s="2014"/>
      <c r="H81" s="2015" t="str">
        <f t="shared" si="26"/>
        <v>——</v>
      </c>
      <c r="I81" s="2104">
        <v>0.33</v>
      </c>
      <c r="J81" s="2105">
        <f t="shared" si="27"/>
        <v>0</v>
      </c>
      <c r="K81" s="2105">
        <f t="shared" si="28"/>
        <v>0</v>
      </c>
      <c r="L81" s="2105">
        <v>0</v>
      </c>
      <c r="M81" s="2105">
        <f t="shared" si="29"/>
        <v>0</v>
      </c>
      <c r="N81" s="2105">
        <f t="shared" si="29"/>
        <v>0</v>
      </c>
      <c r="AC81" s="1829"/>
      <c r="AD81" s="1827"/>
      <c r="AJ81" s="1830"/>
      <c r="AN81" s="1827"/>
    </row>
    <row r="82" ht="24" spans="1:40">
      <c r="A82" s="1796" t="s">
        <v>683</v>
      </c>
      <c r="B82" s="1797">
        <f>估价对象房地状况!G17</f>
        <v>0</v>
      </c>
      <c r="C82" s="2010"/>
      <c r="D82" s="2011">
        <f t="shared" si="25"/>
        <v>0</v>
      </c>
      <c r="E82" s="2135"/>
      <c r="F82" s="2136"/>
      <c r="G82" s="2014"/>
      <c r="H82" s="2015" t="str">
        <f t="shared" si="26"/>
        <v>——</v>
      </c>
      <c r="I82" s="2104">
        <v>0.05</v>
      </c>
      <c r="J82" s="2105">
        <f t="shared" si="27"/>
        <v>0</v>
      </c>
      <c r="K82" s="2105">
        <f t="shared" si="28"/>
        <v>0</v>
      </c>
      <c r="L82" s="2105">
        <v>0</v>
      </c>
      <c r="M82" s="2105">
        <f t="shared" si="29"/>
        <v>0</v>
      </c>
      <c r="N82" s="2105">
        <f t="shared" si="29"/>
        <v>0</v>
      </c>
      <c r="AC82" s="1829"/>
      <c r="AD82" s="1827"/>
      <c r="AJ82" s="1830"/>
      <c r="AN82" s="1827"/>
    </row>
    <row r="83" ht="14.25" spans="1:40">
      <c r="A83" s="1796" t="s">
        <v>1246</v>
      </c>
      <c r="B83" s="1797">
        <f>估价对象房地状况!G22</f>
        <v>0</v>
      </c>
      <c r="C83" s="2010"/>
      <c r="D83" s="2011">
        <f t="shared" si="25"/>
        <v>0</v>
      </c>
      <c r="E83" s="2135"/>
      <c r="F83" s="2136"/>
      <c r="G83" s="2014"/>
      <c r="H83" s="2015" t="str">
        <f t="shared" si="26"/>
        <v>——</v>
      </c>
      <c r="I83" s="2104">
        <v>0.04</v>
      </c>
      <c r="J83" s="2105">
        <f t="shared" si="27"/>
        <v>0</v>
      </c>
      <c r="K83" s="2105">
        <f t="shared" si="28"/>
        <v>0</v>
      </c>
      <c r="L83" s="2105">
        <v>0</v>
      </c>
      <c r="M83" s="2105">
        <f t="shared" si="29"/>
        <v>0</v>
      </c>
      <c r="N83" s="2105">
        <f t="shared" si="29"/>
        <v>0</v>
      </c>
      <c r="AC83" s="1829"/>
      <c r="AD83" s="1827"/>
      <c r="AJ83" s="1830"/>
      <c r="AN83" s="1827"/>
    </row>
    <row r="84" ht="24" spans="1:40">
      <c r="A84" s="1796" t="s">
        <v>1243</v>
      </c>
      <c r="B84" s="1799" t="str">
        <f>估价对象房地状况!G19</f>
        <v>估价对象所在区域公共配套设施齐备情况</v>
      </c>
      <c r="C84" s="2010"/>
      <c r="D84" s="2011">
        <f t="shared" si="25"/>
        <v>0</v>
      </c>
      <c r="E84" s="2135"/>
      <c r="F84" s="2136"/>
      <c r="G84" s="2014"/>
      <c r="H84" s="2015" t="str">
        <f t="shared" si="26"/>
        <v>——</v>
      </c>
      <c r="I84" s="2104">
        <v>0.06</v>
      </c>
      <c r="J84" s="2105">
        <f t="shared" si="27"/>
        <v>0</v>
      </c>
      <c r="K84" s="2105">
        <f t="shared" si="28"/>
        <v>0</v>
      </c>
      <c r="L84" s="2105">
        <v>0</v>
      </c>
      <c r="M84" s="2105">
        <f t="shared" si="29"/>
        <v>0</v>
      </c>
      <c r="N84" s="2105">
        <f t="shared" si="29"/>
        <v>0</v>
      </c>
      <c r="AC84" s="1829"/>
      <c r="AD84" s="1827"/>
      <c r="AJ84" s="1830"/>
      <c r="AN84" s="1827"/>
    </row>
    <row r="85" ht="24" spans="1:40">
      <c r="A85" s="1796" t="s">
        <v>1244</v>
      </c>
      <c r="B85" s="1799" t="str">
        <f>估价对象房地状况!G20</f>
        <v>估价对象所在区域基础设施水平</v>
      </c>
      <c r="C85" s="2010"/>
      <c r="D85" s="2011">
        <f t="shared" si="25"/>
        <v>0</v>
      </c>
      <c r="E85" s="2135"/>
      <c r="F85" s="2136"/>
      <c r="G85" s="2014"/>
      <c r="H85" s="2015" t="str">
        <f t="shared" si="26"/>
        <v>——</v>
      </c>
      <c r="I85" s="2104">
        <v>0.15</v>
      </c>
      <c r="J85" s="2105">
        <f t="shared" si="27"/>
        <v>0</v>
      </c>
      <c r="K85" s="2105">
        <f t="shared" si="28"/>
        <v>0</v>
      </c>
      <c r="L85" s="2105">
        <v>0</v>
      </c>
      <c r="M85" s="2105">
        <f t="shared" si="29"/>
        <v>0</v>
      </c>
      <c r="N85" s="2105">
        <f t="shared" si="29"/>
        <v>0</v>
      </c>
      <c r="AC85" s="1829"/>
      <c r="AD85" s="1827"/>
      <c r="AJ85" s="1830"/>
      <c r="AN85" s="1827"/>
    </row>
    <row r="86" ht="24" spans="1:40">
      <c r="A86" s="1796" t="s">
        <v>1241</v>
      </c>
      <c r="B86" s="2018" t="s">
        <v>1242</v>
      </c>
      <c r="C86" s="2010"/>
      <c r="D86" s="2011">
        <f t="shared" si="25"/>
        <v>0</v>
      </c>
      <c r="E86" s="2135"/>
      <c r="F86" s="2136"/>
      <c r="G86" s="2014"/>
      <c r="H86" s="2015" t="str">
        <f t="shared" si="26"/>
        <v>——</v>
      </c>
      <c r="I86" s="2104">
        <v>0.05</v>
      </c>
      <c r="J86" s="2105">
        <f t="shared" si="27"/>
        <v>0</v>
      </c>
      <c r="K86" s="2105">
        <f t="shared" si="28"/>
        <v>0</v>
      </c>
      <c r="L86" s="2105">
        <v>0</v>
      </c>
      <c r="M86" s="2105">
        <f t="shared" si="29"/>
        <v>0</v>
      </c>
      <c r="N86" s="2105">
        <f t="shared" si="29"/>
        <v>0</v>
      </c>
      <c r="AC86" s="1829"/>
      <c r="AD86" s="1827"/>
      <c r="AJ86" s="1830"/>
      <c r="AN86" s="1827"/>
    </row>
    <row r="87" ht="36.75" spans="1:40">
      <c r="A87" s="2020" t="s">
        <v>677</v>
      </c>
      <c r="B87" s="2138" t="str">
        <f>估价对象房地状况!G18</f>
        <v>该园区内是否有污染型企业，绿化情况，卫生条件，整体环境状况判断</v>
      </c>
      <c r="C87" s="2010"/>
      <c r="D87" s="2011">
        <f t="shared" si="25"/>
        <v>0</v>
      </c>
      <c r="E87" s="2080"/>
      <c r="F87" s="2136"/>
      <c r="G87" s="2014"/>
      <c r="H87" s="2015" t="str">
        <f t="shared" si="26"/>
        <v>——</v>
      </c>
      <c r="I87" s="2106">
        <v>0.06</v>
      </c>
      <c r="J87" s="2105">
        <f t="shared" si="27"/>
        <v>0</v>
      </c>
      <c r="K87" s="2105">
        <f t="shared" si="28"/>
        <v>0</v>
      </c>
      <c r="L87" s="2105">
        <v>0</v>
      </c>
      <c r="M87" s="2105">
        <f t="shared" si="29"/>
        <v>0</v>
      </c>
      <c r="N87" s="2105">
        <f t="shared" si="29"/>
        <v>0</v>
      </c>
      <c r="AC87" s="1829"/>
      <c r="AD87" s="1827"/>
      <c r="AJ87" s="1830"/>
      <c r="AN87" s="1827"/>
    </row>
    <row r="90" spans="1:14">
      <c r="A90" s="1824" t="s">
        <v>1248</v>
      </c>
      <c r="B90" s="1824"/>
      <c r="C90" s="1824"/>
      <c r="D90" s="1824"/>
      <c r="E90" s="1824"/>
      <c r="F90" s="1824"/>
      <c r="G90" s="1824"/>
      <c r="H90" s="1824"/>
      <c r="I90" s="1824"/>
      <c r="J90" s="1824"/>
      <c r="K90" s="1824"/>
      <c r="L90" s="1824"/>
      <c r="M90" s="1824"/>
      <c r="N90" s="1824"/>
    </row>
    <row r="91" spans="1:14">
      <c r="A91" s="1807" t="s">
        <v>354</v>
      </c>
      <c r="B91" s="1807" t="s">
        <v>1249</v>
      </c>
      <c r="C91" s="2139" t="s">
        <v>1109</v>
      </c>
      <c r="D91" s="2140"/>
      <c r="E91" s="2140"/>
      <c r="F91" s="2140"/>
      <c r="G91" s="2140"/>
      <c r="H91" s="2140"/>
      <c r="I91" s="2140"/>
      <c r="J91" s="2167"/>
      <c r="K91" s="1811"/>
      <c r="L91" s="1811"/>
      <c r="M91" s="1811"/>
      <c r="N91" s="1811"/>
    </row>
    <row r="92" spans="1:14">
      <c r="A92" s="1807"/>
      <c r="B92" s="1807"/>
      <c r="C92" s="1807" t="s">
        <v>240</v>
      </c>
      <c r="D92" s="1807" t="s">
        <v>253</v>
      </c>
      <c r="E92" s="1807" t="s">
        <v>265</v>
      </c>
      <c r="F92" s="1807" t="s">
        <v>275</v>
      </c>
      <c r="G92" s="1807" t="s">
        <v>284</v>
      </c>
      <c r="H92" s="1807" t="s">
        <v>292</v>
      </c>
      <c r="I92" s="1807" t="s">
        <v>297</v>
      </c>
      <c r="J92" s="1807" t="s">
        <v>302</v>
      </c>
      <c r="K92" s="1807" t="s">
        <v>305</v>
      </c>
      <c r="L92" s="1807" t="s">
        <v>308</v>
      </c>
      <c r="M92" s="1807" t="s">
        <v>311</v>
      </c>
      <c r="N92" s="1807" t="s">
        <v>314</v>
      </c>
    </row>
    <row r="93" spans="1:14">
      <c r="A93" s="2141" t="s">
        <v>1250</v>
      </c>
      <c r="B93" s="2142">
        <v>1</v>
      </c>
      <c r="C93" s="2143">
        <v>1.9362</v>
      </c>
      <c r="D93" s="2143">
        <v>1.9362</v>
      </c>
      <c r="E93" s="2143">
        <v>1.8629</v>
      </c>
      <c r="F93" s="2143">
        <v>1.8629</v>
      </c>
      <c r="G93" s="2143">
        <v>1.8629</v>
      </c>
      <c r="H93" s="2143">
        <v>1.8629</v>
      </c>
      <c r="I93" s="2143">
        <v>1.8629</v>
      </c>
      <c r="J93" s="2143">
        <v>1.942</v>
      </c>
      <c r="K93" s="2143">
        <v>1.942</v>
      </c>
      <c r="L93" s="2143">
        <v>1.942</v>
      </c>
      <c r="M93" s="2143">
        <v>1.942</v>
      </c>
      <c r="N93" s="2143">
        <v>1.942</v>
      </c>
    </row>
    <row r="94" spans="1:14">
      <c r="A94" s="2144"/>
      <c r="B94" s="2142">
        <v>2</v>
      </c>
      <c r="C94" s="2143">
        <v>1.4198</v>
      </c>
      <c r="D94" s="2143">
        <v>1.4198</v>
      </c>
      <c r="E94" s="2143">
        <v>1.3372</v>
      </c>
      <c r="F94" s="2143">
        <v>1.3372</v>
      </c>
      <c r="G94" s="2143">
        <v>1.3372</v>
      </c>
      <c r="H94" s="2143">
        <v>1.3372</v>
      </c>
      <c r="I94" s="2143">
        <v>1.3372</v>
      </c>
      <c r="J94" s="2143">
        <v>1.2799</v>
      </c>
      <c r="K94" s="2143">
        <v>1.2799</v>
      </c>
      <c r="L94" s="2143">
        <v>1.2799</v>
      </c>
      <c r="M94" s="2143">
        <v>1.2799</v>
      </c>
      <c r="N94" s="2143">
        <v>1.2799</v>
      </c>
    </row>
    <row r="95" spans="1:14">
      <c r="A95" s="2144"/>
      <c r="B95" s="2142">
        <v>3</v>
      </c>
      <c r="C95" s="2143">
        <v>1.1594</v>
      </c>
      <c r="D95" s="2143">
        <v>1.1594</v>
      </c>
      <c r="E95" s="2143">
        <v>1.0788</v>
      </c>
      <c r="F95" s="2143">
        <v>1.0788</v>
      </c>
      <c r="G95" s="2143">
        <v>1.0788</v>
      </c>
      <c r="H95" s="2143">
        <v>1.0788</v>
      </c>
      <c r="I95" s="2143">
        <v>1.0788</v>
      </c>
      <c r="J95" s="2143">
        <v>1.0072</v>
      </c>
      <c r="K95" s="2143">
        <v>1.0072</v>
      </c>
      <c r="L95" s="2143">
        <v>1.0072</v>
      </c>
      <c r="M95" s="2143">
        <v>1.0072</v>
      </c>
      <c r="N95" s="2143">
        <v>1.0072</v>
      </c>
    </row>
    <row r="96" spans="1:14">
      <c r="A96" s="2144"/>
      <c r="B96" s="2142">
        <v>4</v>
      </c>
      <c r="C96" s="2143">
        <v>0.9622</v>
      </c>
      <c r="D96" s="2143">
        <v>0.9622</v>
      </c>
      <c r="E96" s="2143">
        <v>0.8656</v>
      </c>
      <c r="F96" s="2143">
        <v>0.8656</v>
      </c>
      <c r="G96" s="2143">
        <v>0.8656</v>
      </c>
      <c r="H96" s="2143">
        <v>0.8656</v>
      </c>
      <c r="I96" s="2143">
        <v>0.8656</v>
      </c>
      <c r="J96" s="2143">
        <v>0.7525</v>
      </c>
      <c r="K96" s="2143">
        <v>0.7525</v>
      </c>
      <c r="L96" s="2143">
        <v>0.7525</v>
      </c>
      <c r="M96" s="2143">
        <v>0.7525</v>
      </c>
      <c r="N96" s="2143">
        <v>0.7525</v>
      </c>
    </row>
    <row r="97" spans="1:14">
      <c r="A97" s="2144"/>
      <c r="B97" s="2142">
        <v>5</v>
      </c>
      <c r="C97" s="2143">
        <v>0.8417</v>
      </c>
      <c r="D97" s="2143">
        <v>0.8417</v>
      </c>
      <c r="E97" s="2143">
        <v>0.7371</v>
      </c>
      <c r="F97" s="2143">
        <v>0.7371</v>
      </c>
      <c r="G97" s="2143">
        <v>0.7371</v>
      </c>
      <c r="H97" s="2143">
        <v>0.7371</v>
      </c>
      <c r="I97" s="2143">
        <v>0.7371</v>
      </c>
      <c r="J97" s="2143">
        <v>0.5659</v>
      </c>
      <c r="K97" s="2143">
        <v>0.5659</v>
      </c>
      <c r="L97" s="2143">
        <v>0.5659</v>
      </c>
      <c r="M97" s="2143">
        <v>0.5659</v>
      </c>
      <c r="N97" s="2143">
        <v>0.5659</v>
      </c>
    </row>
    <row r="98" spans="1:14">
      <c r="A98" s="2144"/>
      <c r="B98" s="2142">
        <v>6</v>
      </c>
      <c r="C98" s="2143">
        <v>0.7608</v>
      </c>
      <c r="D98" s="2143">
        <v>0.7608</v>
      </c>
      <c r="E98" s="2143">
        <v>0.6482</v>
      </c>
      <c r="F98" s="2143">
        <v>0.6482</v>
      </c>
      <c r="G98" s="2143">
        <v>0.6482</v>
      </c>
      <c r="H98" s="2143">
        <v>0.6482</v>
      </c>
      <c r="I98" s="2143">
        <v>0.6482</v>
      </c>
      <c r="J98" s="2143">
        <v>0.4525</v>
      </c>
      <c r="K98" s="2143">
        <v>0.4525</v>
      </c>
      <c r="L98" s="2143">
        <v>0.4525</v>
      </c>
      <c r="M98" s="2143">
        <v>0.4525</v>
      </c>
      <c r="N98" s="2143">
        <v>0.4525</v>
      </c>
    </row>
    <row r="99" spans="1:14">
      <c r="A99" s="2144"/>
      <c r="B99" s="2142" t="s">
        <v>1251</v>
      </c>
      <c r="C99" s="2145">
        <f>$I$3</f>
        <v>0</v>
      </c>
      <c r="D99" s="2145">
        <f t="shared" ref="D99:N99" si="30">$I$3</f>
        <v>0</v>
      </c>
      <c r="E99" s="2145">
        <f t="shared" si="30"/>
        <v>0</v>
      </c>
      <c r="F99" s="2145">
        <f t="shared" si="30"/>
        <v>0</v>
      </c>
      <c r="G99" s="2145">
        <f t="shared" si="30"/>
        <v>0</v>
      </c>
      <c r="H99" s="2145">
        <f t="shared" si="30"/>
        <v>0</v>
      </c>
      <c r="I99" s="2145">
        <f t="shared" si="30"/>
        <v>0</v>
      </c>
      <c r="J99" s="2145">
        <f t="shared" si="30"/>
        <v>0</v>
      </c>
      <c r="K99" s="2145">
        <f t="shared" si="30"/>
        <v>0</v>
      </c>
      <c r="L99" s="2145">
        <f t="shared" si="30"/>
        <v>0</v>
      </c>
      <c r="M99" s="2145">
        <f t="shared" si="30"/>
        <v>0</v>
      </c>
      <c r="N99" s="2145">
        <f t="shared" si="30"/>
        <v>0</v>
      </c>
    </row>
    <row r="100" spans="1:14">
      <c r="A100" s="1816"/>
      <c r="B100" s="2142">
        <v>7</v>
      </c>
      <c r="C100" s="2146">
        <f>(-0.163*(C99^2)-0.59*C99+7617)*(10^(-4))</f>
        <v>0.7617</v>
      </c>
      <c r="D100" s="2146">
        <f>(-0.163*(D99^2)-0.59*D99+7617)*(10^(-4))</f>
        <v>0.7617</v>
      </c>
      <c r="E100" s="2146">
        <f>(-0.161*(E99^2)-7.509*E99+6533)*(10^(-4))</f>
        <v>0.6533</v>
      </c>
      <c r="F100" s="2146">
        <f>(-0.161*(F99^2)-7.509*F99+6533)*(10^(-4))</f>
        <v>0.6533</v>
      </c>
      <c r="G100" s="2146">
        <f>(-0.161*(G99^2)-7.509*G99+6533)*(10^(-4))</f>
        <v>0.6533</v>
      </c>
      <c r="H100" s="2146">
        <f>(-0.161*(H99^2)-7.509*H99+6533)*(10^(-4))</f>
        <v>0.6533</v>
      </c>
      <c r="I100" s="2146">
        <f>(-0.161*(I99^2)-7.509*I99+6533)*(10^(-4))</f>
        <v>0.6533</v>
      </c>
      <c r="J100" s="2146">
        <f>(-0.214*(J99^2)-21.991*J99+4665)*(10^(-4))</f>
        <v>0.4665</v>
      </c>
      <c r="K100" s="2146">
        <f>(-0.214*(K99^2)-21.991*K99+4665)*(10^(-4))</f>
        <v>0.4665</v>
      </c>
      <c r="L100" s="2146">
        <f>(-0.214*(L99^2)-21.991*L99+4665)*(10^(-4))</f>
        <v>0.4665</v>
      </c>
      <c r="M100" s="2146">
        <f>(-0.214*(M99^2)-21.991*M99+4665)*(10^(-4))</f>
        <v>0.4665</v>
      </c>
      <c r="N100" s="2146">
        <f>(-0.214*(N99^2)-21.991*N99+4665)*(10^(-4))</f>
        <v>0.4665</v>
      </c>
    </row>
    <row r="101" spans="1:14">
      <c r="A101" s="2141" t="s">
        <v>1252</v>
      </c>
      <c r="B101" s="2147" t="s">
        <v>105</v>
      </c>
      <c r="C101" s="2148">
        <f>$G$3</f>
        <v>0</v>
      </c>
      <c r="D101" s="2148">
        <f t="shared" ref="D101:N101" si="31">$G$3</f>
        <v>0</v>
      </c>
      <c r="E101" s="2148">
        <f t="shared" si="31"/>
        <v>0</v>
      </c>
      <c r="F101" s="2148">
        <f t="shared" si="31"/>
        <v>0</v>
      </c>
      <c r="G101" s="2148">
        <f t="shared" si="31"/>
        <v>0</v>
      </c>
      <c r="H101" s="2148">
        <f t="shared" si="31"/>
        <v>0</v>
      </c>
      <c r="I101" s="2148">
        <f t="shared" si="31"/>
        <v>0</v>
      </c>
      <c r="J101" s="2148">
        <f t="shared" si="31"/>
        <v>0</v>
      </c>
      <c r="K101" s="2148">
        <f t="shared" si="31"/>
        <v>0</v>
      </c>
      <c r="L101" s="2148">
        <f t="shared" si="31"/>
        <v>0</v>
      </c>
      <c r="M101" s="2148">
        <f t="shared" si="31"/>
        <v>0</v>
      </c>
      <c r="N101" s="2148">
        <f t="shared" si="31"/>
        <v>0</v>
      </c>
    </row>
    <row r="102" spans="1:14">
      <c r="A102" s="2144"/>
      <c r="B102" s="2142">
        <v>1</v>
      </c>
      <c r="C102" s="2143" t="e">
        <f>1.9362/C101</f>
        <v>#DIV/0!</v>
      </c>
      <c r="D102" s="2143" t="e">
        <f>1.9362/D101</f>
        <v>#DIV/0!</v>
      </c>
      <c r="E102" s="2143" t="e">
        <f>1.8629/E101</f>
        <v>#DIV/0!</v>
      </c>
      <c r="F102" s="2143" t="e">
        <f>1.8629/F101</f>
        <v>#DIV/0!</v>
      </c>
      <c r="G102" s="2143" t="e">
        <f>1.8629/G101</f>
        <v>#DIV/0!</v>
      </c>
      <c r="H102" s="2143" t="e">
        <f>1.8629/H101</f>
        <v>#DIV/0!</v>
      </c>
      <c r="I102" s="2143" t="e">
        <f>1.8629/I101</f>
        <v>#DIV/0!</v>
      </c>
      <c r="J102" s="2143" t="e">
        <f>1.942/J101</f>
        <v>#DIV/0!</v>
      </c>
      <c r="K102" s="2143" t="e">
        <f>1.942/K101</f>
        <v>#DIV/0!</v>
      </c>
      <c r="L102" s="2143" t="e">
        <f>1.942/L101</f>
        <v>#DIV/0!</v>
      </c>
      <c r="M102" s="2143" t="e">
        <f>1.942/M101</f>
        <v>#DIV/0!</v>
      </c>
      <c r="N102" s="2143" t="e">
        <f>1.942/N101</f>
        <v>#DIV/0!</v>
      </c>
    </row>
    <row r="103" spans="1:14">
      <c r="A103" s="2144"/>
      <c r="B103" s="2142">
        <v>2</v>
      </c>
      <c r="C103" s="2143" t="e">
        <f>1.4198/C101</f>
        <v>#DIV/0!</v>
      </c>
      <c r="D103" s="2143" t="e">
        <f>1.4198/D101</f>
        <v>#DIV/0!</v>
      </c>
      <c r="E103" s="2143" t="e">
        <f>1.3372/E101</f>
        <v>#DIV/0!</v>
      </c>
      <c r="F103" s="2143" t="e">
        <f>1.3372/F101</f>
        <v>#DIV/0!</v>
      </c>
      <c r="G103" s="2143" t="e">
        <f>1.3372/G101</f>
        <v>#DIV/0!</v>
      </c>
      <c r="H103" s="2143" t="e">
        <f>1.3372/H101</f>
        <v>#DIV/0!</v>
      </c>
      <c r="I103" s="2143" t="e">
        <f>1.3372/I101</f>
        <v>#DIV/0!</v>
      </c>
      <c r="J103" s="2143" t="e">
        <f>1.2799/J101</f>
        <v>#DIV/0!</v>
      </c>
      <c r="K103" s="2143" t="e">
        <f>1.2799/K101</f>
        <v>#DIV/0!</v>
      </c>
      <c r="L103" s="2143" t="e">
        <f>1.2799/L101</f>
        <v>#DIV/0!</v>
      </c>
      <c r="M103" s="2143" t="e">
        <f>1.2799/M101</f>
        <v>#DIV/0!</v>
      </c>
      <c r="N103" s="2143" t="e">
        <f>1.2799/N101</f>
        <v>#DIV/0!</v>
      </c>
    </row>
    <row r="104" spans="1:14">
      <c r="A104" s="2144"/>
      <c r="B104" s="2142">
        <v>3</v>
      </c>
      <c r="C104" s="2143" t="e">
        <f>1.1594/C101</f>
        <v>#DIV/0!</v>
      </c>
      <c r="D104" s="2143" t="e">
        <f>1.1594/D101</f>
        <v>#DIV/0!</v>
      </c>
      <c r="E104" s="2143" t="e">
        <f>1.0788/E101</f>
        <v>#DIV/0!</v>
      </c>
      <c r="F104" s="2143" t="e">
        <f>1.0788/F101</f>
        <v>#DIV/0!</v>
      </c>
      <c r="G104" s="2143" t="e">
        <f>1.0788/G101</f>
        <v>#DIV/0!</v>
      </c>
      <c r="H104" s="2143" t="e">
        <f>1.0788/H101</f>
        <v>#DIV/0!</v>
      </c>
      <c r="I104" s="2143" t="e">
        <f>1.0788/I101</f>
        <v>#DIV/0!</v>
      </c>
      <c r="J104" s="2143" t="e">
        <f>1.0072/J101</f>
        <v>#DIV/0!</v>
      </c>
      <c r="K104" s="2143" t="e">
        <f>1.0072/K101</f>
        <v>#DIV/0!</v>
      </c>
      <c r="L104" s="2143" t="e">
        <f>1.0072/L101</f>
        <v>#DIV/0!</v>
      </c>
      <c r="M104" s="2143" t="e">
        <f>1.0072/M101</f>
        <v>#DIV/0!</v>
      </c>
      <c r="N104" s="2143" t="e">
        <f>1.0072/N101</f>
        <v>#DIV/0!</v>
      </c>
    </row>
    <row r="105" spans="1:14">
      <c r="A105" s="2144"/>
      <c r="B105" s="2142">
        <v>4</v>
      </c>
      <c r="C105" s="2143" t="e">
        <f>0.9622/C101</f>
        <v>#DIV/0!</v>
      </c>
      <c r="D105" s="2143" t="e">
        <f>0.9622/D101</f>
        <v>#DIV/0!</v>
      </c>
      <c r="E105" s="2143" t="e">
        <f>0.8656/E101</f>
        <v>#DIV/0!</v>
      </c>
      <c r="F105" s="2143" t="e">
        <f>0.8656/F101</f>
        <v>#DIV/0!</v>
      </c>
      <c r="G105" s="2143" t="e">
        <f>0.8656/G101</f>
        <v>#DIV/0!</v>
      </c>
      <c r="H105" s="2143" t="e">
        <f>0.8656/H101</f>
        <v>#DIV/0!</v>
      </c>
      <c r="I105" s="2143" t="e">
        <f>0.8656/I101</f>
        <v>#DIV/0!</v>
      </c>
      <c r="J105" s="2143" t="e">
        <f>0.7525/J101</f>
        <v>#DIV/0!</v>
      </c>
      <c r="K105" s="2143" t="e">
        <f>0.7525/K101</f>
        <v>#DIV/0!</v>
      </c>
      <c r="L105" s="2143" t="e">
        <f>0.7525/L101</f>
        <v>#DIV/0!</v>
      </c>
      <c r="M105" s="2143" t="e">
        <f>0.7525/M101</f>
        <v>#DIV/0!</v>
      </c>
      <c r="N105" s="2143" t="e">
        <f>0.7525/N101</f>
        <v>#DIV/0!</v>
      </c>
    </row>
    <row r="106" spans="1:14">
      <c r="A106" s="2144"/>
      <c r="B106" s="2142">
        <v>5</v>
      </c>
      <c r="C106" s="2143" t="e">
        <f>0.8417/C101</f>
        <v>#DIV/0!</v>
      </c>
      <c r="D106" s="2143" t="e">
        <f>0.8417/D101</f>
        <v>#DIV/0!</v>
      </c>
      <c r="E106" s="2143" t="e">
        <f>0.7371/E101</f>
        <v>#DIV/0!</v>
      </c>
      <c r="F106" s="2143" t="e">
        <f>0.7371/F101</f>
        <v>#DIV/0!</v>
      </c>
      <c r="G106" s="2143" t="e">
        <f>0.7371/G101</f>
        <v>#DIV/0!</v>
      </c>
      <c r="H106" s="2143" t="e">
        <f>0.7371/H101</f>
        <v>#DIV/0!</v>
      </c>
      <c r="I106" s="2143" t="e">
        <f>0.7371/I101</f>
        <v>#DIV/0!</v>
      </c>
      <c r="J106" s="2143" t="e">
        <f>0.5659/J101</f>
        <v>#DIV/0!</v>
      </c>
      <c r="K106" s="2143" t="e">
        <f>0.5659/K101</f>
        <v>#DIV/0!</v>
      </c>
      <c r="L106" s="2143" t="e">
        <f>0.5659/L101</f>
        <v>#DIV/0!</v>
      </c>
      <c r="M106" s="2143" t="e">
        <f>0.5659/M101</f>
        <v>#DIV/0!</v>
      </c>
      <c r="N106" s="2143" t="e">
        <f>0.5659/N101</f>
        <v>#DIV/0!</v>
      </c>
    </row>
    <row r="107" spans="1:14">
      <c r="A107" s="2144"/>
      <c r="B107" s="2142">
        <v>6</v>
      </c>
      <c r="C107" s="2143" t="e">
        <f>0.7608/C101</f>
        <v>#DIV/0!</v>
      </c>
      <c r="D107" s="2143" t="e">
        <f>0.7608/D101</f>
        <v>#DIV/0!</v>
      </c>
      <c r="E107" s="2143" t="e">
        <f>0.6482/E101</f>
        <v>#DIV/0!</v>
      </c>
      <c r="F107" s="2143" t="e">
        <f>0.6482/F101</f>
        <v>#DIV/0!</v>
      </c>
      <c r="G107" s="2143" t="e">
        <f>0.6482/G101</f>
        <v>#DIV/0!</v>
      </c>
      <c r="H107" s="2143" t="e">
        <f>0.6482/H101</f>
        <v>#DIV/0!</v>
      </c>
      <c r="I107" s="2143" t="e">
        <f>0.6482/I101</f>
        <v>#DIV/0!</v>
      </c>
      <c r="J107" s="2143" t="e">
        <f>0.4525/J101</f>
        <v>#DIV/0!</v>
      </c>
      <c r="K107" s="2143" t="e">
        <f>0.4525/K101</f>
        <v>#DIV/0!</v>
      </c>
      <c r="L107" s="2143" t="e">
        <f>0.4525/L101</f>
        <v>#DIV/0!</v>
      </c>
      <c r="M107" s="2143" t="e">
        <f>0.4525/M101</f>
        <v>#DIV/0!</v>
      </c>
      <c r="N107" s="2143" t="e">
        <f>0.4525/N101</f>
        <v>#DIV/0!</v>
      </c>
    </row>
    <row r="108" spans="1:14">
      <c r="A108" s="2144"/>
      <c r="B108" s="1799" t="s">
        <v>1253</v>
      </c>
      <c r="C108" s="2145">
        <f>C99</f>
        <v>0</v>
      </c>
      <c r="D108" s="2145">
        <f t="shared" ref="D108:N108" si="32">D99</f>
        <v>0</v>
      </c>
      <c r="E108" s="2145">
        <f t="shared" si="32"/>
        <v>0</v>
      </c>
      <c r="F108" s="2145">
        <f t="shared" si="32"/>
        <v>0</v>
      </c>
      <c r="G108" s="2145">
        <f t="shared" si="32"/>
        <v>0</v>
      </c>
      <c r="H108" s="2145">
        <f t="shared" si="32"/>
        <v>0</v>
      </c>
      <c r="I108" s="2145">
        <f t="shared" si="32"/>
        <v>0</v>
      </c>
      <c r="J108" s="2145">
        <f t="shared" si="32"/>
        <v>0</v>
      </c>
      <c r="K108" s="2145">
        <f t="shared" si="32"/>
        <v>0</v>
      </c>
      <c r="L108" s="2145">
        <f t="shared" si="32"/>
        <v>0</v>
      </c>
      <c r="M108" s="2145">
        <f t="shared" si="32"/>
        <v>0</v>
      </c>
      <c r="N108" s="2145">
        <f t="shared" si="32"/>
        <v>0</v>
      </c>
    </row>
    <row r="109" spans="1:14">
      <c r="A109" s="1816"/>
      <c r="B109" s="2149"/>
      <c r="C109" s="2146" t="e">
        <f>(-0.163*(C108^2)-0.59*C108+7617)*(10^(-4))/C101</f>
        <v>#DIV/0!</v>
      </c>
      <c r="D109" s="2146" t="e">
        <f>(-0.163*(D108^2)-0.59*D108+7617)*(10^(-4))/D101</f>
        <v>#DIV/0!</v>
      </c>
      <c r="E109" s="2146" t="e">
        <f>(-0.161*(E108^2)-7.509*E108+6533)*(10^(-4))/E101</f>
        <v>#DIV/0!</v>
      </c>
      <c r="F109" s="2146" t="e">
        <f>(-0.161*(F108^2)-7.509*F108+6533)*(10^(-4))/F101</f>
        <v>#DIV/0!</v>
      </c>
      <c r="G109" s="2146" t="e">
        <f>(-0.161*(G108^2)-7.509*G108+6533)*(10^(-4))/G101</f>
        <v>#DIV/0!</v>
      </c>
      <c r="H109" s="2146" t="e">
        <f>(-0.161*(H108^2)-7.509*H108+6533)*(10^(-4))/H101</f>
        <v>#DIV/0!</v>
      </c>
      <c r="I109" s="2146" t="e">
        <f>(-0.161*(I108^2)-7.509*I108+6533)*(10^(-4))/I101</f>
        <v>#DIV/0!</v>
      </c>
      <c r="J109" s="2146" t="e">
        <f>(-0.214*(J108^2)-21.991*J108+4665)*(10^(-4))/J101</f>
        <v>#DIV/0!</v>
      </c>
      <c r="K109" s="2146" t="e">
        <f>(-0.214*(K108^2)-21.991*K108+4665)*(10^(-4))/K101</f>
        <v>#DIV/0!</v>
      </c>
      <c r="L109" s="2146" t="e">
        <f>(-0.214*(L108^2)-21.991*L108+4665)*(10^(-4))/L101</f>
        <v>#DIV/0!</v>
      </c>
      <c r="M109" s="2146" t="e">
        <f>(-0.214*(M108^2)-21.991*M108+4665)*(10^(-4))/M101</f>
        <v>#DIV/0!</v>
      </c>
      <c r="N109" s="2146" t="e">
        <f>(-0.214*(N108^2)-21.991*N108+4665)*(10^(-4))/N101</f>
        <v>#DIV/0!</v>
      </c>
    </row>
    <row r="110" spans="1:14">
      <c r="A110" s="2150" t="s">
        <v>1254</v>
      </c>
      <c r="B110" s="2150"/>
      <c r="C110" s="2150"/>
      <c r="D110" s="2150"/>
      <c r="E110" s="2150"/>
      <c r="F110" s="2150"/>
      <c r="G110" s="2150"/>
      <c r="H110" s="2150"/>
      <c r="I110" s="2150"/>
      <c r="J110" s="2150"/>
      <c r="K110" s="2150"/>
      <c r="L110" s="2150"/>
      <c r="M110" s="2150"/>
      <c r="N110" s="2150"/>
    </row>
    <row r="112" ht="12.75"/>
    <row r="113" ht="25.5" spans="1:13">
      <c r="A113" s="2151" t="s">
        <v>1255</v>
      </c>
      <c r="B113" s="2152">
        <f>G3</f>
        <v>0</v>
      </c>
      <c r="C113" s="2153" t="s">
        <v>1256</v>
      </c>
      <c r="D113" s="2154">
        <f>SUMPRODUCT((A115:A118=F113)*(B114:M114=H113)*B115:M118)</f>
        <v>0</v>
      </c>
      <c r="E113" s="2155" t="s">
        <v>354</v>
      </c>
      <c r="F113" s="2156">
        <f>E2</f>
        <v>0</v>
      </c>
      <c r="G113" s="2155" t="s">
        <v>217</v>
      </c>
      <c r="H113" s="2156">
        <f>G2</f>
        <v>0</v>
      </c>
      <c r="I113" s="2155"/>
      <c r="J113" s="1734"/>
      <c r="K113" s="1734"/>
      <c r="L113" s="1734"/>
      <c r="M113" s="1734"/>
    </row>
    <row r="114" ht="12.75" spans="1:13">
      <c r="A114" s="2157"/>
      <c r="B114" s="2158" t="s">
        <v>240</v>
      </c>
      <c r="C114" s="2158" t="s">
        <v>253</v>
      </c>
      <c r="D114" s="2158" t="s">
        <v>265</v>
      </c>
      <c r="E114" s="2159" t="s">
        <v>275</v>
      </c>
      <c r="F114" s="2159" t="s">
        <v>284</v>
      </c>
      <c r="G114" s="2159" t="s">
        <v>292</v>
      </c>
      <c r="H114" s="2160" t="s">
        <v>297</v>
      </c>
      <c r="I114" s="2160" t="s">
        <v>302</v>
      </c>
      <c r="J114" s="2168" t="s">
        <v>305</v>
      </c>
      <c r="K114" s="2168" t="s">
        <v>308</v>
      </c>
      <c r="L114" s="2168" t="s">
        <v>311</v>
      </c>
      <c r="M114" s="2169" t="s">
        <v>314</v>
      </c>
    </row>
    <row r="115" ht="12.75" spans="1:13">
      <c r="A115" s="2161" t="s">
        <v>1257</v>
      </c>
      <c r="B115" s="2162">
        <f>ROUND(0.9335-0.0094*B113,4)</f>
        <v>0.9335</v>
      </c>
      <c r="C115" s="2162">
        <f>B115</f>
        <v>0.9335</v>
      </c>
      <c r="D115" s="2162">
        <f>ROUND(0.8331-0.0109*B113,4)</f>
        <v>0.8331</v>
      </c>
      <c r="E115" s="2162">
        <f>D115</f>
        <v>0.8331</v>
      </c>
      <c r="F115" s="2162">
        <f>E115</f>
        <v>0.8331</v>
      </c>
      <c r="G115" s="2162">
        <f>F115</f>
        <v>0.8331</v>
      </c>
      <c r="H115" s="2162">
        <f>G115</f>
        <v>0.8331</v>
      </c>
      <c r="I115" s="2162">
        <f>ROUND(0.689-0.0155*B113,4)</f>
        <v>0.689</v>
      </c>
      <c r="J115" s="2162">
        <f t="shared" ref="J115:M118" si="33">I115</f>
        <v>0.689</v>
      </c>
      <c r="K115" s="2162">
        <f t="shared" si="33"/>
        <v>0.689</v>
      </c>
      <c r="L115" s="2162">
        <f t="shared" si="33"/>
        <v>0.689</v>
      </c>
      <c r="M115" s="2170">
        <f t="shared" si="33"/>
        <v>0.689</v>
      </c>
    </row>
    <row r="116" ht="12.75" spans="1:13">
      <c r="A116" s="2161" t="s">
        <v>1258</v>
      </c>
      <c r="B116" s="2162">
        <f>ROUND(0.949-0.012*B113,4)</f>
        <v>0.949</v>
      </c>
      <c r="C116" s="2162">
        <f>B116</f>
        <v>0.949</v>
      </c>
      <c r="D116" s="2162">
        <f>ROUND(0.8567-0.013*B113,4)</f>
        <v>0.8567</v>
      </c>
      <c r="E116" s="2162">
        <f t="shared" ref="E116:H117" si="34">D116</f>
        <v>0.8567</v>
      </c>
      <c r="F116" s="2162">
        <f t="shared" si="34"/>
        <v>0.8567</v>
      </c>
      <c r="G116" s="2162">
        <f t="shared" si="34"/>
        <v>0.8567</v>
      </c>
      <c r="H116" s="2162">
        <f t="shared" si="34"/>
        <v>0.8567</v>
      </c>
      <c r="I116" s="2162">
        <f>ROUND(0.7694-0.014*B113,4)</f>
        <v>0.7694</v>
      </c>
      <c r="J116" s="2162">
        <f t="shared" si="33"/>
        <v>0.7694</v>
      </c>
      <c r="K116" s="2162">
        <f t="shared" si="33"/>
        <v>0.7694</v>
      </c>
      <c r="L116" s="2162">
        <f t="shared" si="33"/>
        <v>0.7694</v>
      </c>
      <c r="M116" s="2170">
        <f t="shared" si="33"/>
        <v>0.7694</v>
      </c>
    </row>
    <row r="117" ht="12.75" spans="1:13">
      <c r="A117" s="2163" t="s">
        <v>377</v>
      </c>
      <c r="B117" s="2162">
        <f>ROUND(0.8808-0.006*B113,4)</f>
        <v>0.8808</v>
      </c>
      <c r="C117" s="2162">
        <f>B117</f>
        <v>0.8808</v>
      </c>
      <c r="D117" s="2162">
        <f>ROUND(0.8748-0.008*B113,4)</f>
        <v>0.8748</v>
      </c>
      <c r="E117" s="2162">
        <f t="shared" si="34"/>
        <v>0.8748</v>
      </c>
      <c r="F117" s="2162">
        <f t="shared" si="34"/>
        <v>0.8748</v>
      </c>
      <c r="G117" s="2162">
        <f t="shared" si="34"/>
        <v>0.8748</v>
      </c>
      <c r="H117" s="2162">
        <f t="shared" si="34"/>
        <v>0.8748</v>
      </c>
      <c r="I117" s="2162">
        <f>ROUND(0.7412-0.0095*B113,4)</f>
        <v>0.7412</v>
      </c>
      <c r="J117" s="2162">
        <f t="shared" si="33"/>
        <v>0.7412</v>
      </c>
      <c r="K117" s="2162">
        <f t="shared" si="33"/>
        <v>0.7412</v>
      </c>
      <c r="L117" s="2162">
        <f t="shared" si="33"/>
        <v>0.7412</v>
      </c>
      <c r="M117" s="2170">
        <f t="shared" si="33"/>
        <v>0.7412</v>
      </c>
    </row>
    <row r="118" ht="13.5" spans="1:13">
      <c r="A118" s="2164" t="s">
        <v>1259</v>
      </c>
      <c r="B118" s="2165">
        <f>ROUND(0.7275-0.01*B113,4)</f>
        <v>0.7275</v>
      </c>
      <c r="C118" s="2165">
        <f>B118</f>
        <v>0.7275</v>
      </c>
      <c r="D118" s="2165">
        <f>ROUND(0.7043-0.012*B113,4)</f>
        <v>0.7043</v>
      </c>
      <c r="E118" s="2165">
        <f>D118</f>
        <v>0.7043</v>
      </c>
      <c r="F118" s="2165">
        <f>E118</f>
        <v>0.7043</v>
      </c>
      <c r="G118" s="2165">
        <f>ROUND(0.6299-0.0122*B113,4)</f>
        <v>0.6299</v>
      </c>
      <c r="H118" s="2165">
        <f>G118</f>
        <v>0.6299</v>
      </c>
      <c r="I118" s="2165">
        <f>ROUND(0.5667-0.0136*B113,4)</f>
        <v>0.5667</v>
      </c>
      <c r="J118" s="2165">
        <f t="shared" si="33"/>
        <v>0.5667</v>
      </c>
      <c r="K118" s="2165">
        <f t="shared" si="33"/>
        <v>0.5667</v>
      </c>
      <c r="L118" s="2165">
        <f t="shared" si="33"/>
        <v>0.5667</v>
      </c>
      <c r="M118" s="2171">
        <f t="shared" si="33"/>
        <v>0.5667</v>
      </c>
    </row>
  </sheetData>
  <sheetProtection password="CEE9" sheet="1" formatCells="0" formatColumns="0" formatRows="0" objects="1" scenarios="1"/>
  <mergeCells count="17">
    <mergeCell ref="W8:X8"/>
    <mergeCell ref="D16:E16"/>
    <mergeCell ref="F16:G16"/>
    <mergeCell ref="A90:J90"/>
    <mergeCell ref="A110:J110"/>
    <mergeCell ref="A7:A11"/>
    <mergeCell ref="A12:A15"/>
    <mergeCell ref="A16:A17"/>
    <mergeCell ref="A33:A36"/>
    <mergeCell ref="A91:A92"/>
    <mergeCell ref="A93:A100"/>
    <mergeCell ref="A101:A109"/>
    <mergeCell ref="B91:B92"/>
    <mergeCell ref="B108:B109"/>
    <mergeCell ref="J33:J36"/>
    <mergeCell ref="W9:W10"/>
    <mergeCell ref="W11:W13"/>
  </mergeCells>
  <conditionalFormatting sqref="F47">
    <cfRule type="cellIs" dxfId="11" priority="5" stopIfTrue="1" operator="notEqual">
      <formula>"——"</formula>
    </cfRule>
  </conditionalFormatting>
  <conditionalFormatting sqref="F58">
    <cfRule type="cellIs" dxfId="11" priority="4" stopIfTrue="1" operator="notEqual">
      <formula>"——"</formula>
    </cfRule>
  </conditionalFormatting>
  <conditionalFormatting sqref="F69">
    <cfRule type="cellIs" dxfId="11" priority="3" stopIfTrue="1" operator="notEqual">
      <formula>"——"</formula>
    </cfRule>
  </conditionalFormatting>
  <conditionalFormatting sqref="F80">
    <cfRule type="cellIs" dxfId="11" priority="2" stopIfTrue="1" operator="notEqual">
      <formula>"——"</formula>
    </cfRule>
  </conditionalFormatting>
  <conditionalFormatting sqref="H47:H55 H58:H66 H69:H77 H80:H87">
    <cfRule type="cellIs" dxfId="2"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7:C55 C58:C66 C69:C77 C80:C87">
      <formula1>五等判定</formula1>
    </dataValidation>
  </dataValidations>
  <pageMargins left="0.7" right="0.7" top="0.75" bottom="0.75" header="0.3" footer="0.3"/>
  <pageSetup paperSize="9" scale="58" orientation="portrait"/>
  <headerFooter/>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121"/>
  <sheetViews>
    <sheetView workbookViewId="0">
      <selection activeCell="A15" sqref="A15:M15"/>
    </sheetView>
  </sheetViews>
  <sheetFormatPr defaultColWidth="8.26666666666667" defaultRowHeight="19.5" customHeight="1"/>
  <cols>
    <col min="1" max="1" width="13.6333333333333" style="1746" customWidth="1"/>
    <col min="2" max="9" width="8.26666666666667" style="1745" customWidth="1"/>
    <col min="10" max="13" width="8.26666666666667" style="1746"/>
    <col min="14" max="14" width="10" style="1746" customWidth="1"/>
    <col min="15" max="16" width="8.26666666666667" style="1746"/>
    <col min="17" max="17" width="34.0916666666667" style="1746" customWidth="1"/>
    <col min="18" max="18" width="8.26666666666667" style="1746" customWidth="1"/>
    <col min="19" max="19" width="8.26666666666667" style="1746"/>
    <col min="20" max="20" width="11.6333333333333" style="1746" customWidth="1"/>
    <col min="21" max="16384" width="8.26666666666667" style="1746"/>
  </cols>
  <sheetData>
    <row r="1" customHeight="1" spans="1:13">
      <c r="A1" s="1784" t="s">
        <v>217</v>
      </c>
      <c r="B1" s="1779" t="s">
        <v>240</v>
      </c>
      <c r="C1" s="1779" t="s">
        <v>253</v>
      </c>
      <c r="D1" s="1779" t="s">
        <v>265</v>
      </c>
      <c r="E1" s="1779" t="s">
        <v>275</v>
      </c>
      <c r="F1" s="1779" t="s">
        <v>284</v>
      </c>
      <c r="G1" s="1779" t="s">
        <v>292</v>
      </c>
      <c r="H1" s="1779" t="s">
        <v>297</v>
      </c>
      <c r="I1" s="1779" t="s">
        <v>302</v>
      </c>
      <c r="J1" s="1779" t="s">
        <v>305</v>
      </c>
      <c r="K1" s="1779" t="s">
        <v>308</v>
      </c>
      <c r="L1" s="1779" t="s">
        <v>311</v>
      </c>
      <c r="M1" s="1781" t="s">
        <v>314</v>
      </c>
    </row>
    <row r="2" customHeight="1" spans="1:13">
      <c r="A2" s="1785" t="s">
        <v>378</v>
      </c>
      <c r="B2" s="1786">
        <v>3.5</v>
      </c>
      <c r="C2" s="1786">
        <v>3.5</v>
      </c>
      <c r="D2" s="1787">
        <v>2.5</v>
      </c>
      <c r="E2" s="1787">
        <v>2.5</v>
      </c>
      <c r="F2" s="1787">
        <v>2.5</v>
      </c>
      <c r="G2" s="1787">
        <v>2.5</v>
      </c>
      <c r="H2" s="1787">
        <v>2.5</v>
      </c>
      <c r="I2" s="1786">
        <v>2</v>
      </c>
      <c r="J2" s="1786">
        <v>2</v>
      </c>
      <c r="K2" s="1786">
        <v>2</v>
      </c>
      <c r="L2" s="1786">
        <v>2</v>
      </c>
      <c r="M2" s="1818">
        <v>2</v>
      </c>
    </row>
    <row r="3" customHeight="1" spans="1:13">
      <c r="A3" s="1788" t="s">
        <v>379</v>
      </c>
      <c r="B3" s="1789">
        <v>3.5</v>
      </c>
      <c r="C3" s="1789">
        <v>3.5</v>
      </c>
      <c r="D3" s="1790">
        <v>2.5</v>
      </c>
      <c r="E3" s="1790">
        <v>2.5</v>
      </c>
      <c r="F3" s="1790">
        <v>2.5</v>
      </c>
      <c r="G3" s="1790">
        <v>2.5</v>
      </c>
      <c r="H3" s="1790">
        <v>2.5</v>
      </c>
      <c r="I3" s="1789">
        <v>2</v>
      </c>
      <c r="J3" s="1789">
        <v>2</v>
      </c>
      <c r="K3" s="1789">
        <v>2</v>
      </c>
      <c r="L3" s="1789">
        <v>2</v>
      </c>
      <c r="M3" s="1819">
        <v>2</v>
      </c>
    </row>
    <row r="4" customHeight="1" spans="1:13">
      <c r="A4" s="1788" t="s">
        <v>377</v>
      </c>
      <c r="B4" s="1790">
        <v>2.5</v>
      </c>
      <c r="C4" s="1790">
        <v>2.5</v>
      </c>
      <c r="D4" s="1790">
        <v>2.5</v>
      </c>
      <c r="E4" s="1790">
        <v>2.5</v>
      </c>
      <c r="F4" s="1790">
        <v>2.5</v>
      </c>
      <c r="G4" s="1790">
        <v>2.5</v>
      </c>
      <c r="H4" s="1790">
        <v>2.5</v>
      </c>
      <c r="I4" s="1789">
        <v>1.5</v>
      </c>
      <c r="J4" s="1789">
        <v>1.5</v>
      </c>
      <c r="K4" s="1789">
        <v>1.5</v>
      </c>
      <c r="L4" s="1789">
        <v>1.5</v>
      </c>
      <c r="M4" s="1819">
        <v>1.5</v>
      </c>
    </row>
    <row r="5" customHeight="1" spans="1:13">
      <c r="A5" s="1791" t="s">
        <v>164</v>
      </c>
      <c r="B5" s="1792">
        <v>1.5</v>
      </c>
      <c r="C5" s="1792">
        <v>1.5</v>
      </c>
      <c r="D5" s="1792">
        <v>1.5</v>
      </c>
      <c r="E5" s="1792">
        <v>1.5</v>
      </c>
      <c r="F5" s="1792">
        <v>1.5</v>
      </c>
      <c r="G5" s="1793">
        <v>1.2</v>
      </c>
      <c r="H5" s="1793">
        <v>1.2</v>
      </c>
      <c r="I5" s="1793">
        <v>1</v>
      </c>
      <c r="J5" s="1793">
        <v>1</v>
      </c>
      <c r="K5" s="1793">
        <v>1</v>
      </c>
      <c r="L5" s="1793">
        <v>1</v>
      </c>
      <c r="M5" s="1820">
        <v>1</v>
      </c>
    </row>
    <row r="6" customHeight="1" spans="1:13">
      <c r="A6" s="1794" t="s">
        <v>1260</v>
      </c>
      <c r="B6" s="1795">
        <v>80</v>
      </c>
      <c r="C6" s="1795">
        <v>80</v>
      </c>
      <c r="D6" s="1795">
        <v>65</v>
      </c>
      <c r="E6" s="1795">
        <v>65</v>
      </c>
      <c r="F6" s="1795">
        <v>65</v>
      </c>
      <c r="G6" s="1795">
        <v>65</v>
      </c>
      <c r="H6" s="1795">
        <v>65</v>
      </c>
      <c r="I6" s="1795">
        <v>50</v>
      </c>
      <c r="J6" s="1795">
        <v>50</v>
      </c>
      <c r="K6" s="1795">
        <v>50</v>
      </c>
      <c r="L6" s="1795">
        <v>50</v>
      </c>
      <c r="M6" s="1821">
        <v>50</v>
      </c>
    </row>
    <row r="7" customHeight="1" spans="1:13">
      <c r="A7" s="1796" t="s">
        <v>1261</v>
      </c>
      <c r="B7" s="1797">
        <v>70</v>
      </c>
      <c r="C7" s="1797">
        <v>70</v>
      </c>
      <c r="D7" s="1797">
        <v>55</v>
      </c>
      <c r="E7" s="1797">
        <v>55</v>
      </c>
      <c r="F7" s="1797">
        <v>55</v>
      </c>
      <c r="G7" s="1797">
        <v>55</v>
      </c>
      <c r="H7" s="1797">
        <v>55</v>
      </c>
      <c r="I7" s="1797">
        <v>40</v>
      </c>
      <c r="J7" s="1797">
        <v>40</v>
      </c>
      <c r="K7" s="1797">
        <v>40</v>
      </c>
      <c r="L7" s="1797">
        <v>40</v>
      </c>
      <c r="M7" s="1822">
        <v>40</v>
      </c>
    </row>
    <row r="8" customHeight="1" spans="1:13">
      <c r="A8" s="1796" t="s">
        <v>1262</v>
      </c>
      <c r="B8" s="1797">
        <v>20</v>
      </c>
      <c r="C8" s="1797">
        <v>20</v>
      </c>
      <c r="D8" s="1797">
        <v>15</v>
      </c>
      <c r="E8" s="1797">
        <v>15</v>
      </c>
      <c r="F8" s="1797">
        <v>15</v>
      </c>
      <c r="G8" s="1797">
        <v>15</v>
      </c>
      <c r="H8" s="1797">
        <v>15</v>
      </c>
      <c r="I8" s="1797">
        <v>10</v>
      </c>
      <c r="J8" s="1797">
        <v>10</v>
      </c>
      <c r="K8" s="1797">
        <v>10</v>
      </c>
      <c r="L8" s="1797">
        <v>10</v>
      </c>
      <c r="M8" s="1822">
        <v>10</v>
      </c>
    </row>
    <row r="9" customHeight="1" spans="1:13">
      <c r="A9" s="1796" t="s">
        <v>1263</v>
      </c>
      <c r="B9" s="1797">
        <v>30</v>
      </c>
      <c r="C9" s="1797">
        <v>30</v>
      </c>
      <c r="D9" s="1797">
        <v>25</v>
      </c>
      <c r="E9" s="1797">
        <v>25</v>
      </c>
      <c r="F9" s="1797">
        <v>25</v>
      </c>
      <c r="G9" s="1797">
        <v>25</v>
      </c>
      <c r="H9" s="1797">
        <v>25</v>
      </c>
      <c r="I9" s="1797">
        <v>20</v>
      </c>
      <c r="J9" s="1797">
        <v>20</v>
      </c>
      <c r="K9" s="1797">
        <v>20</v>
      </c>
      <c r="L9" s="1797">
        <v>20</v>
      </c>
      <c r="M9" s="1822">
        <v>20</v>
      </c>
    </row>
    <row r="10" customHeight="1" spans="1:13">
      <c r="A10" s="1796" t="s">
        <v>1264</v>
      </c>
      <c r="B10" s="1797">
        <v>45</v>
      </c>
      <c r="C10" s="1797">
        <v>45</v>
      </c>
      <c r="D10" s="1797">
        <v>35</v>
      </c>
      <c r="E10" s="1797">
        <v>35</v>
      </c>
      <c r="F10" s="1797">
        <v>35</v>
      </c>
      <c r="G10" s="1797">
        <v>35</v>
      </c>
      <c r="H10" s="1797">
        <v>35</v>
      </c>
      <c r="I10" s="1797">
        <v>25</v>
      </c>
      <c r="J10" s="1797">
        <v>25</v>
      </c>
      <c r="K10" s="1797">
        <v>25</v>
      </c>
      <c r="L10" s="1797">
        <v>25</v>
      </c>
      <c r="M10" s="1822">
        <v>25</v>
      </c>
    </row>
    <row r="11" customHeight="1" spans="1:13">
      <c r="A11" s="1796" t="s">
        <v>1265</v>
      </c>
      <c r="B11" s="1797">
        <v>60</v>
      </c>
      <c r="C11" s="1797">
        <v>60</v>
      </c>
      <c r="D11" s="1797">
        <v>50</v>
      </c>
      <c r="E11" s="1797">
        <v>50</v>
      </c>
      <c r="F11" s="1797">
        <v>50</v>
      </c>
      <c r="G11" s="1797">
        <v>50</v>
      </c>
      <c r="H11" s="1797">
        <v>50</v>
      </c>
      <c r="I11" s="1797">
        <v>40</v>
      </c>
      <c r="J11" s="1797">
        <v>40</v>
      </c>
      <c r="K11" s="1797">
        <v>40</v>
      </c>
      <c r="L11" s="1797">
        <v>40</v>
      </c>
      <c r="M11" s="1822">
        <v>40</v>
      </c>
    </row>
    <row r="12" customHeight="1" spans="1:13">
      <c r="A12" s="1796" t="s">
        <v>1266</v>
      </c>
      <c r="B12" s="1797">
        <v>50</v>
      </c>
      <c r="C12" s="1797">
        <v>50</v>
      </c>
      <c r="D12" s="1797">
        <v>40</v>
      </c>
      <c r="E12" s="1797">
        <v>40</v>
      </c>
      <c r="F12" s="1797">
        <v>40</v>
      </c>
      <c r="G12" s="1797">
        <v>40</v>
      </c>
      <c r="H12" s="1797">
        <v>40</v>
      </c>
      <c r="I12" s="1797">
        <v>30</v>
      </c>
      <c r="J12" s="1797">
        <v>30</v>
      </c>
      <c r="K12" s="1797">
        <v>30</v>
      </c>
      <c r="L12" s="1797">
        <v>30</v>
      </c>
      <c r="M12" s="1822">
        <v>30</v>
      </c>
    </row>
    <row r="13" customHeight="1" spans="1:13">
      <c r="A13" s="1798" t="s">
        <v>1267</v>
      </c>
      <c r="B13" s="1799">
        <v>20</v>
      </c>
      <c r="C13" s="1799">
        <v>20</v>
      </c>
      <c r="D13" s="1799">
        <v>15</v>
      </c>
      <c r="E13" s="1799">
        <v>15</v>
      </c>
      <c r="F13" s="1799">
        <v>15</v>
      </c>
      <c r="G13" s="1799">
        <v>15</v>
      </c>
      <c r="H13" s="1799">
        <v>15</v>
      </c>
      <c r="I13" s="1799">
        <v>10</v>
      </c>
      <c r="J13" s="1799">
        <v>10</v>
      </c>
      <c r="K13" s="1799">
        <v>10</v>
      </c>
      <c r="L13" s="1799">
        <v>10</v>
      </c>
      <c r="M13" s="1823">
        <v>10</v>
      </c>
    </row>
    <row r="14" customHeight="1" spans="1:13">
      <c r="A14" s="1797" t="s">
        <v>138</v>
      </c>
      <c r="B14" s="1800">
        <v>0</v>
      </c>
      <c r="C14" s="1800">
        <v>0</v>
      </c>
      <c r="D14" s="1800">
        <v>0</v>
      </c>
      <c r="E14" s="1800">
        <v>0</v>
      </c>
      <c r="F14" s="1800">
        <v>0</v>
      </c>
      <c r="G14" s="1800">
        <v>0</v>
      </c>
      <c r="H14" s="1800">
        <v>0</v>
      </c>
      <c r="I14" s="1800">
        <v>0</v>
      </c>
      <c r="J14" s="1800">
        <v>0</v>
      </c>
      <c r="K14" s="1800">
        <v>0</v>
      </c>
      <c r="L14" s="1800">
        <v>0</v>
      </c>
      <c r="M14" s="1800">
        <v>0</v>
      </c>
    </row>
    <row r="15" customHeight="1" spans="1:13">
      <c r="A15" s="1801" t="s">
        <v>1178</v>
      </c>
      <c r="B15" s="1564">
        <f>SUM(B6:B13)</f>
        <v>375</v>
      </c>
      <c r="C15" s="1564">
        <f t="shared" ref="C15:H15" si="0">SUM(C6:C13)</f>
        <v>375</v>
      </c>
      <c r="D15" s="1564">
        <f t="shared" si="0"/>
        <v>300</v>
      </c>
      <c r="E15" s="1564">
        <f t="shared" si="0"/>
        <v>300</v>
      </c>
      <c r="F15" s="1564">
        <f t="shared" si="0"/>
        <v>300</v>
      </c>
      <c r="G15" s="1564">
        <f t="shared" si="0"/>
        <v>300</v>
      </c>
      <c r="H15" s="1564">
        <f t="shared" si="0"/>
        <v>300</v>
      </c>
      <c r="I15" s="1564">
        <f>SUM(I6:I10,I13)</f>
        <v>155</v>
      </c>
      <c r="J15" s="1564">
        <f t="shared" ref="J15:M15" si="1">SUM(J6:J10,J13)</f>
        <v>155</v>
      </c>
      <c r="K15" s="1564">
        <f t="shared" si="1"/>
        <v>155</v>
      </c>
      <c r="L15" s="1564">
        <f t="shared" si="1"/>
        <v>155</v>
      </c>
      <c r="M15" s="1564">
        <f t="shared" si="1"/>
        <v>155</v>
      </c>
    </row>
    <row r="16" customHeight="1" spans="1:7">
      <c r="A16" s="1802" t="s">
        <v>1268</v>
      </c>
      <c r="B16" s="1802"/>
      <c r="C16" s="1803"/>
      <c r="D16" s="1803"/>
      <c r="E16" s="1802"/>
      <c r="F16" s="1803"/>
      <c r="G16" s="1803"/>
    </row>
    <row r="17" customHeight="1" spans="1:7">
      <c r="A17" s="1797" t="s">
        <v>354</v>
      </c>
      <c r="B17" s="1804" t="s">
        <v>1269</v>
      </c>
      <c r="C17" s="1804" t="s">
        <v>1270</v>
      </c>
      <c r="D17" s="1805"/>
      <c r="E17" s="1797" t="s">
        <v>1271</v>
      </c>
      <c r="F17" s="1806"/>
      <c r="G17" s="1806"/>
    </row>
    <row r="18" customHeight="1" spans="1:7">
      <c r="A18" s="1807" t="s">
        <v>378</v>
      </c>
      <c r="B18" s="1807" t="s">
        <v>1272</v>
      </c>
      <c r="C18" s="1808" t="s">
        <v>1273</v>
      </c>
      <c r="D18" s="1809"/>
      <c r="E18" s="1807">
        <v>1</v>
      </c>
      <c r="F18" s="1810" t="s">
        <v>1274</v>
      </c>
      <c r="G18" s="1811"/>
    </row>
    <row r="19" customHeight="1" spans="1:7">
      <c r="A19" s="1807"/>
      <c r="B19" s="1807" t="s">
        <v>1275</v>
      </c>
      <c r="C19" s="1808" t="s">
        <v>1276</v>
      </c>
      <c r="D19" s="1809"/>
      <c r="E19" s="1807">
        <v>0.9</v>
      </c>
      <c r="F19" s="1810" t="s">
        <v>1277</v>
      </c>
      <c r="G19" s="1811"/>
    </row>
    <row r="20" customHeight="1" spans="1:7">
      <c r="A20" s="1807"/>
      <c r="B20" s="1807"/>
      <c r="C20" s="1808" t="s">
        <v>1278</v>
      </c>
      <c r="D20" s="1809"/>
      <c r="E20" s="1807">
        <v>1.1</v>
      </c>
      <c r="F20" s="1810" t="s">
        <v>1279</v>
      </c>
      <c r="G20" s="1811"/>
    </row>
    <row r="21" customHeight="1" spans="1:7">
      <c r="A21" s="1807"/>
      <c r="B21" s="1807"/>
      <c r="C21" s="1808" t="s">
        <v>1280</v>
      </c>
      <c r="D21" s="1809"/>
      <c r="E21" s="1807">
        <v>0.8</v>
      </c>
      <c r="F21" s="1810" t="s">
        <v>1281</v>
      </c>
      <c r="G21" s="1811"/>
    </row>
    <row r="22" customHeight="1" spans="1:7">
      <c r="A22" s="1807"/>
      <c r="B22" s="1807"/>
      <c r="C22" s="1808" t="s">
        <v>1282</v>
      </c>
      <c r="D22" s="1809"/>
      <c r="E22" s="1807">
        <v>0.5</v>
      </c>
      <c r="F22" s="1810"/>
      <c r="G22" s="1811"/>
    </row>
    <row r="23" customHeight="1" spans="1:7">
      <c r="A23" s="1807" t="s">
        <v>379</v>
      </c>
      <c r="B23" s="1807" t="s">
        <v>1272</v>
      </c>
      <c r="C23" s="1808" t="s">
        <v>1283</v>
      </c>
      <c r="D23" s="1809"/>
      <c r="E23" s="1807">
        <v>1</v>
      </c>
      <c r="F23" s="1810" t="s">
        <v>1284</v>
      </c>
      <c r="G23" s="1811"/>
    </row>
    <row r="24" customHeight="1" spans="1:7">
      <c r="A24" s="1807"/>
      <c r="B24" s="1807" t="s">
        <v>1275</v>
      </c>
      <c r="C24" s="1808" t="s">
        <v>1285</v>
      </c>
      <c r="D24" s="1809"/>
      <c r="E24" s="1807">
        <v>0.5</v>
      </c>
      <c r="F24" s="1810"/>
      <c r="G24" s="1811"/>
    </row>
    <row r="25" customHeight="1" spans="1:7">
      <c r="A25" s="1807"/>
      <c r="B25" s="1807"/>
      <c r="C25" s="1808" t="s">
        <v>1286</v>
      </c>
      <c r="D25" s="1809"/>
      <c r="E25" s="1807">
        <v>1.1</v>
      </c>
      <c r="F25" s="1810"/>
      <c r="G25" s="1811"/>
    </row>
    <row r="26" customHeight="1" spans="1:7">
      <c r="A26" s="1807"/>
      <c r="B26" s="1807"/>
      <c r="C26" s="1808" t="s">
        <v>1287</v>
      </c>
      <c r="D26" s="1809"/>
      <c r="E26" s="1807">
        <v>1.1</v>
      </c>
      <c r="F26" s="1810"/>
      <c r="G26" s="1811"/>
    </row>
    <row r="27" customHeight="1" spans="1:7">
      <c r="A27" s="1807"/>
      <c r="B27" s="1807"/>
      <c r="C27" s="1808" t="s">
        <v>1288</v>
      </c>
      <c r="D27" s="1809"/>
      <c r="E27" s="1807">
        <v>0.9</v>
      </c>
      <c r="F27" s="1810" t="s">
        <v>1289</v>
      </c>
      <c r="G27" s="1811"/>
    </row>
    <row r="28" customHeight="1" spans="1:7">
      <c r="A28" s="1807"/>
      <c r="B28" s="1807"/>
      <c r="C28" s="1808" t="s">
        <v>1290</v>
      </c>
      <c r="D28" s="1809"/>
      <c r="E28" s="1807">
        <v>0.9</v>
      </c>
      <c r="F28" s="1810" t="s">
        <v>1291</v>
      </c>
      <c r="G28" s="1811"/>
    </row>
    <row r="29" customHeight="1" spans="1:7">
      <c r="A29" s="1807"/>
      <c r="B29" s="1807"/>
      <c r="C29" s="1808" t="s">
        <v>1292</v>
      </c>
      <c r="D29" s="1809"/>
      <c r="E29" s="1807">
        <v>0.9</v>
      </c>
      <c r="F29" s="1810" t="s">
        <v>1293</v>
      </c>
      <c r="G29" s="1811"/>
    </row>
    <row r="30" customHeight="1" spans="1:7">
      <c r="A30" s="1807"/>
      <c r="B30" s="1807"/>
      <c r="C30" s="1808" t="s">
        <v>1294</v>
      </c>
      <c r="D30" s="1809"/>
      <c r="E30" s="1807">
        <v>0.9</v>
      </c>
      <c r="F30" s="1810" t="s">
        <v>1295</v>
      </c>
      <c r="G30" s="1811"/>
    </row>
    <row r="31" customHeight="1" spans="1:7">
      <c r="A31" s="1807"/>
      <c r="B31" s="1807"/>
      <c r="C31" s="1808" t="s">
        <v>1296</v>
      </c>
      <c r="D31" s="1809"/>
      <c r="E31" s="1807">
        <v>0.8</v>
      </c>
      <c r="F31" s="1810" t="s">
        <v>1297</v>
      </c>
      <c r="G31" s="1811"/>
    </row>
    <row r="32" customHeight="1" spans="1:7">
      <c r="A32" s="1807"/>
      <c r="B32" s="1807"/>
      <c r="C32" s="1808" t="s">
        <v>1298</v>
      </c>
      <c r="D32" s="1809"/>
      <c r="E32" s="1807">
        <v>0.8</v>
      </c>
      <c r="F32" s="1810" t="s">
        <v>1299</v>
      </c>
      <c r="G32" s="1811"/>
    </row>
    <row r="33" customHeight="1" spans="1:7">
      <c r="A33" s="1807" t="s">
        <v>1300</v>
      </c>
      <c r="B33" s="1807" t="s">
        <v>1272</v>
      </c>
      <c r="C33" s="1808" t="s">
        <v>1301</v>
      </c>
      <c r="D33" s="1809"/>
      <c r="E33" s="1807">
        <v>1</v>
      </c>
      <c r="F33" s="1810" t="s">
        <v>1302</v>
      </c>
      <c r="G33" s="1811"/>
    </row>
    <row r="34" customHeight="1" spans="1:7">
      <c r="A34" s="1807"/>
      <c r="B34" s="1807" t="s">
        <v>1275</v>
      </c>
      <c r="C34" s="1808" t="s">
        <v>1303</v>
      </c>
      <c r="D34" s="1809"/>
      <c r="E34" s="1807">
        <v>1.5</v>
      </c>
      <c r="F34" s="1810" t="s">
        <v>1304</v>
      </c>
      <c r="G34" s="1811"/>
    </row>
    <row r="35" customHeight="1" spans="1:7">
      <c r="A35" s="1807" t="s">
        <v>164</v>
      </c>
      <c r="B35" s="1807" t="s">
        <v>1272</v>
      </c>
      <c r="C35" s="1808" t="s">
        <v>1305</v>
      </c>
      <c r="D35" s="1809"/>
      <c r="E35" s="1807">
        <v>1</v>
      </c>
      <c r="F35" s="1810" t="s">
        <v>1306</v>
      </c>
      <c r="G35" s="1811"/>
    </row>
    <row r="36" customHeight="1" spans="1:7">
      <c r="A36" s="1807"/>
      <c r="B36" s="1807" t="s">
        <v>1275</v>
      </c>
      <c r="C36" s="1808" t="s">
        <v>1307</v>
      </c>
      <c r="D36" s="1809"/>
      <c r="E36" s="1807">
        <v>1</v>
      </c>
      <c r="F36" s="1810" t="s">
        <v>1308</v>
      </c>
      <c r="G36" s="1811"/>
    </row>
    <row r="37" customHeight="1" spans="1:7">
      <c r="A37" s="1807"/>
      <c r="B37" s="1807"/>
      <c r="C37" s="1808" t="s">
        <v>1309</v>
      </c>
      <c r="D37" s="1809"/>
      <c r="E37" s="1807">
        <v>1.5</v>
      </c>
      <c r="F37" s="1810" t="s">
        <v>1310</v>
      </c>
      <c r="G37" s="1811"/>
    </row>
    <row r="38" customHeight="1" spans="1:7">
      <c r="A38" s="1807"/>
      <c r="B38" s="1807"/>
      <c r="C38" s="1808" t="s">
        <v>1311</v>
      </c>
      <c r="D38" s="1809"/>
      <c r="E38" s="1807">
        <v>1</v>
      </c>
      <c r="F38" s="1810" t="s">
        <v>1312</v>
      </c>
      <c r="G38" s="1811"/>
    </row>
    <row r="39" customHeight="1" spans="1:7">
      <c r="A39" s="1807"/>
      <c r="B39" s="1807"/>
      <c r="C39" s="1808" t="s">
        <v>1313</v>
      </c>
      <c r="D39" s="1809"/>
      <c r="E39" s="1807">
        <v>1</v>
      </c>
      <c r="F39" s="1810" t="s">
        <v>1314</v>
      </c>
      <c r="G39" s="1811"/>
    </row>
    <row r="40" customHeight="1" spans="1:7">
      <c r="A40" s="1812" t="s">
        <v>1315</v>
      </c>
      <c r="B40" s="1812"/>
      <c r="C40" s="1812"/>
      <c r="D40" s="1812"/>
      <c r="E40" s="1812"/>
      <c r="F40" s="1810"/>
      <c r="G40" s="1810"/>
    </row>
    <row r="42" customHeight="1" spans="1:8">
      <c r="A42" s="1813"/>
      <c r="B42" s="1797" t="s">
        <v>1316</v>
      </c>
      <c r="C42" s="1797" t="s">
        <v>1316</v>
      </c>
      <c r="D42" s="1797" t="s">
        <v>1316</v>
      </c>
      <c r="E42" s="1799" t="s">
        <v>1316</v>
      </c>
      <c r="F42" s="1799" t="s">
        <v>1316</v>
      </c>
      <c r="G42" s="1799" t="s">
        <v>1221</v>
      </c>
      <c r="H42" s="1799" t="s">
        <v>1316</v>
      </c>
    </row>
    <row r="43" customHeight="1" spans="1:8">
      <c r="A43" s="1814"/>
      <c r="B43" s="1799" t="s">
        <v>378</v>
      </c>
      <c r="C43" s="1799" t="s">
        <v>378</v>
      </c>
      <c r="D43" s="1799" t="s">
        <v>378</v>
      </c>
      <c r="E43" s="1799" t="s">
        <v>378</v>
      </c>
      <c r="F43" s="1797" t="s">
        <v>379</v>
      </c>
      <c r="G43" s="1797" t="s">
        <v>164</v>
      </c>
      <c r="H43" s="1797" t="s">
        <v>380</v>
      </c>
    </row>
    <row r="44" customHeight="1" spans="1:8">
      <c r="A44" s="1815"/>
      <c r="B44" s="1797">
        <v>1</v>
      </c>
      <c r="C44" s="1797">
        <v>2</v>
      </c>
      <c r="D44" s="1797">
        <v>3</v>
      </c>
      <c r="E44" s="1799">
        <v>4</v>
      </c>
      <c r="F44" s="1805" t="s">
        <v>1041</v>
      </c>
      <c r="G44" s="1805" t="s">
        <v>1041</v>
      </c>
      <c r="H44" s="1805" t="s">
        <v>1041</v>
      </c>
    </row>
    <row r="45" customHeight="1" spans="1:8">
      <c r="A45" s="1816" t="s">
        <v>240</v>
      </c>
      <c r="B45" s="1797">
        <v>0.8</v>
      </c>
      <c r="C45" s="1797">
        <v>0.5</v>
      </c>
      <c r="D45" s="1797">
        <v>0.36</v>
      </c>
      <c r="E45" s="1797">
        <v>0.3</v>
      </c>
      <c r="F45" s="1805">
        <v>0.3</v>
      </c>
      <c r="G45" s="1797">
        <v>0.3</v>
      </c>
      <c r="H45" s="1797">
        <v>0.25</v>
      </c>
    </row>
    <row r="46" customHeight="1" spans="1:8">
      <c r="A46" s="1816" t="s">
        <v>253</v>
      </c>
      <c r="B46" s="1797">
        <v>0.8</v>
      </c>
      <c r="C46" s="1797">
        <v>0.5</v>
      </c>
      <c r="D46" s="1797">
        <v>0.36</v>
      </c>
      <c r="E46" s="1797">
        <v>0.3</v>
      </c>
      <c r="F46" s="1797">
        <v>0.3</v>
      </c>
      <c r="G46" s="1797">
        <v>0.3</v>
      </c>
      <c r="H46" s="1797">
        <v>0.25</v>
      </c>
    </row>
    <row r="47" customHeight="1" spans="1:8">
      <c r="A47" s="1816" t="s">
        <v>265</v>
      </c>
      <c r="B47" s="1797">
        <v>0.7</v>
      </c>
      <c r="C47" s="1797">
        <v>0.4</v>
      </c>
      <c r="D47" s="1797">
        <v>0.28</v>
      </c>
      <c r="E47" s="1797">
        <v>0.25</v>
      </c>
      <c r="F47" s="1797">
        <v>0.25</v>
      </c>
      <c r="G47" s="1797">
        <v>0.25</v>
      </c>
      <c r="H47" s="1797">
        <v>0.2</v>
      </c>
    </row>
    <row r="48" customHeight="1" spans="1:8">
      <c r="A48" s="1816" t="s">
        <v>275</v>
      </c>
      <c r="B48" s="1797">
        <v>0.7</v>
      </c>
      <c r="C48" s="1797">
        <v>0.4</v>
      </c>
      <c r="D48" s="1797">
        <v>0.28</v>
      </c>
      <c r="E48" s="1797">
        <v>0.25</v>
      </c>
      <c r="F48" s="1797">
        <v>0.25</v>
      </c>
      <c r="G48" s="1797">
        <v>0.25</v>
      </c>
      <c r="H48" s="1797">
        <v>0.2</v>
      </c>
    </row>
    <row r="49" s="1745" customFormat="1" customHeight="1" spans="1:8">
      <c r="A49" s="1816" t="s">
        <v>284</v>
      </c>
      <c r="B49" s="1797">
        <v>0.7</v>
      </c>
      <c r="C49" s="1797">
        <v>0.4</v>
      </c>
      <c r="D49" s="1797">
        <v>0.28</v>
      </c>
      <c r="E49" s="1797">
        <v>0.25</v>
      </c>
      <c r="F49" s="1797">
        <v>0.25</v>
      </c>
      <c r="G49" s="1797">
        <v>0.25</v>
      </c>
      <c r="H49" s="1797">
        <v>0.2</v>
      </c>
    </row>
    <row r="50" s="1745" customFormat="1" customHeight="1" spans="1:8">
      <c r="A50" s="1816" t="s">
        <v>292</v>
      </c>
      <c r="B50" s="1797">
        <v>0.7</v>
      </c>
      <c r="C50" s="1797">
        <v>0.4</v>
      </c>
      <c r="D50" s="1797">
        <v>0.28</v>
      </c>
      <c r="E50" s="1797">
        <v>0.25</v>
      </c>
      <c r="F50" s="1797">
        <v>0.25</v>
      </c>
      <c r="G50" s="1797">
        <v>0.25</v>
      </c>
      <c r="H50" s="1797">
        <v>0.2</v>
      </c>
    </row>
    <row r="51" s="1745" customFormat="1" customHeight="1" spans="1:8">
      <c r="A51" s="1816" t="s">
        <v>297</v>
      </c>
      <c r="B51" s="1797">
        <v>0.7</v>
      </c>
      <c r="C51" s="1797">
        <v>0.4</v>
      </c>
      <c r="D51" s="1797">
        <v>0.28</v>
      </c>
      <c r="E51" s="1797">
        <v>0.25</v>
      </c>
      <c r="F51" s="1797">
        <v>0.25</v>
      </c>
      <c r="G51" s="1797">
        <v>0.25</v>
      </c>
      <c r="H51" s="1797">
        <v>0.2</v>
      </c>
    </row>
    <row r="52" s="1745" customFormat="1" customHeight="1" spans="1:8">
      <c r="A52" s="1816" t="s">
        <v>302</v>
      </c>
      <c r="B52" s="1797">
        <v>0.6</v>
      </c>
      <c r="C52" s="1797">
        <v>0.3</v>
      </c>
      <c r="D52" s="1797">
        <v>0.2</v>
      </c>
      <c r="E52" s="1797">
        <v>0.2</v>
      </c>
      <c r="F52" s="1797">
        <v>0.2</v>
      </c>
      <c r="G52" s="1797">
        <v>0.2</v>
      </c>
      <c r="H52" s="1797">
        <v>0.15</v>
      </c>
    </row>
    <row r="53" s="1745" customFormat="1" customHeight="1" spans="1:8">
      <c r="A53" s="1816" t="s">
        <v>305</v>
      </c>
      <c r="B53" s="1797">
        <v>0.6</v>
      </c>
      <c r="C53" s="1797">
        <v>0.3</v>
      </c>
      <c r="D53" s="1797">
        <v>0.2</v>
      </c>
      <c r="E53" s="1797">
        <v>0.2</v>
      </c>
      <c r="F53" s="1797">
        <v>0.2</v>
      </c>
      <c r="G53" s="1797">
        <v>0.2</v>
      </c>
      <c r="H53" s="1797">
        <v>0.15</v>
      </c>
    </row>
    <row r="54" s="1745" customFormat="1" customHeight="1" spans="1:8">
      <c r="A54" s="1816" t="s">
        <v>308</v>
      </c>
      <c r="B54" s="1797">
        <v>0.6</v>
      </c>
      <c r="C54" s="1797">
        <v>0.3</v>
      </c>
      <c r="D54" s="1797">
        <v>0.2</v>
      </c>
      <c r="E54" s="1797">
        <v>0.2</v>
      </c>
      <c r="F54" s="1797">
        <v>0.2</v>
      </c>
      <c r="G54" s="1797">
        <v>0.2</v>
      </c>
      <c r="H54" s="1797">
        <v>0.15</v>
      </c>
    </row>
    <row r="55" s="1745" customFormat="1" customHeight="1" spans="1:8">
      <c r="A55" s="1816" t="s">
        <v>311</v>
      </c>
      <c r="B55" s="1797">
        <v>0.6</v>
      </c>
      <c r="C55" s="1797">
        <v>0.3</v>
      </c>
      <c r="D55" s="1797">
        <v>0.2</v>
      </c>
      <c r="E55" s="1797">
        <v>0.2</v>
      </c>
      <c r="F55" s="1797">
        <v>0.2</v>
      </c>
      <c r="G55" s="1797">
        <v>0.2</v>
      </c>
      <c r="H55" s="1797">
        <v>0.15</v>
      </c>
    </row>
    <row r="56" s="1745" customFormat="1" customHeight="1" spans="1:8">
      <c r="A56" s="1816" t="s">
        <v>314</v>
      </c>
      <c r="B56" s="1797">
        <v>0.6</v>
      </c>
      <c r="C56" s="1797">
        <v>0.3</v>
      </c>
      <c r="D56" s="1797">
        <v>0.2</v>
      </c>
      <c r="E56" s="1797">
        <v>0.2</v>
      </c>
      <c r="F56" s="1797">
        <v>0.2</v>
      </c>
      <c r="G56" s="1797">
        <v>0.2</v>
      </c>
      <c r="H56" s="1797">
        <v>0.15</v>
      </c>
    </row>
    <row r="58" s="1745" customFormat="1" customHeight="1" spans="1:6">
      <c r="A58" s="1811"/>
      <c r="B58" s="1802"/>
      <c r="C58" s="1802"/>
      <c r="D58" s="1802" t="s">
        <v>1317</v>
      </c>
      <c r="E58" s="1802"/>
      <c r="F58" s="1802"/>
    </row>
    <row r="59" s="1745" customFormat="1" customHeight="1" spans="1:6">
      <c r="A59" s="1807" t="s">
        <v>1318</v>
      </c>
      <c r="B59" s="1807" t="s">
        <v>1319</v>
      </c>
      <c r="C59" s="1807" t="s">
        <v>1320</v>
      </c>
      <c r="D59" s="1807" t="s">
        <v>1321</v>
      </c>
      <c r="E59" s="1807" t="s">
        <v>1149</v>
      </c>
      <c r="F59" s="1807" t="s">
        <v>1322</v>
      </c>
    </row>
    <row r="60" s="1745" customFormat="1" customHeight="1" spans="1:6">
      <c r="A60" s="1807"/>
      <c r="B60" s="1807"/>
      <c r="C60" s="1807" t="s">
        <v>1323</v>
      </c>
      <c r="D60" s="1807"/>
      <c r="E60" s="1817" t="s">
        <v>138</v>
      </c>
      <c r="F60" s="1807" t="s">
        <v>138</v>
      </c>
    </row>
    <row r="61" s="1745" customFormat="1" ht="24" spans="1:8">
      <c r="A61" s="1807">
        <v>1</v>
      </c>
      <c r="B61" s="1807" t="s">
        <v>1324</v>
      </c>
      <c r="C61" s="1797" t="s">
        <v>1325</v>
      </c>
      <c r="D61" s="1797" t="s">
        <v>1326</v>
      </c>
      <c r="E61" s="1817">
        <v>0.5</v>
      </c>
      <c r="F61" s="1807">
        <v>80</v>
      </c>
      <c r="H61" s="1745">
        <f>SUMIF(C59:C119,基准地价!C8,E59:E119)</f>
        <v>0</v>
      </c>
    </row>
    <row r="62" s="1745" customFormat="1" ht="24" spans="1:6">
      <c r="A62" s="1807">
        <v>2</v>
      </c>
      <c r="B62" s="1807"/>
      <c r="C62" s="1797" t="s">
        <v>1327</v>
      </c>
      <c r="D62" s="1797" t="s">
        <v>1328</v>
      </c>
      <c r="E62" s="1817">
        <v>0.5</v>
      </c>
      <c r="F62" s="1807">
        <v>80</v>
      </c>
    </row>
    <row r="63" s="1745" customFormat="1" ht="36" spans="1:6">
      <c r="A63" s="1807">
        <v>3</v>
      </c>
      <c r="B63" s="1807"/>
      <c r="C63" s="1797" t="s">
        <v>1329</v>
      </c>
      <c r="D63" s="1797" t="s">
        <v>1330</v>
      </c>
      <c r="E63" s="1817">
        <v>0.5</v>
      </c>
      <c r="F63" s="1807">
        <v>80</v>
      </c>
    </row>
    <row r="64" s="1745" customFormat="1" ht="36" spans="1:6">
      <c r="A64" s="1807">
        <v>4</v>
      </c>
      <c r="B64" s="1807"/>
      <c r="C64" s="1797" t="s">
        <v>1331</v>
      </c>
      <c r="D64" s="1797" t="s">
        <v>1332</v>
      </c>
      <c r="E64" s="1817">
        <v>0.4</v>
      </c>
      <c r="F64" s="1807">
        <v>60</v>
      </c>
    </row>
    <row r="65" s="1745" customFormat="1" ht="36" spans="1:6">
      <c r="A65" s="1807">
        <v>5</v>
      </c>
      <c r="B65" s="1807"/>
      <c r="C65" s="1797" t="s">
        <v>1333</v>
      </c>
      <c r="D65" s="1797" t="s">
        <v>1334</v>
      </c>
      <c r="E65" s="1817">
        <v>0.2</v>
      </c>
      <c r="F65" s="1807">
        <v>30</v>
      </c>
    </row>
    <row r="66" s="1745" customFormat="1" ht="36" spans="1:6">
      <c r="A66" s="1807">
        <v>6</v>
      </c>
      <c r="B66" s="1807"/>
      <c r="C66" s="1797" t="s">
        <v>1335</v>
      </c>
      <c r="D66" s="1797" t="s">
        <v>1336</v>
      </c>
      <c r="E66" s="1817">
        <v>0.3</v>
      </c>
      <c r="F66" s="1807">
        <v>50</v>
      </c>
    </row>
    <row r="67" s="1745" customFormat="1" ht="36" spans="1:6">
      <c r="A67" s="1807">
        <v>7</v>
      </c>
      <c r="B67" s="1807"/>
      <c r="C67" s="1797" t="s">
        <v>1337</v>
      </c>
      <c r="D67" s="1797" t="s">
        <v>1338</v>
      </c>
      <c r="E67" s="1817">
        <v>0.2</v>
      </c>
      <c r="F67" s="1807">
        <v>30</v>
      </c>
    </row>
    <row r="68" s="1745" customFormat="1" ht="36" spans="1:6">
      <c r="A68" s="1807">
        <v>8</v>
      </c>
      <c r="B68" s="1807"/>
      <c r="C68" s="1797" t="s">
        <v>1339</v>
      </c>
      <c r="D68" s="1797" t="s">
        <v>1340</v>
      </c>
      <c r="E68" s="1817">
        <v>0.2</v>
      </c>
      <c r="F68" s="1807">
        <v>30</v>
      </c>
    </row>
    <row r="69" s="1745" customFormat="1" ht="36" spans="1:6">
      <c r="A69" s="1807">
        <v>9</v>
      </c>
      <c r="B69" s="1807"/>
      <c r="C69" s="1797" t="s">
        <v>1341</v>
      </c>
      <c r="D69" s="1797" t="s">
        <v>1342</v>
      </c>
      <c r="E69" s="1817">
        <v>0.2</v>
      </c>
      <c r="F69" s="1807">
        <v>30</v>
      </c>
    </row>
    <row r="70" s="1745" customFormat="1" ht="48" spans="1:6">
      <c r="A70" s="1807">
        <v>10</v>
      </c>
      <c r="B70" s="1807"/>
      <c r="C70" s="1797" t="s">
        <v>1343</v>
      </c>
      <c r="D70" s="1797" t="s">
        <v>1344</v>
      </c>
      <c r="E70" s="1817">
        <v>0.2</v>
      </c>
      <c r="F70" s="1807">
        <v>30</v>
      </c>
    </row>
    <row r="71" s="1745" customFormat="1" ht="48" spans="1:6">
      <c r="A71" s="1807">
        <v>11</v>
      </c>
      <c r="B71" s="1807"/>
      <c r="C71" s="1797" t="s">
        <v>1345</v>
      </c>
      <c r="D71" s="1797" t="s">
        <v>1346</v>
      </c>
      <c r="E71" s="1817">
        <v>0.2</v>
      </c>
      <c r="F71" s="1807">
        <v>30</v>
      </c>
    </row>
    <row r="72" s="1745" customFormat="1" ht="36" spans="1:6">
      <c r="A72" s="1807">
        <v>12</v>
      </c>
      <c r="B72" s="1807"/>
      <c r="C72" s="1797" t="s">
        <v>1347</v>
      </c>
      <c r="D72" s="1797" t="s">
        <v>1348</v>
      </c>
      <c r="E72" s="1817">
        <v>0.5</v>
      </c>
      <c r="F72" s="1807">
        <v>80</v>
      </c>
    </row>
    <row r="73" s="1745" customFormat="1" ht="36" spans="1:6">
      <c r="A73" s="1807">
        <v>13</v>
      </c>
      <c r="B73" s="1807"/>
      <c r="C73" s="1797" t="s">
        <v>1349</v>
      </c>
      <c r="D73" s="1797" t="s">
        <v>1350</v>
      </c>
      <c r="E73" s="1817">
        <v>0.4</v>
      </c>
      <c r="F73" s="1807">
        <v>60</v>
      </c>
    </row>
    <row r="74" s="1745" customFormat="1" ht="36" spans="1:6">
      <c r="A74" s="1807">
        <v>14</v>
      </c>
      <c r="B74" s="1807"/>
      <c r="C74" s="1797" t="s">
        <v>1351</v>
      </c>
      <c r="D74" s="1797" t="s">
        <v>1352</v>
      </c>
      <c r="E74" s="1817">
        <v>0.2</v>
      </c>
      <c r="F74" s="1807">
        <v>30</v>
      </c>
    </row>
    <row r="75" s="1745" customFormat="1" ht="36" spans="1:6">
      <c r="A75" s="1807">
        <v>15</v>
      </c>
      <c r="B75" s="1807"/>
      <c r="C75" s="1797" t="s">
        <v>1353</v>
      </c>
      <c r="D75" s="1797" t="s">
        <v>1354</v>
      </c>
      <c r="E75" s="1817">
        <v>0.2</v>
      </c>
      <c r="F75" s="1807">
        <v>30</v>
      </c>
    </row>
    <row r="76" s="1745" customFormat="1" ht="24" spans="1:6">
      <c r="A76" s="1807">
        <v>16</v>
      </c>
      <c r="B76" s="1807" t="s">
        <v>1355</v>
      </c>
      <c r="C76" s="1797" t="s">
        <v>1356</v>
      </c>
      <c r="D76" s="1797" t="s">
        <v>1357</v>
      </c>
      <c r="E76" s="1817">
        <v>0.5</v>
      </c>
      <c r="F76" s="1807">
        <v>80</v>
      </c>
    </row>
    <row r="77" s="1745" customFormat="1" ht="24" spans="1:6">
      <c r="A77" s="1807">
        <v>17</v>
      </c>
      <c r="B77" s="1807"/>
      <c r="C77" s="1797" t="s">
        <v>1358</v>
      </c>
      <c r="D77" s="1797" t="s">
        <v>1359</v>
      </c>
      <c r="E77" s="1817">
        <v>0.5</v>
      </c>
      <c r="F77" s="1807">
        <v>80</v>
      </c>
    </row>
    <row r="78" s="1745" customFormat="1" ht="36" spans="1:6">
      <c r="A78" s="1807">
        <v>18</v>
      </c>
      <c r="B78" s="1807"/>
      <c r="C78" s="1797" t="s">
        <v>1360</v>
      </c>
      <c r="D78" s="1797" t="s">
        <v>1361</v>
      </c>
      <c r="E78" s="1817">
        <v>0.2</v>
      </c>
      <c r="F78" s="1807">
        <v>30</v>
      </c>
    </row>
    <row r="79" s="1745" customFormat="1" ht="24" spans="1:6">
      <c r="A79" s="1807">
        <v>19</v>
      </c>
      <c r="B79" s="1807"/>
      <c r="C79" s="1797" t="s">
        <v>1362</v>
      </c>
      <c r="D79" s="1797" t="s">
        <v>1363</v>
      </c>
      <c r="E79" s="1817">
        <v>0.5</v>
      </c>
      <c r="F79" s="1807">
        <v>80</v>
      </c>
    </row>
    <row r="80" s="1745" customFormat="1" ht="36" spans="1:6">
      <c r="A80" s="1807">
        <v>20</v>
      </c>
      <c r="B80" s="1807"/>
      <c r="C80" s="1797" t="s">
        <v>1364</v>
      </c>
      <c r="D80" s="1797" t="s">
        <v>1365</v>
      </c>
      <c r="E80" s="1817">
        <v>0.2</v>
      </c>
      <c r="F80" s="1807">
        <v>30</v>
      </c>
    </row>
    <row r="81" s="1745" customFormat="1" ht="36" spans="1:6">
      <c r="A81" s="1807">
        <v>21</v>
      </c>
      <c r="B81" s="1807"/>
      <c r="C81" s="1797" t="s">
        <v>1366</v>
      </c>
      <c r="D81" s="1797" t="s">
        <v>1367</v>
      </c>
      <c r="E81" s="1817">
        <v>0.2</v>
      </c>
      <c r="F81" s="1807">
        <v>30</v>
      </c>
    </row>
    <row r="82" s="1745" customFormat="1" ht="48" spans="1:6">
      <c r="A82" s="1807">
        <v>22</v>
      </c>
      <c r="B82" s="1807"/>
      <c r="C82" s="1797" t="s">
        <v>1368</v>
      </c>
      <c r="D82" s="1797" t="s">
        <v>1369</v>
      </c>
      <c r="E82" s="1817">
        <v>0.2</v>
      </c>
      <c r="F82" s="1807">
        <v>30</v>
      </c>
    </row>
    <row r="83" s="1745" customFormat="1" ht="48" spans="1:6">
      <c r="A83" s="1807">
        <v>23</v>
      </c>
      <c r="B83" s="1807"/>
      <c r="C83" s="1797" t="s">
        <v>1370</v>
      </c>
      <c r="D83" s="1797" t="s">
        <v>1371</v>
      </c>
      <c r="E83" s="1817">
        <v>0.2</v>
      </c>
      <c r="F83" s="1807">
        <v>30</v>
      </c>
    </row>
    <row r="84" s="1745" customFormat="1" ht="36" spans="1:6">
      <c r="A84" s="1807">
        <v>24</v>
      </c>
      <c r="B84" s="1807"/>
      <c r="C84" s="1797" t="s">
        <v>1372</v>
      </c>
      <c r="D84" s="1797" t="s">
        <v>1373</v>
      </c>
      <c r="E84" s="1817">
        <v>0.2</v>
      </c>
      <c r="F84" s="1807">
        <v>30</v>
      </c>
    </row>
    <row r="85" s="1745" customFormat="1" ht="36" spans="1:6">
      <c r="A85" s="1807">
        <v>25</v>
      </c>
      <c r="B85" s="1807"/>
      <c r="C85" s="1797" t="s">
        <v>1374</v>
      </c>
      <c r="D85" s="1797" t="s">
        <v>1375</v>
      </c>
      <c r="E85" s="1817">
        <v>0.5</v>
      </c>
      <c r="F85" s="1807">
        <v>80</v>
      </c>
    </row>
    <row r="86" s="1745" customFormat="1" ht="36" spans="1:6">
      <c r="A86" s="1807">
        <v>26</v>
      </c>
      <c r="B86" s="1807"/>
      <c r="C86" s="1797" t="s">
        <v>1376</v>
      </c>
      <c r="D86" s="1797" t="s">
        <v>1377</v>
      </c>
      <c r="E86" s="1817">
        <v>0.2</v>
      </c>
      <c r="F86" s="1807">
        <v>30</v>
      </c>
    </row>
    <row r="87" s="1745" customFormat="1" ht="36" spans="1:6">
      <c r="A87" s="1807">
        <v>27</v>
      </c>
      <c r="B87" s="1807"/>
      <c r="C87" s="1797" t="s">
        <v>1378</v>
      </c>
      <c r="D87" s="1797" t="s">
        <v>1379</v>
      </c>
      <c r="E87" s="1817">
        <v>0.2</v>
      </c>
      <c r="F87" s="1807">
        <v>30</v>
      </c>
    </row>
    <row r="88" s="1745" customFormat="1" ht="36" spans="1:6">
      <c r="A88" s="1807">
        <v>28</v>
      </c>
      <c r="B88" s="1807"/>
      <c r="C88" s="1797" t="s">
        <v>1380</v>
      </c>
      <c r="D88" s="1797" t="s">
        <v>1381</v>
      </c>
      <c r="E88" s="1817">
        <v>0.2</v>
      </c>
      <c r="F88" s="1807">
        <v>30</v>
      </c>
    </row>
    <row r="89" s="1745" customFormat="1" ht="36" spans="1:6">
      <c r="A89" s="1807">
        <v>29</v>
      </c>
      <c r="B89" s="1807"/>
      <c r="C89" s="1797" t="s">
        <v>1382</v>
      </c>
      <c r="D89" s="1797" t="s">
        <v>1383</v>
      </c>
      <c r="E89" s="1817">
        <v>0.2</v>
      </c>
      <c r="F89" s="1807">
        <v>30</v>
      </c>
    </row>
    <row r="90" s="1745" customFormat="1" ht="36" spans="1:6">
      <c r="A90" s="1807">
        <v>30</v>
      </c>
      <c r="B90" s="1807"/>
      <c r="C90" s="1797" t="s">
        <v>1384</v>
      </c>
      <c r="D90" s="1797" t="s">
        <v>1385</v>
      </c>
      <c r="E90" s="1817">
        <v>0.2</v>
      </c>
      <c r="F90" s="1807">
        <v>30</v>
      </c>
    </row>
    <row r="91" s="1745" customFormat="1" ht="36" spans="1:6">
      <c r="A91" s="1807">
        <v>31</v>
      </c>
      <c r="B91" s="1807"/>
      <c r="C91" s="1797" t="s">
        <v>1386</v>
      </c>
      <c r="D91" s="1797" t="s">
        <v>1387</v>
      </c>
      <c r="E91" s="1817">
        <v>0.2</v>
      </c>
      <c r="F91" s="1807">
        <v>30</v>
      </c>
    </row>
    <row r="92" s="1745" customFormat="1" ht="36" spans="1:6">
      <c r="A92" s="1807">
        <v>32</v>
      </c>
      <c r="B92" s="1807" t="s">
        <v>1388</v>
      </c>
      <c r="C92" s="1807" t="s">
        <v>1389</v>
      </c>
      <c r="D92" s="1797" t="s">
        <v>1390</v>
      </c>
      <c r="E92" s="1817">
        <v>0.2</v>
      </c>
      <c r="F92" s="1807">
        <v>30</v>
      </c>
    </row>
    <row r="93" s="1745" customFormat="1" ht="36" spans="1:6">
      <c r="A93" s="1807">
        <v>33</v>
      </c>
      <c r="B93" s="1807"/>
      <c r="C93" s="1807" t="s">
        <v>1391</v>
      </c>
      <c r="D93" s="1797" t="s">
        <v>1392</v>
      </c>
      <c r="E93" s="1817">
        <v>0.2</v>
      </c>
      <c r="F93" s="1807">
        <v>30</v>
      </c>
    </row>
    <row r="94" s="1745" customFormat="1" ht="48" spans="1:6">
      <c r="A94" s="1807">
        <v>34</v>
      </c>
      <c r="B94" s="1807"/>
      <c r="C94" s="1807" t="s">
        <v>1393</v>
      </c>
      <c r="D94" s="1797" t="s">
        <v>1394</v>
      </c>
      <c r="E94" s="1817">
        <v>0.2</v>
      </c>
      <c r="F94" s="1807">
        <v>30</v>
      </c>
    </row>
    <row r="95" s="1745" customFormat="1" ht="36" spans="1:6">
      <c r="A95" s="1807">
        <v>35</v>
      </c>
      <c r="B95" s="1807"/>
      <c r="C95" s="1807" t="s">
        <v>1395</v>
      </c>
      <c r="D95" s="1797" t="s">
        <v>1396</v>
      </c>
      <c r="E95" s="1817">
        <v>0.2</v>
      </c>
      <c r="F95" s="1807">
        <v>30</v>
      </c>
    </row>
    <row r="96" s="1745" customFormat="1" ht="48" spans="1:6">
      <c r="A96" s="1807">
        <v>36</v>
      </c>
      <c r="B96" s="1807"/>
      <c r="C96" s="1797" t="s">
        <v>1397</v>
      </c>
      <c r="D96" s="1797" t="s">
        <v>1398</v>
      </c>
      <c r="E96" s="1817">
        <v>0.2</v>
      </c>
      <c r="F96" s="1807">
        <v>30</v>
      </c>
    </row>
    <row r="97" s="1745" customFormat="1" ht="36" spans="1:6">
      <c r="A97" s="1807">
        <v>37</v>
      </c>
      <c r="B97" s="1807"/>
      <c r="C97" s="1807" t="s">
        <v>1399</v>
      </c>
      <c r="D97" s="1797" t="s">
        <v>1400</v>
      </c>
      <c r="E97" s="1817">
        <v>0.2</v>
      </c>
      <c r="F97" s="1807">
        <v>30</v>
      </c>
    </row>
    <row r="98" s="1745" customFormat="1" ht="36" spans="1:6">
      <c r="A98" s="1807">
        <v>38</v>
      </c>
      <c r="B98" s="1807"/>
      <c r="C98" s="1807" t="s">
        <v>1401</v>
      </c>
      <c r="D98" s="1797" t="s">
        <v>1402</v>
      </c>
      <c r="E98" s="1817">
        <v>0.2</v>
      </c>
      <c r="F98" s="1807">
        <v>30</v>
      </c>
    </row>
    <row r="99" s="1745" customFormat="1" ht="36" spans="1:6">
      <c r="A99" s="1807">
        <v>39</v>
      </c>
      <c r="B99" s="1807" t="s">
        <v>1403</v>
      </c>
      <c r="C99" s="1807" t="s">
        <v>1404</v>
      </c>
      <c r="D99" s="1797" t="s">
        <v>1405</v>
      </c>
      <c r="E99" s="1817">
        <v>0.3</v>
      </c>
      <c r="F99" s="1807">
        <v>50</v>
      </c>
    </row>
    <row r="100" s="1745" customFormat="1" ht="36" spans="1:6">
      <c r="A100" s="1807">
        <v>40</v>
      </c>
      <c r="B100" s="1807"/>
      <c r="C100" s="1807" t="s">
        <v>1406</v>
      </c>
      <c r="D100" s="1797" t="s">
        <v>1407</v>
      </c>
      <c r="E100" s="1817">
        <v>0.2</v>
      </c>
      <c r="F100" s="1807">
        <v>30</v>
      </c>
    </row>
    <row r="101" s="1745" customFormat="1" ht="36" spans="1:6">
      <c r="A101" s="1807">
        <v>41</v>
      </c>
      <c r="B101" s="1807"/>
      <c r="C101" s="1807" t="s">
        <v>1408</v>
      </c>
      <c r="D101" s="1797" t="s">
        <v>1405</v>
      </c>
      <c r="E101" s="1817">
        <v>0.2</v>
      </c>
      <c r="F101" s="1807">
        <v>30</v>
      </c>
    </row>
    <row r="102" s="1745" customFormat="1" ht="48" spans="1:6">
      <c r="A102" s="1807">
        <v>42</v>
      </c>
      <c r="B102" s="1807" t="s">
        <v>1409</v>
      </c>
      <c r="C102" s="1797" t="s">
        <v>1410</v>
      </c>
      <c r="D102" s="1797" t="s">
        <v>1411</v>
      </c>
      <c r="E102" s="1817">
        <v>0.2</v>
      </c>
      <c r="F102" s="1807">
        <v>30</v>
      </c>
    </row>
    <row r="103" s="1745" customFormat="1" ht="36" spans="1:6">
      <c r="A103" s="1807">
        <v>43</v>
      </c>
      <c r="B103" s="1807" t="s">
        <v>1412</v>
      </c>
      <c r="C103" s="1807" t="s">
        <v>1413</v>
      </c>
      <c r="D103" s="1797" t="s">
        <v>1414</v>
      </c>
      <c r="E103" s="1817">
        <v>0.2</v>
      </c>
      <c r="F103" s="1807">
        <v>30</v>
      </c>
    </row>
    <row r="104" s="1745" customFormat="1" ht="36" spans="1:6">
      <c r="A104" s="1807">
        <v>44</v>
      </c>
      <c r="B104" s="1807" t="s">
        <v>1415</v>
      </c>
      <c r="C104" s="1807" t="s">
        <v>1416</v>
      </c>
      <c r="D104" s="1797" t="s">
        <v>1417</v>
      </c>
      <c r="E104" s="1817">
        <v>0.2</v>
      </c>
      <c r="F104" s="1807">
        <v>30</v>
      </c>
    </row>
    <row r="105" s="1745" customFormat="1" ht="36" spans="1:6">
      <c r="A105" s="1807">
        <v>45</v>
      </c>
      <c r="B105" s="1807" t="s">
        <v>1418</v>
      </c>
      <c r="C105" s="1807" t="s">
        <v>1419</v>
      </c>
      <c r="D105" s="1797" t="s">
        <v>1420</v>
      </c>
      <c r="E105" s="1817">
        <v>0.2</v>
      </c>
      <c r="F105" s="1807">
        <v>30</v>
      </c>
    </row>
    <row r="106" s="1745" customFormat="1" ht="36" spans="1:6">
      <c r="A106" s="1807">
        <v>46</v>
      </c>
      <c r="B106" s="1807"/>
      <c r="C106" s="1807" t="s">
        <v>1421</v>
      </c>
      <c r="D106" s="1797" t="s">
        <v>1422</v>
      </c>
      <c r="E106" s="1817">
        <v>0.2</v>
      </c>
      <c r="F106" s="1807">
        <v>30</v>
      </c>
    </row>
    <row r="107" s="1745" customFormat="1" ht="36" spans="1:6">
      <c r="A107" s="1807">
        <v>47</v>
      </c>
      <c r="B107" s="1807" t="s">
        <v>1423</v>
      </c>
      <c r="C107" s="1807" t="s">
        <v>1424</v>
      </c>
      <c r="D107" s="1797" t="s">
        <v>1425</v>
      </c>
      <c r="E107" s="1817">
        <v>0.3</v>
      </c>
      <c r="F107" s="1807">
        <v>50</v>
      </c>
    </row>
    <row r="108" s="1745" customFormat="1" ht="36" spans="1:6">
      <c r="A108" s="1807">
        <v>48</v>
      </c>
      <c r="B108" s="1807"/>
      <c r="C108" s="1807" t="s">
        <v>1426</v>
      </c>
      <c r="D108" s="1797" t="s">
        <v>1427</v>
      </c>
      <c r="E108" s="1817">
        <v>0.2</v>
      </c>
      <c r="F108" s="1807">
        <v>30</v>
      </c>
    </row>
    <row r="109" s="1745" customFormat="1" ht="36" spans="1:6">
      <c r="A109" s="1807">
        <v>49</v>
      </c>
      <c r="B109" s="1807" t="s">
        <v>1428</v>
      </c>
      <c r="C109" s="1807" t="s">
        <v>1429</v>
      </c>
      <c r="D109" s="1797" t="s">
        <v>1430</v>
      </c>
      <c r="E109" s="1817">
        <v>0.2</v>
      </c>
      <c r="F109" s="1807">
        <v>30</v>
      </c>
    </row>
    <row r="110" s="1745" customFormat="1" ht="36" spans="1:6">
      <c r="A110" s="1807">
        <v>50</v>
      </c>
      <c r="B110" s="1807" t="s">
        <v>1431</v>
      </c>
      <c r="C110" s="1807" t="s">
        <v>1432</v>
      </c>
      <c r="D110" s="1797" t="s">
        <v>1433</v>
      </c>
      <c r="E110" s="1817">
        <v>0.2</v>
      </c>
      <c r="F110" s="1807">
        <v>30</v>
      </c>
    </row>
    <row r="111" s="1745" customFormat="1" ht="36" spans="1:6">
      <c r="A111" s="1807">
        <v>51</v>
      </c>
      <c r="B111" s="1807" t="s">
        <v>1434</v>
      </c>
      <c r="C111" s="1807" t="s">
        <v>1435</v>
      </c>
      <c r="D111" s="1797" t="s">
        <v>1436</v>
      </c>
      <c r="E111" s="1817">
        <v>0.2</v>
      </c>
      <c r="F111" s="1807">
        <v>30</v>
      </c>
    </row>
    <row r="112" s="1745" customFormat="1" ht="36" spans="1:6">
      <c r="A112" s="1807">
        <v>52</v>
      </c>
      <c r="B112" s="1807"/>
      <c r="C112" s="1807" t="s">
        <v>1437</v>
      </c>
      <c r="D112" s="1797" t="s">
        <v>1438</v>
      </c>
      <c r="E112" s="1817">
        <v>0.2</v>
      </c>
      <c r="F112" s="1807">
        <v>30</v>
      </c>
    </row>
    <row r="113" s="1745" customFormat="1" ht="36" spans="1:6">
      <c r="A113" s="1807">
        <v>53</v>
      </c>
      <c r="B113" s="1807"/>
      <c r="C113" s="1807" t="s">
        <v>1439</v>
      </c>
      <c r="D113" s="1797" t="s">
        <v>1440</v>
      </c>
      <c r="E113" s="1817">
        <v>0.2</v>
      </c>
      <c r="F113" s="1807">
        <v>30</v>
      </c>
    </row>
    <row r="114" ht="36" spans="1:6">
      <c r="A114" s="1807">
        <v>54</v>
      </c>
      <c r="B114" s="1807" t="s">
        <v>1441</v>
      </c>
      <c r="C114" s="1807" t="s">
        <v>1442</v>
      </c>
      <c r="D114" s="1797" t="s">
        <v>1443</v>
      </c>
      <c r="E114" s="1817">
        <v>0.2</v>
      </c>
      <c r="F114" s="1807">
        <v>30</v>
      </c>
    </row>
    <row r="115" ht="36" spans="1:6">
      <c r="A115" s="1807">
        <v>55</v>
      </c>
      <c r="B115" s="1807" t="s">
        <v>1444</v>
      </c>
      <c r="C115" s="1807" t="s">
        <v>1445</v>
      </c>
      <c r="D115" s="1797" t="s">
        <v>1446</v>
      </c>
      <c r="E115" s="1817">
        <v>0.2</v>
      </c>
      <c r="F115" s="1807">
        <v>30</v>
      </c>
    </row>
    <row r="116" ht="36" spans="1:6">
      <c r="A116" s="1807">
        <v>56</v>
      </c>
      <c r="B116" s="1807" t="s">
        <v>1447</v>
      </c>
      <c r="C116" s="1807" t="s">
        <v>1448</v>
      </c>
      <c r="D116" s="1797" t="s">
        <v>1449</v>
      </c>
      <c r="E116" s="1817">
        <v>0.2</v>
      </c>
      <c r="F116" s="1807">
        <v>30</v>
      </c>
    </row>
    <row r="117" ht="36" spans="1:6">
      <c r="A117" s="1807">
        <v>57</v>
      </c>
      <c r="B117" s="1807"/>
      <c r="C117" s="1807" t="s">
        <v>1450</v>
      </c>
      <c r="D117" s="1797" t="s">
        <v>1451</v>
      </c>
      <c r="E117" s="1817">
        <v>0.2</v>
      </c>
      <c r="F117" s="1807">
        <v>30</v>
      </c>
    </row>
    <row r="118" ht="36" spans="1:6">
      <c r="A118" s="1807">
        <v>58</v>
      </c>
      <c r="B118" s="1807" t="s">
        <v>1452</v>
      </c>
      <c r="C118" s="1807" t="s">
        <v>1453</v>
      </c>
      <c r="D118" s="1797" t="s">
        <v>1454</v>
      </c>
      <c r="E118" s="1817">
        <v>0.2</v>
      </c>
      <c r="F118" s="1807">
        <v>30</v>
      </c>
    </row>
    <row r="119" ht="13.5" spans="1:6">
      <c r="A119" s="1807"/>
      <c r="B119" s="1807"/>
      <c r="C119" s="1807"/>
      <c r="D119" s="1807"/>
      <c r="E119" s="1817"/>
      <c r="F119" s="1807"/>
    </row>
    <row r="121" customHeight="1" spans="1:14">
      <c r="A121" s="1824" t="s">
        <v>1248</v>
      </c>
      <c r="B121" s="1824"/>
      <c r="C121" s="1824"/>
      <c r="D121" s="1824"/>
      <c r="E121" s="1824"/>
      <c r="F121" s="1824"/>
      <c r="G121" s="1824"/>
      <c r="H121" s="1824"/>
      <c r="I121" s="1824"/>
      <c r="J121" s="1824"/>
      <c r="K121" s="1824"/>
      <c r="L121" s="1824"/>
      <c r="M121" s="1824"/>
      <c r="N121" s="1824"/>
    </row>
  </sheetData>
  <sheetProtection sheet="1" formatCells="0" formatColumns="0" formatRows="0" objects="1" scenarios="1"/>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ageMargins left="0.7" right="0.7" top="0.75" bottom="0.75" header="0.3" footer="0.3"/>
  <pageSetup paperSize="9" orientation="portrait"/>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44"/>
  <sheetViews>
    <sheetView topLeftCell="A215" workbookViewId="0">
      <selection activeCell="D239" sqref="D239"/>
    </sheetView>
  </sheetViews>
  <sheetFormatPr defaultColWidth="9" defaultRowHeight="13.5"/>
  <cols>
    <col min="1" max="1" width="12.6333333333333" style="1745" customWidth="1"/>
    <col min="2" max="5" width="10.2666666666667" style="1746" customWidth="1"/>
    <col min="6" max="6" width="9" style="1746"/>
    <col min="7" max="7" width="9" style="1744"/>
    <col min="8" max="8" width="9" style="1746"/>
    <col min="9" max="9" width="9" style="1744"/>
    <col min="10" max="16384" width="9" style="1746"/>
  </cols>
  <sheetData>
    <row r="1" spans="1:20">
      <c r="A1" s="1747" t="s">
        <v>1455</v>
      </c>
      <c r="B1" s="1747"/>
      <c r="C1" s="1747"/>
      <c r="D1" s="1747"/>
      <c r="E1" s="1747"/>
      <c r="F1" s="1747"/>
      <c r="H1" s="1743"/>
      <c r="I1" s="1778" t="s">
        <v>240</v>
      </c>
      <c r="J1" s="1779" t="s">
        <v>253</v>
      </c>
      <c r="K1" s="1779" t="s">
        <v>265</v>
      </c>
      <c r="L1" s="1779" t="s">
        <v>275</v>
      </c>
      <c r="M1" s="1779" t="s">
        <v>284</v>
      </c>
      <c r="N1" s="1779" t="s">
        <v>292</v>
      </c>
      <c r="O1" s="1779" t="s">
        <v>297</v>
      </c>
      <c r="P1" s="1779" t="s">
        <v>302</v>
      </c>
      <c r="Q1" s="1779" t="s">
        <v>305</v>
      </c>
      <c r="R1" s="1779" t="s">
        <v>308</v>
      </c>
      <c r="S1" s="1779" t="s">
        <v>311</v>
      </c>
      <c r="T1" s="1781" t="s">
        <v>314</v>
      </c>
    </row>
    <row r="2" ht="14.25" spans="1:20">
      <c r="A2" s="1748" t="s">
        <v>1456</v>
      </c>
      <c r="B2" s="1748"/>
      <c r="C2" s="1748"/>
      <c r="D2" s="1748"/>
      <c r="E2" s="1748"/>
      <c r="F2" s="1748"/>
      <c r="I2" s="1780" t="s">
        <v>1457</v>
      </c>
      <c r="J2" s="1761" t="s">
        <v>1458</v>
      </c>
      <c r="K2" s="1761" t="s">
        <v>1459</v>
      </c>
      <c r="L2" s="1761" t="s">
        <v>1460</v>
      </c>
      <c r="M2" s="1761" t="s">
        <v>1461</v>
      </c>
      <c r="N2" s="1761" t="s">
        <v>1462</v>
      </c>
      <c r="O2" s="1761" t="s">
        <v>1463</v>
      </c>
      <c r="P2" s="1761" t="s">
        <v>1464</v>
      </c>
      <c r="Q2" s="1761" t="s">
        <v>1465</v>
      </c>
      <c r="R2" s="1761" t="s">
        <v>1466</v>
      </c>
      <c r="S2" s="1761" t="s">
        <v>1467</v>
      </c>
      <c r="T2" s="1761" t="s">
        <v>1468</v>
      </c>
    </row>
    <row r="3" s="1743" customFormat="1" ht="19.5" customHeight="1" spans="1:20">
      <c r="A3" s="1749" t="s">
        <v>1469</v>
      </c>
      <c r="B3" s="1750"/>
      <c r="C3" s="1751" t="s">
        <v>378</v>
      </c>
      <c r="D3" s="1751" t="s">
        <v>379</v>
      </c>
      <c r="E3" s="1751" t="s">
        <v>377</v>
      </c>
      <c r="F3" s="1751" t="s">
        <v>164</v>
      </c>
      <c r="G3" s="1752"/>
      <c r="I3" s="1780" t="s">
        <v>1470</v>
      </c>
      <c r="J3" s="1761" t="s">
        <v>1471</v>
      </c>
      <c r="K3" s="1761" t="s">
        <v>1472</v>
      </c>
      <c r="L3" s="1761" t="s">
        <v>1473</v>
      </c>
      <c r="M3" s="1761" t="s">
        <v>1474</v>
      </c>
      <c r="N3" s="1761" t="s">
        <v>1475</v>
      </c>
      <c r="O3" s="1761" t="s">
        <v>1476</v>
      </c>
      <c r="P3" s="1761" t="s">
        <v>1477</v>
      </c>
      <c r="Q3" s="1761" t="s">
        <v>1478</v>
      </c>
      <c r="R3" s="1761" t="s">
        <v>1479</v>
      </c>
      <c r="S3" s="1761" t="s">
        <v>1480</v>
      </c>
      <c r="T3" s="1761" t="s">
        <v>1481</v>
      </c>
    </row>
    <row r="4" s="1743" customFormat="1" ht="19.5" customHeight="1" spans="1:20">
      <c r="A4" s="1753"/>
      <c r="B4" s="1754" t="s">
        <v>425</v>
      </c>
      <c r="C4" s="1754" t="s">
        <v>1482</v>
      </c>
      <c r="D4" s="1754" t="s">
        <v>1482</v>
      </c>
      <c r="E4" s="1754" t="s">
        <v>1482</v>
      </c>
      <c r="F4" s="1755" t="s">
        <v>1482</v>
      </c>
      <c r="G4" s="1752"/>
      <c r="I4" s="1780" t="s">
        <v>1483</v>
      </c>
      <c r="J4" s="1761" t="s">
        <v>1484</v>
      </c>
      <c r="K4" s="1761" t="s">
        <v>1485</v>
      </c>
      <c r="L4" s="1761" t="s">
        <v>1486</v>
      </c>
      <c r="M4" s="1761" t="s">
        <v>1487</v>
      </c>
      <c r="N4" s="1761" t="s">
        <v>1488</v>
      </c>
      <c r="O4" s="1761" t="s">
        <v>1489</v>
      </c>
      <c r="P4" s="1761" t="s">
        <v>1490</v>
      </c>
      <c r="Q4" s="1761" t="s">
        <v>1491</v>
      </c>
      <c r="R4" s="1761" t="s">
        <v>1492</v>
      </c>
      <c r="S4" s="1761" t="s">
        <v>1493</v>
      </c>
      <c r="T4" s="1761" t="s">
        <v>1494</v>
      </c>
    </row>
    <row r="5" ht="14.25" customHeight="1" spans="1:20">
      <c r="A5" s="1756" t="s">
        <v>240</v>
      </c>
      <c r="B5" s="1757" t="s">
        <v>1457</v>
      </c>
      <c r="C5" s="1757">
        <v>29530</v>
      </c>
      <c r="D5" s="1757">
        <v>28130</v>
      </c>
      <c r="E5" s="1757">
        <v>27930</v>
      </c>
      <c r="F5" s="1758">
        <v>11300</v>
      </c>
      <c r="G5" s="1759" t="s">
        <v>240</v>
      </c>
      <c r="H5" s="1760">
        <f>SUMPRODUCT((B5:B9=基准地价!I2)*(C3:F3=基准地价!E2)*(C5:F9))</f>
        <v>0</v>
      </c>
      <c r="I5" s="1780" t="s">
        <v>1495</v>
      </c>
      <c r="J5" s="1761" t="s">
        <v>1496</v>
      </c>
      <c r="K5" s="1761" t="s">
        <v>1497</v>
      </c>
      <c r="L5" s="1761" t="s">
        <v>1498</v>
      </c>
      <c r="M5" s="1761" t="s">
        <v>1499</v>
      </c>
      <c r="N5" s="1761" t="s">
        <v>1500</v>
      </c>
      <c r="O5" s="1761" t="s">
        <v>1501</v>
      </c>
      <c r="P5" s="1761" t="s">
        <v>1502</v>
      </c>
      <c r="Q5" s="1761" t="s">
        <v>1503</v>
      </c>
      <c r="R5" s="1761" t="s">
        <v>1504</v>
      </c>
      <c r="S5" s="1761" t="s">
        <v>1505</v>
      </c>
      <c r="T5" s="1761" t="s">
        <v>1506</v>
      </c>
    </row>
    <row r="6" ht="14.25" customHeight="1" spans="1:20">
      <c r="A6" s="1756" t="s">
        <v>240</v>
      </c>
      <c r="B6" s="1761" t="s">
        <v>1470</v>
      </c>
      <c r="C6" s="1761">
        <v>30290</v>
      </c>
      <c r="D6" s="1761">
        <v>29210</v>
      </c>
      <c r="E6" s="1761">
        <v>28860</v>
      </c>
      <c r="F6" s="1762">
        <v>12600</v>
      </c>
      <c r="G6" s="1763" t="s">
        <v>253</v>
      </c>
      <c r="H6" s="1764">
        <f>SUMPRODUCT((B10:B28=基准地价!I2)*(C3:F3=基准地价!E2)*(C10:F28))</f>
        <v>0</v>
      </c>
      <c r="I6" s="1780" t="s">
        <v>1507</v>
      </c>
      <c r="J6" s="1761" t="s">
        <v>1508</v>
      </c>
      <c r="K6" s="1761" t="s">
        <v>1509</v>
      </c>
      <c r="L6" s="1761" t="s">
        <v>1510</v>
      </c>
      <c r="M6" s="1761" t="s">
        <v>1511</v>
      </c>
      <c r="N6" s="1761" t="s">
        <v>1512</v>
      </c>
      <c r="O6" s="1761" t="s">
        <v>1513</v>
      </c>
      <c r="P6" s="1761" t="s">
        <v>1514</v>
      </c>
      <c r="Q6" s="1761" t="s">
        <v>1515</v>
      </c>
      <c r="R6" s="1761" t="s">
        <v>1516</v>
      </c>
      <c r="S6" s="1761" t="s">
        <v>1517</v>
      </c>
      <c r="T6" s="1761" t="s">
        <v>1518</v>
      </c>
    </row>
    <row r="7" ht="14.25" customHeight="1" spans="1:20">
      <c r="A7" s="1756" t="s">
        <v>240</v>
      </c>
      <c r="B7" s="1765" t="s">
        <v>1483</v>
      </c>
      <c r="C7" s="1761">
        <v>29350</v>
      </c>
      <c r="D7" s="1761">
        <v>28410</v>
      </c>
      <c r="E7" s="1761">
        <v>27990</v>
      </c>
      <c r="F7" s="1762">
        <v>12300</v>
      </c>
      <c r="G7" s="1763" t="s">
        <v>265</v>
      </c>
      <c r="H7" s="1764">
        <f>SUMPRODUCT((B29:B48=基准地价!I2)*(C3:F3=基准地价!E2)*(C29:F48))</f>
        <v>0</v>
      </c>
      <c r="J7" s="1761" t="s">
        <v>1519</v>
      </c>
      <c r="K7" s="1761" t="s">
        <v>1520</v>
      </c>
      <c r="L7" s="1761" t="s">
        <v>1521</v>
      </c>
      <c r="M7" s="1761" t="s">
        <v>1522</v>
      </c>
      <c r="N7" s="1761" t="s">
        <v>1523</v>
      </c>
      <c r="O7" s="1761" t="s">
        <v>1524</v>
      </c>
      <c r="P7" s="1761" t="s">
        <v>1525</v>
      </c>
      <c r="Q7" s="1761" t="s">
        <v>1526</v>
      </c>
      <c r="R7" s="1761" t="s">
        <v>1527</v>
      </c>
      <c r="S7" s="1761" t="s">
        <v>1528</v>
      </c>
      <c r="T7" s="1765" t="s">
        <v>1529</v>
      </c>
    </row>
    <row r="8" ht="14.25" customHeight="1" spans="1:20">
      <c r="A8" s="1756" t="s">
        <v>240</v>
      </c>
      <c r="B8" s="1761" t="s">
        <v>1495</v>
      </c>
      <c r="C8" s="1761">
        <v>30890</v>
      </c>
      <c r="D8" s="1761">
        <v>29780</v>
      </c>
      <c r="E8" s="1761">
        <v>29270</v>
      </c>
      <c r="F8" s="1762">
        <v>11600</v>
      </c>
      <c r="G8" s="1763" t="s">
        <v>275</v>
      </c>
      <c r="H8" s="1764">
        <f>SUMPRODUCT((B49:B75=基准地价!I2)*(C3:F3=基准地价!E2)*(C49:F75))</f>
        <v>0</v>
      </c>
      <c r="J8" s="1761" t="s">
        <v>1530</v>
      </c>
      <c r="K8" s="1761" t="s">
        <v>1531</v>
      </c>
      <c r="L8" s="1761" t="s">
        <v>1532</v>
      </c>
      <c r="M8" s="1761" t="s">
        <v>1533</v>
      </c>
      <c r="N8" s="1761" t="s">
        <v>1534</v>
      </c>
      <c r="O8" s="1761" t="s">
        <v>1535</v>
      </c>
      <c r="P8" s="1761" t="s">
        <v>1536</v>
      </c>
      <c r="Q8" s="1761" t="s">
        <v>1537</v>
      </c>
      <c r="R8" s="1761" t="s">
        <v>1538</v>
      </c>
      <c r="S8" s="1761" t="s">
        <v>1539</v>
      </c>
      <c r="T8" s="1761" t="s">
        <v>1540</v>
      </c>
    </row>
    <row r="9" ht="14.25" customHeight="1" spans="1:19">
      <c r="A9" s="1756" t="s">
        <v>240</v>
      </c>
      <c r="B9" s="1766" t="s">
        <v>1507</v>
      </c>
      <c r="C9" s="1767">
        <v>28140</v>
      </c>
      <c r="D9" s="1767"/>
      <c r="E9" s="1767"/>
      <c r="F9" s="1768"/>
      <c r="G9" s="1763" t="s">
        <v>284</v>
      </c>
      <c r="H9" s="1764">
        <f>SUMPRODUCT((B76:B109=基准地价!I2)*(C3:F3=基准地价!E2)*(C76:F109))</f>
        <v>0</v>
      </c>
      <c r="J9" s="1761" t="s">
        <v>1541</v>
      </c>
      <c r="K9" s="1761" t="s">
        <v>1542</v>
      </c>
      <c r="L9" s="1761" t="s">
        <v>1543</v>
      </c>
      <c r="M9" s="1761" t="s">
        <v>1544</v>
      </c>
      <c r="N9" s="1761" t="s">
        <v>1545</v>
      </c>
      <c r="O9" s="1761" t="s">
        <v>1546</v>
      </c>
      <c r="P9" s="1761" t="s">
        <v>1547</v>
      </c>
      <c r="Q9" s="1761" t="s">
        <v>1548</v>
      </c>
      <c r="R9" s="1761" t="s">
        <v>1549</v>
      </c>
      <c r="S9" s="1761" t="s">
        <v>1550</v>
      </c>
    </row>
    <row r="10" ht="14.25" customHeight="1" spans="1:19">
      <c r="A10" s="1756" t="s">
        <v>253</v>
      </c>
      <c r="B10" s="1757" t="s">
        <v>1458</v>
      </c>
      <c r="C10" s="1757">
        <v>27450</v>
      </c>
      <c r="D10" s="1757">
        <v>26180</v>
      </c>
      <c r="E10" s="1757">
        <v>25980</v>
      </c>
      <c r="F10" s="1758">
        <v>8910</v>
      </c>
      <c r="G10" s="1763" t="s">
        <v>292</v>
      </c>
      <c r="H10" s="1764">
        <f>SUMPRODUCT((B110:B157=基准地价!I2)*(C3:F3=基准地价!E2)*(C110:F157))</f>
        <v>0</v>
      </c>
      <c r="J10" s="1761" t="s">
        <v>1551</v>
      </c>
      <c r="K10" s="1761" t="s">
        <v>1552</v>
      </c>
      <c r="L10" s="1761" t="s">
        <v>1553</v>
      </c>
      <c r="M10" s="1761" t="s">
        <v>1554</v>
      </c>
      <c r="N10" s="1761" t="s">
        <v>1555</v>
      </c>
      <c r="O10" s="1761" t="s">
        <v>1556</v>
      </c>
      <c r="P10" s="1761" t="s">
        <v>1557</v>
      </c>
      <c r="Q10" s="1761" t="s">
        <v>1558</v>
      </c>
      <c r="R10" s="1761" t="s">
        <v>1559</v>
      </c>
      <c r="S10" s="1761" t="s">
        <v>1560</v>
      </c>
    </row>
    <row r="11" ht="14.25" customHeight="1" spans="1:19">
      <c r="A11" s="1756" t="s">
        <v>253</v>
      </c>
      <c r="B11" s="1765" t="s">
        <v>1471</v>
      </c>
      <c r="C11" s="1761">
        <v>22950</v>
      </c>
      <c r="D11" s="1761">
        <v>22630</v>
      </c>
      <c r="E11" s="1761">
        <v>22030</v>
      </c>
      <c r="F11" s="1769">
        <v>8330</v>
      </c>
      <c r="G11" s="1763" t="s">
        <v>297</v>
      </c>
      <c r="H11" s="1764">
        <f>SUMPRODUCT((B158:B205=基准地价!I2)*(C3:F3=基准地价!E2)*(C158:F205))</f>
        <v>0</v>
      </c>
      <c r="J11" s="1761" t="s">
        <v>1561</v>
      </c>
      <c r="K11" s="1761" t="s">
        <v>1562</v>
      </c>
      <c r="L11" s="1761" t="s">
        <v>1563</v>
      </c>
      <c r="M11" s="1761" t="s">
        <v>1564</v>
      </c>
      <c r="N11" s="1761" t="s">
        <v>1565</v>
      </c>
      <c r="O11" s="1761" t="s">
        <v>1566</v>
      </c>
      <c r="P11" s="1761" t="s">
        <v>1567</v>
      </c>
      <c r="Q11" s="1761" t="s">
        <v>1568</v>
      </c>
      <c r="R11" s="1761" t="s">
        <v>1569</v>
      </c>
      <c r="S11" s="1761" t="s">
        <v>1570</v>
      </c>
    </row>
    <row r="12" ht="14.25" customHeight="1" spans="1:19">
      <c r="A12" s="1756" t="s">
        <v>253</v>
      </c>
      <c r="B12" s="1765" t="s">
        <v>1484</v>
      </c>
      <c r="C12" s="1761">
        <v>24940</v>
      </c>
      <c r="D12" s="1761">
        <v>23180</v>
      </c>
      <c r="E12" s="1761">
        <v>22910</v>
      </c>
      <c r="F12" s="1769">
        <v>7180</v>
      </c>
      <c r="G12" s="1763" t="s">
        <v>302</v>
      </c>
      <c r="H12" s="1764">
        <f>SUMPRODUCT((B206:B244=基准地价!I2)*(C3:F3=基准地价!E2)*(C206:F244))</f>
        <v>0</v>
      </c>
      <c r="J12" s="1761" t="s">
        <v>1571</v>
      </c>
      <c r="K12" s="1761" t="s">
        <v>1572</v>
      </c>
      <c r="L12" s="1761" t="s">
        <v>1573</v>
      </c>
      <c r="M12" s="1761" t="s">
        <v>1574</v>
      </c>
      <c r="N12" s="1761" t="s">
        <v>1575</v>
      </c>
      <c r="O12" s="1761" t="s">
        <v>1576</v>
      </c>
      <c r="P12" s="1761" t="s">
        <v>1577</v>
      </c>
      <c r="Q12" s="1761" t="s">
        <v>1578</v>
      </c>
      <c r="R12" s="1761" t="s">
        <v>1579</v>
      </c>
      <c r="S12" s="1761" t="s">
        <v>1580</v>
      </c>
    </row>
    <row r="13" ht="14.25" customHeight="1" spans="1:19">
      <c r="A13" s="1756" t="s">
        <v>253</v>
      </c>
      <c r="B13" s="1765" t="s">
        <v>1496</v>
      </c>
      <c r="C13" s="1761">
        <v>24140</v>
      </c>
      <c r="D13" s="1761">
        <v>22270</v>
      </c>
      <c r="E13" s="1761">
        <v>21950</v>
      </c>
      <c r="F13" s="1769">
        <v>7600</v>
      </c>
      <c r="G13" s="1763" t="s">
        <v>305</v>
      </c>
      <c r="H13" s="1764">
        <f>SUMPRODUCT((B245:B289=基准地价!I2)*(C3:F3=基准地价!E2)*(C245:F289))</f>
        <v>0</v>
      </c>
      <c r="J13" s="1761" t="s">
        <v>1581</v>
      </c>
      <c r="K13" s="1761" t="s">
        <v>1582</v>
      </c>
      <c r="L13" s="1761" t="s">
        <v>1583</v>
      </c>
      <c r="M13" s="1761" t="s">
        <v>1584</v>
      </c>
      <c r="N13" s="1761" t="s">
        <v>1585</v>
      </c>
      <c r="O13" s="1761" t="s">
        <v>1586</v>
      </c>
      <c r="P13" s="1761" t="s">
        <v>1587</v>
      </c>
      <c r="Q13" s="1761" t="s">
        <v>1588</v>
      </c>
      <c r="R13" s="1761" t="s">
        <v>1589</v>
      </c>
      <c r="S13" s="1761" t="s">
        <v>1590</v>
      </c>
    </row>
    <row r="14" ht="14.25" customHeight="1" spans="1:19">
      <c r="A14" s="1756" t="s">
        <v>253</v>
      </c>
      <c r="B14" s="1765" t="s">
        <v>1508</v>
      </c>
      <c r="C14" s="1761">
        <v>25600</v>
      </c>
      <c r="D14" s="1761">
        <v>22260</v>
      </c>
      <c r="E14" s="1761">
        <v>22110</v>
      </c>
      <c r="F14" s="1769">
        <v>7630</v>
      </c>
      <c r="G14" s="1763" t="s">
        <v>308</v>
      </c>
      <c r="H14" s="1764">
        <f>SUMPRODUCT((B290:B316=基准地价!I2)*(C3:F3=基准地价!E2)*(C290:F316))</f>
        <v>0</v>
      </c>
      <c r="J14" s="1761" t="s">
        <v>1591</v>
      </c>
      <c r="K14" s="1761" t="s">
        <v>1592</v>
      </c>
      <c r="L14" s="1761" t="s">
        <v>1593</v>
      </c>
      <c r="M14" s="1761" t="s">
        <v>1594</v>
      </c>
      <c r="N14" s="1761" t="s">
        <v>1595</v>
      </c>
      <c r="O14" s="1761" t="s">
        <v>1596</v>
      </c>
      <c r="P14" s="1761" t="s">
        <v>1597</v>
      </c>
      <c r="Q14" s="1761" t="s">
        <v>1598</v>
      </c>
      <c r="R14" s="1761" t="s">
        <v>1599</v>
      </c>
      <c r="S14" s="1761" t="s">
        <v>1600</v>
      </c>
    </row>
    <row r="15" ht="14.25" customHeight="1" spans="1:19">
      <c r="A15" s="1756" t="s">
        <v>253</v>
      </c>
      <c r="B15" s="1765" t="s">
        <v>1519</v>
      </c>
      <c r="C15" s="1761">
        <v>24760</v>
      </c>
      <c r="D15" s="1761">
        <v>24440</v>
      </c>
      <c r="E15" s="1761">
        <v>24130</v>
      </c>
      <c r="F15" s="1769">
        <v>9480</v>
      </c>
      <c r="G15" s="1763" t="s">
        <v>311</v>
      </c>
      <c r="H15" s="1764">
        <f>SUMPRODUCT((B317:B337=基准地价!I2)*(C3:F3=基准地价!E2)*(C317:F337))</f>
        <v>0</v>
      </c>
      <c r="J15" s="1761" t="s">
        <v>1601</v>
      </c>
      <c r="K15" s="1761" t="s">
        <v>1602</v>
      </c>
      <c r="L15" s="1761" t="s">
        <v>1603</v>
      </c>
      <c r="M15" s="1761" t="s">
        <v>1604</v>
      </c>
      <c r="N15" s="1761" t="s">
        <v>1605</v>
      </c>
      <c r="O15" s="1761" t="s">
        <v>1606</v>
      </c>
      <c r="P15" s="1761" t="s">
        <v>1607</v>
      </c>
      <c r="Q15" s="1761" t="s">
        <v>1608</v>
      </c>
      <c r="R15" s="1761" t="s">
        <v>1609</v>
      </c>
      <c r="S15" s="1761" t="s">
        <v>1610</v>
      </c>
    </row>
    <row r="16" ht="14.25" customHeight="1" spans="1:19">
      <c r="A16" s="1756" t="s">
        <v>253</v>
      </c>
      <c r="B16" s="1765" t="s">
        <v>1530</v>
      </c>
      <c r="C16" s="1761">
        <v>22220</v>
      </c>
      <c r="D16" s="1761">
        <v>22310</v>
      </c>
      <c r="E16" s="1761">
        <v>22000</v>
      </c>
      <c r="F16" s="1769">
        <v>8900</v>
      </c>
      <c r="G16" s="1770" t="s">
        <v>314</v>
      </c>
      <c r="H16" s="1771">
        <f>SUMPRODUCT((B338:B344=基准地价!I2)*(C3:F3=基准地价!E2)*(C338:F344))</f>
        <v>0</v>
      </c>
      <c r="J16" s="1761" t="s">
        <v>1611</v>
      </c>
      <c r="K16" s="1761" t="s">
        <v>1612</v>
      </c>
      <c r="L16" s="1761" t="s">
        <v>1613</v>
      </c>
      <c r="M16" s="1761" t="s">
        <v>1614</v>
      </c>
      <c r="N16" s="1761" t="s">
        <v>1615</v>
      </c>
      <c r="O16" s="1761" t="s">
        <v>1616</v>
      </c>
      <c r="P16" s="1761" t="s">
        <v>1617</v>
      </c>
      <c r="Q16" s="1761" t="s">
        <v>1618</v>
      </c>
      <c r="R16" s="1761" t="s">
        <v>1619</v>
      </c>
      <c r="S16" s="1761" t="s">
        <v>1620</v>
      </c>
    </row>
    <row r="17" ht="14.25" customHeight="1" spans="1:19">
      <c r="A17" s="1756" t="s">
        <v>253</v>
      </c>
      <c r="B17" s="1765" t="s">
        <v>1541</v>
      </c>
      <c r="C17" s="1761">
        <v>24700</v>
      </c>
      <c r="D17" s="1761">
        <v>25150</v>
      </c>
      <c r="E17" s="1761">
        <v>24700</v>
      </c>
      <c r="F17" s="1772"/>
      <c r="H17" s="1773"/>
      <c r="J17" s="1761" t="s">
        <v>1621</v>
      </c>
      <c r="K17" s="1761" t="s">
        <v>1622</v>
      </c>
      <c r="L17" s="1761" t="s">
        <v>1623</v>
      </c>
      <c r="M17" s="1761" t="s">
        <v>1624</v>
      </c>
      <c r="N17" s="1761" t="s">
        <v>1625</v>
      </c>
      <c r="O17" s="1761" t="s">
        <v>1626</v>
      </c>
      <c r="P17" s="1761" t="s">
        <v>1627</v>
      </c>
      <c r="Q17" s="1761" t="s">
        <v>1628</v>
      </c>
      <c r="R17" s="1761" t="s">
        <v>1629</v>
      </c>
      <c r="S17" s="1761" t="s">
        <v>1630</v>
      </c>
    </row>
    <row r="18" ht="14.25" customHeight="1" spans="1:19">
      <c r="A18" s="1756" t="s">
        <v>253</v>
      </c>
      <c r="B18" s="1765" t="s">
        <v>1551</v>
      </c>
      <c r="C18" s="1761">
        <v>22350</v>
      </c>
      <c r="D18" s="1761">
        <v>24340</v>
      </c>
      <c r="E18" s="1761">
        <v>24100</v>
      </c>
      <c r="F18" s="1772"/>
      <c r="H18" s="1773"/>
      <c r="J18" s="1761" t="s">
        <v>1631</v>
      </c>
      <c r="K18" s="1761" t="s">
        <v>1632</v>
      </c>
      <c r="L18" s="1761" t="s">
        <v>1633</v>
      </c>
      <c r="M18" s="1761" t="s">
        <v>1634</v>
      </c>
      <c r="N18" s="1761" t="s">
        <v>1635</v>
      </c>
      <c r="O18" s="1761" t="s">
        <v>1636</v>
      </c>
      <c r="P18" s="1761" t="s">
        <v>1637</v>
      </c>
      <c r="Q18" s="1761" t="s">
        <v>1638</v>
      </c>
      <c r="R18" s="1761" t="s">
        <v>1639</v>
      </c>
      <c r="S18" s="1761" t="s">
        <v>1640</v>
      </c>
    </row>
    <row r="19" ht="14.25" customHeight="1" spans="1:19">
      <c r="A19" s="1756" t="s">
        <v>253</v>
      </c>
      <c r="B19" s="1765" t="s">
        <v>1561</v>
      </c>
      <c r="C19" s="1761">
        <v>23430</v>
      </c>
      <c r="D19" s="1761">
        <v>21580</v>
      </c>
      <c r="E19" s="1761">
        <v>21350</v>
      </c>
      <c r="F19" s="1772"/>
      <c r="H19" s="1773"/>
      <c r="J19" s="1761" t="s">
        <v>1641</v>
      </c>
      <c r="K19" s="1761" t="s">
        <v>1642</v>
      </c>
      <c r="L19" s="1761" t="s">
        <v>1643</v>
      </c>
      <c r="M19" s="1761" t="s">
        <v>1644</v>
      </c>
      <c r="N19" s="1761" t="s">
        <v>1645</v>
      </c>
      <c r="O19" s="1761" t="s">
        <v>1646</v>
      </c>
      <c r="P19" s="1761" t="s">
        <v>1647</v>
      </c>
      <c r="Q19" s="1761" t="s">
        <v>1648</v>
      </c>
      <c r="R19" s="1761" t="s">
        <v>1649</v>
      </c>
      <c r="S19" s="1761" t="s">
        <v>1650</v>
      </c>
    </row>
    <row r="20" ht="14.25" customHeight="1" spans="1:19">
      <c r="A20" s="1756" t="s">
        <v>253</v>
      </c>
      <c r="B20" s="1765" t="s">
        <v>1571</v>
      </c>
      <c r="C20" s="1761">
        <v>27660</v>
      </c>
      <c r="D20" s="1761">
        <v>24240</v>
      </c>
      <c r="E20" s="1761">
        <v>24020</v>
      </c>
      <c r="F20" s="1772"/>
      <c r="J20" s="1761" t="s">
        <v>1651</v>
      </c>
      <c r="K20" s="1761" t="s">
        <v>1652</v>
      </c>
      <c r="L20" s="1761" t="s">
        <v>1653</v>
      </c>
      <c r="M20" s="1761" t="s">
        <v>1654</v>
      </c>
      <c r="N20" s="1761" t="s">
        <v>1655</v>
      </c>
      <c r="O20" s="1761" t="s">
        <v>1656</v>
      </c>
      <c r="P20" s="1761" t="s">
        <v>1657</v>
      </c>
      <c r="Q20" s="1761" t="s">
        <v>1658</v>
      </c>
      <c r="R20" s="1761" t="s">
        <v>1659</v>
      </c>
      <c r="S20" s="1761" t="s">
        <v>1660</v>
      </c>
    </row>
    <row r="21" ht="14.25" customHeight="1" spans="1:19">
      <c r="A21" s="1756" t="s">
        <v>253</v>
      </c>
      <c r="B21" s="1765" t="s">
        <v>1581</v>
      </c>
      <c r="C21" s="1761">
        <v>24720</v>
      </c>
      <c r="D21" s="1761">
        <v>21670</v>
      </c>
      <c r="E21" s="1761">
        <v>21510</v>
      </c>
      <c r="F21" s="1772"/>
      <c r="K21" s="1761" t="s">
        <v>1661</v>
      </c>
      <c r="L21" s="1761" t="s">
        <v>1662</v>
      </c>
      <c r="M21" s="1761" t="s">
        <v>1663</v>
      </c>
      <c r="N21" s="1761" t="s">
        <v>1664</v>
      </c>
      <c r="O21" s="1761" t="s">
        <v>1665</v>
      </c>
      <c r="P21" s="1761" t="s">
        <v>1666</v>
      </c>
      <c r="Q21" s="1761" t="s">
        <v>1667</v>
      </c>
      <c r="R21" s="1761" t="s">
        <v>1668</v>
      </c>
      <c r="S21" s="1761" t="s">
        <v>1669</v>
      </c>
    </row>
    <row r="22" ht="14.25" customHeight="1" spans="1:19">
      <c r="A22" s="1756" t="s">
        <v>253</v>
      </c>
      <c r="B22" s="1765" t="s">
        <v>1591</v>
      </c>
      <c r="C22" s="1761">
        <v>26530</v>
      </c>
      <c r="D22" s="1761">
        <v>22980</v>
      </c>
      <c r="E22" s="1761">
        <v>22650</v>
      </c>
      <c r="F22" s="1772"/>
      <c r="L22" s="1761" t="s">
        <v>1670</v>
      </c>
      <c r="M22" s="1761" t="s">
        <v>1671</v>
      </c>
      <c r="N22" s="1761" t="s">
        <v>1672</v>
      </c>
      <c r="O22" s="1761" t="s">
        <v>1673</v>
      </c>
      <c r="P22" s="1761" t="s">
        <v>1674</v>
      </c>
      <c r="Q22" s="1761" t="s">
        <v>1675</v>
      </c>
      <c r="R22" s="1761" t="s">
        <v>1676</v>
      </c>
      <c r="S22" s="1765" t="s">
        <v>1677</v>
      </c>
    </row>
    <row r="23" ht="14.25" customHeight="1" spans="1:18">
      <c r="A23" s="1756" t="s">
        <v>253</v>
      </c>
      <c r="B23" s="1765" t="s">
        <v>1601</v>
      </c>
      <c r="C23" s="1761">
        <v>24700</v>
      </c>
      <c r="D23" s="1761">
        <v>27290</v>
      </c>
      <c r="E23" s="1761">
        <v>26710</v>
      </c>
      <c r="F23" s="1772"/>
      <c r="L23" s="1761" t="s">
        <v>1678</v>
      </c>
      <c r="M23" s="1761" t="s">
        <v>1679</v>
      </c>
      <c r="N23" s="1761" t="s">
        <v>1680</v>
      </c>
      <c r="O23" s="1761" t="s">
        <v>1681</v>
      </c>
      <c r="P23" s="1761" t="s">
        <v>1682</v>
      </c>
      <c r="Q23" s="1761" t="s">
        <v>1683</v>
      </c>
      <c r="R23" s="1761" t="s">
        <v>1684</v>
      </c>
    </row>
    <row r="24" ht="14.25" customHeight="1" spans="1:18">
      <c r="A24" s="1756" t="s">
        <v>253</v>
      </c>
      <c r="B24" s="1765" t="s">
        <v>1611</v>
      </c>
      <c r="C24" s="1761">
        <v>23070</v>
      </c>
      <c r="D24" s="1761">
        <v>24130</v>
      </c>
      <c r="E24" s="1761">
        <v>23860</v>
      </c>
      <c r="F24" s="1772"/>
      <c r="L24" s="1761" t="s">
        <v>1685</v>
      </c>
      <c r="M24" s="1761" t="s">
        <v>1686</v>
      </c>
      <c r="N24" s="1761" t="s">
        <v>1687</v>
      </c>
      <c r="O24" s="1761" t="s">
        <v>1688</v>
      </c>
      <c r="P24" s="1761" t="s">
        <v>1689</v>
      </c>
      <c r="Q24" s="1761" t="s">
        <v>1690</v>
      </c>
      <c r="R24" s="1761" t="s">
        <v>1691</v>
      </c>
    </row>
    <row r="25" ht="14.25" customHeight="1" spans="1:18">
      <c r="A25" s="1756" t="s">
        <v>253</v>
      </c>
      <c r="B25" s="1765" t="s">
        <v>1621</v>
      </c>
      <c r="C25" s="1761">
        <v>27550</v>
      </c>
      <c r="D25" s="1761">
        <v>25850</v>
      </c>
      <c r="E25" s="1761">
        <v>25340</v>
      </c>
      <c r="F25" s="1772"/>
      <c r="L25" s="1761" t="s">
        <v>1692</v>
      </c>
      <c r="M25" s="1761" t="s">
        <v>1693</v>
      </c>
      <c r="N25" s="1761" t="s">
        <v>1694</v>
      </c>
      <c r="O25" s="1761" t="s">
        <v>1695</v>
      </c>
      <c r="P25" s="1761" t="s">
        <v>1696</v>
      </c>
      <c r="Q25" s="1761" t="s">
        <v>1697</v>
      </c>
      <c r="R25" s="1761" t="s">
        <v>1698</v>
      </c>
    </row>
    <row r="26" ht="14.25" customHeight="1" spans="1:18">
      <c r="A26" s="1756" t="s">
        <v>253</v>
      </c>
      <c r="B26" s="1765" t="s">
        <v>1631</v>
      </c>
      <c r="C26" s="1761"/>
      <c r="D26" s="1761">
        <v>23900</v>
      </c>
      <c r="E26" s="1761">
        <v>23590</v>
      </c>
      <c r="F26" s="1772"/>
      <c r="L26" s="1761" t="s">
        <v>1699</v>
      </c>
      <c r="M26" s="1761" t="s">
        <v>1700</v>
      </c>
      <c r="N26" s="1761" t="s">
        <v>1701</v>
      </c>
      <c r="O26" s="1761" t="s">
        <v>1702</v>
      </c>
      <c r="P26" s="1761" t="s">
        <v>1703</v>
      </c>
      <c r="Q26" s="1761" t="s">
        <v>1704</v>
      </c>
      <c r="R26" s="1761" t="s">
        <v>1705</v>
      </c>
    </row>
    <row r="27" ht="14.25" customHeight="1" spans="1:18">
      <c r="A27" s="1756" t="s">
        <v>253</v>
      </c>
      <c r="B27" s="1765" t="s">
        <v>1641</v>
      </c>
      <c r="C27" s="1761"/>
      <c r="D27" s="1761">
        <v>22850</v>
      </c>
      <c r="E27" s="1761">
        <v>21920</v>
      </c>
      <c r="F27" s="1772"/>
      <c r="L27" s="1761" t="s">
        <v>1706</v>
      </c>
      <c r="M27" s="1761" t="s">
        <v>1707</v>
      </c>
      <c r="N27" s="1761" t="s">
        <v>1708</v>
      </c>
      <c r="O27" s="1761" t="s">
        <v>1709</v>
      </c>
      <c r="P27" s="1761" t="s">
        <v>1710</v>
      </c>
      <c r="Q27" s="1761" t="s">
        <v>1711</v>
      </c>
      <c r="R27" s="1761" t="s">
        <v>1712</v>
      </c>
    </row>
    <row r="28" ht="14.25" customHeight="1" spans="1:17">
      <c r="A28" s="1774" t="s">
        <v>253</v>
      </c>
      <c r="B28" s="1766" t="s">
        <v>1651</v>
      </c>
      <c r="C28" s="1767"/>
      <c r="D28" s="1767">
        <v>26610</v>
      </c>
      <c r="E28" s="1767">
        <v>26370</v>
      </c>
      <c r="F28" s="1768"/>
      <c r="L28" s="1761" t="s">
        <v>1713</v>
      </c>
      <c r="M28" s="1761" t="s">
        <v>1714</v>
      </c>
      <c r="N28" s="1761" t="s">
        <v>1715</v>
      </c>
      <c r="O28" s="1761" t="s">
        <v>1716</v>
      </c>
      <c r="P28" s="1761" t="s">
        <v>1717</v>
      </c>
      <c r="Q28" s="1761" t="s">
        <v>1718</v>
      </c>
    </row>
    <row r="29" ht="14.25" customHeight="1" spans="1:17">
      <c r="A29" s="1756" t="s">
        <v>265</v>
      </c>
      <c r="B29" s="1757" t="s">
        <v>1459</v>
      </c>
      <c r="C29" s="1757">
        <v>22090</v>
      </c>
      <c r="D29" s="1757">
        <v>21860</v>
      </c>
      <c r="E29" s="1757">
        <v>19380</v>
      </c>
      <c r="F29" s="1758">
        <v>6610</v>
      </c>
      <c r="M29" s="1761" t="s">
        <v>1719</v>
      </c>
      <c r="N29" s="1761" t="s">
        <v>1720</v>
      </c>
      <c r="O29" s="1761" t="s">
        <v>1721</v>
      </c>
      <c r="P29" s="1761" t="s">
        <v>1722</v>
      </c>
      <c r="Q29" s="1761" t="s">
        <v>1723</v>
      </c>
    </row>
    <row r="30" ht="14.25" customHeight="1" spans="1:17">
      <c r="A30" s="1756" t="s">
        <v>265</v>
      </c>
      <c r="B30" s="1765" t="s">
        <v>1472</v>
      </c>
      <c r="C30" s="1761">
        <v>21380</v>
      </c>
      <c r="D30" s="1761">
        <v>19930</v>
      </c>
      <c r="E30" s="1761">
        <v>19860</v>
      </c>
      <c r="F30" s="1769">
        <v>6010</v>
      </c>
      <c r="H30" s="1773"/>
      <c r="M30" s="1761" t="s">
        <v>1724</v>
      </c>
      <c r="N30" s="1761" t="s">
        <v>1725</v>
      </c>
      <c r="O30" s="1761" t="s">
        <v>1726</v>
      </c>
      <c r="P30" s="1761" t="s">
        <v>1727</v>
      </c>
      <c r="Q30" s="1761" t="s">
        <v>1728</v>
      </c>
    </row>
    <row r="31" ht="14.25" customHeight="1" spans="1:17">
      <c r="A31" s="1756" t="s">
        <v>265</v>
      </c>
      <c r="B31" s="1765" t="s">
        <v>1485</v>
      </c>
      <c r="C31" s="1761">
        <v>21670</v>
      </c>
      <c r="D31" s="1761">
        <v>20660</v>
      </c>
      <c r="E31" s="1761">
        <v>20290</v>
      </c>
      <c r="F31" s="1769">
        <v>5840</v>
      </c>
      <c r="H31" s="1773"/>
      <c r="M31" s="1761" t="s">
        <v>1729</v>
      </c>
      <c r="N31" s="1761" t="s">
        <v>1730</v>
      </c>
      <c r="O31" s="1761" t="s">
        <v>1731</v>
      </c>
      <c r="P31" s="1761" t="s">
        <v>1732</v>
      </c>
      <c r="Q31" s="1761" t="s">
        <v>1733</v>
      </c>
    </row>
    <row r="32" ht="14.25" customHeight="1" spans="1:17">
      <c r="A32" s="1756" t="s">
        <v>265</v>
      </c>
      <c r="B32" s="1765" t="s">
        <v>1497</v>
      </c>
      <c r="C32" s="1761">
        <v>22280</v>
      </c>
      <c r="D32" s="1761">
        <v>21800</v>
      </c>
      <c r="E32" s="1761">
        <v>17650</v>
      </c>
      <c r="F32" s="1769">
        <v>4690</v>
      </c>
      <c r="H32" s="1773"/>
      <c r="M32" s="1761" t="s">
        <v>1734</v>
      </c>
      <c r="N32" s="1761" t="s">
        <v>1735</v>
      </c>
      <c r="O32" s="1761" t="s">
        <v>1736</v>
      </c>
      <c r="P32" s="1761" t="s">
        <v>1737</v>
      </c>
      <c r="Q32" s="1761" t="s">
        <v>1738</v>
      </c>
    </row>
    <row r="33" ht="14.25" customHeight="1" spans="1:17">
      <c r="A33" s="1756" t="s">
        <v>265</v>
      </c>
      <c r="B33" s="1765" t="s">
        <v>1509</v>
      </c>
      <c r="C33" s="1761">
        <v>22130</v>
      </c>
      <c r="D33" s="1761">
        <v>20460</v>
      </c>
      <c r="E33" s="1761">
        <v>18500</v>
      </c>
      <c r="F33" s="1769">
        <v>5340</v>
      </c>
      <c r="H33" s="1773"/>
      <c r="M33" s="1761" t="s">
        <v>1739</v>
      </c>
      <c r="N33" s="1761" t="s">
        <v>1740</v>
      </c>
      <c r="O33" s="1761" t="s">
        <v>1741</v>
      </c>
      <c r="P33" s="1761" t="s">
        <v>1742</v>
      </c>
      <c r="Q33" s="1761" t="s">
        <v>1743</v>
      </c>
    </row>
    <row r="34" ht="14.25" customHeight="1" spans="1:17">
      <c r="A34" s="1756" t="s">
        <v>265</v>
      </c>
      <c r="B34" s="1765" t="s">
        <v>1520</v>
      </c>
      <c r="C34" s="1761">
        <v>22070</v>
      </c>
      <c r="D34" s="1761">
        <v>20110</v>
      </c>
      <c r="E34" s="1761">
        <v>18830</v>
      </c>
      <c r="F34" s="1769">
        <v>5190</v>
      </c>
      <c r="H34" s="1773"/>
      <c r="M34" s="1761" t="s">
        <v>1744</v>
      </c>
      <c r="N34" s="1761" t="s">
        <v>1745</v>
      </c>
      <c r="O34" s="1761" t="s">
        <v>1746</v>
      </c>
      <c r="P34" s="1761" t="s">
        <v>1747</v>
      </c>
      <c r="Q34" s="1761" t="s">
        <v>1748</v>
      </c>
    </row>
    <row r="35" ht="14.25" customHeight="1" spans="1:17">
      <c r="A35" s="1756" t="s">
        <v>265</v>
      </c>
      <c r="B35" s="1765" t="s">
        <v>1531</v>
      </c>
      <c r="C35" s="1761">
        <v>22240</v>
      </c>
      <c r="D35" s="1761">
        <v>19550</v>
      </c>
      <c r="E35" s="1761">
        <v>19220</v>
      </c>
      <c r="F35" s="1769">
        <v>5800</v>
      </c>
      <c r="H35" s="1773"/>
      <c r="M35" s="1761" t="s">
        <v>1749</v>
      </c>
      <c r="N35" s="1761" t="s">
        <v>1750</v>
      </c>
      <c r="O35" s="1761" t="s">
        <v>1751</v>
      </c>
      <c r="P35" s="1761" t="s">
        <v>1752</v>
      </c>
      <c r="Q35" s="1761" t="s">
        <v>1753</v>
      </c>
    </row>
    <row r="36" ht="14.25" customHeight="1" spans="1:17">
      <c r="A36" s="1756" t="s">
        <v>265</v>
      </c>
      <c r="B36" s="1765" t="s">
        <v>1542</v>
      </c>
      <c r="C36" s="1761">
        <v>19750</v>
      </c>
      <c r="D36" s="1761">
        <v>19790</v>
      </c>
      <c r="E36" s="1761">
        <v>18510</v>
      </c>
      <c r="F36" s="1769">
        <v>6520</v>
      </c>
      <c r="H36" s="1773"/>
      <c r="N36" s="1761" t="s">
        <v>1754</v>
      </c>
      <c r="O36" s="1761" t="s">
        <v>1755</v>
      </c>
      <c r="P36" s="1761" t="s">
        <v>1756</v>
      </c>
      <c r="Q36" s="1761" t="s">
        <v>1757</v>
      </c>
    </row>
    <row r="37" ht="14.25" customHeight="1" spans="1:17">
      <c r="A37" s="1756" t="s">
        <v>265</v>
      </c>
      <c r="B37" s="1765" t="s">
        <v>1552</v>
      </c>
      <c r="C37" s="1761">
        <v>22380</v>
      </c>
      <c r="D37" s="1761">
        <v>18530</v>
      </c>
      <c r="E37" s="1761">
        <v>17930</v>
      </c>
      <c r="F37" s="1769">
        <v>6270</v>
      </c>
      <c r="H37" s="1775"/>
      <c r="N37" s="1761" t="s">
        <v>1758</v>
      </c>
      <c r="O37" s="1761" t="s">
        <v>1759</v>
      </c>
      <c r="P37" s="1761" t="s">
        <v>1760</v>
      </c>
      <c r="Q37" s="1761" t="s">
        <v>1761</v>
      </c>
    </row>
    <row r="38" ht="14.25" customHeight="1" spans="1:17">
      <c r="A38" s="1756" t="s">
        <v>265</v>
      </c>
      <c r="B38" s="1765" t="s">
        <v>1562</v>
      </c>
      <c r="C38" s="1761">
        <v>20200</v>
      </c>
      <c r="D38" s="1761">
        <v>20070</v>
      </c>
      <c r="E38" s="1761">
        <v>19950</v>
      </c>
      <c r="F38" s="1769"/>
      <c r="H38" s="1773"/>
      <c r="N38" s="1761" t="s">
        <v>1762</v>
      </c>
      <c r="O38" s="1761" t="s">
        <v>1763</v>
      </c>
      <c r="P38" s="1761" t="s">
        <v>1764</v>
      </c>
      <c r="Q38" s="1761" t="s">
        <v>1765</v>
      </c>
    </row>
    <row r="39" ht="14.25" customHeight="1" spans="1:17">
      <c r="A39" s="1756" t="s">
        <v>265</v>
      </c>
      <c r="B39" s="1765" t="s">
        <v>1572</v>
      </c>
      <c r="C39" s="1761">
        <v>19300</v>
      </c>
      <c r="D39" s="1761">
        <v>20360</v>
      </c>
      <c r="E39" s="1761">
        <v>20230</v>
      </c>
      <c r="F39" s="1769"/>
      <c r="H39" s="1773"/>
      <c r="N39" s="1761" t="s">
        <v>1766</v>
      </c>
      <c r="O39" s="1761" t="s">
        <v>1767</v>
      </c>
      <c r="P39" s="1761" t="s">
        <v>1768</v>
      </c>
      <c r="Q39" s="1761" t="s">
        <v>1769</v>
      </c>
    </row>
    <row r="40" ht="14.25" customHeight="1" spans="1:17">
      <c r="A40" s="1756" t="s">
        <v>265</v>
      </c>
      <c r="B40" s="1765" t="s">
        <v>1582</v>
      </c>
      <c r="C40" s="1761">
        <v>20210</v>
      </c>
      <c r="D40" s="1761">
        <v>19060</v>
      </c>
      <c r="E40" s="1761">
        <v>18890</v>
      </c>
      <c r="F40" s="1769"/>
      <c r="H40" s="1773"/>
      <c r="N40" s="1761" t="s">
        <v>1770</v>
      </c>
      <c r="O40" s="1761" t="s">
        <v>1771</v>
      </c>
      <c r="P40" s="1761" t="s">
        <v>1772</v>
      </c>
      <c r="Q40" s="1761" t="s">
        <v>1773</v>
      </c>
    </row>
    <row r="41" ht="14.25" customHeight="1" spans="1:17">
      <c r="A41" s="1756" t="s">
        <v>265</v>
      </c>
      <c r="B41" s="1765" t="s">
        <v>1592</v>
      </c>
      <c r="C41" s="1761">
        <v>20560</v>
      </c>
      <c r="D41" s="1761">
        <v>21040</v>
      </c>
      <c r="E41" s="1761">
        <v>20740</v>
      </c>
      <c r="F41" s="1769"/>
      <c r="H41" s="1773"/>
      <c r="N41" s="1765" t="s">
        <v>1774</v>
      </c>
      <c r="O41" s="1765" t="s">
        <v>1775</v>
      </c>
      <c r="Q41" s="1765" t="s">
        <v>1776</v>
      </c>
    </row>
    <row r="42" ht="14.25" customHeight="1" spans="1:17">
      <c r="A42" s="1756" t="s">
        <v>265</v>
      </c>
      <c r="B42" s="1765" t="s">
        <v>1602</v>
      </c>
      <c r="C42" s="1761">
        <v>19280</v>
      </c>
      <c r="D42" s="1761">
        <v>22940</v>
      </c>
      <c r="E42" s="1761">
        <v>22500</v>
      </c>
      <c r="F42" s="1769"/>
      <c r="H42" s="1773"/>
      <c r="N42" s="1761" t="s">
        <v>1777</v>
      </c>
      <c r="O42" s="1761" t="s">
        <v>1778</v>
      </c>
      <c r="Q42" s="1761" t="s">
        <v>1779</v>
      </c>
    </row>
    <row r="43" ht="14.25" customHeight="1" spans="1:17">
      <c r="A43" s="1756" t="s">
        <v>265</v>
      </c>
      <c r="B43" s="1765" t="s">
        <v>1612</v>
      </c>
      <c r="C43" s="1761">
        <v>21520</v>
      </c>
      <c r="D43" s="1761">
        <v>19230</v>
      </c>
      <c r="E43" s="1761">
        <v>18540</v>
      </c>
      <c r="F43" s="1769"/>
      <c r="H43" s="1773"/>
      <c r="N43" s="1761" t="s">
        <v>1780</v>
      </c>
      <c r="O43" s="1761" t="s">
        <v>1781</v>
      </c>
      <c r="Q43" s="1761" t="s">
        <v>1782</v>
      </c>
    </row>
    <row r="44" ht="14.25" customHeight="1" spans="1:17">
      <c r="A44" s="1756" t="s">
        <v>265</v>
      </c>
      <c r="B44" s="1765" t="s">
        <v>1622</v>
      </c>
      <c r="C44" s="1761">
        <v>23260</v>
      </c>
      <c r="D44" s="1761">
        <v>21180</v>
      </c>
      <c r="E44" s="1761">
        <v>20730</v>
      </c>
      <c r="F44" s="1769"/>
      <c r="H44" s="1773"/>
      <c r="N44" s="1761" t="s">
        <v>1783</v>
      </c>
      <c r="O44" s="1761" t="s">
        <v>1784</v>
      </c>
      <c r="Q44" s="1761" t="s">
        <v>1785</v>
      </c>
    </row>
    <row r="45" ht="14.25" customHeight="1" spans="1:17">
      <c r="A45" s="1756" t="s">
        <v>265</v>
      </c>
      <c r="B45" s="1765" t="s">
        <v>1632</v>
      </c>
      <c r="C45" s="1761">
        <v>19610</v>
      </c>
      <c r="D45" s="1761">
        <v>18090</v>
      </c>
      <c r="E45" s="1761">
        <v>17970</v>
      </c>
      <c r="F45" s="1769"/>
      <c r="H45" s="1773"/>
      <c r="N45" s="1761" t="s">
        <v>1786</v>
      </c>
      <c r="O45" s="1761" t="s">
        <v>1787</v>
      </c>
      <c r="Q45" s="1761" t="s">
        <v>1788</v>
      </c>
    </row>
    <row r="46" ht="14.25" customHeight="1" spans="1:17">
      <c r="A46" s="1756" t="s">
        <v>265</v>
      </c>
      <c r="B46" s="1765" t="s">
        <v>1642</v>
      </c>
      <c r="C46" s="1761">
        <v>21660</v>
      </c>
      <c r="D46" s="1761">
        <v>19190</v>
      </c>
      <c r="E46" s="1761">
        <v>19790</v>
      </c>
      <c r="F46" s="1769"/>
      <c r="H46" s="1773"/>
      <c r="N46" s="1761" t="s">
        <v>1789</v>
      </c>
      <c r="O46" s="1761" t="s">
        <v>1790</v>
      </c>
      <c r="Q46" s="1761" t="s">
        <v>1791</v>
      </c>
    </row>
    <row r="47" ht="14.25" customHeight="1" spans="1:15">
      <c r="A47" s="1756" t="s">
        <v>265</v>
      </c>
      <c r="B47" s="1765" t="s">
        <v>1652</v>
      </c>
      <c r="C47" s="1761">
        <v>18220</v>
      </c>
      <c r="D47" s="1761"/>
      <c r="E47" s="1761">
        <v>17220</v>
      </c>
      <c r="F47" s="1769"/>
      <c r="H47" s="1773"/>
      <c r="N47" s="1761" t="s">
        <v>1792</v>
      </c>
      <c r="O47" s="1761" t="s">
        <v>1793</v>
      </c>
    </row>
    <row r="48" ht="14.25" customHeight="1" spans="1:15">
      <c r="A48" s="1756" t="s">
        <v>265</v>
      </c>
      <c r="B48" s="1766" t="s">
        <v>1661</v>
      </c>
      <c r="C48" s="1767">
        <v>19430</v>
      </c>
      <c r="D48" s="1767"/>
      <c r="E48" s="1767">
        <v>17830</v>
      </c>
      <c r="F48" s="1776"/>
      <c r="H48" s="1773"/>
      <c r="N48" s="1761" t="s">
        <v>1794</v>
      </c>
      <c r="O48" s="1761" t="s">
        <v>1795</v>
      </c>
    </row>
    <row r="49" ht="14.25" customHeight="1" spans="1:15">
      <c r="A49" s="1756" t="s">
        <v>275</v>
      </c>
      <c r="B49" s="1757" t="s">
        <v>1460</v>
      </c>
      <c r="C49" s="1757">
        <v>17090</v>
      </c>
      <c r="D49" s="1757">
        <v>16950</v>
      </c>
      <c r="E49" s="1757">
        <v>16310</v>
      </c>
      <c r="F49" s="1758">
        <v>4540</v>
      </c>
      <c r="H49" s="1773"/>
      <c r="N49" s="1761" t="s">
        <v>1796</v>
      </c>
      <c r="O49" s="1761" t="s">
        <v>1797</v>
      </c>
    </row>
    <row r="50" ht="14.25" customHeight="1" spans="1:8">
      <c r="A50" s="1756" t="s">
        <v>275</v>
      </c>
      <c r="B50" s="1761" t="s">
        <v>1473</v>
      </c>
      <c r="C50" s="1761">
        <v>19040</v>
      </c>
      <c r="D50" s="1761">
        <v>16960</v>
      </c>
      <c r="E50" s="1761">
        <v>14800</v>
      </c>
      <c r="F50" s="1769">
        <v>3940</v>
      </c>
      <c r="H50" s="1773"/>
    </row>
    <row r="51" ht="14.25" customHeight="1" spans="1:8">
      <c r="A51" s="1756" t="s">
        <v>275</v>
      </c>
      <c r="B51" s="1761" t="s">
        <v>1486</v>
      </c>
      <c r="C51" s="1761">
        <v>17040</v>
      </c>
      <c r="D51" s="1761">
        <v>16930</v>
      </c>
      <c r="E51" s="1761">
        <v>15030</v>
      </c>
      <c r="F51" s="1769">
        <v>4120</v>
      </c>
      <c r="H51" s="1773"/>
    </row>
    <row r="52" ht="14.25" customHeight="1" spans="1:8">
      <c r="A52" s="1756" t="s">
        <v>275</v>
      </c>
      <c r="B52" s="1761" t="s">
        <v>1498</v>
      </c>
      <c r="C52" s="1761">
        <v>17110</v>
      </c>
      <c r="D52" s="1761">
        <v>17750</v>
      </c>
      <c r="E52" s="1761">
        <v>17310</v>
      </c>
      <c r="F52" s="1769">
        <v>3220</v>
      </c>
      <c r="H52" s="1773"/>
    </row>
    <row r="53" ht="14.25" customHeight="1" spans="1:8">
      <c r="A53" s="1756" t="s">
        <v>275</v>
      </c>
      <c r="B53" s="1761" t="s">
        <v>1510</v>
      </c>
      <c r="C53" s="1761">
        <v>17810</v>
      </c>
      <c r="D53" s="1761">
        <v>17260</v>
      </c>
      <c r="E53" s="1761">
        <v>17090</v>
      </c>
      <c r="F53" s="1769">
        <v>3520</v>
      </c>
      <c r="H53" s="1773"/>
    </row>
    <row r="54" ht="14.25" customHeight="1" spans="1:8">
      <c r="A54" s="1756" t="s">
        <v>275</v>
      </c>
      <c r="B54" s="1761" t="s">
        <v>1521</v>
      </c>
      <c r="C54" s="1761">
        <v>17410</v>
      </c>
      <c r="D54" s="1761">
        <v>16780</v>
      </c>
      <c r="E54" s="1761">
        <v>16370</v>
      </c>
      <c r="F54" s="1769">
        <v>3410</v>
      </c>
      <c r="H54" s="1773"/>
    </row>
    <row r="55" ht="14.25" customHeight="1" spans="1:8">
      <c r="A55" s="1756" t="s">
        <v>275</v>
      </c>
      <c r="B55" s="1761" t="s">
        <v>1532</v>
      </c>
      <c r="C55" s="1761">
        <v>16930</v>
      </c>
      <c r="D55" s="1761">
        <v>14720</v>
      </c>
      <c r="E55" s="1761">
        <v>15000</v>
      </c>
      <c r="F55" s="1769">
        <v>3710</v>
      </c>
      <c r="H55" s="1773"/>
    </row>
    <row r="56" ht="14.25" customHeight="1" spans="1:8">
      <c r="A56" s="1756" t="s">
        <v>275</v>
      </c>
      <c r="B56" s="1761" t="s">
        <v>1543</v>
      </c>
      <c r="C56" s="1761">
        <v>14930</v>
      </c>
      <c r="D56" s="1761">
        <v>15850</v>
      </c>
      <c r="E56" s="1761">
        <v>14320</v>
      </c>
      <c r="F56" s="1769">
        <v>3960</v>
      </c>
      <c r="H56" s="1773"/>
    </row>
    <row r="57" ht="14.25" customHeight="1" spans="1:8">
      <c r="A57" s="1756" t="s">
        <v>275</v>
      </c>
      <c r="B57" s="1761" t="s">
        <v>1553</v>
      </c>
      <c r="C57" s="1761">
        <v>16160</v>
      </c>
      <c r="D57" s="1761">
        <v>16190</v>
      </c>
      <c r="E57" s="1761">
        <v>15650</v>
      </c>
      <c r="F57" s="1769">
        <v>4200</v>
      </c>
      <c r="H57" s="1773"/>
    </row>
    <row r="58" ht="14.25" customHeight="1" spans="1:8">
      <c r="A58" s="1756" t="s">
        <v>275</v>
      </c>
      <c r="B58" s="1761" t="s">
        <v>1563</v>
      </c>
      <c r="C58" s="1761">
        <v>16360</v>
      </c>
      <c r="D58" s="1761">
        <v>14050</v>
      </c>
      <c r="E58" s="1761">
        <v>16070</v>
      </c>
      <c r="F58" s="1769">
        <v>3990</v>
      </c>
      <c r="H58" s="1773"/>
    </row>
    <row r="59" ht="14.25" customHeight="1" spans="1:8">
      <c r="A59" s="1756" t="s">
        <v>275</v>
      </c>
      <c r="B59" s="1761" t="s">
        <v>1573</v>
      </c>
      <c r="C59" s="1761">
        <v>14160</v>
      </c>
      <c r="D59" s="1761">
        <v>16620</v>
      </c>
      <c r="E59" s="1761">
        <v>13940</v>
      </c>
      <c r="F59" s="1769">
        <v>4260</v>
      </c>
      <c r="H59" s="1773"/>
    </row>
    <row r="60" ht="14.25" customHeight="1" spans="1:8">
      <c r="A60" s="1756" t="s">
        <v>275</v>
      </c>
      <c r="B60" s="1761" t="s">
        <v>1583</v>
      </c>
      <c r="C60" s="1761">
        <v>16750</v>
      </c>
      <c r="D60" s="1761">
        <v>13910</v>
      </c>
      <c r="E60" s="1761">
        <v>16550</v>
      </c>
      <c r="F60" s="1769">
        <v>4550</v>
      </c>
      <c r="H60" s="1773"/>
    </row>
    <row r="61" ht="14.25" customHeight="1" spans="1:8">
      <c r="A61" s="1756" t="s">
        <v>275</v>
      </c>
      <c r="B61" s="1761" t="s">
        <v>1593</v>
      </c>
      <c r="C61" s="1761">
        <v>14000</v>
      </c>
      <c r="D61" s="1761">
        <v>14550</v>
      </c>
      <c r="E61" s="1761">
        <v>13860</v>
      </c>
      <c r="F61" s="1777"/>
      <c r="H61" s="1773"/>
    </row>
    <row r="62" ht="14.25" customHeight="1" spans="1:8">
      <c r="A62" s="1756" t="s">
        <v>275</v>
      </c>
      <c r="B62" s="1761" t="s">
        <v>1603</v>
      </c>
      <c r="C62" s="1761">
        <v>14660</v>
      </c>
      <c r="D62" s="1761">
        <v>17450</v>
      </c>
      <c r="E62" s="1761">
        <v>14470</v>
      </c>
      <c r="F62" s="1777"/>
      <c r="H62" s="1773"/>
    </row>
    <row r="63" ht="14.25" customHeight="1" spans="1:8">
      <c r="A63" s="1756" t="s">
        <v>275</v>
      </c>
      <c r="B63" s="1761" t="s">
        <v>1613</v>
      </c>
      <c r="C63" s="1761">
        <v>17610</v>
      </c>
      <c r="D63" s="1761">
        <v>16500</v>
      </c>
      <c r="E63" s="1761">
        <v>17330</v>
      </c>
      <c r="F63" s="1777"/>
      <c r="H63" s="1773"/>
    </row>
    <row r="64" ht="14.25" customHeight="1" spans="1:8">
      <c r="A64" s="1756" t="s">
        <v>275</v>
      </c>
      <c r="B64" s="1761" t="s">
        <v>1623</v>
      </c>
      <c r="C64" s="1761">
        <v>16590</v>
      </c>
      <c r="D64" s="1761">
        <v>15130</v>
      </c>
      <c r="E64" s="1761">
        <v>16420</v>
      </c>
      <c r="F64" s="1777"/>
      <c r="H64" s="1773"/>
    </row>
    <row r="65" s="1744" customFormat="1" ht="14.25" customHeight="1" spans="1:8">
      <c r="A65" s="1756" t="s">
        <v>275</v>
      </c>
      <c r="B65" s="1761" t="s">
        <v>1633</v>
      </c>
      <c r="C65" s="1761">
        <v>15220</v>
      </c>
      <c r="D65" s="1761">
        <v>14660</v>
      </c>
      <c r="E65" s="1761">
        <v>15060</v>
      </c>
      <c r="F65" s="1769"/>
      <c r="H65" s="1773"/>
    </row>
    <row r="66" s="1744" customFormat="1" ht="14.25" customHeight="1" spans="1:8">
      <c r="A66" s="1756" t="s">
        <v>275</v>
      </c>
      <c r="B66" s="1761" t="s">
        <v>1643</v>
      </c>
      <c r="C66" s="1761">
        <v>14720</v>
      </c>
      <c r="D66" s="1761">
        <v>15970</v>
      </c>
      <c r="E66" s="1761">
        <v>14610</v>
      </c>
      <c r="F66" s="1769"/>
      <c r="H66" s="1773"/>
    </row>
    <row r="67" s="1744" customFormat="1" ht="14.25" customHeight="1" spans="1:8">
      <c r="A67" s="1756" t="s">
        <v>275</v>
      </c>
      <c r="B67" s="1761" t="s">
        <v>1653</v>
      </c>
      <c r="C67" s="1761">
        <v>16080</v>
      </c>
      <c r="D67" s="1761">
        <v>14840</v>
      </c>
      <c r="E67" s="1761">
        <v>15630</v>
      </c>
      <c r="F67" s="1769"/>
      <c r="H67" s="1773"/>
    </row>
    <row r="68" s="1744" customFormat="1" ht="14.25" customHeight="1" spans="1:8">
      <c r="A68" s="1756" t="s">
        <v>275</v>
      </c>
      <c r="B68" s="1761" t="s">
        <v>1662</v>
      </c>
      <c r="C68" s="1761">
        <v>14940</v>
      </c>
      <c r="D68" s="1761">
        <v>18000</v>
      </c>
      <c r="E68" s="1761">
        <v>14040</v>
      </c>
      <c r="F68" s="1769"/>
      <c r="H68" s="1773"/>
    </row>
    <row r="69" s="1744" customFormat="1" ht="14.25" customHeight="1" spans="1:8">
      <c r="A69" s="1756" t="s">
        <v>275</v>
      </c>
      <c r="B69" s="1761" t="s">
        <v>1670</v>
      </c>
      <c r="C69" s="1761">
        <v>18810</v>
      </c>
      <c r="D69" s="1761">
        <v>15100</v>
      </c>
      <c r="E69" s="1761">
        <v>14710</v>
      </c>
      <c r="F69" s="1769"/>
      <c r="H69" s="1773"/>
    </row>
    <row r="70" s="1744" customFormat="1" ht="14.25" customHeight="1" spans="1:8">
      <c r="A70" s="1756" t="s">
        <v>275</v>
      </c>
      <c r="B70" s="1761" t="s">
        <v>1678</v>
      </c>
      <c r="C70" s="1761">
        <v>18270</v>
      </c>
      <c r="D70" s="1761"/>
      <c r="E70" s="1761"/>
      <c r="F70" s="1769"/>
      <c r="H70" s="1773"/>
    </row>
    <row r="71" s="1744" customFormat="1" ht="14.25" customHeight="1" spans="1:8">
      <c r="A71" s="1756" t="s">
        <v>275</v>
      </c>
      <c r="B71" s="1761" t="s">
        <v>1685</v>
      </c>
      <c r="C71" s="1761">
        <v>15230</v>
      </c>
      <c r="D71" s="1761"/>
      <c r="E71" s="1761"/>
      <c r="F71" s="1769"/>
      <c r="H71" s="1773"/>
    </row>
    <row r="72" s="1744" customFormat="1" ht="14.25" customHeight="1" spans="1:8">
      <c r="A72" s="1756" t="s">
        <v>275</v>
      </c>
      <c r="B72" s="1761" t="s">
        <v>1692</v>
      </c>
      <c r="C72" s="1761"/>
      <c r="D72" s="1761"/>
      <c r="E72" s="1761"/>
      <c r="F72" s="1769">
        <v>4120</v>
      </c>
      <c r="H72" s="1773"/>
    </row>
    <row r="73" s="1744" customFormat="1" ht="14.25" customHeight="1" spans="1:8">
      <c r="A73" s="1756" t="s">
        <v>275</v>
      </c>
      <c r="B73" s="1761" t="s">
        <v>1699</v>
      </c>
      <c r="C73" s="1761"/>
      <c r="D73" s="1761"/>
      <c r="E73" s="1761"/>
      <c r="F73" s="1769">
        <v>3930</v>
      </c>
      <c r="H73" s="1773"/>
    </row>
    <row r="74" s="1744" customFormat="1" ht="14.25" customHeight="1" spans="1:8">
      <c r="A74" s="1756" t="s">
        <v>275</v>
      </c>
      <c r="B74" s="1761" t="s">
        <v>1706</v>
      </c>
      <c r="C74" s="1761"/>
      <c r="D74" s="1761"/>
      <c r="E74" s="1761"/>
      <c r="F74" s="1769">
        <v>4060</v>
      </c>
      <c r="H74" s="1773"/>
    </row>
    <row r="75" s="1744" customFormat="1" ht="14.25" customHeight="1" spans="1:8">
      <c r="A75" s="1756" t="s">
        <v>275</v>
      </c>
      <c r="B75" s="1767" t="s">
        <v>1713</v>
      </c>
      <c r="C75" s="1767"/>
      <c r="D75" s="1767"/>
      <c r="E75" s="1767"/>
      <c r="F75" s="1776">
        <v>3750</v>
      </c>
      <c r="H75" s="1773"/>
    </row>
    <row r="76" s="1744" customFormat="1" ht="14.25" customHeight="1" spans="1:8">
      <c r="A76" s="1756" t="s">
        <v>284</v>
      </c>
      <c r="B76" s="1757" t="s">
        <v>1461</v>
      </c>
      <c r="C76" s="1757">
        <v>14690</v>
      </c>
      <c r="D76" s="1757">
        <v>14640</v>
      </c>
      <c r="E76" s="1757">
        <v>14590</v>
      </c>
      <c r="F76" s="1758">
        <v>3060</v>
      </c>
      <c r="H76" s="1773"/>
    </row>
    <row r="77" s="1744" customFormat="1" ht="14.25" customHeight="1" spans="1:8">
      <c r="A77" s="1756" t="s">
        <v>284</v>
      </c>
      <c r="B77" s="1761" t="s">
        <v>1474</v>
      </c>
      <c r="C77" s="1761">
        <v>12550</v>
      </c>
      <c r="D77" s="1761">
        <v>12480</v>
      </c>
      <c r="E77" s="1761">
        <v>12450</v>
      </c>
      <c r="F77" s="1769">
        <v>2590</v>
      </c>
      <c r="H77" s="1773"/>
    </row>
    <row r="78" s="1744" customFormat="1" ht="14.25" customHeight="1" spans="1:8">
      <c r="A78" s="1756" t="s">
        <v>284</v>
      </c>
      <c r="B78" s="1761" t="s">
        <v>1487</v>
      </c>
      <c r="C78" s="1761">
        <v>14360</v>
      </c>
      <c r="D78" s="1761">
        <v>14320</v>
      </c>
      <c r="E78" s="1761">
        <v>12510</v>
      </c>
      <c r="F78" s="1769">
        <v>2700</v>
      </c>
      <c r="H78" s="1773"/>
    </row>
    <row r="79" s="1744" customFormat="1" ht="14.25" customHeight="1" spans="1:8">
      <c r="A79" s="1756" t="s">
        <v>284</v>
      </c>
      <c r="B79" s="1761" t="s">
        <v>1499</v>
      </c>
      <c r="C79" s="1761">
        <v>12590</v>
      </c>
      <c r="D79" s="1761">
        <v>12540</v>
      </c>
      <c r="E79" s="1761">
        <v>12350</v>
      </c>
      <c r="F79" s="1769">
        <v>2740</v>
      </c>
      <c r="H79" s="1773"/>
    </row>
    <row r="80" s="1744" customFormat="1" ht="14.25" customHeight="1" spans="1:8">
      <c r="A80" s="1756" t="s">
        <v>284</v>
      </c>
      <c r="B80" s="1761" t="s">
        <v>1511</v>
      </c>
      <c r="C80" s="1761">
        <v>12450</v>
      </c>
      <c r="D80" s="1761">
        <v>12370</v>
      </c>
      <c r="E80" s="1761">
        <v>10790</v>
      </c>
      <c r="F80" s="1769">
        <v>2290</v>
      </c>
      <c r="H80" s="1773"/>
    </row>
    <row r="81" s="1744" customFormat="1" ht="14.25" customHeight="1" spans="1:8">
      <c r="A81" s="1756" t="s">
        <v>284</v>
      </c>
      <c r="B81" s="1761" t="s">
        <v>1522</v>
      </c>
      <c r="C81" s="1761">
        <v>14210</v>
      </c>
      <c r="D81" s="1761">
        <v>14150</v>
      </c>
      <c r="E81" s="1761">
        <v>12730</v>
      </c>
      <c r="F81" s="1769">
        <v>2240</v>
      </c>
      <c r="H81" s="1773"/>
    </row>
    <row r="82" s="1744" customFormat="1" ht="14.25" customHeight="1" spans="1:8">
      <c r="A82" s="1756" t="s">
        <v>284</v>
      </c>
      <c r="B82" s="1761" t="s">
        <v>1533</v>
      </c>
      <c r="C82" s="1761">
        <v>10860</v>
      </c>
      <c r="D82" s="1761">
        <v>10820</v>
      </c>
      <c r="E82" s="1761">
        <v>14720</v>
      </c>
      <c r="F82" s="1769">
        <v>2490</v>
      </c>
      <c r="H82" s="1773"/>
    </row>
    <row r="83" s="1744" customFormat="1" ht="14.25" customHeight="1" spans="1:8">
      <c r="A83" s="1756" t="s">
        <v>284</v>
      </c>
      <c r="B83" s="1761" t="s">
        <v>1544</v>
      </c>
      <c r="C83" s="1761">
        <v>12810</v>
      </c>
      <c r="D83" s="1761">
        <v>12760</v>
      </c>
      <c r="E83" s="1761">
        <v>14830</v>
      </c>
      <c r="F83" s="1769">
        <v>2450</v>
      </c>
      <c r="H83" s="1773"/>
    </row>
    <row r="84" s="1744" customFormat="1" ht="14.25" customHeight="1" spans="1:8">
      <c r="A84" s="1756" t="s">
        <v>284</v>
      </c>
      <c r="B84" s="1761" t="s">
        <v>1554</v>
      </c>
      <c r="C84" s="1761">
        <v>14950</v>
      </c>
      <c r="D84" s="1761">
        <v>14810</v>
      </c>
      <c r="E84" s="1761">
        <v>12590</v>
      </c>
      <c r="F84" s="1769">
        <v>2540</v>
      </c>
      <c r="H84" s="1773"/>
    </row>
    <row r="85" s="1744" customFormat="1" ht="14.25" customHeight="1" spans="1:8">
      <c r="A85" s="1756" t="s">
        <v>284</v>
      </c>
      <c r="B85" s="1761" t="s">
        <v>1564</v>
      </c>
      <c r="C85" s="1761">
        <v>14960</v>
      </c>
      <c r="D85" s="1761">
        <v>14890</v>
      </c>
      <c r="E85" s="1761">
        <v>12840</v>
      </c>
      <c r="F85" s="1769">
        <v>2840</v>
      </c>
      <c r="H85" s="1773"/>
    </row>
    <row r="86" s="1744" customFormat="1" ht="14.25" customHeight="1" spans="1:8">
      <c r="A86" s="1756" t="s">
        <v>284</v>
      </c>
      <c r="B86" s="1761" t="s">
        <v>1574</v>
      </c>
      <c r="C86" s="1761">
        <v>12730</v>
      </c>
      <c r="D86" s="1761">
        <v>12660</v>
      </c>
      <c r="E86" s="1761">
        <v>13310</v>
      </c>
      <c r="F86" s="1769">
        <v>3140</v>
      </c>
      <c r="H86" s="1773"/>
    </row>
    <row r="87" s="1744" customFormat="1" ht="14.25" customHeight="1" spans="1:8">
      <c r="A87" s="1756" t="s">
        <v>284</v>
      </c>
      <c r="B87" s="1761" t="s">
        <v>1584</v>
      </c>
      <c r="C87" s="1761">
        <v>12940</v>
      </c>
      <c r="D87" s="1761">
        <v>12890</v>
      </c>
      <c r="E87" s="1761">
        <v>11580</v>
      </c>
      <c r="F87" s="1777"/>
      <c r="H87" s="1773"/>
    </row>
    <row r="88" s="1744" customFormat="1" ht="14.25" customHeight="1" spans="1:8">
      <c r="A88" s="1756" t="s">
        <v>284</v>
      </c>
      <c r="B88" s="1761" t="s">
        <v>1594</v>
      </c>
      <c r="C88" s="1761">
        <v>13430</v>
      </c>
      <c r="D88" s="1761">
        <v>13360</v>
      </c>
      <c r="E88" s="1761">
        <v>12790</v>
      </c>
      <c r="F88" s="1777"/>
      <c r="H88" s="1773"/>
    </row>
    <row r="89" s="1744" customFormat="1" ht="14.25" customHeight="1" spans="1:8">
      <c r="A89" s="1756" t="s">
        <v>284</v>
      </c>
      <c r="B89" s="1761" t="s">
        <v>1604</v>
      </c>
      <c r="C89" s="1761">
        <v>11680</v>
      </c>
      <c r="D89" s="1761">
        <v>11630</v>
      </c>
      <c r="E89" s="1761">
        <v>11320</v>
      </c>
      <c r="F89" s="1777"/>
      <c r="H89" s="1773"/>
    </row>
    <row r="90" s="1744" customFormat="1" ht="14.25" customHeight="1" spans="1:8">
      <c r="A90" s="1756" t="s">
        <v>284</v>
      </c>
      <c r="B90" s="1761" t="s">
        <v>1614</v>
      </c>
      <c r="C90" s="1761">
        <v>12890</v>
      </c>
      <c r="D90" s="1761">
        <v>12820</v>
      </c>
      <c r="E90" s="1761">
        <v>12710</v>
      </c>
      <c r="F90" s="1777"/>
      <c r="H90" s="1773"/>
    </row>
    <row r="91" s="1744" customFormat="1" ht="14.25" customHeight="1" spans="1:8">
      <c r="A91" s="1756" t="s">
        <v>284</v>
      </c>
      <c r="B91" s="1761" t="s">
        <v>1624</v>
      </c>
      <c r="C91" s="1761">
        <v>11410</v>
      </c>
      <c r="D91" s="1761">
        <v>11360</v>
      </c>
      <c r="E91" s="1761">
        <v>12670</v>
      </c>
      <c r="F91" s="1777"/>
      <c r="H91" s="1773"/>
    </row>
    <row r="92" s="1744" customFormat="1" ht="14.25" customHeight="1" spans="1:8">
      <c r="A92" s="1756" t="s">
        <v>284</v>
      </c>
      <c r="B92" s="1761" t="s">
        <v>1634</v>
      </c>
      <c r="C92" s="1761">
        <v>12770</v>
      </c>
      <c r="D92" s="1761">
        <v>12740</v>
      </c>
      <c r="E92" s="1761">
        <v>11970</v>
      </c>
      <c r="F92" s="1777"/>
      <c r="H92" s="1773"/>
    </row>
    <row r="93" s="1744" customFormat="1" ht="14.25" customHeight="1" spans="1:8">
      <c r="A93" s="1756" t="s">
        <v>284</v>
      </c>
      <c r="B93" s="1761" t="s">
        <v>1644</v>
      </c>
      <c r="C93" s="1761">
        <v>12740</v>
      </c>
      <c r="D93" s="1761">
        <v>12700</v>
      </c>
      <c r="E93" s="1761">
        <v>12540</v>
      </c>
      <c r="F93" s="1777"/>
      <c r="H93" s="1773"/>
    </row>
    <row r="94" s="1744" customFormat="1" ht="14.25" customHeight="1" spans="1:8">
      <c r="A94" s="1756" t="s">
        <v>284</v>
      </c>
      <c r="B94" s="1761" t="s">
        <v>1654</v>
      </c>
      <c r="C94" s="1761">
        <v>12020</v>
      </c>
      <c r="D94" s="1761">
        <v>11990</v>
      </c>
      <c r="E94" s="1761">
        <v>13110</v>
      </c>
      <c r="F94" s="1777"/>
      <c r="H94" s="1773"/>
    </row>
    <row r="95" s="1744" customFormat="1" ht="14.25" customHeight="1" spans="1:8">
      <c r="A95" s="1756" t="s">
        <v>284</v>
      </c>
      <c r="B95" s="1761" t="s">
        <v>1663</v>
      </c>
      <c r="C95" s="1761">
        <v>12620</v>
      </c>
      <c r="D95" s="1761">
        <v>12580</v>
      </c>
      <c r="E95" s="1761">
        <v>13160</v>
      </c>
      <c r="F95" s="1769"/>
      <c r="H95" s="1773"/>
    </row>
    <row r="96" s="1744" customFormat="1" ht="14.25" customHeight="1" spans="1:8">
      <c r="A96" s="1756" t="s">
        <v>284</v>
      </c>
      <c r="B96" s="1761" t="s">
        <v>1671</v>
      </c>
      <c r="C96" s="1761">
        <v>13200</v>
      </c>
      <c r="D96" s="1761">
        <v>13150</v>
      </c>
      <c r="E96" s="1761">
        <v>12900</v>
      </c>
      <c r="F96" s="1769"/>
      <c r="H96" s="1773"/>
    </row>
    <row r="97" s="1744" customFormat="1" ht="14.25" customHeight="1" spans="1:8">
      <c r="A97" s="1756" t="s">
        <v>284</v>
      </c>
      <c r="B97" s="1761" t="s">
        <v>1679</v>
      </c>
      <c r="C97" s="1761">
        <v>13270</v>
      </c>
      <c r="D97" s="1761">
        <v>13210</v>
      </c>
      <c r="E97" s="1761">
        <v>11080</v>
      </c>
      <c r="F97" s="1769"/>
      <c r="H97" s="1773"/>
    </row>
    <row r="98" s="1744" customFormat="1" ht="14.25" customHeight="1" spans="1:8">
      <c r="A98" s="1756" t="s">
        <v>284</v>
      </c>
      <c r="B98" s="1761" t="s">
        <v>1686</v>
      </c>
      <c r="C98" s="1761">
        <v>13010</v>
      </c>
      <c r="D98" s="1761">
        <v>12930</v>
      </c>
      <c r="E98" s="1761">
        <v>12840</v>
      </c>
      <c r="F98" s="1769"/>
      <c r="H98" s="1773"/>
    </row>
    <row r="99" s="1744" customFormat="1" ht="14.25" customHeight="1" spans="1:8">
      <c r="A99" s="1756" t="s">
        <v>284</v>
      </c>
      <c r="B99" s="1761" t="s">
        <v>1693</v>
      </c>
      <c r="C99" s="1761">
        <v>11190</v>
      </c>
      <c r="D99" s="1761">
        <v>11130</v>
      </c>
      <c r="E99" s="1761"/>
      <c r="F99" s="1769"/>
      <c r="H99" s="1773"/>
    </row>
    <row r="100" s="1744" customFormat="1" ht="14.25" customHeight="1" spans="1:8">
      <c r="A100" s="1756" t="s">
        <v>284</v>
      </c>
      <c r="B100" s="1761" t="s">
        <v>1700</v>
      </c>
      <c r="C100" s="1761">
        <v>14280</v>
      </c>
      <c r="D100" s="1761">
        <v>14180</v>
      </c>
      <c r="E100" s="1761"/>
      <c r="F100" s="1769"/>
      <c r="H100" s="1773"/>
    </row>
    <row r="101" s="1744" customFormat="1" ht="14.25" customHeight="1" spans="1:8">
      <c r="A101" s="1756" t="s">
        <v>284</v>
      </c>
      <c r="B101" s="1761" t="s">
        <v>1707</v>
      </c>
      <c r="C101" s="1761">
        <v>12960</v>
      </c>
      <c r="D101" s="1761">
        <v>12890</v>
      </c>
      <c r="E101" s="1761"/>
      <c r="F101" s="1769"/>
      <c r="H101" s="1773"/>
    </row>
    <row r="102" s="1744" customFormat="1" ht="14.25" customHeight="1" spans="1:8">
      <c r="A102" s="1756" t="s">
        <v>284</v>
      </c>
      <c r="B102" s="1761" t="s">
        <v>1714</v>
      </c>
      <c r="C102" s="1761"/>
      <c r="D102" s="1761"/>
      <c r="E102" s="1761"/>
      <c r="F102" s="1769">
        <v>3100</v>
      </c>
      <c r="H102" s="1773"/>
    </row>
    <row r="103" s="1744" customFormat="1" ht="14.25" customHeight="1" spans="1:8">
      <c r="A103" s="1756" t="s">
        <v>284</v>
      </c>
      <c r="B103" s="1761" t="s">
        <v>1719</v>
      </c>
      <c r="C103" s="1761"/>
      <c r="D103" s="1761"/>
      <c r="E103" s="1761"/>
      <c r="F103" s="1769">
        <v>2320</v>
      </c>
      <c r="H103" s="1773"/>
    </row>
    <row r="104" s="1744" customFormat="1" ht="14.25" customHeight="1" spans="1:8">
      <c r="A104" s="1756" t="s">
        <v>284</v>
      </c>
      <c r="B104" s="1761" t="s">
        <v>1724</v>
      </c>
      <c r="C104" s="1761"/>
      <c r="D104" s="1761"/>
      <c r="E104" s="1761"/>
      <c r="F104" s="1769">
        <v>2320</v>
      </c>
      <c r="H104" s="1773"/>
    </row>
    <row r="105" s="1744" customFormat="1" ht="14.25" customHeight="1" spans="1:8">
      <c r="A105" s="1756" t="s">
        <v>284</v>
      </c>
      <c r="B105" s="1761" t="s">
        <v>1729</v>
      </c>
      <c r="C105" s="1761"/>
      <c r="D105" s="1761"/>
      <c r="E105" s="1761"/>
      <c r="F105" s="1769">
        <v>2320</v>
      </c>
      <c r="H105" s="1773"/>
    </row>
    <row r="106" s="1744" customFormat="1" ht="14.25" customHeight="1" spans="1:8">
      <c r="A106" s="1756" t="s">
        <v>284</v>
      </c>
      <c r="B106" s="1761" t="s">
        <v>1734</v>
      </c>
      <c r="C106" s="1761"/>
      <c r="D106" s="1761"/>
      <c r="E106" s="1761"/>
      <c r="F106" s="1769">
        <v>2320</v>
      </c>
      <c r="H106" s="1773"/>
    </row>
    <row r="107" s="1744" customFormat="1" ht="14.25" customHeight="1" spans="1:8">
      <c r="A107" s="1756" t="s">
        <v>284</v>
      </c>
      <c r="B107" s="1761" t="s">
        <v>1739</v>
      </c>
      <c r="C107" s="1761"/>
      <c r="D107" s="1761"/>
      <c r="E107" s="1761"/>
      <c r="F107" s="1769">
        <v>2280</v>
      </c>
      <c r="H107" s="1773"/>
    </row>
    <row r="108" s="1744" customFormat="1" ht="14.25" customHeight="1" spans="1:8">
      <c r="A108" s="1756" t="s">
        <v>284</v>
      </c>
      <c r="B108" s="1761" t="s">
        <v>1744</v>
      </c>
      <c r="C108" s="1761"/>
      <c r="D108" s="1761"/>
      <c r="E108" s="1761"/>
      <c r="F108" s="1769">
        <v>2280</v>
      </c>
      <c r="H108" s="1773"/>
    </row>
    <row r="109" s="1744" customFormat="1" ht="14.25" customHeight="1" spans="1:8">
      <c r="A109" s="1756" t="s">
        <v>284</v>
      </c>
      <c r="B109" s="1767" t="s">
        <v>1749</v>
      </c>
      <c r="C109" s="1767"/>
      <c r="D109" s="1767"/>
      <c r="E109" s="1767"/>
      <c r="F109" s="1776">
        <v>2280</v>
      </c>
      <c r="H109" s="1773"/>
    </row>
    <row r="110" s="1744" customFormat="1" ht="14.25" customHeight="1" spans="1:8">
      <c r="A110" s="1756" t="s">
        <v>292</v>
      </c>
      <c r="B110" s="1757" t="s">
        <v>1462</v>
      </c>
      <c r="C110" s="1757">
        <v>10520</v>
      </c>
      <c r="D110" s="1757">
        <v>10490</v>
      </c>
      <c r="E110" s="1757">
        <v>10760</v>
      </c>
      <c r="F110" s="1758">
        <v>2160</v>
      </c>
      <c r="H110" s="1773"/>
    </row>
    <row r="111" s="1744" customFormat="1" ht="14.25" customHeight="1" spans="1:8">
      <c r="A111" s="1756" t="s">
        <v>292</v>
      </c>
      <c r="B111" s="1761" t="s">
        <v>1475</v>
      </c>
      <c r="C111" s="1761">
        <v>10090</v>
      </c>
      <c r="D111" s="1761">
        <v>10060</v>
      </c>
      <c r="E111" s="1761">
        <v>10300</v>
      </c>
      <c r="F111" s="1769">
        <v>2010</v>
      </c>
      <c r="H111" s="1773"/>
    </row>
    <row r="112" s="1744" customFormat="1" ht="14.25" customHeight="1" spans="1:8">
      <c r="A112" s="1756" t="s">
        <v>292</v>
      </c>
      <c r="B112" s="1761" t="s">
        <v>1488</v>
      </c>
      <c r="C112" s="1761">
        <v>9910</v>
      </c>
      <c r="D112" s="1761">
        <v>9850</v>
      </c>
      <c r="E112" s="1761">
        <v>9960</v>
      </c>
      <c r="F112" s="1769">
        <v>2090</v>
      </c>
      <c r="H112" s="1773"/>
    </row>
    <row r="113" s="1744" customFormat="1" ht="14.25" customHeight="1" spans="1:8">
      <c r="A113" s="1756" t="s">
        <v>292</v>
      </c>
      <c r="B113" s="1761" t="s">
        <v>1500</v>
      </c>
      <c r="C113" s="1761">
        <v>11430</v>
      </c>
      <c r="D113" s="1761">
        <v>11400</v>
      </c>
      <c r="E113" s="1761">
        <v>11710</v>
      </c>
      <c r="F113" s="1769">
        <v>2050</v>
      </c>
      <c r="H113" s="1773"/>
    </row>
    <row r="114" s="1744" customFormat="1" ht="14.25" customHeight="1" spans="1:8">
      <c r="A114" s="1756" t="s">
        <v>292</v>
      </c>
      <c r="B114" s="1761" t="s">
        <v>1512</v>
      </c>
      <c r="C114" s="1761">
        <v>11390</v>
      </c>
      <c r="D114" s="1761">
        <v>11350</v>
      </c>
      <c r="E114" s="1761">
        <v>11640</v>
      </c>
      <c r="F114" s="1769">
        <v>1620</v>
      </c>
      <c r="H114" s="1773"/>
    </row>
    <row r="115" s="1744" customFormat="1" ht="14.25" customHeight="1" spans="1:8">
      <c r="A115" s="1756" t="s">
        <v>292</v>
      </c>
      <c r="B115" s="1761" t="s">
        <v>1523</v>
      </c>
      <c r="C115" s="1761">
        <v>9930</v>
      </c>
      <c r="D115" s="1761">
        <v>9900</v>
      </c>
      <c r="E115" s="1761">
        <v>10160</v>
      </c>
      <c r="F115" s="1769">
        <v>1580</v>
      </c>
      <c r="H115" s="1773"/>
    </row>
    <row r="116" s="1744" customFormat="1" ht="14.25" customHeight="1" spans="1:8">
      <c r="A116" s="1756" t="s">
        <v>292</v>
      </c>
      <c r="B116" s="1761" t="s">
        <v>1534</v>
      </c>
      <c r="C116" s="1761">
        <v>9150</v>
      </c>
      <c r="D116" s="1761">
        <v>9120</v>
      </c>
      <c r="E116" s="1761">
        <v>9380</v>
      </c>
      <c r="F116" s="1769">
        <v>1750</v>
      </c>
      <c r="H116" s="1773"/>
    </row>
    <row r="117" s="1744" customFormat="1" ht="14.25" customHeight="1" spans="1:8">
      <c r="A117" s="1756" t="s">
        <v>292</v>
      </c>
      <c r="B117" s="1761" t="s">
        <v>1545</v>
      </c>
      <c r="C117" s="1761">
        <v>10680</v>
      </c>
      <c r="D117" s="1761">
        <v>10650</v>
      </c>
      <c r="E117" s="1761">
        <v>10970</v>
      </c>
      <c r="F117" s="1769">
        <v>1730</v>
      </c>
      <c r="H117" s="1773"/>
    </row>
    <row r="118" s="1744" customFormat="1" ht="14.25" customHeight="1" spans="1:8">
      <c r="A118" s="1756" t="s">
        <v>292</v>
      </c>
      <c r="B118" s="1761" t="s">
        <v>1555</v>
      </c>
      <c r="C118" s="1761">
        <v>10080</v>
      </c>
      <c r="D118" s="1761">
        <v>10050</v>
      </c>
      <c r="E118" s="1761">
        <v>10350</v>
      </c>
      <c r="F118" s="1769">
        <v>1920</v>
      </c>
      <c r="H118" s="1773"/>
    </row>
    <row r="119" s="1744" customFormat="1" ht="14.25" customHeight="1" spans="1:8">
      <c r="A119" s="1756" t="s">
        <v>292</v>
      </c>
      <c r="B119" s="1761" t="s">
        <v>1565</v>
      </c>
      <c r="C119" s="1761">
        <v>9450</v>
      </c>
      <c r="D119" s="1761">
        <v>9410</v>
      </c>
      <c r="E119" s="1761">
        <v>9680</v>
      </c>
      <c r="F119" s="1769">
        <v>1880</v>
      </c>
      <c r="H119" s="1773"/>
    </row>
    <row r="120" s="1744" customFormat="1" ht="14.25" customHeight="1" spans="1:8">
      <c r="A120" s="1756" t="s">
        <v>292</v>
      </c>
      <c r="B120" s="1761" t="s">
        <v>1575</v>
      </c>
      <c r="C120" s="1761">
        <v>8730</v>
      </c>
      <c r="D120" s="1761">
        <v>8700</v>
      </c>
      <c r="E120" s="1761">
        <v>8950</v>
      </c>
      <c r="F120" s="1769">
        <v>1830</v>
      </c>
      <c r="H120" s="1773"/>
    </row>
    <row r="121" s="1744" customFormat="1" ht="14.25" customHeight="1" spans="1:8">
      <c r="A121" s="1756" t="s">
        <v>292</v>
      </c>
      <c r="B121" s="1761" t="s">
        <v>1585</v>
      </c>
      <c r="C121" s="1761">
        <v>10070</v>
      </c>
      <c r="D121" s="1761">
        <v>10040</v>
      </c>
      <c r="E121" s="1761">
        <v>10270</v>
      </c>
      <c r="F121" s="1769">
        <v>1960</v>
      </c>
      <c r="H121" s="1773"/>
    </row>
    <row r="122" s="1744" customFormat="1" ht="14.25" customHeight="1" spans="1:8">
      <c r="A122" s="1756" t="s">
        <v>292</v>
      </c>
      <c r="B122" s="1761" t="s">
        <v>1595</v>
      </c>
      <c r="C122" s="1761">
        <v>10500</v>
      </c>
      <c r="D122" s="1761">
        <v>10470</v>
      </c>
      <c r="E122" s="1761">
        <v>10780</v>
      </c>
      <c r="F122" s="1769">
        <v>2180</v>
      </c>
      <c r="H122" s="1773"/>
    </row>
    <row r="123" s="1744" customFormat="1" ht="14.25" customHeight="1" spans="1:8">
      <c r="A123" s="1756" t="s">
        <v>292</v>
      </c>
      <c r="B123" s="1761" t="s">
        <v>1605</v>
      </c>
      <c r="C123" s="1761">
        <v>10390</v>
      </c>
      <c r="D123" s="1761">
        <v>10360</v>
      </c>
      <c r="E123" s="1761">
        <v>10660</v>
      </c>
      <c r="F123" s="1769">
        <v>2040</v>
      </c>
      <c r="H123" s="1773"/>
    </row>
    <row r="124" s="1744" customFormat="1" ht="14.25" customHeight="1" spans="1:8">
      <c r="A124" s="1756" t="s">
        <v>292</v>
      </c>
      <c r="B124" s="1761" t="s">
        <v>1615</v>
      </c>
      <c r="C124" s="1761">
        <v>10390</v>
      </c>
      <c r="D124" s="1761">
        <v>10360</v>
      </c>
      <c r="E124" s="1761">
        <v>10680</v>
      </c>
      <c r="F124" s="1777"/>
      <c r="H124" s="1773"/>
    </row>
    <row r="125" s="1744" customFormat="1" ht="14.25" customHeight="1" spans="1:8">
      <c r="A125" s="1756" t="s">
        <v>292</v>
      </c>
      <c r="B125" s="1761" t="s">
        <v>1625</v>
      </c>
      <c r="C125" s="1761">
        <v>10440</v>
      </c>
      <c r="D125" s="1761">
        <v>10410</v>
      </c>
      <c r="E125" s="1761">
        <v>10710</v>
      </c>
      <c r="F125" s="1777"/>
      <c r="H125" s="1773"/>
    </row>
    <row r="126" s="1744" customFormat="1" ht="14.25" customHeight="1" spans="1:8">
      <c r="A126" s="1756" t="s">
        <v>292</v>
      </c>
      <c r="B126" s="1761" t="s">
        <v>1635</v>
      </c>
      <c r="C126" s="1761">
        <v>10780</v>
      </c>
      <c r="D126" s="1761">
        <v>10750</v>
      </c>
      <c r="E126" s="1761">
        <v>11080</v>
      </c>
      <c r="F126" s="1777"/>
      <c r="H126" s="1773"/>
    </row>
    <row r="127" s="1744" customFormat="1" ht="14.25" customHeight="1" spans="1:8">
      <c r="A127" s="1756" t="s">
        <v>292</v>
      </c>
      <c r="B127" s="1761" t="s">
        <v>1645</v>
      </c>
      <c r="C127" s="1761">
        <v>10100</v>
      </c>
      <c r="D127" s="1761">
        <v>10070</v>
      </c>
      <c r="E127" s="1761">
        <v>10350</v>
      </c>
      <c r="F127" s="1777"/>
      <c r="H127" s="1773"/>
    </row>
    <row r="128" s="1744" customFormat="1" ht="14.25" customHeight="1" spans="1:8">
      <c r="A128" s="1756" t="s">
        <v>292</v>
      </c>
      <c r="B128" s="1761" t="s">
        <v>1655</v>
      </c>
      <c r="C128" s="1761">
        <v>9200</v>
      </c>
      <c r="D128" s="1761">
        <v>9160</v>
      </c>
      <c r="E128" s="1761">
        <v>9660</v>
      </c>
      <c r="F128" s="1777"/>
      <c r="H128" s="1773"/>
    </row>
    <row r="129" s="1744" customFormat="1" ht="14.25" customHeight="1" spans="1:8">
      <c r="A129" s="1756" t="s">
        <v>292</v>
      </c>
      <c r="B129" s="1761" t="s">
        <v>1664</v>
      </c>
      <c r="C129" s="1761">
        <v>10340</v>
      </c>
      <c r="D129" s="1761">
        <v>10310</v>
      </c>
      <c r="E129" s="1761">
        <v>10580</v>
      </c>
      <c r="F129" s="1777"/>
      <c r="H129" s="1773"/>
    </row>
    <row r="130" s="1744" customFormat="1" ht="14.25" customHeight="1" spans="1:8">
      <c r="A130" s="1756" t="s">
        <v>292</v>
      </c>
      <c r="B130" s="1761" t="s">
        <v>1672</v>
      </c>
      <c r="C130" s="1761">
        <v>9680</v>
      </c>
      <c r="D130" s="1761">
        <v>9660</v>
      </c>
      <c r="E130" s="1761">
        <v>9950</v>
      </c>
      <c r="F130" s="1777"/>
      <c r="H130" s="1773"/>
    </row>
    <row r="131" s="1744" customFormat="1" ht="14.25" customHeight="1" spans="1:8">
      <c r="A131" s="1756" t="s">
        <v>292</v>
      </c>
      <c r="B131" s="1761" t="s">
        <v>1680</v>
      </c>
      <c r="C131" s="1761">
        <v>9540</v>
      </c>
      <c r="D131" s="1761">
        <v>9510</v>
      </c>
      <c r="E131" s="1761">
        <v>9790</v>
      </c>
      <c r="F131" s="1777"/>
      <c r="H131" s="1773"/>
    </row>
    <row r="132" s="1744" customFormat="1" ht="14.25" customHeight="1" spans="1:8">
      <c r="A132" s="1756" t="s">
        <v>292</v>
      </c>
      <c r="B132" s="1761" t="s">
        <v>1687</v>
      </c>
      <c r="C132" s="1761">
        <v>9320</v>
      </c>
      <c r="D132" s="1761">
        <v>9290</v>
      </c>
      <c r="E132" s="1761">
        <v>9570</v>
      </c>
      <c r="F132" s="1777"/>
      <c r="H132" s="1773"/>
    </row>
    <row r="133" s="1744" customFormat="1" ht="14.25" customHeight="1" spans="1:8">
      <c r="A133" s="1756" t="s">
        <v>292</v>
      </c>
      <c r="B133" s="1761" t="s">
        <v>1694</v>
      </c>
      <c r="C133" s="1761">
        <v>10310</v>
      </c>
      <c r="D133" s="1761">
        <v>10280</v>
      </c>
      <c r="E133" s="1761">
        <v>10530</v>
      </c>
      <c r="F133" s="1777"/>
      <c r="H133" s="1773"/>
    </row>
    <row r="134" s="1744" customFormat="1" ht="14.25" customHeight="1" spans="1:8">
      <c r="A134" s="1756" t="s">
        <v>292</v>
      </c>
      <c r="B134" s="1761" t="s">
        <v>1701</v>
      </c>
      <c r="C134" s="1761">
        <v>10370</v>
      </c>
      <c r="D134" s="1761">
        <v>10310</v>
      </c>
      <c r="E134" s="1761">
        <v>10240</v>
      </c>
      <c r="F134" s="1769">
        <v>2060</v>
      </c>
      <c r="H134" s="1773"/>
    </row>
    <row r="135" s="1744" customFormat="1" ht="14.25" customHeight="1" spans="1:8">
      <c r="A135" s="1756" t="s">
        <v>292</v>
      </c>
      <c r="B135" s="1761" t="s">
        <v>1708</v>
      </c>
      <c r="C135" s="1761">
        <v>9300</v>
      </c>
      <c r="D135" s="1761">
        <v>9270</v>
      </c>
      <c r="E135" s="1761">
        <v>9350</v>
      </c>
      <c r="F135" s="1777"/>
      <c r="H135" s="1773"/>
    </row>
    <row r="136" s="1744" customFormat="1" ht="14.25" customHeight="1" spans="1:8">
      <c r="A136" s="1756" t="s">
        <v>292</v>
      </c>
      <c r="B136" s="1761" t="s">
        <v>1715</v>
      </c>
      <c r="C136" s="1761">
        <v>10160</v>
      </c>
      <c r="D136" s="1761">
        <v>10110</v>
      </c>
      <c r="E136" s="1761">
        <v>10080</v>
      </c>
      <c r="F136" s="1777"/>
      <c r="H136" s="1773"/>
    </row>
    <row r="137" s="1744" customFormat="1" ht="14.25" customHeight="1" spans="1:8">
      <c r="A137" s="1756" t="s">
        <v>292</v>
      </c>
      <c r="B137" s="1761" t="s">
        <v>1720</v>
      </c>
      <c r="C137" s="1761">
        <v>9200</v>
      </c>
      <c r="D137" s="1761">
        <v>9170</v>
      </c>
      <c r="E137" s="1761">
        <v>9450</v>
      </c>
      <c r="F137" s="1777"/>
      <c r="H137" s="1773"/>
    </row>
    <row r="138" s="1744" customFormat="1" ht="14.25" customHeight="1" spans="1:8">
      <c r="A138" s="1756" t="s">
        <v>292</v>
      </c>
      <c r="B138" s="1761" t="s">
        <v>1725</v>
      </c>
      <c r="C138" s="1761">
        <v>9690</v>
      </c>
      <c r="D138" s="1761">
        <v>9660</v>
      </c>
      <c r="E138" s="1761">
        <v>9840</v>
      </c>
      <c r="F138" s="1777"/>
      <c r="H138" s="1773"/>
    </row>
    <row r="139" s="1744" customFormat="1" ht="14.25" customHeight="1" spans="1:8">
      <c r="A139" s="1756" t="s">
        <v>292</v>
      </c>
      <c r="B139" s="1761" t="s">
        <v>1730</v>
      </c>
      <c r="C139" s="1761">
        <v>10290</v>
      </c>
      <c r="D139" s="1761">
        <v>10260</v>
      </c>
      <c r="E139" s="1761">
        <v>10550</v>
      </c>
      <c r="F139" s="1769">
        <v>1700</v>
      </c>
      <c r="H139" s="1773"/>
    </row>
    <row r="140" s="1744" customFormat="1" ht="14.25" customHeight="1" spans="1:8">
      <c r="A140" s="1756" t="s">
        <v>292</v>
      </c>
      <c r="B140" s="1761" t="s">
        <v>1735</v>
      </c>
      <c r="C140" s="1761">
        <v>9740</v>
      </c>
      <c r="D140" s="1761">
        <v>9710</v>
      </c>
      <c r="E140" s="1761">
        <v>10000</v>
      </c>
      <c r="F140" s="1769">
        <v>2000</v>
      </c>
      <c r="H140" s="1773"/>
    </row>
    <row r="141" s="1744" customFormat="1" ht="14.25" customHeight="1" spans="1:8">
      <c r="A141" s="1756" t="s">
        <v>292</v>
      </c>
      <c r="B141" s="1761" t="s">
        <v>1740</v>
      </c>
      <c r="C141" s="1761">
        <v>9810</v>
      </c>
      <c r="D141" s="1761">
        <v>9770</v>
      </c>
      <c r="E141" s="1761">
        <v>10060</v>
      </c>
      <c r="F141" s="1777"/>
      <c r="H141" s="1773"/>
    </row>
    <row r="142" s="1744" customFormat="1" ht="14.25" customHeight="1" spans="1:8">
      <c r="A142" s="1756" t="s">
        <v>292</v>
      </c>
      <c r="B142" s="1761" t="s">
        <v>1745</v>
      </c>
      <c r="C142" s="1761">
        <v>9300</v>
      </c>
      <c r="D142" s="1761">
        <v>9270</v>
      </c>
      <c r="E142" s="1761">
        <v>9530</v>
      </c>
      <c r="F142" s="1777"/>
      <c r="H142" s="1773"/>
    </row>
    <row r="143" s="1744" customFormat="1" ht="14.25" customHeight="1" spans="1:8">
      <c r="A143" s="1756" t="s">
        <v>292</v>
      </c>
      <c r="B143" s="1761" t="s">
        <v>1750</v>
      </c>
      <c r="C143" s="1761">
        <v>10080</v>
      </c>
      <c r="D143" s="1761">
        <v>10050</v>
      </c>
      <c r="E143" s="1761">
        <v>10340</v>
      </c>
      <c r="F143" s="1777"/>
      <c r="H143" s="1773"/>
    </row>
    <row r="144" s="1744" customFormat="1" ht="14.25" customHeight="1" spans="1:8">
      <c r="A144" s="1756" t="s">
        <v>292</v>
      </c>
      <c r="B144" s="1761" t="s">
        <v>1754</v>
      </c>
      <c r="C144" s="1761">
        <v>9820</v>
      </c>
      <c r="D144" s="1761">
        <v>9750</v>
      </c>
      <c r="E144" s="1761">
        <v>9900</v>
      </c>
      <c r="F144" s="1777"/>
      <c r="H144" s="1773"/>
    </row>
    <row r="145" s="1744" customFormat="1" ht="14.25" customHeight="1" spans="1:8">
      <c r="A145" s="1756" t="s">
        <v>292</v>
      </c>
      <c r="B145" s="1761" t="s">
        <v>1758</v>
      </c>
      <c r="C145" s="1761"/>
      <c r="D145" s="1761"/>
      <c r="E145" s="1761"/>
      <c r="F145" s="1769">
        <v>1740</v>
      </c>
      <c r="H145" s="1773"/>
    </row>
    <row r="146" s="1744" customFormat="1" ht="14.25" customHeight="1" spans="1:8">
      <c r="A146" s="1756" t="s">
        <v>292</v>
      </c>
      <c r="B146" s="1761" t="s">
        <v>1762</v>
      </c>
      <c r="C146" s="1761"/>
      <c r="D146" s="1761"/>
      <c r="E146" s="1761"/>
      <c r="F146" s="1769">
        <v>1740</v>
      </c>
      <c r="H146" s="1773"/>
    </row>
    <row r="147" s="1744" customFormat="1" ht="14.25" customHeight="1" spans="1:8">
      <c r="A147" s="1756" t="s">
        <v>292</v>
      </c>
      <c r="B147" s="1761" t="s">
        <v>1766</v>
      </c>
      <c r="C147" s="1761"/>
      <c r="D147" s="1761"/>
      <c r="E147" s="1761"/>
      <c r="F147" s="1769">
        <v>1740</v>
      </c>
      <c r="H147" s="1773"/>
    </row>
    <row r="148" s="1744" customFormat="1" ht="14.25" customHeight="1" spans="1:8">
      <c r="A148" s="1756" t="s">
        <v>292</v>
      </c>
      <c r="B148" s="1761" t="s">
        <v>1770</v>
      </c>
      <c r="C148" s="1761"/>
      <c r="D148" s="1761"/>
      <c r="E148" s="1761"/>
      <c r="F148" s="1769">
        <v>1740</v>
      </c>
      <c r="H148" s="1773"/>
    </row>
    <row r="149" s="1744" customFormat="1" ht="14.25" customHeight="1" spans="1:8">
      <c r="A149" s="1756" t="s">
        <v>292</v>
      </c>
      <c r="B149" s="1761" t="s">
        <v>1774</v>
      </c>
      <c r="C149" s="1761"/>
      <c r="D149" s="1761"/>
      <c r="E149" s="1761"/>
      <c r="F149" s="1769">
        <v>1740</v>
      </c>
      <c r="H149" s="1773"/>
    </row>
    <row r="150" s="1744" customFormat="1" ht="14.25" customHeight="1" spans="1:8">
      <c r="A150" s="1756" t="s">
        <v>292</v>
      </c>
      <c r="B150" s="1761" t="s">
        <v>1777</v>
      </c>
      <c r="C150" s="1761"/>
      <c r="D150" s="1761"/>
      <c r="E150" s="1761"/>
      <c r="F150" s="1769">
        <v>1610</v>
      </c>
      <c r="H150" s="1773"/>
    </row>
    <row r="151" s="1744" customFormat="1" ht="14.25" customHeight="1" spans="1:8">
      <c r="A151" s="1756" t="s">
        <v>292</v>
      </c>
      <c r="B151" s="1761" t="s">
        <v>1780</v>
      </c>
      <c r="C151" s="1761"/>
      <c r="D151" s="1761"/>
      <c r="E151" s="1761"/>
      <c r="F151" s="1769">
        <v>1610</v>
      </c>
      <c r="H151" s="1773"/>
    </row>
    <row r="152" s="1744" customFormat="1" ht="14.25" customHeight="1" spans="1:8">
      <c r="A152" s="1756" t="s">
        <v>292</v>
      </c>
      <c r="B152" s="1761" t="s">
        <v>1783</v>
      </c>
      <c r="C152" s="1761"/>
      <c r="D152" s="1761"/>
      <c r="E152" s="1761"/>
      <c r="F152" s="1769">
        <v>1610</v>
      </c>
      <c r="H152" s="1773"/>
    </row>
    <row r="153" s="1744" customFormat="1" ht="14.25" customHeight="1" spans="1:8">
      <c r="A153" s="1756" t="s">
        <v>292</v>
      </c>
      <c r="B153" s="1761" t="s">
        <v>1786</v>
      </c>
      <c r="C153" s="1761"/>
      <c r="D153" s="1761"/>
      <c r="E153" s="1761"/>
      <c r="F153" s="1769">
        <v>1610</v>
      </c>
      <c r="H153" s="1773"/>
    </row>
    <row r="154" s="1744" customFormat="1" ht="14.25" customHeight="1" spans="1:8">
      <c r="A154" s="1756" t="s">
        <v>292</v>
      </c>
      <c r="B154" s="1761" t="s">
        <v>1789</v>
      </c>
      <c r="C154" s="1761"/>
      <c r="D154" s="1761"/>
      <c r="E154" s="1761"/>
      <c r="F154" s="1769">
        <v>1610</v>
      </c>
      <c r="H154" s="1773"/>
    </row>
    <row r="155" s="1744" customFormat="1" ht="14.25" customHeight="1" spans="1:8">
      <c r="A155" s="1756" t="s">
        <v>292</v>
      </c>
      <c r="B155" s="1761" t="s">
        <v>1792</v>
      </c>
      <c r="C155" s="1761"/>
      <c r="D155" s="1761"/>
      <c r="E155" s="1761"/>
      <c r="F155" s="1769">
        <v>1800</v>
      </c>
      <c r="H155" s="1773"/>
    </row>
    <row r="156" s="1744" customFormat="1" ht="14.25" customHeight="1" spans="1:8">
      <c r="A156" s="1756" t="s">
        <v>292</v>
      </c>
      <c r="B156" s="1761" t="s">
        <v>1794</v>
      </c>
      <c r="C156" s="1761"/>
      <c r="D156" s="1761"/>
      <c r="E156" s="1761"/>
      <c r="F156" s="1769">
        <v>1910</v>
      </c>
      <c r="H156" s="1773"/>
    </row>
    <row r="157" s="1744" customFormat="1" ht="14.25" customHeight="1" spans="1:8">
      <c r="A157" s="1756" t="s">
        <v>292</v>
      </c>
      <c r="B157" s="1767" t="s">
        <v>1796</v>
      </c>
      <c r="C157" s="1767"/>
      <c r="D157" s="1767"/>
      <c r="E157" s="1767"/>
      <c r="F157" s="1776">
        <v>1500</v>
      </c>
      <c r="H157" s="1773"/>
    </row>
    <row r="158" s="1744" customFormat="1" ht="14.25" customHeight="1" spans="1:8">
      <c r="A158" s="1756" t="s">
        <v>297</v>
      </c>
      <c r="B158" s="1757" t="s">
        <v>1463</v>
      </c>
      <c r="C158" s="1757">
        <v>8170</v>
      </c>
      <c r="D158" s="1757">
        <v>8140</v>
      </c>
      <c r="E158" s="1757">
        <v>8590</v>
      </c>
      <c r="F158" s="1758">
        <v>1450</v>
      </c>
      <c r="H158" s="1773"/>
    </row>
    <row r="159" s="1744" customFormat="1" ht="14.25" customHeight="1" spans="1:8">
      <c r="A159" s="1756" t="s">
        <v>297</v>
      </c>
      <c r="B159" s="1761" t="s">
        <v>1476</v>
      </c>
      <c r="C159" s="1761">
        <v>7410</v>
      </c>
      <c r="D159" s="1761">
        <v>7370</v>
      </c>
      <c r="E159" s="1761">
        <v>8030</v>
      </c>
      <c r="F159" s="1769">
        <v>1510</v>
      </c>
      <c r="H159" s="1773"/>
    </row>
    <row r="160" s="1744" customFormat="1" ht="14.25" customHeight="1" spans="1:8">
      <c r="A160" s="1756" t="s">
        <v>297</v>
      </c>
      <c r="B160" s="1761" t="s">
        <v>1489</v>
      </c>
      <c r="C160" s="1761">
        <v>7240</v>
      </c>
      <c r="D160" s="1761">
        <v>7210</v>
      </c>
      <c r="E160" s="1761">
        <v>7860</v>
      </c>
      <c r="F160" s="1769">
        <v>1370</v>
      </c>
      <c r="H160" s="1773"/>
    </row>
    <row r="161" s="1744" customFormat="1" ht="14.25" customHeight="1" spans="1:8">
      <c r="A161" s="1756" t="s">
        <v>297</v>
      </c>
      <c r="B161" s="1761" t="s">
        <v>1501</v>
      </c>
      <c r="C161" s="1761">
        <v>7720</v>
      </c>
      <c r="D161" s="1761">
        <v>7690</v>
      </c>
      <c r="E161" s="1761">
        <v>8200</v>
      </c>
      <c r="F161" s="1769">
        <v>1190</v>
      </c>
      <c r="H161" s="1773"/>
    </row>
    <row r="162" s="1744" customFormat="1" ht="14.25" customHeight="1" spans="1:8">
      <c r="A162" s="1756" t="s">
        <v>297</v>
      </c>
      <c r="B162" s="1761" t="s">
        <v>1513</v>
      </c>
      <c r="C162" s="1761">
        <v>6900</v>
      </c>
      <c r="D162" s="1761">
        <v>6870</v>
      </c>
      <c r="E162" s="1761">
        <v>7500</v>
      </c>
      <c r="F162" s="1769">
        <v>1390</v>
      </c>
      <c r="H162" s="1773"/>
    </row>
    <row r="163" s="1744" customFormat="1" ht="14.25" customHeight="1" spans="1:8">
      <c r="A163" s="1756" t="s">
        <v>297</v>
      </c>
      <c r="B163" s="1761" t="s">
        <v>1524</v>
      </c>
      <c r="C163" s="1761">
        <v>7120</v>
      </c>
      <c r="D163" s="1761">
        <v>7090</v>
      </c>
      <c r="E163" s="1761">
        <v>7690</v>
      </c>
      <c r="F163" s="1769">
        <v>1230</v>
      </c>
      <c r="H163" s="1773"/>
    </row>
    <row r="164" s="1744" customFormat="1" ht="14.25" customHeight="1" spans="1:8">
      <c r="A164" s="1756" t="s">
        <v>297</v>
      </c>
      <c r="B164" s="1761" t="s">
        <v>1535</v>
      </c>
      <c r="C164" s="1761">
        <v>6560</v>
      </c>
      <c r="D164" s="1761">
        <v>6530</v>
      </c>
      <c r="E164" s="1761">
        <v>7110</v>
      </c>
      <c r="F164" s="1769">
        <v>1340</v>
      </c>
      <c r="H164" s="1773"/>
    </row>
    <row r="165" s="1744" customFormat="1" ht="14.25" customHeight="1" spans="1:8">
      <c r="A165" s="1756" t="s">
        <v>297</v>
      </c>
      <c r="B165" s="1761" t="s">
        <v>1546</v>
      </c>
      <c r="C165" s="1761">
        <v>7450</v>
      </c>
      <c r="D165" s="1761">
        <v>7430</v>
      </c>
      <c r="E165" s="1761">
        <v>8110</v>
      </c>
      <c r="F165" s="1769">
        <v>1290</v>
      </c>
      <c r="H165" s="1773"/>
    </row>
    <row r="166" s="1744" customFormat="1" ht="14.25" customHeight="1" spans="1:8">
      <c r="A166" s="1756" t="s">
        <v>297</v>
      </c>
      <c r="B166" s="1761" t="s">
        <v>1556</v>
      </c>
      <c r="C166" s="1761">
        <v>7490</v>
      </c>
      <c r="D166" s="1761">
        <v>7460</v>
      </c>
      <c r="E166" s="1761">
        <v>8150</v>
      </c>
      <c r="F166" s="1769">
        <v>1350</v>
      </c>
      <c r="H166" s="1773"/>
    </row>
    <row r="167" s="1744" customFormat="1" ht="14.25" customHeight="1" spans="1:8">
      <c r="A167" s="1756" t="s">
        <v>297</v>
      </c>
      <c r="B167" s="1761" t="s">
        <v>1566</v>
      </c>
      <c r="C167" s="1761">
        <v>7540</v>
      </c>
      <c r="D167" s="1761">
        <v>7510</v>
      </c>
      <c r="E167" s="1761">
        <v>8030</v>
      </c>
      <c r="F167" s="1777"/>
      <c r="H167" s="1773"/>
    </row>
    <row r="168" s="1744" customFormat="1" ht="14.25" customHeight="1" spans="1:8">
      <c r="A168" s="1756" t="s">
        <v>297</v>
      </c>
      <c r="B168" s="1761" t="s">
        <v>1576</v>
      </c>
      <c r="C168" s="1761">
        <v>7210</v>
      </c>
      <c r="D168" s="1761">
        <v>7180</v>
      </c>
      <c r="E168" s="1761">
        <v>7830</v>
      </c>
      <c r="F168" s="1777"/>
      <c r="H168" s="1773"/>
    </row>
    <row r="169" s="1744" customFormat="1" ht="14.25" customHeight="1" spans="1:8">
      <c r="A169" s="1756" t="s">
        <v>297</v>
      </c>
      <c r="B169" s="1761" t="s">
        <v>1586</v>
      </c>
      <c r="C169" s="1761">
        <v>7040</v>
      </c>
      <c r="D169" s="1761">
        <v>7020</v>
      </c>
      <c r="E169" s="1761">
        <v>7670</v>
      </c>
      <c r="F169" s="1777"/>
      <c r="H169" s="1773"/>
    </row>
    <row r="170" s="1744" customFormat="1" ht="14.25" customHeight="1" spans="1:8">
      <c r="A170" s="1756" t="s">
        <v>297</v>
      </c>
      <c r="B170" s="1761" t="s">
        <v>1596</v>
      </c>
      <c r="C170" s="1761">
        <v>8040</v>
      </c>
      <c r="D170" s="1761">
        <v>7190</v>
      </c>
      <c r="E170" s="1761">
        <v>7850</v>
      </c>
      <c r="F170" s="1777"/>
      <c r="H170" s="1773"/>
    </row>
    <row r="171" s="1744" customFormat="1" ht="14.25" customHeight="1" spans="1:8">
      <c r="A171" s="1756" t="s">
        <v>297</v>
      </c>
      <c r="B171" s="1761" t="s">
        <v>1606</v>
      </c>
      <c r="C171" s="1761">
        <v>7860</v>
      </c>
      <c r="D171" s="1761">
        <v>7720</v>
      </c>
      <c r="E171" s="1761">
        <v>8150</v>
      </c>
      <c r="F171" s="1769">
        <v>1110</v>
      </c>
      <c r="H171" s="1773"/>
    </row>
    <row r="172" s="1744" customFormat="1" ht="14.25" customHeight="1" spans="1:8">
      <c r="A172" s="1756" t="s">
        <v>297</v>
      </c>
      <c r="B172" s="1761" t="s">
        <v>1616</v>
      </c>
      <c r="C172" s="1761">
        <v>7210</v>
      </c>
      <c r="D172" s="1761">
        <v>7170</v>
      </c>
      <c r="E172" s="1761">
        <v>7320</v>
      </c>
      <c r="F172" s="1777"/>
      <c r="H172" s="1773"/>
    </row>
    <row r="173" s="1744" customFormat="1" ht="14.25" customHeight="1" spans="1:8">
      <c r="A173" s="1756" t="s">
        <v>297</v>
      </c>
      <c r="B173" s="1761" t="s">
        <v>1626</v>
      </c>
      <c r="C173" s="1761">
        <v>6860</v>
      </c>
      <c r="D173" s="1761">
        <v>6810</v>
      </c>
      <c r="E173" s="1761">
        <v>7440</v>
      </c>
      <c r="F173" s="1777"/>
      <c r="H173" s="1773"/>
    </row>
    <row r="174" s="1744" customFormat="1" ht="14.25" customHeight="1" spans="1:8">
      <c r="A174" s="1756" t="s">
        <v>297</v>
      </c>
      <c r="B174" s="1761" t="s">
        <v>1636</v>
      </c>
      <c r="C174" s="1761">
        <v>7120</v>
      </c>
      <c r="D174" s="1761">
        <v>7090</v>
      </c>
      <c r="E174" s="1761">
        <v>7500</v>
      </c>
      <c r="F174" s="1769">
        <v>1490</v>
      </c>
      <c r="H174" s="1773"/>
    </row>
    <row r="175" s="1744" customFormat="1" ht="14.25" customHeight="1" spans="1:8">
      <c r="A175" s="1756" t="s">
        <v>297</v>
      </c>
      <c r="B175" s="1761" t="s">
        <v>1646</v>
      </c>
      <c r="C175" s="1761">
        <v>7850</v>
      </c>
      <c r="D175" s="1761">
        <v>7820</v>
      </c>
      <c r="E175" s="1761">
        <v>8120</v>
      </c>
      <c r="F175" s="1769">
        <v>1530</v>
      </c>
      <c r="H175" s="1773"/>
    </row>
    <row r="176" s="1744" customFormat="1" ht="14.25" customHeight="1" spans="1:8">
      <c r="A176" s="1756" t="s">
        <v>297</v>
      </c>
      <c r="B176" s="1761" t="s">
        <v>1656</v>
      </c>
      <c r="C176" s="1761">
        <v>7620</v>
      </c>
      <c r="D176" s="1761">
        <v>7570</v>
      </c>
      <c r="E176" s="1761">
        <v>7990</v>
      </c>
      <c r="F176" s="1769">
        <v>1480</v>
      </c>
      <c r="H176" s="1773"/>
    </row>
    <row r="177" s="1744" customFormat="1" ht="14.25" customHeight="1" spans="1:8">
      <c r="A177" s="1756" t="s">
        <v>297</v>
      </c>
      <c r="B177" s="1761" t="s">
        <v>1665</v>
      </c>
      <c r="C177" s="1761">
        <v>8590</v>
      </c>
      <c r="D177" s="1761">
        <v>8570</v>
      </c>
      <c r="E177" s="1761">
        <v>8740</v>
      </c>
      <c r="F177" s="1769">
        <v>1540</v>
      </c>
      <c r="H177" s="1773"/>
    </row>
    <row r="178" s="1744" customFormat="1" ht="14.25" customHeight="1" spans="1:8">
      <c r="A178" s="1756" t="s">
        <v>297</v>
      </c>
      <c r="B178" s="1761" t="s">
        <v>1673</v>
      </c>
      <c r="C178" s="1761">
        <v>7510</v>
      </c>
      <c r="D178" s="1761">
        <v>7470</v>
      </c>
      <c r="E178" s="1761">
        <v>8090</v>
      </c>
      <c r="F178" s="1769">
        <v>1320</v>
      </c>
      <c r="H178" s="1773"/>
    </row>
    <row r="179" s="1744" customFormat="1" ht="14.25" customHeight="1" spans="1:8">
      <c r="A179" s="1756" t="s">
        <v>297</v>
      </c>
      <c r="B179" s="1761" t="s">
        <v>1681</v>
      </c>
      <c r="C179" s="1761">
        <v>6380</v>
      </c>
      <c r="D179" s="1761">
        <v>6340</v>
      </c>
      <c r="E179" s="1761">
        <v>6810</v>
      </c>
      <c r="F179" s="1777"/>
      <c r="H179" s="1773"/>
    </row>
    <row r="180" s="1744" customFormat="1" ht="14.25" customHeight="1" spans="1:8">
      <c r="A180" s="1756" t="s">
        <v>297</v>
      </c>
      <c r="B180" s="1761" t="s">
        <v>1688</v>
      </c>
      <c r="C180" s="1761">
        <v>7830</v>
      </c>
      <c r="D180" s="1761">
        <v>7800</v>
      </c>
      <c r="E180" s="1761">
        <v>7780</v>
      </c>
      <c r="F180" s="1769">
        <v>1440</v>
      </c>
      <c r="H180" s="1773"/>
    </row>
    <row r="181" s="1744" customFormat="1" ht="14.25" customHeight="1" spans="1:8">
      <c r="A181" s="1756" t="s">
        <v>297</v>
      </c>
      <c r="B181" s="1761" t="s">
        <v>1695</v>
      </c>
      <c r="C181" s="1761">
        <v>7110</v>
      </c>
      <c r="D181" s="1761">
        <v>7080</v>
      </c>
      <c r="E181" s="1761">
        <v>7730</v>
      </c>
      <c r="F181" s="1769">
        <v>1350</v>
      </c>
      <c r="H181" s="1773"/>
    </row>
    <row r="182" s="1744" customFormat="1" ht="14.25" customHeight="1" spans="1:8">
      <c r="A182" s="1756" t="s">
        <v>297</v>
      </c>
      <c r="B182" s="1761" t="s">
        <v>1702</v>
      </c>
      <c r="C182" s="1761">
        <v>7310</v>
      </c>
      <c r="D182" s="1761">
        <v>7280</v>
      </c>
      <c r="E182" s="1761">
        <v>7950</v>
      </c>
      <c r="F182" s="1769">
        <v>1220</v>
      </c>
      <c r="H182" s="1773"/>
    </row>
    <row r="183" s="1744" customFormat="1" ht="14.25" customHeight="1" spans="1:8">
      <c r="A183" s="1756" t="s">
        <v>297</v>
      </c>
      <c r="B183" s="1761" t="s">
        <v>1709</v>
      </c>
      <c r="C183" s="1761">
        <v>7470</v>
      </c>
      <c r="D183" s="1761">
        <v>7440</v>
      </c>
      <c r="E183" s="1761">
        <v>7880</v>
      </c>
      <c r="F183" s="1777"/>
      <c r="H183" s="1773"/>
    </row>
    <row r="184" s="1744" customFormat="1" ht="14.25" customHeight="1" spans="1:8">
      <c r="A184" s="1756" t="s">
        <v>297</v>
      </c>
      <c r="B184" s="1761" t="s">
        <v>1716</v>
      </c>
      <c r="C184" s="1761">
        <v>6960</v>
      </c>
      <c r="D184" s="1761">
        <v>6930</v>
      </c>
      <c r="E184" s="1761">
        <v>7570</v>
      </c>
      <c r="F184" s="1777"/>
      <c r="H184" s="1773"/>
    </row>
    <row r="185" s="1744" customFormat="1" ht="14.25" customHeight="1" spans="1:8">
      <c r="A185" s="1756" t="s">
        <v>297</v>
      </c>
      <c r="B185" s="1761" t="s">
        <v>1721</v>
      </c>
      <c r="C185" s="1761">
        <v>7260</v>
      </c>
      <c r="D185" s="1761">
        <v>7230</v>
      </c>
      <c r="E185" s="1761">
        <v>7710</v>
      </c>
      <c r="F185" s="1769">
        <v>1360</v>
      </c>
      <c r="H185" s="1773"/>
    </row>
    <row r="186" s="1744" customFormat="1" ht="14.25" customHeight="1" spans="1:8">
      <c r="A186" s="1756" t="s">
        <v>297</v>
      </c>
      <c r="B186" s="1761" t="s">
        <v>1726</v>
      </c>
      <c r="C186" s="1761"/>
      <c r="D186" s="1761"/>
      <c r="E186" s="1761"/>
      <c r="F186" s="1769">
        <v>1560</v>
      </c>
      <c r="H186" s="1773"/>
    </row>
    <row r="187" s="1744" customFormat="1" ht="14.25" customHeight="1" spans="1:8">
      <c r="A187" s="1756" t="s">
        <v>297</v>
      </c>
      <c r="B187" s="1761" t="s">
        <v>1731</v>
      </c>
      <c r="C187" s="1761"/>
      <c r="D187" s="1761"/>
      <c r="E187" s="1761"/>
      <c r="F187" s="1769">
        <v>1560</v>
      </c>
      <c r="H187" s="1773"/>
    </row>
    <row r="188" s="1744" customFormat="1" ht="14.25" customHeight="1" spans="1:8">
      <c r="A188" s="1756" t="s">
        <v>297</v>
      </c>
      <c r="B188" s="1761" t="s">
        <v>1736</v>
      </c>
      <c r="C188" s="1761"/>
      <c r="D188" s="1761"/>
      <c r="E188" s="1761"/>
      <c r="F188" s="1769">
        <v>1560</v>
      </c>
      <c r="H188" s="1773"/>
    </row>
    <row r="189" s="1744" customFormat="1" ht="14.25" customHeight="1" spans="1:8">
      <c r="A189" s="1756" t="s">
        <v>297</v>
      </c>
      <c r="B189" s="1761" t="s">
        <v>1741</v>
      </c>
      <c r="C189" s="1761"/>
      <c r="D189" s="1761"/>
      <c r="E189" s="1761"/>
      <c r="F189" s="1769">
        <v>1320</v>
      </c>
      <c r="H189" s="1773"/>
    </row>
    <row r="190" s="1744" customFormat="1" ht="14.25" customHeight="1" spans="1:8">
      <c r="A190" s="1756" t="s">
        <v>297</v>
      </c>
      <c r="B190" s="1761" t="s">
        <v>1746</v>
      </c>
      <c r="C190" s="1761"/>
      <c r="D190" s="1761"/>
      <c r="E190" s="1761"/>
      <c r="F190" s="1769">
        <v>1320</v>
      </c>
      <c r="H190" s="1773"/>
    </row>
    <row r="191" s="1744" customFormat="1" ht="14.25" customHeight="1" spans="1:8">
      <c r="A191" s="1756" t="s">
        <v>297</v>
      </c>
      <c r="B191" s="1761" t="s">
        <v>1751</v>
      </c>
      <c r="C191" s="1761"/>
      <c r="D191" s="1761"/>
      <c r="E191" s="1761"/>
      <c r="F191" s="1769">
        <v>1320</v>
      </c>
      <c r="H191" s="1773"/>
    </row>
    <row r="192" s="1744" customFormat="1" ht="14.25" customHeight="1" spans="1:8">
      <c r="A192" s="1756" t="s">
        <v>297</v>
      </c>
      <c r="B192" s="1761" t="s">
        <v>1755</v>
      </c>
      <c r="C192" s="1761"/>
      <c r="D192" s="1761"/>
      <c r="E192" s="1761"/>
      <c r="F192" s="1769">
        <v>1100</v>
      </c>
      <c r="H192" s="1773"/>
    </row>
    <row r="193" s="1744" customFormat="1" ht="14.25" customHeight="1" spans="1:8">
      <c r="A193" s="1756" t="s">
        <v>297</v>
      </c>
      <c r="B193" s="1761" t="s">
        <v>1759</v>
      </c>
      <c r="C193" s="1761"/>
      <c r="D193" s="1761"/>
      <c r="E193" s="1761"/>
      <c r="F193" s="1769">
        <v>1100</v>
      </c>
      <c r="H193" s="1773"/>
    </row>
    <row r="194" s="1744" customFormat="1" ht="14.25" customHeight="1" spans="1:8">
      <c r="A194" s="1756" t="s">
        <v>297</v>
      </c>
      <c r="B194" s="1761" t="s">
        <v>1763</v>
      </c>
      <c r="C194" s="1761"/>
      <c r="D194" s="1761"/>
      <c r="E194" s="1761"/>
      <c r="F194" s="1769">
        <v>1080</v>
      </c>
      <c r="H194" s="1773"/>
    </row>
    <row r="195" s="1744" customFormat="1" ht="14.25" customHeight="1" spans="1:8">
      <c r="A195" s="1756" t="s">
        <v>297</v>
      </c>
      <c r="B195" s="1761" t="s">
        <v>1767</v>
      </c>
      <c r="C195" s="1761"/>
      <c r="D195" s="1761"/>
      <c r="E195" s="1761"/>
      <c r="F195" s="1769">
        <v>1270</v>
      </c>
      <c r="H195" s="1773"/>
    </row>
    <row r="196" s="1744" customFormat="1" ht="14.25" customHeight="1" spans="1:8">
      <c r="A196" s="1756" t="s">
        <v>297</v>
      </c>
      <c r="B196" s="1761" t="s">
        <v>1771</v>
      </c>
      <c r="C196" s="1761"/>
      <c r="D196" s="1761"/>
      <c r="E196" s="1761"/>
      <c r="F196" s="1769">
        <v>1150</v>
      </c>
      <c r="H196" s="1773"/>
    </row>
    <row r="197" s="1744" customFormat="1" ht="14.25" customHeight="1" spans="1:8">
      <c r="A197" s="1756" t="s">
        <v>297</v>
      </c>
      <c r="B197" s="1761" t="s">
        <v>1775</v>
      </c>
      <c r="C197" s="1761"/>
      <c r="D197" s="1761"/>
      <c r="E197" s="1761"/>
      <c r="F197" s="1769">
        <v>1330</v>
      </c>
      <c r="H197" s="1773"/>
    </row>
    <row r="198" s="1744" customFormat="1" ht="14.25" customHeight="1" spans="1:8">
      <c r="A198" s="1756" t="s">
        <v>297</v>
      </c>
      <c r="B198" s="1761" t="s">
        <v>1778</v>
      </c>
      <c r="C198" s="1761"/>
      <c r="D198" s="1761"/>
      <c r="E198" s="1761"/>
      <c r="F198" s="1769">
        <v>1170</v>
      </c>
      <c r="H198" s="1773"/>
    </row>
    <row r="199" s="1744" customFormat="1" ht="14.25" customHeight="1" spans="1:8">
      <c r="A199" s="1756" t="s">
        <v>297</v>
      </c>
      <c r="B199" s="1761" t="s">
        <v>1781</v>
      </c>
      <c r="C199" s="1761"/>
      <c r="D199" s="1761"/>
      <c r="E199" s="1761"/>
      <c r="F199" s="1769">
        <v>1120</v>
      </c>
      <c r="H199" s="1773"/>
    </row>
    <row r="200" s="1744" customFormat="1" ht="14.25" customHeight="1" spans="1:8">
      <c r="A200" s="1756" t="s">
        <v>297</v>
      </c>
      <c r="B200" s="1761" t="s">
        <v>1784</v>
      </c>
      <c r="C200" s="1761"/>
      <c r="D200" s="1761"/>
      <c r="E200" s="1761"/>
      <c r="F200" s="1769">
        <v>1120</v>
      </c>
      <c r="H200" s="1773"/>
    </row>
    <row r="201" s="1744" customFormat="1" ht="14.25" customHeight="1" spans="1:8">
      <c r="A201" s="1756" t="s">
        <v>297</v>
      </c>
      <c r="B201" s="1761" t="s">
        <v>1787</v>
      </c>
      <c r="C201" s="1761"/>
      <c r="D201" s="1761"/>
      <c r="E201" s="1761"/>
      <c r="F201" s="1769">
        <v>1540</v>
      </c>
      <c r="H201" s="1773"/>
    </row>
    <row r="202" s="1744" customFormat="1" ht="14.25" customHeight="1" spans="1:8">
      <c r="A202" s="1756" t="s">
        <v>297</v>
      </c>
      <c r="B202" s="1761" t="s">
        <v>1790</v>
      </c>
      <c r="C202" s="1761"/>
      <c r="D202" s="1761"/>
      <c r="E202" s="1761"/>
      <c r="F202" s="1769">
        <v>1310</v>
      </c>
      <c r="H202" s="1773"/>
    </row>
    <row r="203" s="1744" customFormat="1" ht="14.25" customHeight="1" spans="1:8">
      <c r="A203" s="1756" t="s">
        <v>297</v>
      </c>
      <c r="B203" s="1761" t="s">
        <v>1793</v>
      </c>
      <c r="C203" s="1761"/>
      <c r="D203" s="1761"/>
      <c r="E203" s="1761"/>
      <c r="F203" s="1769">
        <v>1310</v>
      </c>
      <c r="H203" s="1773"/>
    </row>
    <row r="204" s="1744" customFormat="1" ht="14.25" customHeight="1" spans="1:8">
      <c r="A204" s="1756" t="s">
        <v>297</v>
      </c>
      <c r="B204" s="1761" t="s">
        <v>1795</v>
      </c>
      <c r="C204" s="1761"/>
      <c r="D204" s="1761"/>
      <c r="E204" s="1761"/>
      <c r="F204" s="1769">
        <v>1080</v>
      </c>
      <c r="H204" s="1773"/>
    </row>
    <row r="205" s="1744" customFormat="1" ht="14.25" customHeight="1" spans="1:8">
      <c r="A205" s="1756" t="s">
        <v>297</v>
      </c>
      <c r="B205" s="1761" t="s">
        <v>1797</v>
      </c>
      <c r="C205" s="1761"/>
      <c r="D205" s="1761"/>
      <c r="E205" s="1761"/>
      <c r="F205" s="1769">
        <v>1080</v>
      </c>
      <c r="H205" s="1773"/>
    </row>
    <row r="206" s="1744" customFormat="1" ht="14.25" customHeight="1" spans="1:8">
      <c r="A206" s="1756" t="s">
        <v>302</v>
      </c>
      <c r="B206" s="1757" t="s">
        <v>1464</v>
      </c>
      <c r="C206" s="1757">
        <v>5450</v>
      </c>
      <c r="D206" s="1757">
        <v>5430</v>
      </c>
      <c r="E206" s="1757">
        <v>5700</v>
      </c>
      <c r="F206" s="1758">
        <v>1020</v>
      </c>
      <c r="H206" s="1773"/>
    </row>
    <row r="207" s="1744" customFormat="1" ht="14.25" customHeight="1" spans="1:8">
      <c r="A207" s="1756" t="s">
        <v>302</v>
      </c>
      <c r="B207" s="1761" t="s">
        <v>1477</v>
      </c>
      <c r="C207" s="1761">
        <v>5860</v>
      </c>
      <c r="D207" s="1761">
        <v>5820</v>
      </c>
      <c r="E207" s="1761">
        <v>6050</v>
      </c>
      <c r="F207" s="1769">
        <v>1080</v>
      </c>
      <c r="H207" s="1773"/>
    </row>
    <row r="208" s="1744" customFormat="1" ht="14.25" customHeight="1" spans="1:8">
      <c r="A208" s="1756" t="s">
        <v>302</v>
      </c>
      <c r="B208" s="1761" t="s">
        <v>1490</v>
      </c>
      <c r="C208" s="1761">
        <v>4630</v>
      </c>
      <c r="D208" s="1761">
        <v>4600</v>
      </c>
      <c r="E208" s="1761">
        <v>4840</v>
      </c>
      <c r="F208" s="1769">
        <v>900</v>
      </c>
      <c r="H208" s="1773"/>
    </row>
    <row r="209" s="1744" customFormat="1" ht="14.25" customHeight="1" spans="1:8">
      <c r="A209" s="1756" t="s">
        <v>302</v>
      </c>
      <c r="B209" s="1761" t="s">
        <v>1502</v>
      </c>
      <c r="C209" s="1761">
        <v>5320</v>
      </c>
      <c r="D209" s="1761">
        <v>5270</v>
      </c>
      <c r="E209" s="1761">
        <v>5540</v>
      </c>
      <c r="F209" s="1769">
        <v>980</v>
      </c>
      <c r="H209" s="1773"/>
    </row>
    <row r="210" s="1744" customFormat="1" ht="14.25" customHeight="1" spans="1:8">
      <c r="A210" s="1756" t="s">
        <v>302</v>
      </c>
      <c r="B210" s="1761" t="s">
        <v>1514</v>
      </c>
      <c r="C210" s="1761">
        <v>5760</v>
      </c>
      <c r="D210" s="1761">
        <v>5710</v>
      </c>
      <c r="E210" s="1761">
        <v>6010</v>
      </c>
      <c r="F210" s="1769">
        <v>870</v>
      </c>
      <c r="H210" s="1773"/>
    </row>
    <row r="211" s="1744" customFormat="1" ht="14.25" customHeight="1" spans="1:8">
      <c r="A211" s="1756" t="s">
        <v>302</v>
      </c>
      <c r="B211" s="1761" t="s">
        <v>1525</v>
      </c>
      <c r="C211" s="1761">
        <v>4160</v>
      </c>
      <c r="D211" s="1761">
        <v>4100</v>
      </c>
      <c r="E211" s="1761">
        <v>4270</v>
      </c>
      <c r="F211" s="1769">
        <v>790</v>
      </c>
      <c r="H211" s="1773"/>
    </row>
    <row r="212" s="1744" customFormat="1" ht="14.25" customHeight="1" spans="1:8">
      <c r="A212" s="1756" t="s">
        <v>302</v>
      </c>
      <c r="B212" s="1761" t="s">
        <v>1536</v>
      </c>
      <c r="C212" s="1761">
        <v>4880</v>
      </c>
      <c r="D212" s="1761">
        <v>4850</v>
      </c>
      <c r="E212" s="1761">
        <v>5110</v>
      </c>
      <c r="F212" s="1769">
        <v>940</v>
      </c>
      <c r="H212" s="1773"/>
    </row>
    <row r="213" s="1744" customFormat="1" ht="14.25" customHeight="1" spans="1:8">
      <c r="A213" s="1756" t="s">
        <v>302</v>
      </c>
      <c r="B213" s="1761" t="s">
        <v>1547</v>
      </c>
      <c r="C213" s="1761">
        <v>4640</v>
      </c>
      <c r="D213" s="1761">
        <v>4590</v>
      </c>
      <c r="E213" s="1761">
        <v>4700</v>
      </c>
      <c r="F213" s="1769">
        <v>1030</v>
      </c>
      <c r="H213" s="1773"/>
    </row>
    <row r="214" s="1744" customFormat="1" ht="14.25" customHeight="1" spans="1:8">
      <c r="A214" s="1756" t="s">
        <v>302</v>
      </c>
      <c r="B214" s="1761" t="s">
        <v>1557</v>
      </c>
      <c r="C214" s="1761">
        <v>4540</v>
      </c>
      <c r="D214" s="1761">
        <v>4490</v>
      </c>
      <c r="E214" s="1761">
        <v>4610</v>
      </c>
      <c r="F214" s="1777"/>
      <c r="H214" s="1773"/>
    </row>
    <row r="215" s="1744" customFormat="1" ht="14.25" customHeight="1" spans="1:8">
      <c r="A215" s="1756" t="s">
        <v>302</v>
      </c>
      <c r="B215" s="1761" t="s">
        <v>1567</v>
      </c>
      <c r="C215" s="1761">
        <v>5280</v>
      </c>
      <c r="D215" s="1761">
        <v>5250</v>
      </c>
      <c r="E215" s="1761">
        <v>5520</v>
      </c>
      <c r="F215" s="1769">
        <v>1000</v>
      </c>
      <c r="H215" s="1773"/>
    </row>
    <row r="216" s="1744" customFormat="1" ht="14.25" customHeight="1" spans="1:8">
      <c r="A216" s="1756" t="s">
        <v>302</v>
      </c>
      <c r="B216" s="1761" t="s">
        <v>1577</v>
      </c>
      <c r="C216" s="1761">
        <v>5100</v>
      </c>
      <c r="D216" s="1761">
        <v>5050</v>
      </c>
      <c r="E216" s="1761">
        <v>5300</v>
      </c>
      <c r="F216" s="1769">
        <v>950</v>
      </c>
      <c r="H216" s="1773"/>
    </row>
    <row r="217" s="1744" customFormat="1" ht="14.25" customHeight="1" spans="1:8">
      <c r="A217" s="1756" t="s">
        <v>302</v>
      </c>
      <c r="B217" s="1761" t="s">
        <v>1587</v>
      </c>
      <c r="C217" s="1761">
        <v>5370</v>
      </c>
      <c r="D217" s="1761">
        <v>5320</v>
      </c>
      <c r="E217" s="1761">
        <v>5410</v>
      </c>
      <c r="F217" s="1769">
        <v>950</v>
      </c>
      <c r="H217" s="1773"/>
    </row>
    <row r="218" s="1744" customFormat="1" ht="14.25" customHeight="1" spans="1:8">
      <c r="A218" s="1756" t="s">
        <v>302</v>
      </c>
      <c r="B218" s="1761" t="s">
        <v>1597</v>
      </c>
      <c r="C218" s="1761">
        <v>5540</v>
      </c>
      <c r="D218" s="1761">
        <v>5480</v>
      </c>
      <c r="E218" s="1761">
        <v>5740</v>
      </c>
      <c r="F218" s="1769">
        <v>1020</v>
      </c>
      <c r="H218" s="1773"/>
    </row>
    <row r="219" s="1744" customFormat="1" ht="14.25" customHeight="1" spans="1:8">
      <c r="A219" s="1756" t="s">
        <v>302</v>
      </c>
      <c r="B219" s="1761" t="s">
        <v>1607</v>
      </c>
      <c r="C219" s="1761">
        <v>5140</v>
      </c>
      <c r="D219" s="1761">
        <v>5100</v>
      </c>
      <c r="E219" s="1761">
        <v>5350</v>
      </c>
      <c r="F219" s="1769">
        <v>1120</v>
      </c>
      <c r="H219" s="1773"/>
    </row>
    <row r="220" s="1744" customFormat="1" ht="14.25" customHeight="1" spans="1:8">
      <c r="A220" s="1756" t="s">
        <v>302</v>
      </c>
      <c r="B220" s="1761" t="s">
        <v>1617</v>
      </c>
      <c r="C220" s="1761">
        <v>5040</v>
      </c>
      <c r="D220" s="1761">
        <v>5000</v>
      </c>
      <c r="E220" s="1761">
        <v>5240</v>
      </c>
      <c r="F220" s="1769">
        <v>980</v>
      </c>
      <c r="H220" s="1773"/>
    </row>
    <row r="221" s="1744" customFormat="1" ht="14.25" customHeight="1" spans="1:8">
      <c r="A221" s="1756" t="s">
        <v>302</v>
      </c>
      <c r="B221" s="1761" t="s">
        <v>1627</v>
      </c>
      <c r="C221" s="1782"/>
      <c r="D221" s="1782"/>
      <c r="E221" s="1782"/>
      <c r="F221" s="1769">
        <v>1070</v>
      </c>
      <c r="H221" s="1773"/>
    </row>
    <row r="222" s="1744" customFormat="1" ht="14.25" customHeight="1" spans="1:8">
      <c r="A222" s="1756" t="s">
        <v>302</v>
      </c>
      <c r="B222" s="1761" t="s">
        <v>1637</v>
      </c>
      <c r="C222" s="1782"/>
      <c r="D222" s="1782"/>
      <c r="E222" s="1782"/>
      <c r="F222" s="1769">
        <v>870</v>
      </c>
      <c r="H222" s="1773"/>
    </row>
    <row r="223" s="1744" customFormat="1" ht="14.25" customHeight="1" spans="1:8">
      <c r="A223" s="1756" t="s">
        <v>302</v>
      </c>
      <c r="B223" s="1761" t="s">
        <v>1647</v>
      </c>
      <c r="C223" s="1782"/>
      <c r="D223" s="1782"/>
      <c r="E223" s="1782"/>
      <c r="F223" s="1769">
        <v>940</v>
      </c>
      <c r="H223" s="1773"/>
    </row>
    <row r="224" s="1744" customFormat="1" ht="14.25" customHeight="1" spans="1:8">
      <c r="A224" s="1756" t="s">
        <v>302</v>
      </c>
      <c r="B224" s="1761" t="s">
        <v>1657</v>
      </c>
      <c r="C224" s="1782"/>
      <c r="D224" s="1782"/>
      <c r="E224" s="1782"/>
      <c r="F224" s="1769">
        <v>990</v>
      </c>
      <c r="H224" s="1773"/>
    </row>
    <row r="225" s="1744" customFormat="1" ht="14.25" customHeight="1" spans="1:8">
      <c r="A225" s="1756" t="s">
        <v>302</v>
      </c>
      <c r="B225" s="1761" t="s">
        <v>1666</v>
      </c>
      <c r="C225" s="1761">
        <v>5730</v>
      </c>
      <c r="D225" s="1761">
        <v>5680</v>
      </c>
      <c r="E225" s="1761">
        <v>6020</v>
      </c>
      <c r="F225" s="1769">
        <v>1000</v>
      </c>
      <c r="H225" s="1773"/>
    </row>
    <row r="226" s="1744" customFormat="1" ht="14.25" customHeight="1" spans="1:8">
      <c r="A226" s="1756" t="s">
        <v>302</v>
      </c>
      <c r="B226" s="1761" t="s">
        <v>1674</v>
      </c>
      <c r="C226" s="1761">
        <v>4970</v>
      </c>
      <c r="D226" s="1761">
        <v>4940</v>
      </c>
      <c r="E226" s="1761">
        <v>5180</v>
      </c>
      <c r="F226" s="1769">
        <v>960</v>
      </c>
      <c r="H226" s="1773"/>
    </row>
    <row r="227" s="1744" customFormat="1" ht="14.25" customHeight="1" spans="1:8">
      <c r="A227" s="1756" t="s">
        <v>302</v>
      </c>
      <c r="B227" s="1761" t="s">
        <v>1682</v>
      </c>
      <c r="C227" s="1761">
        <v>5550</v>
      </c>
      <c r="D227" s="1761">
        <v>5500</v>
      </c>
      <c r="E227" s="1761">
        <v>5780</v>
      </c>
      <c r="F227" s="1769">
        <v>940</v>
      </c>
      <c r="H227" s="1773"/>
    </row>
    <row r="228" s="1744" customFormat="1" ht="14.25" customHeight="1" spans="1:8">
      <c r="A228" s="1756" t="s">
        <v>302</v>
      </c>
      <c r="B228" s="1761" t="s">
        <v>1689</v>
      </c>
      <c r="C228" s="1761">
        <v>5460</v>
      </c>
      <c r="D228" s="1761">
        <v>5420</v>
      </c>
      <c r="E228" s="1761">
        <v>5690</v>
      </c>
      <c r="F228" s="1769">
        <v>910</v>
      </c>
      <c r="H228" s="1773"/>
    </row>
    <row r="229" s="1744" customFormat="1" ht="14.25" customHeight="1" spans="1:8">
      <c r="A229" s="1756" t="s">
        <v>302</v>
      </c>
      <c r="B229" s="1761" t="s">
        <v>1696</v>
      </c>
      <c r="C229" s="1761">
        <v>5310</v>
      </c>
      <c r="D229" s="1761">
        <v>5270</v>
      </c>
      <c r="E229" s="1761">
        <v>5510</v>
      </c>
      <c r="F229" s="1777"/>
      <c r="H229" s="1773"/>
    </row>
    <row r="230" s="1744" customFormat="1" ht="14.25" customHeight="1" spans="1:8">
      <c r="A230" s="1756" t="s">
        <v>302</v>
      </c>
      <c r="B230" s="1761" t="s">
        <v>1703</v>
      </c>
      <c r="C230" s="1761">
        <v>4540</v>
      </c>
      <c r="D230" s="1761">
        <v>4500</v>
      </c>
      <c r="E230" s="1761">
        <v>4730</v>
      </c>
      <c r="F230" s="1777"/>
      <c r="H230" s="1773"/>
    </row>
    <row r="231" s="1744" customFormat="1" ht="14.25" customHeight="1" spans="1:8">
      <c r="A231" s="1756" t="s">
        <v>302</v>
      </c>
      <c r="B231" s="1761" t="s">
        <v>1710</v>
      </c>
      <c r="C231" s="1761">
        <v>4480</v>
      </c>
      <c r="D231" s="1761">
        <v>4410</v>
      </c>
      <c r="E231" s="1761">
        <v>4640</v>
      </c>
      <c r="F231" s="1777"/>
      <c r="H231" s="1773"/>
    </row>
    <row r="232" s="1744" customFormat="1" ht="14.25" customHeight="1" spans="1:8">
      <c r="A232" s="1756" t="s">
        <v>302</v>
      </c>
      <c r="B232" s="1761" t="s">
        <v>1717</v>
      </c>
      <c r="C232" s="1761">
        <v>5670</v>
      </c>
      <c r="D232" s="1761">
        <v>5600</v>
      </c>
      <c r="E232" s="1761">
        <v>5890</v>
      </c>
      <c r="F232" s="1769">
        <v>1150</v>
      </c>
      <c r="H232" s="1773"/>
    </row>
    <row r="233" s="1744" customFormat="1" ht="14.25" customHeight="1" spans="1:8">
      <c r="A233" s="1756" t="s">
        <v>302</v>
      </c>
      <c r="B233" s="1761" t="s">
        <v>1722</v>
      </c>
      <c r="C233" s="1761">
        <v>4590</v>
      </c>
      <c r="D233" s="1761">
        <v>4500</v>
      </c>
      <c r="E233" s="1761">
        <v>4600</v>
      </c>
      <c r="F233" s="1777"/>
      <c r="H233" s="1773"/>
    </row>
    <row r="234" s="1744" customFormat="1" ht="14.25" customHeight="1" spans="1:8">
      <c r="A234" s="1756" t="s">
        <v>302</v>
      </c>
      <c r="B234" s="1761" t="s">
        <v>1727</v>
      </c>
      <c r="C234" s="1761">
        <v>3990</v>
      </c>
      <c r="D234" s="1761">
        <v>3950</v>
      </c>
      <c r="E234" s="1761">
        <v>4180</v>
      </c>
      <c r="F234" s="1777"/>
      <c r="H234" s="1773"/>
    </row>
    <row r="235" s="1744" customFormat="1" ht="14.25" customHeight="1" spans="1:8">
      <c r="A235" s="1756" t="s">
        <v>302</v>
      </c>
      <c r="B235" s="1761" t="s">
        <v>1732</v>
      </c>
      <c r="C235" s="1761">
        <v>5590</v>
      </c>
      <c r="D235" s="1761">
        <v>5540</v>
      </c>
      <c r="E235" s="1761">
        <v>5810</v>
      </c>
      <c r="F235" s="1769">
        <v>970</v>
      </c>
      <c r="H235" s="1773"/>
    </row>
    <row r="236" s="1744" customFormat="1" ht="14.25" customHeight="1" spans="1:8">
      <c r="A236" s="1756" t="s">
        <v>302</v>
      </c>
      <c r="B236" s="1761" t="s">
        <v>1737</v>
      </c>
      <c r="C236" s="1761"/>
      <c r="D236" s="1761"/>
      <c r="E236" s="1761"/>
      <c r="F236" s="1769">
        <v>1020</v>
      </c>
      <c r="H236" s="1773"/>
    </row>
    <row r="237" s="1744" customFormat="1" ht="14.25" customHeight="1" spans="1:8">
      <c r="A237" s="1756" t="s">
        <v>302</v>
      </c>
      <c r="B237" s="1761" t="s">
        <v>1742</v>
      </c>
      <c r="C237" s="1761"/>
      <c r="D237" s="1761"/>
      <c r="E237" s="1761"/>
      <c r="F237" s="1769">
        <v>960</v>
      </c>
      <c r="H237" s="1773"/>
    </row>
    <row r="238" s="1744" customFormat="1" ht="14.25" customHeight="1" spans="1:8">
      <c r="A238" s="1756" t="s">
        <v>302</v>
      </c>
      <c r="B238" s="1761" t="s">
        <v>1747</v>
      </c>
      <c r="C238" s="1761"/>
      <c r="D238" s="1761"/>
      <c r="E238" s="1761"/>
      <c r="F238" s="1769">
        <v>960</v>
      </c>
      <c r="H238" s="1773"/>
    </row>
    <row r="239" s="1744" customFormat="1" ht="14.25" customHeight="1" spans="1:8">
      <c r="A239" s="1756" t="s">
        <v>302</v>
      </c>
      <c r="B239" s="1761" t="s">
        <v>1752</v>
      </c>
      <c r="C239" s="1761"/>
      <c r="D239" s="1761"/>
      <c r="E239" s="1761"/>
      <c r="F239" s="1769">
        <v>960</v>
      </c>
      <c r="H239" s="1773"/>
    </row>
    <row r="240" s="1744" customFormat="1" ht="14.25" customHeight="1" spans="1:8">
      <c r="A240" s="1756" t="s">
        <v>302</v>
      </c>
      <c r="B240" s="1761" t="s">
        <v>1756</v>
      </c>
      <c r="C240" s="1761"/>
      <c r="D240" s="1761"/>
      <c r="E240" s="1761"/>
      <c r="F240" s="1769">
        <v>990</v>
      </c>
      <c r="H240" s="1773"/>
    </row>
    <row r="241" s="1744" customFormat="1" ht="14.25" customHeight="1" spans="1:8">
      <c r="A241" s="1756" t="s">
        <v>302</v>
      </c>
      <c r="B241" s="1761" t="s">
        <v>1760</v>
      </c>
      <c r="C241" s="1761"/>
      <c r="D241" s="1761"/>
      <c r="E241" s="1761"/>
      <c r="F241" s="1769">
        <v>1000</v>
      </c>
      <c r="H241" s="1773"/>
    </row>
    <row r="242" s="1744" customFormat="1" ht="14.25" customHeight="1" spans="1:8">
      <c r="A242" s="1756" t="s">
        <v>302</v>
      </c>
      <c r="B242" s="1761" t="s">
        <v>1764</v>
      </c>
      <c r="C242" s="1761"/>
      <c r="D242" s="1761"/>
      <c r="E242" s="1761"/>
      <c r="F242" s="1769">
        <v>980</v>
      </c>
      <c r="H242" s="1773"/>
    </row>
    <row r="243" s="1744" customFormat="1" ht="14.25" customHeight="1" spans="1:8">
      <c r="A243" s="1756" t="s">
        <v>302</v>
      </c>
      <c r="B243" s="1761" t="s">
        <v>1768</v>
      </c>
      <c r="C243" s="1761"/>
      <c r="D243" s="1761"/>
      <c r="E243" s="1761"/>
      <c r="F243" s="1769">
        <v>970</v>
      </c>
      <c r="H243" s="1773"/>
    </row>
    <row r="244" s="1744" customFormat="1" ht="14.25" customHeight="1" spans="1:8">
      <c r="A244" s="1756" t="s">
        <v>302</v>
      </c>
      <c r="B244" s="1767" t="s">
        <v>1772</v>
      </c>
      <c r="C244" s="1767"/>
      <c r="D244" s="1767"/>
      <c r="E244" s="1767"/>
      <c r="F244" s="1776">
        <v>970</v>
      </c>
      <c r="H244" s="1773"/>
    </row>
    <row r="245" s="1744" customFormat="1" ht="14.25" customHeight="1" spans="1:8">
      <c r="A245" s="1756" t="s">
        <v>305</v>
      </c>
      <c r="B245" s="1757" t="s">
        <v>1465</v>
      </c>
      <c r="C245" s="1757">
        <v>4050</v>
      </c>
      <c r="D245" s="1757">
        <v>4020</v>
      </c>
      <c r="E245" s="1757">
        <v>4160</v>
      </c>
      <c r="F245" s="1758">
        <v>840</v>
      </c>
      <c r="H245" s="1773"/>
    </row>
    <row r="246" s="1744" customFormat="1" ht="14.25" customHeight="1" spans="1:8">
      <c r="A246" s="1756" t="s">
        <v>305</v>
      </c>
      <c r="B246" s="1761" t="s">
        <v>1478</v>
      </c>
      <c r="C246" s="1761">
        <v>4010</v>
      </c>
      <c r="D246" s="1761">
        <v>3960</v>
      </c>
      <c r="E246" s="1761">
        <v>4130</v>
      </c>
      <c r="F246" s="1769">
        <v>840</v>
      </c>
      <c r="H246" s="1773"/>
    </row>
    <row r="247" s="1744" customFormat="1" ht="14.25" customHeight="1" spans="1:8">
      <c r="A247" s="1756" t="s">
        <v>305</v>
      </c>
      <c r="B247" s="1761" t="s">
        <v>1491</v>
      </c>
      <c r="C247" s="1761">
        <v>3170</v>
      </c>
      <c r="D247" s="1761">
        <v>3140</v>
      </c>
      <c r="E247" s="1761">
        <v>3270</v>
      </c>
      <c r="F247" s="1769">
        <v>640</v>
      </c>
      <c r="H247" s="1773"/>
    </row>
    <row r="248" s="1744" customFormat="1" ht="14.25" customHeight="1" spans="1:8">
      <c r="A248" s="1756" t="s">
        <v>305</v>
      </c>
      <c r="B248" s="1761" t="s">
        <v>1503</v>
      </c>
      <c r="C248" s="1761">
        <v>3140</v>
      </c>
      <c r="D248" s="1761">
        <v>3120</v>
      </c>
      <c r="E248" s="1761">
        <v>3240</v>
      </c>
      <c r="F248" s="1769">
        <v>620</v>
      </c>
      <c r="H248" s="1773"/>
    </row>
    <row r="249" s="1744" customFormat="1" ht="14.25" customHeight="1" spans="1:8">
      <c r="A249" s="1756" t="s">
        <v>305</v>
      </c>
      <c r="B249" s="1761" t="s">
        <v>1515</v>
      </c>
      <c r="C249" s="1761">
        <v>3200</v>
      </c>
      <c r="D249" s="1761">
        <v>3100</v>
      </c>
      <c r="E249" s="1761">
        <v>3230</v>
      </c>
      <c r="F249" s="1769">
        <v>750</v>
      </c>
      <c r="H249" s="1773"/>
    </row>
    <row r="250" s="1744" customFormat="1" ht="14.25" customHeight="1" spans="1:8">
      <c r="A250" s="1756" t="s">
        <v>305</v>
      </c>
      <c r="B250" s="1761" t="s">
        <v>1526</v>
      </c>
      <c r="C250" s="1761">
        <v>4060</v>
      </c>
      <c r="D250" s="1761">
        <v>4000</v>
      </c>
      <c r="E250" s="1761">
        <v>4140</v>
      </c>
      <c r="F250" s="1769">
        <v>790</v>
      </c>
      <c r="H250" s="1773"/>
    </row>
    <row r="251" s="1744" customFormat="1" ht="14.25" customHeight="1" spans="1:8">
      <c r="A251" s="1756" t="s">
        <v>305</v>
      </c>
      <c r="B251" s="1761" t="s">
        <v>1537</v>
      </c>
      <c r="C251" s="1761">
        <v>3990</v>
      </c>
      <c r="D251" s="1761">
        <v>3970</v>
      </c>
      <c r="E251" s="1761">
        <v>4110</v>
      </c>
      <c r="F251" s="1769">
        <v>730</v>
      </c>
      <c r="H251" s="1773"/>
    </row>
    <row r="252" s="1744" customFormat="1" ht="14.25" customHeight="1" spans="1:8">
      <c r="A252" s="1756" t="s">
        <v>305</v>
      </c>
      <c r="B252" s="1761" t="s">
        <v>1548</v>
      </c>
      <c r="C252" s="1761">
        <v>3560</v>
      </c>
      <c r="D252" s="1761">
        <v>3530</v>
      </c>
      <c r="E252" s="1761">
        <v>3650</v>
      </c>
      <c r="F252" s="1769">
        <v>750</v>
      </c>
      <c r="H252" s="1773"/>
    </row>
    <row r="253" s="1744" customFormat="1" ht="14.25" customHeight="1" spans="1:8">
      <c r="A253" s="1756" t="s">
        <v>305</v>
      </c>
      <c r="B253" s="1761" t="s">
        <v>1558</v>
      </c>
      <c r="C253" s="1761">
        <v>3780</v>
      </c>
      <c r="D253" s="1761">
        <v>3750</v>
      </c>
      <c r="E253" s="1761">
        <v>3870</v>
      </c>
      <c r="F253" s="1769">
        <v>770</v>
      </c>
      <c r="H253" s="1773"/>
    </row>
    <row r="254" s="1744" customFormat="1" ht="14.25" customHeight="1" spans="1:8">
      <c r="A254" s="1756" t="s">
        <v>305</v>
      </c>
      <c r="B254" s="1761" t="s">
        <v>1568</v>
      </c>
      <c r="C254" s="1782"/>
      <c r="D254" s="1782"/>
      <c r="E254" s="1782"/>
      <c r="F254" s="1769">
        <v>740</v>
      </c>
      <c r="H254" s="1773"/>
    </row>
    <row r="255" s="1744" customFormat="1" ht="14.25" customHeight="1" spans="1:8">
      <c r="A255" s="1756" t="s">
        <v>305</v>
      </c>
      <c r="B255" s="1761" t="s">
        <v>1578</v>
      </c>
      <c r="C255" s="1782"/>
      <c r="D255" s="1782"/>
      <c r="E255" s="1782"/>
      <c r="F255" s="1769">
        <v>760</v>
      </c>
      <c r="H255" s="1773"/>
    </row>
    <row r="256" s="1744" customFormat="1" ht="14.25" customHeight="1" spans="1:8">
      <c r="A256" s="1756" t="s">
        <v>305</v>
      </c>
      <c r="B256" s="1761" t="s">
        <v>1588</v>
      </c>
      <c r="C256" s="1761">
        <v>3760</v>
      </c>
      <c r="D256" s="1761">
        <v>3730</v>
      </c>
      <c r="E256" s="1761">
        <v>3870</v>
      </c>
      <c r="F256" s="1769">
        <v>830</v>
      </c>
      <c r="H256" s="1773"/>
    </row>
    <row r="257" s="1744" customFormat="1" ht="14.25" customHeight="1" spans="1:8">
      <c r="A257" s="1756" t="s">
        <v>305</v>
      </c>
      <c r="B257" s="1761" t="s">
        <v>1598</v>
      </c>
      <c r="C257" s="1761">
        <v>3570</v>
      </c>
      <c r="D257" s="1761">
        <v>3540</v>
      </c>
      <c r="E257" s="1761">
        <v>3650</v>
      </c>
      <c r="F257" s="1769">
        <v>790</v>
      </c>
      <c r="H257" s="1773"/>
    </row>
    <row r="258" s="1744" customFormat="1" ht="14.25" customHeight="1" spans="1:8">
      <c r="A258" s="1756" t="s">
        <v>305</v>
      </c>
      <c r="B258" s="1761" t="s">
        <v>1608</v>
      </c>
      <c r="C258" s="1761">
        <v>3410</v>
      </c>
      <c r="D258" s="1761">
        <v>3380</v>
      </c>
      <c r="E258" s="1761">
        <v>3500</v>
      </c>
      <c r="F258" s="1769">
        <v>830</v>
      </c>
      <c r="H258" s="1773"/>
    </row>
    <row r="259" s="1744" customFormat="1" ht="14.25" customHeight="1" spans="1:8">
      <c r="A259" s="1756" t="s">
        <v>305</v>
      </c>
      <c r="B259" s="1761" t="s">
        <v>1618</v>
      </c>
      <c r="C259" s="1761">
        <v>3870</v>
      </c>
      <c r="D259" s="1761">
        <v>3840</v>
      </c>
      <c r="E259" s="1761">
        <v>3970</v>
      </c>
      <c r="F259" s="1769">
        <v>830</v>
      </c>
      <c r="H259" s="1773"/>
    </row>
    <row r="260" s="1744" customFormat="1" ht="14.25" customHeight="1" spans="1:8">
      <c r="A260" s="1756" t="s">
        <v>305</v>
      </c>
      <c r="B260" s="1761" t="s">
        <v>1628</v>
      </c>
      <c r="C260" s="1761">
        <v>3700</v>
      </c>
      <c r="D260" s="1761">
        <v>3660</v>
      </c>
      <c r="E260" s="1761">
        <v>3810</v>
      </c>
      <c r="F260" s="1769">
        <v>790</v>
      </c>
      <c r="H260" s="1773"/>
    </row>
    <row r="261" s="1744" customFormat="1" ht="14.25" customHeight="1" spans="1:8">
      <c r="A261" s="1756" t="s">
        <v>305</v>
      </c>
      <c r="B261" s="1761" t="s">
        <v>1638</v>
      </c>
      <c r="C261" s="1761">
        <v>3470</v>
      </c>
      <c r="D261" s="1761">
        <v>3430</v>
      </c>
      <c r="E261" s="1761">
        <v>3640</v>
      </c>
      <c r="F261" s="1769">
        <v>760</v>
      </c>
      <c r="H261" s="1773"/>
    </row>
    <row r="262" s="1744" customFormat="1" ht="14.25" customHeight="1" spans="1:8">
      <c r="A262" s="1756" t="s">
        <v>305</v>
      </c>
      <c r="B262" s="1761" t="s">
        <v>1648</v>
      </c>
      <c r="C262" s="1761">
        <v>3510</v>
      </c>
      <c r="D262" s="1761">
        <v>3470</v>
      </c>
      <c r="E262" s="1761">
        <v>3680</v>
      </c>
      <c r="F262" s="1777"/>
      <c r="H262" s="1773"/>
    </row>
    <row r="263" s="1744" customFormat="1" ht="14.25" customHeight="1" spans="1:8">
      <c r="A263" s="1756" t="s">
        <v>305</v>
      </c>
      <c r="B263" s="1761" t="s">
        <v>1658</v>
      </c>
      <c r="C263" s="1761">
        <v>3960</v>
      </c>
      <c r="D263" s="1761">
        <v>3930</v>
      </c>
      <c r="E263" s="1761">
        <v>4070</v>
      </c>
      <c r="F263" s="1769">
        <v>830</v>
      </c>
      <c r="H263" s="1773"/>
    </row>
    <row r="264" s="1744" customFormat="1" ht="14.25" customHeight="1" spans="1:8">
      <c r="A264" s="1756" t="s">
        <v>305</v>
      </c>
      <c r="B264" s="1761" t="s">
        <v>1667</v>
      </c>
      <c r="C264" s="1761">
        <v>4010</v>
      </c>
      <c r="D264" s="1761">
        <v>3980</v>
      </c>
      <c r="E264" s="1761">
        <v>4150</v>
      </c>
      <c r="F264" s="1769">
        <v>760</v>
      </c>
      <c r="H264" s="1773"/>
    </row>
    <row r="265" s="1744" customFormat="1" ht="14.25" customHeight="1" spans="1:8">
      <c r="A265" s="1756" t="s">
        <v>305</v>
      </c>
      <c r="B265" s="1761" t="s">
        <v>1675</v>
      </c>
      <c r="C265" s="1761">
        <v>3910</v>
      </c>
      <c r="D265" s="1761">
        <v>3890</v>
      </c>
      <c r="E265" s="1761">
        <v>4040</v>
      </c>
      <c r="F265" s="1769">
        <v>780</v>
      </c>
      <c r="H265" s="1773"/>
    </row>
    <row r="266" s="1744" customFormat="1" ht="14.25" customHeight="1" spans="1:8">
      <c r="A266" s="1756" t="s">
        <v>305</v>
      </c>
      <c r="B266" s="1761" t="s">
        <v>1683</v>
      </c>
      <c r="C266" s="1761">
        <v>3930</v>
      </c>
      <c r="D266" s="1761">
        <v>3900</v>
      </c>
      <c r="E266" s="1761">
        <v>4080</v>
      </c>
      <c r="F266" s="1769">
        <v>770</v>
      </c>
      <c r="H266" s="1773"/>
    </row>
    <row r="267" s="1744" customFormat="1" ht="14.25" customHeight="1" spans="1:8">
      <c r="A267" s="1756" t="s">
        <v>305</v>
      </c>
      <c r="B267" s="1761" t="s">
        <v>1690</v>
      </c>
      <c r="C267" s="1761">
        <v>3800</v>
      </c>
      <c r="D267" s="1761">
        <v>3780</v>
      </c>
      <c r="E267" s="1761">
        <v>3930</v>
      </c>
      <c r="F267" s="1777"/>
      <c r="H267" s="1773"/>
    </row>
    <row r="268" s="1744" customFormat="1" ht="14.25" customHeight="1" spans="1:8">
      <c r="A268" s="1756" t="s">
        <v>305</v>
      </c>
      <c r="B268" s="1761" t="s">
        <v>1697</v>
      </c>
      <c r="C268" s="1761">
        <v>3460</v>
      </c>
      <c r="D268" s="1761">
        <v>3430</v>
      </c>
      <c r="E268" s="1761">
        <v>3560</v>
      </c>
      <c r="F268" s="1769">
        <v>840</v>
      </c>
      <c r="H268" s="1773"/>
    </row>
    <row r="269" s="1744" customFormat="1" ht="14.25" customHeight="1" spans="1:8">
      <c r="A269" s="1756" t="s">
        <v>305</v>
      </c>
      <c r="B269" s="1761" t="s">
        <v>1704</v>
      </c>
      <c r="C269" s="1761">
        <v>3210</v>
      </c>
      <c r="D269" s="1761">
        <v>3190</v>
      </c>
      <c r="E269" s="1761">
        <v>3310</v>
      </c>
      <c r="F269" s="1769">
        <v>730</v>
      </c>
      <c r="H269" s="1773"/>
    </row>
    <row r="270" s="1744" customFormat="1" ht="14.25" customHeight="1" spans="1:8">
      <c r="A270" s="1756" t="s">
        <v>305</v>
      </c>
      <c r="B270" s="1761" t="s">
        <v>1711</v>
      </c>
      <c r="C270" s="1761">
        <v>3240</v>
      </c>
      <c r="D270" s="1761">
        <v>3210</v>
      </c>
      <c r="E270" s="1761">
        <v>3390</v>
      </c>
      <c r="F270" s="1769">
        <v>820</v>
      </c>
      <c r="H270" s="1773"/>
    </row>
    <row r="271" s="1744" customFormat="1" ht="14.25" customHeight="1" spans="1:8">
      <c r="A271" s="1756" t="s">
        <v>305</v>
      </c>
      <c r="B271" s="1761" t="s">
        <v>1718</v>
      </c>
      <c r="C271" s="1761">
        <v>3300</v>
      </c>
      <c r="D271" s="1761">
        <v>3270</v>
      </c>
      <c r="E271" s="1761">
        <v>3380</v>
      </c>
      <c r="F271" s="1769">
        <v>750</v>
      </c>
      <c r="H271" s="1773"/>
    </row>
    <row r="272" s="1744" customFormat="1" ht="14.25" customHeight="1" spans="1:8">
      <c r="A272" s="1756" t="s">
        <v>305</v>
      </c>
      <c r="B272" s="1761" t="s">
        <v>1723</v>
      </c>
      <c r="C272" s="1782"/>
      <c r="D272" s="1782"/>
      <c r="E272" s="1782"/>
      <c r="F272" s="1769">
        <v>740</v>
      </c>
      <c r="H272" s="1773"/>
    </row>
    <row r="273" s="1744" customFormat="1" ht="14.25" customHeight="1" spans="1:8">
      <c r="A273" s="1756" t="s">
        <v>305</v>
      </c>
      <c r="B273" s="1761" t="s">
        <v>1728</v>
      </c>
      <c r="C273" s="1761">
        <v>3130</v>
      </c>
      <c r="D273" s="1761">
        <v>3100</v>
      </c>
      <c r="E273" s="1761">
        <v>3230</v>
      </c>
      <c r="F273" s="1769">
        <v>700</v>
      </c>
      <c r="H273" s="1773"/>
    </row>
    <row r="274" s="1744" customFormat="1" ht="14.25" customHeight="1" spans="1:8">
      <c r="A274" s="1756" t="s">
        <v>305</v>
      </c>
      <c r="B274" s="1761" t="s">
        <v>1733</v>
      </c>
      <c r="C274" s="1761">
        <v>3460</v>
      </c>
      <c r="D274" s="1761">
        <v>3430</v>
      </c>
      <c r="E274" s="1761">
        <v>3560</v>
      </c>
      <c r="F274" s="1769">
        <v>690</v>
      </c>
      <c r="H274" s="1773"/>
    </row>
    <row r="275" s="1744" customFormat="1" ht="14.25" customHeight="1" spans="1:8">
      <c r="A275" s="1756" t="s">
        <v>305</v>
      </c>
      <c r="B275" s="1761" t="s">
        <v>1738</v>
      </c>
      <c r="C275" s="1761">
        <v>4040</v>
      </c>
      <c r="D275" s="1761">
        <v>4020</v>
      </c>
      <c r="E275" s="1761">
        <v>4160</v>
      </c>
      <c r="F275" s="1769">
        <v>820</v>
      </c>
      <c r="H275" s="1773"/>
    </row>
    <row r="276" s="1744" customFormat="1" ht="14.25" customHeight="1" spans="1:8">
      <c r="A276" s="1756" t="s">
        <v>305</v>
      </c>
      <c r="B276" s="1761" t="s">
        <v>1743</v>
      </c>
      <c r="C276" s="1761">
        <v>3270</v>
      </c>
      <c r="D276" s="1761">
        <v>3240</v>
      </c>
      <c r="E276" s="1761">
        <v>3350</v>
      </c>
      <c r="F276" s="1769">
        <v>680</v>
      </c>
      <c r="H276" s="1773"/>
    </row>
    <row r="277" s="1744" customFormat="1" ht="14.25" customHeight="1" spans="1:8">
      <c r="A277" s="1756" t="s">
        <v>305</v>
      </c>
      <c r="B277" s="1761" t="s">
        <v>1748</v>
      </c>
      <c r="C277" s="1761">
        <v>2930</v>
      </c>
      <c r="D277" s="1761">
        <v>2900</v>
      </c>
      <c r="E277" s="1761">
        <v>3000</v>
      </c>
      <c r="F277" s="1769">
        <v>640</v>
      </c>
      <c r="H277" s="1773"/>
    </row>
    <row r="278" s="1744" customFormat="1" ht="14.25" customHeight="1" spans="1:8">
      <c r="A278" s="1756" t="s">
        <v>305</v>
      </c>
      <c r="B278" s="1761" t="s">
        <v>1753</v>
      </c>
      <c r="C278" s="1761">
        <v>4080</v>
      </c>
      <c r="D278" s="1761">
        <v>4030</v>
      </c>
      <c r="E278" s="1761">
        <v>4140</v>
      </c>
      <c r="F278" s="1769">
        <v>850</v>
      </c>
      <c r="H278" s="1773"/>
    </row>
    <row r="279" s="1744" customFormat="1" ht="14.25" customHeight="1" spans="1:8">
      <c r="A279" s="1756" t="s">
        <v>305</v>
      </c>
      <c r="B279" s="1761" t="s">
        <v>1757</v>
      </c>
      <c r="C279" s="1761"/>
      <c r="D279" s="1761"/>
      <c r="E279" s="1761"/>
      <c r="F279" s="1769">
        <v>760</v>
      </c>
      <c r="H279" s="1773"/>
    </row>
    <row r="280" s="1744" customFormat="1" ht="14.25" customHeight="1" spans="1:8">
      <c r="A280" s="1756" t="s">
        <v>305</v>
      </c>
      <c r="B280" s="1761" t="s">
        <v>1761</v>
      </c>
      <c r="C280" s="1761"/>
      <c r="D280" s="1761"/>
      <c r="E280" s="1761"/>
      <c r="F280" s="1769">
        <v>760</v>
      </c>
      <c r="H280" s="1773"/>
    </row>
    <row r="281" s="1744" customFormat="1" ht="14.25" customHeight="1" spans="1:8">
      <c r="A281" s="1756" t="s">
        <v>305</v>
      </c>
      <c r="B281" s="1761" t="s">
        <v>1765</v>
      </c>
      <c r="C281" s="1761"/>
      <c r="D281" s="1761"/>
      <c r="E281" s="1761"/>
      <c r="F281" s="1769">
        <v>780</v>
      </c>
      <c r="H281" s="1773"/>
    </row>
    <row r="282" s="1744" customFormat="1" ht="14.25" customHeight="1" spans="1:8">
      <c r="A282" s="1756" t="s">
        <v>305</v>
      </c>
      <c r="B282" s="1761" t="s">
        <v>1769</v>
      </c>
      <c r="C282" s="1761"/>
      <c r="D282" s="1761"/>
      <c r="E282" s="1761"/>
      <c r="F282" s="1769">
        <v>730</v>
      </c>
      <c r="H282" s="1773"/>
    </row>
    <row r="283" s="1744" customFormat="1" ht="14.25" customHeight="1" spans="1:8">
      <c r="A283" s="1756" t="s">
        <v>305</v>
      </c>
      <c r="B283" s="1761" t="s">
        <v>1773</v>
      </c>
      <c r="C283" s="1761"/>
      <c r="D283" s="1761"/>
      <c r="E283" s="1761"/>
      <c r="F283" s="1769">
        <v>770</v>
      </c>
      <c r="H283" s="1773"/>
    </row>
    <row r="284" s="1744" customFormat="1" ht="14.25" customHeight="1" spans="1:8">
      <c r="A284" s="1756" t="s">
        <v>305</v>
      </c>
      <c r="B284" s="1761" t="s">
        <v>1776</v>
      </c>
      <c r="C284" s="1761"/>
      <c r="D284" s="1761"/>
      <c r="E284" s="1761"/>
      <c r="F284" s="1769">
        <v>640</v>
      </c>
      <c r="H284" s="1773"/>
    </row>
    <row r="285" s="1744" customFormat="1" ht="14.25" customHeight="1" spans="1:8">
      <c r="A285" s="1756" t="s">
        <v>305</v>
      </c>
      <c r="B285" s="1761" t="s">
        <v>1779</v>
      </c>
      <c r="C285" s="1761"/>
      <c r="D285" s="1761"/>
      <c r="E285" s="1761"/>
      <c r="F285" s="1769">
        <v>640</v>
      </c>
      <c r="H285" s="1773"/>
    </row>
    <row r="286" s="1744" customFormat="1" ht="14.25" customHeight="1" spans="1:8">
      <c r="A286" s="1756" t="s">
        <v>305</v>
      </c>
      <c r="B286" s="1761" t="s">
        <v>1782</v>
      </c>
      <c r="C286" s="1761"/>
      <c r="D286" s="1761"/>
      <c r="E286" s="1761"/>
      <c r="F286" s="1769">
        <v>850</v>
      </c>
      <c r="H286" s="1773"/>
    </row>
    <row r="287" s="1744" customFormat="1" ht="14.25" customHeight="1" spans="1:8">
      <c r="A287" s="1756" t="s">
        <v>305</v>
      </c>
      <c r="B287" s="1761" t="s">
        <v>1785</v>
      </c>
      <c r="C287" s="1761"/>
      <c r="D287" s="1761"/>
      <c r="E287" s="1761"/>
      <c r="F287" s="1769">
        <v>760</v>
      </c>
      <c r="H287" s="1773"/>
    </row>
    <row r="288" s="1744" customFormat="1" ht="14.25" customHeight="1" spans="1:8">
      <c r="A288" s="1756" t="s">
        <v>305</v>
      </c>
      <c r="B288" s="1761" t="s">
        <v>1788</v>
      </c>
      <c r="C288" s="1761"/>
      <c r="D288" s="1761"/>
      <c r="E288" s="1761"/>
      <c r="F288" s="1769">
        <v>830</v>
      </c>
      <c r="H288" s="1773"/>
    </row>
    <row r="289" s="1744" customFormat="1" ht="14.25" customHeight="1" spans="1:8">
      <c r="A289" s="1756" t="s">
        <v>305</v>
      </c>
      <c r="B289" s="1767" t="s">
        <v>1791</v>
      </c>
      <c r="C289" s="1767"/>
      <c r="D289" s="1767"/>
      <c r="E289" s="1767"/>
      <c r="F289" s="1776">
        <v>680</v>
      </c>
      <c r="H289" s="1773"/>
    </row>
    <row r="290" s="1744" customFormat="1" ht="14.25" customHeight="1" spans="1:8">
      <c r="A290" s="1756" t="s">
        <v>308</v>
      </c>
      <c r="B290" s="1757" t="s">
        <v>1466</v>
      </c>
      <c r="C290" s="1757">
        <v>2770</v>
      </c>
      <c r="D290" s="1757">
        <v>2740</v>
      </c>
      <c r="E290" s="1757">
        <v>2720</v>
      </c>
      <c r="F290" s="1783"/>
      <c r="H290" s="1773"/>
    </row>
    <row r="291" s="1744" customFormat="1" ht="14.25" customHeight="1" spans="1:8">
      <c r="A291" s="1756" t="s">
        <v>308</v>
      </c>
      <c r="B291" s="1761" t="s">
        <v>1479</v>
      </c>
      <c r="C291" s="1761">
        <v>2670</v>
      </c>
      <c r="D291" s="1761">
        <v>2640</v>
      </c>
      <c r="E291" s="1761">
        <v>2620</v>
      </c>
      <c r="F291" s="1777"/>
      <c r="H291" s="1773"/>
    </row>
    <row r="292" s="1744" customFormat="1" ht="14.25" customHeight="1" spans="1:8">
      <c r="A292" s="1756" t="s">
        <v>308</v>
      </c>
      <c r="B292" s="1761" t="s">
        <v>1492</v>
      </c>
      <c r="C292" s="1761">
        <v>2180</v>
      </c>
      <c r="D292" s="1761">
        <v>2140</v>
      </c>
      <c r="E292" s="1761">
        <v>2120</v>
      </c>
      <c r="F292" s="1769">
        <v>490</v>
      </c>
      <c r="H292" s="1773"/>
    </row>
    <row r="293" s="1744" customFormat="1" ht="14.25" customHeight="1" spans="1:8">
      <c r="A293" s="1756" t="s">
        <v>308</v>
      </c>
      <c r="B293" s="1761" t="s">
        <v>1798</v>
      </c>
      <c r="C293" s="1761"/>
      <c r="D293" s="1761"/>
      <c r="E293" s="1761"/>
      <c r="F293" s="1769">
        <v>470</v>
      </c>
      <c r="H293" s="1773"/>
    </row>
    <row r="294" s="1744" customFormat="1" ht="14.25" customHeight="1" spans="1:8">
      <c r="A294" s="1756" t="s">
        <v>308</v>
      </c>
      <c r="B294" s="1761" t="s">
        <v>1504</v>
      </c>
      <c r="C294" s="1761">
        <v>2730</v>
      </c>
      <c r="D294" s="1761">
        <v>2700</v>
      </c>
      <c r="E294" s="1761">
        <v>2680</v>
      </c>
      <c r="F294" s="1769">
        <v>490</v>
      </c>
      <c r="H294" s="1773"/>
    </row>
    <row r="295" s="1744" customFormat="1" ht="14.25" customHeight="1" spans="1:8">
      <c r="A295" s="1756" t="s">
        <v>308</v>
      </c>
      <c r="B295" s="1761" t="s">
        <v>1516</v>
      </c>
      <c r="C295" s="1761">
        <v>2380</v>
      </c>
      <c r="D295" s="1761">
        <v>2350</v>
      </c>
      <c r="E295" s="1761">
        <v>2330</v>
      </c>
      <c r="F295" s="1769">
        <v>530</v>
      </c>
      <c r="H295" s="1773"/>
    </row>
    <row r="296" s="1744" customFormat="1" ht="14.25" customHeight="1" spans="1:8">
      <c r="A296" s="1756" t="s">
        <v>308</v>
      </c>
      <c r="B296" s="1761" t="s">
        <v>1527</v>
      </c>
      <c r="C296" s="1761">
        <v>2650</v>
      </c>
      <c r="D296" s="1761">
        <v>2620</v>
      </c>
      <c r="E296" s="1761">
        <v>2590</v>
      </c>
      <c r="F296" s="1769">
        <v>590</v>
      </c>
      <c r="H296" s="1773"/>
    </row>
    <row r="297" s="1744" customFormat="1" ht="14.25" customHeight="1" spans="1:8">
      <c r="A297" s="1756" t="s">
        <v>308</v>
      </c>
      <c r="B297" s="1761" t="s">
        <v>1538</v>
      </c>
      <c r="C297" s="1761">
        <v>2700</v>
      </c>
      <c r="D297" s="1761">
        <v>2670</v>
      </c>
      <c r="E297" s="1761">
        <v>2650</v>
      </c>
      <c r="F297" s="1769">
        <v>630</v>
      </c>
      <c r="H297" s="1773"/>
    </row>
    <row r="298" s="1744" customFormat="1" ht="14.25" customHeight="1" spans="1:8">
      <c r="A298" s="1756" t="s">
        <v>308</v>
      </c>
      <c r="B298" s="1761" t="s">
        <v>1549</v>
      </c>
      <c r="C298" s="1761">
        <v>2650</v>
      </c>
      <c r="D298" s="1761">
        <v>2620</v>
      </c>
      <c r="E298" s="1761">
        <v>2590</v>
      </c>
      <c r="F298" s="1769">
        <v>640</v>
      </c>
      <c r="H298" s="1773"/>
    </row>
    <row r="299" s="1744" customFormat="1" ht="14.25" customHeight="1" spans="1:8">
      <c r="A299" s="1756" t="s">
        <v>308</v>
      </c>
      <c r="B299" s="1761" t="s">
        <v>1559</v>
      </c>
      <c r="C299" s="1761">
        <v>2500</v>
      </c>
      <c r="D299" s="1761">
        <v>2480</v>
      </c>
      <c r="E299" s="1761">
        <v>2460</v>
      </c>
      <c r="F299" s="1777"/>
      <c r="H299" s="1773"/>
    </row>
    <row r="300" s="1744" customFormat="1" ht="14.25" customHeight="1" spans="1:8">
      <c r="A300" s="1756" t="s">
        <v>308</v>
      </c>
      <c r="B300" s="1761" t="s">
        <v>1569</v>
      </c>
      <c r="C300" s="1761">
        <v>2760</v>
      </c>
      <c r="D300" s="1761">
        <v>2730</v>
      </c>
      <c r="E300" s="1761">
        <v>2700</v>
      </c>
      <c r="F300" s="1769">
        <v>630</v>
      </c>
      <c r="H300" s="1773"/>
    </row>
    <row r="301" s="1744" customFormat="1" ht="14.25" customHeight="1" spans="1:8">
      <c r="A301" s="1756" t="s">
        <v>308</v>
      </c>
      <c r="B301" s="1761" t="s">
        <v>1579</v>
      </c>
      <c r="C301" s="1761">
        <v>2510</v>
      </c>
      <c r="D301" s="1761">
        <v>2480</v>
      </c>
      <c r="E301" s="1761">
        <v>2460</v>
      </c>
      <c r="F301" s="1777"/>
      <c r="H301" s="1773"/>
    </row>
    <row r="302" s="1744" customFormat="1" ht="14.25" customHeight="1" spans="1:8">
      <c r="A302" s="1756" t="s">
        <v>308</v>
      </c>
      <c r="B302" s="1761" t="s">
        <v>1589</v>
      </c>
      <c r="C302" s="1761">
        <v>2480</v>
      </c>
      <c r="D302" s="1761">
        <v>2450</v>
      </c>
      <c r="E302" s="1761">
        <v>2420</v>
      </c>
      <c r="F302" s="1769">
        <v>600</v>
      </c>
      <c r="H302" s="1773"/>
    </row>
    <row r="303" s="1744" customFormat="1" ht="14.25" customHeight="1" spans="1:8">
      <c r="A303" s="1756" t="s">
        <v>308</v>
      </c>
      <c r="B303" s="1761" t="s">
        <v>1599</v>
      </c>
      <c r="C303" s="1761">
        <v>2270</v>
      </c>
      <c r="D303" s="1761">
        <v>2240</v>
      </c>
      <c r="E303" s="1761">
        <v>2210</v>
      </c>
      <c r="F303" s="1769">
        <v>540</v>
      </c>
      <c r="H303" s="1773"/>
    </row>
    <row r="304" s="1744" customFormat="1" ht="14.25" customHeight="1" spans="1:8">
      <c r="A304" s="1756" t="s">
        <v>308</v>
      </c>
      <c r="B304" s="1761" t="s">
        <v>1609</v>
      </c>
      <c r="C304" s="1761">
        <v>2310</v>
      </c>
      <c r="D304" s="1761">
        <v>2290</v>
      </c>
      <c r="E304" s="1761">
        <v>2270</v>
      </c>
      <c r="F304" s="1777"/>
      <c r="H304" s="1773"/>
    </row>
    <row r="305" s="1744" customFormat="1" ht="14.25" customHeight="1" spans="1:8">
      <c r="A305" s="1756" t="s">
        <v>308</v>
      </c>
      <c r="B305" s="1761" t="s">
        <v>1619</v>
      </c>
      <c r="C305" s="1761">
        <v>2490</v>
      </c>
      <c r="D305" s="1761">
        <v>2470</v>
      </c>
      <c r="E305" s="1761">
        <v>2440</v>
      </c>
      <c r="F305" s="1769">
        <v>560</v>
      </c>
      <c r="H305" s="1773"/>
    </row>
    <row r="306" s="1744" customFormat="1" ht="14.25" customHeight="1" spans="1:8">
      <c r="A306" s="1756" t="s">
        <v>308</v>
      </c>
      <c r="B306" s="1761" t="s">
        <v>1629</v>
      </c>
      <c r="C306" s="1761">
        <v>2420</v>
      </c>
      <c r="D306" s="1761">
        <v>2400</v>
      </c>
      <c r="E306" s="1761">
        <v>2380</v>
      </c>
      <c r="F306" s="1777"/>
      <c r="H306" s="1773"/>
    </row>
    <row r="307" s="1744" customFormat="1" ht="14.25" customHeight="1" spans="1:8">
      <c r="A307" s="1756" t="s">
        <v>308</v>
      </c>
      <c r="B307" s="1761" t="s">
        <v>1639</v>
      </c>
      <c r="C307" s="1761">
        <v>2770</v>
      </c>
      <c r="D307" s="1761">
        <v>2740</v>
      </c>
      <c r="E307" s="1761">
        <v>2710</v>
      </c>
      <c r="F307" s="1769">
        <v>650</v>
      </c>
      <c r="H307" s="1773"/>
    </row>
    <row r="308" s="1744" customFormat="1" ht="14.25" customHeight="1" spans="1:8">
      <c r="A308" s="1756" t="s">
        <v>308</v>
      </c>
      <c r="B308" s="1761" t="s">
        <v>1649</v>
      </c>
      <c r="C308" s="1761">
        <v>2610</v>
      </c>
      <c r="D308" s="1761">
        <v>2580</v>
      </c>
      <c r="E308" s="1761">
        <v>2550</v>
      </c>
      <c r="F308" s="1769">
        <v>580</v>
      </c>
      <c r="H308" s="1773"/>
    </row>
    <row r="309" s="1744" customFormat="1" ht="14.25" customHeight="1" spans="1:8">
      <c r="A309" s="1756" t="s">
        <v>308</v>
      </c>
      <c r="B309" s="1761" t="s">
        <v>1659</v>
      </c>
      <c r="C309" s="1761">
        <v>2690</v>
      </c>
      <c r="D309" s="1761">
        <v>2670</v>
      </c>
      <c r="E309" s="1761">
        <v>2650</v>
      </c>
      <c r="F309" s="1777"/>
      <c r="H309" s="1773"/>
    </row>
    <row r="310" s="1744" customFormat="1" ht="14.25" customHeight="1" spans="1:8">
      <c r="A310" s="1756" t="s">
        <v>308</v>
      </c>
      <c r="B310" s="1761" t="s">
        <v>1668</v>
      </c>
      <c r="C310" s="1761">
        <v>2360</v>
      </c>
      <c r="D310" s="1761">
        <v>2330</v>
      </c>
      <c r="E310" s="1761">
        <v>2310</v>
      </c>
      <c r="F310" s="1769">
        <v>560</v>
      </c>
      <c r="H310" s="1773"/>
    </row>
    <row r="311" s="1744" customFormat="1" ht="14.25" customHeight="1" spans="1:8">
      <c r="A311" s="1756" t="s">
        <v>308</v>
      </c>
      <c r="B311" s="1761" t="s">
        <v>1676</v>
      </c>
      <c r="C311" s="1761">
        <v>1970</v>
      </c>
      <c r="D311" s="1761">
        <v>1950</v>
      </c>
      <c r="E311" s="1761">
        <v>1920</v>
      </c>
      <c r="F311" s="1769">
        <v>470</v>
      </c>
      <c r="H311" s="1773"/>
    </row>
    <row r="312" s="1744" customFormat="1" ht="14.25" customHeight="1" spans="1:8">
      <c r="A312" s="1756" t="s">
        <v>308</v>
      </c>
      <c r="B312" s="1761" t="s">
        <v>1684</v>
      </c>
      <c r="C312" s="1761">
        <v>2230</v>
      </c>
      <c r="D312" s="1761">
        <v>2200</v>
      </c>
      <c r="E312" s="1761">
        <v>2170</v>
      </c>
      <c r="F312" s="1769">
        <v>460</v>
      </c>
      <c r="H312" s="1773"/>
    </row>
    <row r="313" s="1744" customFormat="1" ht="14.25" customHeight="1" spans="1:8">
      <c r="A313" s="1756" t="s">
        <v>308</v>
      </c>
      <c r="B313" s="1761" t="s">
        <v>1691</v>
      </c>
      <c r="C313" s="1761">
        <v>2770</v>
      </c>
      <c r="D313" s="1761">
        <v>2740</v>
      </c>
      <c r="E313" s="1761">
        <v>2710</v>
      </c>
      <c r="F313" s="1769">
        <v>610</v>
      </c>
      <c r="H313" s="1773"/>
    </row>
    <row r="314" s="1744" customFormat="1" ht="14.25" customHeight="1" spans="1:8">
      <c r="A314" s="1756" t="s">
        <v>308</v>
      </c>
      <c r="B314" s="1761" t="s">
        <v>1698</v>
      </c>
      <c r="C314" s="1761"/>
      <c r="D314" s="1761"/>
      <c r="E314" s="1761"/>
      <c r="F314" s="1769">
        <v>490</v>
      </c>
      <c r="H314" s="1773"/>
    </row>
    <row r="315" s="1744" customFormat="1" ht="14.25" customHeight="1" spans="1:8">
      <c r="A315" s="1756" t="s">
        <v>308</v>
      </c>
      <c r="B315" s="1761" t="s">
        <v>1705</v>
      </c>
      <c r="C315" s="1761"/>
      <c r="D315" s="1761"/>
      <c r="E315" s="1761"/>
      <c r="F315" s="1769">
        <v>520</v>
      </c>
      <c r="H315" s="1773"/>
    </row>
    <row r="316" s="1744" customFormat="1" ht="14.25" customHeight="1" spans="1:8">
      <c r="A316" s="1756" t="s">
        <v>308</v>
      </c>
      <c r="B316" s="1767" t="s">
        <v>1712</v>
      </c>
      <c r="C316" s="1767"/>
      <c r="D316" s="1767"/>
      <c r="E316" s="1767"/>
      <c r="F316" s="1776">
        <v>460</v>
      </c>
      <c r="H316" s="1773"/>
    </row>
    <row r="317" s="1744" customFormat="1" ht="14.25" customHeight="1" spans="1:8">
      <c r="A317" s="1756" t="s">
        <v>311</v>
      </c>
      <c r="B317" s="1757" t="s">
        <v>1467</v>
      </c>
      <c r="C317" s="1757">
        <v>1200</v>
      </c>
      <c r="D317" s="1757">
        <v>1180</v>
      </c>
      <c r="E317" s="1757">
        <v>1160</v>
      </c>
      <c r="F317" s="1758">
        <v>370</v>
      </c>
      <c r="H317" s="1746"/>
    </row>
    <row r="318" s="1744" customFormat="1" ht="14.25" customHeight="1" spans="1:8">
      <c r="A318" s="1756" t="s">
        <v>311</v>
      </c>
      <c r="B318" s="1761" t="s">
        <v>1480</v>
      </c>
      <c r="C318" s="1761">
        <v>1090</v>
      </c>
      <c r="D318" s="1761">
        <v>1060</v>
      </c>
      <c r="E318" s="1761">
        <v>1040</v>
      </c>
      <c r="F318" s="1777"/>
      <c r="H318" s="1746"/>
    </row>
    <row r="319" s="1744" customFormat="1" ht="14.25" customHeight="1" spans="1:8">
      <c r="A319" s="1756" t="s">
        <v>311</v>
      </c>
      <c r="B319" s="1761" t="s">
        <v>1493</v>
      </c>
      <c r="C319" s="1761">
        <v>1520</v>
      </c>
      <c r="D319" s="1761">
        <v>1470</v>
      </c>
      <c r="E319" s="1761">
        <v>1440</v>
      </c>
      <c r="F319" s="1769">
        <v>370</v>
      </c>
      <c r="H319" s="1746"/>
    </row>
    <row r="320" s="1744" customFormat="1" ht="14.25" customHeight="1" spans="1:8">
      <c r="A320" s="1756" t="s">
        <v>311</v>
      </c>
      <c r="B320" s="1761" t="s">
        <v>1505</v>
      </c>
      <c r="C320" s="1761">
        <v>1360</v>
      </c>
      <c r="D320" s="1761">
        <v>1300</v>
      </c>
      <c r="E320" s="1761">
        <v>1270</v>
      </c>
      <c r="F320" s="1777"/>
      <c r="H320" s="1746"/>
    </row>
    <row r="321" s="1744" customFormat="1" ht="14.25" customHeight="1" spans="1:8">
      <c r="A321" s="1756" t="s">
        <v>311</v>
      </c>
      <c r="B321" s="1761" t="s">
        <v>1517</v>
      </c>
      <c r="C321" s="1761">
        <v>1750</v>
      </c>
      <c r="D321" s="1761">
        <v>1690</v>
      </c>
      <c r="E321" s="1761">
        <v>1660</v>
      </c>
      <c r="F321" s="1777"/>
      <c r="H321" s="1746"/>
    </row>
    <row r="322" s="1744" customFormat="1" ht="14.25" customHeight="1" spans="1:8">
      <c r="A322" s="1756" t="s">
        <v>311</v>
      </c>
      <c r="B322" s="1761" t="s">
        <v>1528</v>
      </c>
      <c r="C322" s="1761">
        <v>1650</v>
      </c>
      <c r="D322" s="1761">
        <v>1610</v>
      </c>
      <c r="E322" s="1761">
        <v>1580</v>
      </c>
      <c r="F322" s="1769">
        <v>500</v>
      </c>
      <c r="H322" s="1746"/>
    </row>
    <row r="323" s="1744" customFormat="1" ht="14.25" customHeight="1" spans="1:8">
      <c r="A323" s="1756" t="s">
        <v>311</v>
      </c>
      <c r="B323" s="1761" t="s">
        <v>1539</v>
      </c>
      <c r="C323" s="1761">
        <v>1780</v>
      </c>
      <c r="D323" s="1761">
        <v>1740</v>
      </c>
      <c r="E323" s="1761">
        <v>1720</v>
      </c>
      <c r="F323" s="1777"/>
      <c r="H323" s="1746"/>
    </row>
    <row r="324" s="1744" customFormat="1" ht="14.25" customHeight="1" spans="1:8">
      <c r="A324" s="1756" t="s">
        <v>311</v>
      </c>
      <c r="B324" s="1761" t="s">
        <v>1550</v>
      </c>
      <c r="C324" s="1761">
        <v>1650</v>
      </c>
      <c r="D324" s="1761">
        <v>1610</v>
      </c>
      <c r="E324" s="1761">
        <v>1580</v>
      </c>
      <c r="F324" s="1777"/>
      <c r="H324" s="1746"/>
    </row>
    <row r="325" s="1744" customFormat="1" ht="14.25" customHeight="1" spans="1:8">
      <c r="A325" s="1756" t="s">
        <v>311</v>
      </c>
      <c r="B325" s="1761" t="s">
        <v>1560</v>
      </c>
      <c r="C325" s="1761">
        <v>1330</v>
      </c>
      <c r="D325" s="1761">
        <v>1270</v>
      </c>
      <c r="E325" s="1761">
        <v>1240</v>
      </c>
      <c r="F325" s="1769">
        <v>430</v>
      </c>
      <c r="H325" s="1746"/>
    </row>
    <row r="326" s="1744" customFormat="1" ht="14.25" customHeight="1" spans="1:8">
      <c r="A326" s="1756" t="s">
        <v>311</v>
      </c>
      <c r="B326" s="1761" t="s">
        <v>1570</v>
      </c>
      <c r="C326" s="1761">
        <v>1470</v>
      </c>
      <c r="D326" s="1761">
        <v>1430</v>
      </c>
      <c r="E326" s="1761">
        <v>1400</v>
      </c>
      <c r="F326" s="1777"/>
      <c r="H326" s="1746"/>
    </row>
    <row r="327" s="1744" customFormat="1" ht="14.25" customHeight="1" spans="1:8">
      <c r="A327" s="1756" t="s">
        <v>311</v>
      </c>
      <c r="B327" s="1761" t="s">
        <v>1580</v>
      </c>
      <c r="C327" s="1761">
        <v>1420</v>
      </c>
      <c r="D327" s="1761">
        <v>1380</v>
      </c>
      <c r="E327" s="1761">
        <v>1360</v>
      </c>
      <c r="F327" s="1769">
        <v>420</v>
      </c>
      <c r="H327" s="1746"/>
    </row>
    <row r="328" s="1744" customFormat="1" ht="14.25" customHeight="1" spans="1:8">
      <c r="A328" s="1756" t="s">
        <v>311</v>
      </c>
      <c r="B328" s="1761" t="s">
        <v>1590</v>
      </c>
      <c r="C328" s="1761">
        <v>1400</v>
      </c>
      <c r="D328" s="1761">
        <v>1360</v>
      </c>
      <c r="E328" s="1761">
        <v>1330</v>
      </c>
      <c r="F328" s="1769">
        <v>460</v>
      </c>
      <c r="H328" s="1746"/>
    </row>
    <row r="329" s="1744" customFormat="1" ht="14.25" customHeight="1" spans="1:8">
      <c r="A329" s="1756" t="s">
        <v>311</v>
      </c>
      <c r="B329" s="1761" t="s">
        <v>1600</v>
      </c>
      <c r="C329" s="1761">
        <v>1640</v>
      </c>
      <c r="D329" s="1761">
        <v>1610</v>
      </c>
      <c r="E329" s="1761">
        <v>1580</v>
      </c>
      <c r="F329" s="1769">
        <v>410</v>
      </c>
      <c r="H329" s="1746"/>
    </row>
    <row r="330" s="1744" customFormat="1" ht="14.25" customHeight="1" spans="1:8">
      <c r="A330" s="1756" t="s">
        <v>311</v>
      </c>
      <c r="B330" s="1761" t="s">
        <v>1610</v>
      </c>
      <c r="C330" s="1761">
        <v>1260</v>
      </c>
      <c r="D330" s="1761">
        <v>1220</v>
      </c>
      <c r="E330" s="1761">
        <v>1200</v>
      </c>
      <c r="F330" s="1777"/>
      <c r="H330" s="1746"/>
    </row>
    <row r="331" s="1744" customFormat="1" ht="14.25" customHeight="1" spans="1:8">
      <c r="A331" s="1756" t="s">
        <v>311</v>
      </c>
      <c r="B331" s="1761" t="s">
        <v>1620</v>
      </c>
      <c r="C331" s="1761">
        <v>1620</v>
      </c>
      <c r="D331" s="1761">
        <v>1560</v>
      </c>
      <c r="E331" s="1761">
        <v>1530</v>
      </c>
      <c r="F331" s="1769">
        <v>490</v>
      </c>
      <c r="H331" s="1746"/>
    </row>
    <row r="332" s="1744" customFormat="1" ht="14.25" customHeight="1" spans="1:8">
      <c r="A332" s="1756" t="s">
        <v>311</v>
      </c>
      <c r="B332" s="1761" t="s">
        <v>1630</v>
      </c>
      <c r="C332" s="1761">
        <v>1520</v>
      </c>
      <c r="D332" s="1761">
        <v>1470</v>
      </c>
      <c r="E332" s="1761">
        <v>1440</v>
      </c>
      <c r="F332" s="1769">
        <v>440</v>
      </c>
      <c r="H332" s="1746"/>
    </row>
    <row r="333" s="1744" customFormat="1" ht="14.25" customHeight="1" spans="1:8">
      <c r="A333" s="1756" t="s">
        <v>311</v>
      </c>
      <c r="B333" s="1761" t="s">
        <v>1640</v>
      </c>
      <c r="C333" s="1761">
        <v>1370</v>
      </c>
      <c r="D333" s="1761">
        <v>1320</v>
      </c>
      <c r="E333" s="1761">
        <v>1300</v>
      </c>
      <c r="F333" s="1769">
        <v>460</v>
      </c>
      <c r="H333" s="1746"/>
    </row>
    <row r="334" s="1744" customFormat="1" ht="14.25" customHeight="1" spans="1:8">
      <c r="A334" s="1756" t="s">
        <v>311</v>
      </c>
      <c r="B334" s="1761" t="s">
        <v>1650</v>
      </c>
      <c r="C334" s="1761">
        <v>1410</v>
      </c>
      <c r="D334" s="1761">
        <v>1340</v>
      </c>
      <c r="E334" s="1761">
        <v>1310</v>
      </c>
      <c r="F334" s="1769">
        <v>410</v>
      </c>
      <c r="H334" s="1746"/>
    </row>
    <row r="335" s="1744" customFormat="1" ht="14.25" customHeight="1" spans="1:8">
      <c r="A335" s="1756" t="s">
        <v>311</v>
      </c>
      <c r="B335" s="1761" t="s">
        <v>1660</v>
      </c>
      <c r="C335" s="1761">
        <v>1260</v>
      </c>
      <c r="D335" s="1761">
        <v>1220</v>
      </c>
      <c r="E335" s="1761">
        <v>1200</v>
      </c>
      <c r="F335" s="1777"/>
      <c r="H335" s="1746"/>
    </row>
    <row r="336" s="1744" customFormat="1" ht="14.25" customHeight="1" spans="1:8">
      <c r="A336" s="1756" t="s">
        <v>311</v>
      </c>
      <c r="B336" s="1761" t="s">
        <v>1669</v>
      </c>
      <c r="C336" s="1761">
        <v>1160</v>
      </c>
      <c r="D336" s="1761">
        <v>1140</v>
      </c>
      <c r="E336" s="1761">
        <v>1120</v>
      </c>
      <c r="F336" s="1769">
        <v>430</v>
      </c>
      <c r="H336" s="1746"/>
    </row>
    <row r="337" s="1744" customFormat="1" ht="14.25" customHeight="1" spans="1:8">
      <c r="A337" s="1756" t="s">
        <v>311</v>
      </c>
      <c r="B337" s="1767" t="s">
        <v>1677</v>
      </c>
      <c r="C337" s="1767"/>
      <c r="D337" s="1767"/>
      <c r="E337" s="1767"/>
      <c r="F337" s="1776">
        <v>380</v>
      </c>
      <c r="H337" s="1746"/>
    </row>
    <row r="338" s="1744" customFormat="1" ht="14.25" customHeight="1" spans="1:8">
      <c r="A338" s="1756" t="s">
        <v>314</v>
      </c>
      <c r="B338" s="1757" t="s">
        <v>1468</v>
      </c>
      <c r="C338" s="1757">
        <v>880</v>
      </c>
      <c r="D338" s="1757">
        <v>850</v>
      </c>
      <c r="E338" s="1757">
        <v>830</v>
      </c>
      <c r="F338" s="1783"/>
      <c r="H338" s="1746"/>
    </row>
    <row r="339" s="1744" customFormat="1" ht="14.25" customHeight="1" spans="1:8">
      <c r="A339" s="1756" t="s">
        <v>314</v>
      </c>
      <c r="B339" s="1761" t="s">
        <v>1481</v>
      </c>
      <c r="C339" s="1761">
        <v>830</v>
      </c>
      <c r="D339" s="1761">
        <v>800</v>
      </c>
      <c r="E339" s="1761">
        <v>780</v>
      </c>
      <c r="F339" s="1777"/>
      <c r="H339" s="1746"/>
    </row>
    <row r="340" s="1744" customFormat="1" ht="14.25" customHeight="1" spans="1:8">
      <c r="A340" s="1756" t="s">
        <v>314</v>
      </c>
      <c r="B340" s="1761" t="s">
        <v>1494</v>
      </c>
      <c r="C340" s="1761">
        <v>980</v>
      </c>
      <c r="D340" s="1761">
        <v>950</v>
      </c>
      <c r="E340" s="1761">
        <v>920</v>
      </c>
      <c r="F340" s="1777"/>
      <c r="H340" s="1746"/>
    </row>
    <row r="341" s="1744" customFormat="1" ht="14.25" customHeight="1" spans="1:8">
      <c r="A341" s="1756" t="s">
        <v>314</v>
      </c>
      <c r="B341" s="1761" t="s">
        <v>1506</v>
      </c>
      <c r="C341" s="1761">
        <v>760</v>
      </c>
      <c r="D341" s="1761">
        <v>720</v>
      </c>
      <c r="E341" s="1761">
        <v>690</v>
      </c>
      <c r="F341" s="1769">
        <v>350</v>
      </c>
      <c r="H341" s="1746"/>
    </row>
    <row r="342" s="1744" customFormat="1" ht="14.25" customHeight="1" spans="1:8">
      <c r="A342" s="1756" t="s">
        <v>314</v>
      </c>
      <c r="B342" s="1761" t="s">
        <v>1518</v>
      </c>
      <c r="C342" s="1761">
        <v>910</v>
      </c>
      <c r="D342" s="1761">
        <v>870</v>
      </c>
      <c r="E342" s="1761">
        <v>850</v>
      </c>
      <c r="F342" s="1769">
        <v>370</v>
      </c>
      <c r="H342" s="1746"/>
    </row>
    <row r="343" s="1744" customFormat="1" ht="14.25" customHeight="1" spans="1:8">
      <c r="A343" s="1756" t="s">
        <v>314</v>
      </c>
      <c r="B343" s="1761" t="s">
        <v>1529</v>
      </c>
      <c r="C343" s="1761">
        <v>800</v>
      </c>
      <c r="D343" s="1761">
        <v>760</v>
      </c>
      <c r="E343" s="1761">
        <v>730</v>
      </c>
      <c r="F343" s="1769">
        <v>340</v>
      </c>
      <c r="H343" s="1746"/>
    </row>
    <row r="344" s="1744" customFormat="1" ht="14.25" customHeight="1" spans="1:8">
      <c r="A344" s="1756" t="s">
        <v>314</v>
      </c>
      <c r="B344" s="1767" t="s">
        <v>1540</v>
      </c>
      <c r="C344" s="1767">
        <v>720</v>
      </c>
      <c r="D344" s="1767">
        <v>690</v>
      </c>
      <c r="E344" s="1767">
        <v>660</v>
      </c>
      <c r="F344" s="1776">
        <v>300</v>
      </c>
      <c r="H344" s="1746"/>
    </row>
  </sheetData>
  <sheetProtection password="C66D" sheet="1" formatCells="0" formatColumns="0" formatRows="0" objects="1" scenarios="1"/>
  <mergeCells count="3">
    <mergeCell ref="A1:F1"/>
    <mergeCell ref="A2:F2"/>
    <mergeCell ref="A3:A4"/>
  </mergeCells>
  <pageMargins left="0.7" right="0.7" top="0.75" bottom="0.75" header="0.3" footer="0.3"/>
  <pageSetup paperSize="9"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408"/>
  <sheetViews>
    <sheetView workbookViewId="0">
      <selection activeCell="O1" sqref="O$1:AA$1048576"/>
    </sheetView>
  </sheetViews>
  <sheetFormatPr defaultColWidth="9" defaultRowHeight="13.5"/>
  <cols>
    <col min="1" max="1" width="9" style="1733"/>
    <col min="2" max="16384" width="9" style="1734"/>
  </cols>
  <sheetData>
    <row r="1" ht="14.25" spans="1:14">
      <c r="A1" s="1735" t="s">
        <v>1799</v>
      </c>
      <c r="B1" s="1736"/>
      <c r="C1" s="1736"/>
      <c r="D1" s="1736"/>
      <c r="E1" s="1736"/>
      <c r="F1" s="1736"/>
      <c r="G1" s="1736"/>
      <c r="H1" s="1736"/>
      <c r="I1" s="1736"/>
      <c r="J1" s="1736"/>
      <c r="K1" s="1736"/>
      <c r="L1" s="1736"/>
      <c r="M1" s="1736"/>
      <c r="N1" s="1736"/>
    </row>
    <row r="2" spans="1:13">
      <c r="A2" s="1737" t="s">
        <v>105</v>
      </c>
      <c r="B2" s="1738" t="s">
        <v>240</v>
      </c>
      <c r="C2" s="1738" t="s">
        <v>253</v>
      </c>
      <c r="D2" s="1738" t="s">
        <v>265</v>
      </c>
      <c r="E2" s="1738" t="s">
        <v>275</v>
      </c>
      <c r="F2" s="1738" t="s">
        <v>284</v>
      </c>
      <c r="G2" s="1738" t="s">
        <v>292</v>
      </c>
      <c r="H2" s="1739" t="s">
        <v>297</v>
      </c>
      <c r="I2" s="1739" t="s">
        <v>302</v>
      </c>
      <c r="J2" s="1742" t="s">
        <v>305</v>
      </c>
      <c r="K2" s="1742" t="s">
        <v>308</v>
      </c>
      <c r="L2" s="1742" t="s">
        <v>311</v>
      </c>
      <c r="M2" s="1742" t="s">
        <v>314</v>
      </c>
    </row>
    <row r="3" spans="1:13">
      <c r="A3" s="1737">
        <v>0.1</v>
      </c>
      <c r="B3" s="1740">
        <v>15.052</v>
      </c>
      <c r="C3" s="1740">
        <v>15.052</v>
      </c>
      <c r="D3" s="1740">
        <v>14.263</v>
      </c>
      <c r="E3" s="1740">
        <v>14.263</v>
      </c>
      <c r="F3" s="1740">
        <v>14.263</v>
      </c>
      <c r="G3" s="1740">
        <v>14.263</v>
      </c>
      <c r="H3" s="1740">
        <v>14.263</v>
      </c>
      <c r="I3" s="1740">
        <v>14.097</v>
      </c>
      <c r="J3" s="1740">
        <v>14.097</v>
      </c>
      <c r="K3" s="1740">
        <v>14.097</v>
      </c>
      <c r="L3" s="1740">
        <v>14.097</v>
      </c>
      <c r="M3" s="1740">
        <v>14.097</v>
      </c>
    </row>
    <row r="4" spans="1:13">
      <c r="A4" s="1737">
        <v>0.2</v>
      </c>
      <c r="B4" s="1740">
        <v>7.526</v>
      </c>
      <c r="C4" s="1740">
        <v>7.526</v>
      </c>
      <c r="D4" s="1740">
        <v>7.1315</v>
      </c>
      <c r="E4" s="1740">
        <v>7.1315</v>
      </c>
      <c r="F4" s="1740">
        <v>7.1315</v>
      </c>
      <c r="G4" s="1740">
        <v>7.1315</v>
      </c>
      <c r="H4" s="1740">
        <v>7.1315</v>
      </c>
      <c r="I4" s="1740">
        <v>7.0485</v>
      </c>
      <c r="J4" s="1740">
        <v>7.0485</v>
      </c>
      <c r="K4" s="1740">
        <v>7.0485</v>
      </c>
      <c r="L4" s="1740">
        <v>7.0485</v>
      </c>
      <c r="M4" s="1740">
        <v>7.0485</v>
      </c>
    </row>
    <row r="5" spans="1:13">
      <c r="A5" s="1737">
        <v>0.3</v>
      </c>
      <c r="B5" s="1740">
        <v>5.0173</v>
      </c>
      <c r="C5" s="1740">
        <v>5.0173</v>
      </c>
      <c r="D5" s="1740">
        <v>4.7543</v>
      </c>
      <c r="E5" s="1740">
        <v>4.7543</v>
      </c>
      <c r="F5" s="1740">
        <v>4.7543</v>
      </c>
      <c r="G5" s="1740">
        <v>4.7543</v>
      </c>
      <c r="H5" s="1740">
        <v>4.7543</v>
      </c>
      <c r="I5" s="1740">
        <v>4.699</v>
      </c>
      <c r="J5" s="1740">
        <v>4.699</v>
      </c>
      <c r="K5" s="1740">
        <v>4.699</v>
      </c>
      <c r="L5" s="1740">
        <v>4.699</v>
      </c>
      <c r="M5" s="1740">
        <v>4.699</v>
      </c>
    </row>
    <row r="6" spans="1:13">
      <c r="A6" s="1737">
        <v>0.4</v>
      </c>
      <c r="B6" s="1740">
        <v>3.763</v>
      </c>
      <c r="C6" s="1740">
        <v>3.763</v>
      </c>
      <c r="D6" s="1740">
        <v>3.5658</v>
      </c>
      <c r="E6" s="1740">
        <v>3.5658</v>
      </c>
      <c r="F6" s="1740">
        <v>3.5658</v>
      </c>
      <c r="G6" s="1740">
        <v>3.5658</v>
      </c>
      <c r="H6" s="1740">
        <v>3.5658</v>
      </c>
      <c r="I6" s="1740">
        <v>3.5243</v>
      </c>
      <c r="J6" s="1740">
        <v>3.5243</v>
      </c>
      <c r="K6" s="1740">
        <v>3.5243</v>
      </c>
      <c r="L6" s="1740">
        <v>3.5243</v>
      </c>
      <c r="M6" s="1740">
        <v>3.5243</v>
      </c>
    </row>
    <row r="7" spans="1:13">
      <c r="A7" s="1737">
        <v>0.5</v>
      </c>
      <c r="B7" s="1740">
        <v>3.0104</v>
      </c>
      <c r="C7" s="1740">
        <v>3.0104</v>
      </c>
      <c r="D7" s="1740">
        <v>2.8526</v>
      </c>
      <c r="E7" s="1740">
        <v>2.8526</v>
      </c>
      <c r="F7" s="1740">
        <v>2.8526</v>
      </c>
      <c r="G7" s="1740">
        <v>2.8526</v>
      </c>
      <c r="H7" s="1740">
        <v>2.8526</v>
      </c>
      <c r="I7" s="1740">
        <v>2.8194</v>
      </c>
      <c r="J7" s="1740">
        <v>2.8194</v>
      </c>
      <c r="K7" s="1740">
        <v>2.8194</v>
      </c>
      <c r="L7" s="1740">
        <v>2.8194</v>
      </c>
      <c r="M7" s="1740">
        <v>2.8194</v>
      </c>
    </row>
    <row r="8" spans="1:13">
      <c r="A8" s="1737">
        <v>0.6</v>
      </c>
      <c r="B8" s="1740">
        <v>2.5087</v>
      </c>
      <c r="C8" s="1740">
        <v>2.5087</v>
      </c>
      <c r="D8" s="1740">
        <v>2.3772</v>
      </c>
      <c r="E8" s="1740">
        <v>2.3772</v>
      </c>
      <c r="F8" s="1740">
        <v>2.3772</v>
      </c>
      <c r="G8" s="1740">
        <v>2.3772</v>
      </c>
      <c r="H8" s="1740">
        <v>2.3772</v>
      </c>
      <c r="I8" s="1740">
        <v>2.3495</v>
      </c>
      <c r="J8" s="1740">
        <v>2.3495</v>
      </c>
      <c r="K8" s="1740">
        <v>2.3495</v>
      </c>
      <c r="L8" s="1740">
        <v>2.3495</v>
      </c>
      <c r="M8" s="1740">
        <v>2.3495</v>
      </c>
    </row>
    <row r="9" spans="1:13">
      <c r="A9" s="1737">
        <v>0.7</v>
      </c>
      <c r="B9" s="1740">
        <v>2.1503</v>
      </c>
      <c r="C9" s="1740">
        <v>2.1503</v>
      </c>
      <c r="D9" s="1740">
        <v>2.0376</v>
      </c>
      <c r="E9" s="1740">
        <v>2.0376</v>
      </c>
      <c r="F9" s="1740">
        <v>2.0376</v>
      </c>
      <c r="G9" s="1740">
        <v>2.0376</v>
      </c>
      <c r="H9" s="1740">
        <v>2.0376</v>
      </c>
      <c r="I9" s="1740">
        <v>2.0139</v>
      </c>
      <c r="J9" s="1740">
        <v>2.0139</v>
      </c>
      <c r="K9" s="1740">
        <v>2.0139</v>
      </c>
      <c r="L9" s="1740">
        <v>2.0139</v>
      </c>
      <c r="M9" s="1740">
        <v>2.0139</v>
      </c>
    </row>
    <row r="10" spans="1:13">
      <c r="A10" s="1737">
        <v>0.8</v>
      </c>
      <c r="B10" s="1740">
        <v>1.8815</v>
      </c>
      <c r="C10" s="1740">
        <v>1.8815</v>
      </c>
      <c r="D10" s="1740">
        <v>1.7829</v>
      </c>
      <c r="E10" s="1740">
        <v>1.7829</v>
      </c>
      <c r="F10" s="1740">
        <v>1.7829</v>
      </c>
      <c r="G10" s="1740">
        <v>1.7829</v>
      </c>
      <c r="H10" s="1740">
        <v>1.7829</v>
      </c>
      <c r="I10" s="1740">
        <v>1.7621</v>
      </c>
      <c r="J10" s="1740">
        <v>1.7621</v>
      </c>
      <c r="K10" s="1740">
        <v>1.7621</v>
      </c>
      <c r="L10" s="1740">
        <v>1.7621</v>
      </c>
      <c r="M10" s="1740">
        <v>1.7621</v>
      </c>
    </row>
    <row r="11" spans="1:13">
      <c r="A11" s="1737">
        <v>0.9</v>
      </c>
      <c r="B11" s="1740">
        <v>1.6724</v>
      </c>
      <c r="C11" s="1740">
        <v>1.6724</v>
      </c>
      <c r="D11" s="1740">
        <v>1.5848</v>
      </c>
      <c r="E11" s="1740">
        <v>1.5848</v>
      </c>
      <c r="F11" s="1740">
        <v>1.5848</v>
      </c>
      <c r="G11" s="1740">
        <v>1.5848</v>
      </c>
      <c r="H11" s="1740">
        <v>1.5848</v>
      </c>
      <c r="I11" s="1740">
        <v>1.5663</v>
      </c>
      <c r="J11" s="1740">
        <v>1.5663</v>
      </c>
      <c r="K11" s="1740">
        <v>1.5663</v>
      </c>
      <c r="L11" s="1740">
        <v>1.5663</v>
      </c>
      <c r="M11" s="1740">
        <v>1.5663</v>
      </c>
    </row>
    <row r="12" spans="1:13">
      <c r="A12" s="1737">
        <v>1</v>
      </c>
      <c r="B12" s="1740">
        <v>1.5052</v>
      </c>
      <c r="C12" s="1740">
        <v>1.5052</v>
      </c>
      <c r="D12" s="1740">
        <v>1.4263</v>
      </c>
      <c r="E12" s="1740">
        <v>1.4263</v>
      </c>
      <c r="F12" s="1740">
        <v>1.4263</v>
      </c>
      <c r="G12" s="1740">
        <v>1.4263</v>
      </c>
      <c r="H12" s="1740">
        <v>1.4263</v>
      </c>
      <c r="I12" s="1740">
        <v>1.4097</v>
      </c>
      <c r="J12" s="1740">
        <v>1.4097</v>
      </c>
      <c r="K12" s="1740">
        <v>1.4097</v>
      </c>
      <c r="L12" s="1740">
        <v>1.4097</v>
      </c>
      <c r="M12" s="1740">
        <v>1.4097</v>
      </c>
    </row>
    <row r="13" spans="1:13">
      <c r="A13" s="1737">
        <v>1.1</v>
      </c>
      <c r="B13" s="1740">
        <v>1.4509</v>
      </c>
      <c r="C13" s="1740">
        <v>1.4509</v>
      </c>
      <c r="D13" s="1740">
        <v>1.3698</v>
      </c>
      <c r="E13" s="1740">
        <v>1.3698</v>
      </c>
      <c r="F13" s="1740">
        <v>1.3698</v>
      </c>
      <c r="G13" s="1740">
        <v>1.3698</v>
      </c>
      <c r="H13" s="1740">
        <v>1.3698</v>
      </c>
      <c r="I13" s="1740">
        <v>1.343</v>
      </c>
      <c r="J13" s="1740">
        <v>1.343</v>
      </c>
      <c r="K13" s="1740">
        <v>1.343</v>
      </c>
      <c r="L13" s="1740">
        <v>1.343</v>
      </c>
      <c r="M13" s="1740">
        <v>1.343</v>
      </c>
    </row>
    <row r="14" spans="1:13">
      <c r="A14" s="1737">
        <v>1.2</v>
      </c>
      <c r="B14" s="1740">
        <v>1.4035</v>
      </c>
      <c r="C14" s="1740">
        <v>1.4035</v>
      </c>
      <c r="D14" s="1740">
        <v>1.3205</v>
      </c>
      <c r="E14" s="1740">
        <v>1.3205</v>
      </c>
      <c r="F14" s="1740">
        <v>1.3205</v>
      </c>
      <c r="G14" s="1740">
        <v>1.3205</v>
      </c>
      <c r="H14" s="1740">
        <v>1.3205</v>
      </c>
      <c r="I14" s="1740">
        <v>1.2845</v>
      </c>
      <c r="J14" s="1740">
        <v>1.2845</v>
      </c>
      <c r="K14" s="1740">
        <v>1.2845</v>
      </c>
      <c r="L14" s="1740">
        <v>1.2845</v>
      </c>
      <c r="M14" s="1740">
        <v>1.2845</v>
      </c>
    </row>
    <row r="15" spans="1:13">
      <c r="A15" s="1737">
        <v>1.3</v>
      </c>
      <c r="B15" s="1740">
        <v>1.3622</v>
      </c>
      <c r="C15" s="1740">
        <v>1.3622</v>
      </c>
      <c r="D15" s="1740">
        <v>1.2775</v>
      </c>
      <c r="E15" s="1740">
        <v>1.2775</v>
      </c>
      <c r="F15" s="1740">
        <v>1.2775</v>
      </c>
      <c r="G15" s="1740">
        <v>1.2775</v>
      </c>
      <c r="H15" s="1740">
        <v>1.2775</v>
      </c>
      <c r="I15" s="1740">
        <v>1.2332</v>
      </c>
      <c r="J15" s="1740">
        <v>1.2332</v>
      </c>
      <c r="K15" s="1740">
        <v>1.2332</v>
      </c>
      <c r="L15" s="1740">
        <v>1.2332</v>
      </c>
      <c r="M15" s="1740">
        <v>1.2332</v>
      </c>
    </row>
    <row r="16" spans="1:13">
      <c r="A16" s="1737">
        <v>1.4</v>
      </c>
      <c r="B16" s="1740">
        <v>1.3262</v>
      </c>
      <c r="C16" s="1740">
        <v>1.3262</v>
      </c>
      <c r="D16" s="1740">
        <v>1.2402</v>
      </c>
      <c r="E16" s="1740">
        <v>1.2402</v>
      </c>
      <c r="F16" s="1740">
        <v>1.2402</v>
      </c>
      <c r="G16" s="1740">
        <v>1.2402</v>
      </c>
      <c r="H16" s="1740">
        <v>1.2402</v>
      </c>
      <c r="I16" s="1740">
        <v>1.1882</v>
      </c>
      <c r="J16" s="1740">
        <v>1.1882</v>
      </c>
      <c r="K16" s="1740">
        <v>1.1882</v>
      </c>
      <c r="L16" s="1740">
        <v>1.1882</v>
      </c>
      <c r="M16" s="1740">
        <v>1.1882</v>
      </c>
    </row>
    <row r="17" spans="1:13">
      <c r="A17" s="1737">
        <v>1.5</v>
      </c>
      <c r="B17" s="1740">
        <v>1.2948</v>
      </c>
      <c r="C17" s="1740">
        <v>1.2948</v>
      </c>
      <c r="D17" s="1740">
        <v>1.2075</v>
      </c>
      <c r="E17" s="1740">
        <v>1.2075</v>
      </c>
      <c r="F17" s="1740">
        <v>1.2075</v>
      </c>
      <c r="G17" s="1740">
        <v>1.2075</v>
      </c>
      <c r="H17" s="1740">
        <v>1.2075</v>
      </c>
      <c r="I17" s="1740">
        <v>1.1486</v>
      </c>
      <c r="J17" s="1740">
        <v>1.1486</v>
      </c>
      <c r="K17" s="1740">
        <v>1.1486</v>
      </c>
      <c r="L17" s="1740">
        <v>1.1486</v>
      </c>
      <c r="M17" s="1740">
        <v>1.1486</v>
      </c>
    </row>
    <row r="18" spans="1:13">
      <c r="A18" s="1737">
        <v>1.6</v>
      </c>
      <c r="B18" s="1740">
        <v>1.2673</v>
      </c>
      <c r="C18" s="1740">
        <v>1.2673</v>
      </c>
      <c r="D18" s="1740">
        <v>1.1789</v>
      </c>
      <c r="E18" s="1740">
        <v>1.1789</v>
      </c>
      <c r="F18" s="1740">
        <v>1.1789</v>
      </c>
      <c r="G18" s="1740">
        <v>1.1789</v>
      </c>
      <c r="H18" s="1740">
        <v>1.1789</v>
      </c>
      <c r="I18" s="1740">
        <v>1.1135</v>
      </c>
      <c r="J18" s="1740">
        <v>1.1135</v>
      </c>
      <c r="K18" s="1740">
        <v>1.1135</v>
      </c>
      <c r="L18" s="1740">
        <v>1.1135</v>
      </c>
      <c r="M18" s="1740">
        <v>1.1135</v>
      </c>
    </row>
    <row r="19" spans="1:13">
      <c r="A19" s="1737">
        <v>1.7</v>
      </c>
      <c r="B19" s="1740">
        <v>1.2429</v>
      </c>
      <c r="C19" s="1740">
        <v>1.2429</v>
      </c>
      <c r="D19" s="1740">
        <v>1.1534</v>
      </c>
      <c r="E19" s="1740">
        <v>1.1534</v>
      </c>
      <c r="F19" s="1740">
        <v>1.1534</v>
      </c>
      <c r="G19" s="1740">
        <v>1.1534</v>
      </c>
      <c r="H19" s="1740">
        <v>1.1534</v>
      </c>
      <c r="I19" s="1740">
        <v>1.082</v>
      </c>
      <c r="J19" s="1740">
        <v>1.082</v>
      </c>
      <c r="K19" s="1740">
        <v>1.082</v>
      </c>
      <c r="L19" s="1740">
        <v>1.082</v>
      </c>
      <c r="M19" s="1740">
        <v>1.082</v>
      </c>
    </row>
    <row r="20" spans="1:13">
      <c r="A20" s="1737">
        <v>1.8</v>
      </c>
      <c r="B20" s="1740">
        <v>1.2207</v>
      </c>
      <c r="C20" s="1740">
        <v>1.2207</v>
      </c>
      <c r="D20" s="1740">
        <v>1.1304</v>
      </c>
      <c r="E20" s="1740">
        <v>1.1304</v>
      </c>
      <c r="F20" s="1740">
        <v>1.1304</v>
      </c>
      <c r="G20" s="1740">
        <v>1.1304</v>
      </c>
      <c r="H20" s="1740">
        <v>1.1304</v>
      </c>
      <c r="I20" s="1740">
        <v>1.0532</v>
      </c>
      <c r="J20" s="1740">
        <v>1.0532</v>
      </c>
      <c r="K20" s="1740">
        <v>1.0532</v>
      </c>
      <c r="L20" s="1740">
        <v>1.0532</v>
      </c>
      <c r="M20" s="1740">
        <v>1.0532</v>
      </c>
    </row>
    <row r="21" spans="1:13">
      <c r="A21" s="1737">
        <v>1.9</v>
      </c>
      <c r="B21" s="1740">
        <v>1.2</v>
      </c>
      <c r="C21" s="1740">
        <v>1.2</v>
      </c>
      <c r="D21" s="1740">
        <v>1.1089</v>
      </c>
      <c r="E21" s="1740">
        <v>1.1089</v>
      </c>
      <c r="F21" s="1740">
        <v>1.1089</v>
      </c>
      <c r="G21" s="1740">
        <v>1.1089</v>
      </c>
      <c r="H21" s="1740">
        <v>1.1089</v>
      </c>
      <c r="I21" s="1740">
        <v>1.0261</v>
      </c>
      <c r="J21" s="1740">
        <v>1.0261</v>
      </c>
      <c r="K21" s="1740">
        <v>1.0261</v>
      </c>
      <c r="L21" s="1740">
        <v>1.0261</v>
      </c>
      <c r="M21" s="1740">
        <v>1.0261</v>
      </c>
    </row>
    <row r="22" spans="1:13">
      <c r="A22" s="1737">
        <v>2</v>
      </c>
      <c r="B22" s="1740">
        <v>1.1801</v>
      </c>
      <c r="C22" s="1740">
        <v>1.1801</v>
      </c>
      <c r="D22" s="1740">
        <v>1.0883</v>
      </c>
      <c r="E22" s="1740">
        <v>1.0883</v>
      </c>
      <c r="F22" s="1740">
        <v>1.0883</v>
      </c>
      <c r="G22" s="1740">
        <v>1.0883</v>
      </c>
      <c r="H22" s="1740">
        <v>1.0883</v>
      </c>
      <c r="I22" s="1740">
        <v>1</v>
      </c>
      <c r="J22" s="1740">
        <v>1</v>
      </c>
      <c r="K22" s="1740">
        <v>1</v>
      </c>
      <c r="L22" s="1740">
        <v>1</v>
      </c>
      <c r="M22" s="1740">
        <v>1</v>
      </c>
    </row>
    <row r="23" spans="1:13">
      <c r="A23" s="1741">
        <v>2.1</v>
      </c>
      <c r="B23" s="1740">
        <v>1.1616</v>
      </c>
      <c r="C23" s="1740">
        <v>1.1616</v>
      </c>
      <c r="D23" s="1740">
        <v>1.0685</v>
      </c>
      <c r="E23" s="1740">
        <v>1.0685</v>
      </c>
      <c r="F23" s="1740">
        <v>1.0685</v>
      </c>
      <c r="G23" s="1740">
        <v>1.0685</v>
      </c>
      <c r="H23" s="1740">
        <v>1.0685</v>
      </c>
      <c r="I23" s="1740">
        <v>0.9755</v>
      </c>
      <c r="J23" s="1740">
        <v>0.9755</v>
      </c>
      <c r="K23" s="1740">
        <v>0.9755</v>
      </c>
      <c r="L23" s="1740">
        <v>0.9755</v>
      </c>
      <c r="M23" s="1740">
        <v>0.9755</v>
      </c>
    </row>
    <row r="24" spans="1:13">
      <c r="A24" s="1741">
        <v>2.2</v>
      </c>
      <c r="B24" s="1740">
        <v>1.1441</v>
      </c>
      <c r="C24" s="1740">
        <v>1.1441</v>
      </c>
      <c r="D24" s="1740">
        <v>1.0497</v>
      </c>
      <c r="E24" s="1740">
        <v>1.0497</v>
      </c>
      <c r="F24" s="1740">
        <v>1.0497</v>
      </c>
      <c r="G24" s="1740">
        <v>1.0497</v>
      </c>
      <c r="H24" s="1740">
        <v>1.0497</v>
      </c>
      <c r="I24" s="1740">
        <v>0.9523</v>
      </c>
      <c r="J24" s="1740">
        <v>0.9523</v>
      </c>
      <c r="K24" s="1740">
        <v>0.9523</v>
      </c>
      <c r="L24" s="1740">
        <v>0.9523</v>
      </c>
      <c r="M24" s="1740">
        <v>0.9523</v>
      </c>
    </row>
    <row r="25" spans="1:13">
      <c r="A25" s="1741">
        <v>2.3</v>
      </c>
      <c r="B25" s="1740">
        <v>1.1276</v>
      </c>
      <c r="C25" s="1740">
        <v>1.1276</v>
      </c>
      <c r="D25" s="1740">
        <v>1.032</v>
      </c>
      <c r="E25" s="1740">
        <v>1.032</v>
      </c>
      <c r="F25" s="1740">
        <v>1.032</v>
      </c>
      <c r="G25" s="1740">
        <v>1.032</v>
      </c>
      <c r="H25" s="1740">
        <v>1.032</v>
      </c>
      <c r="I25" s="1740">
        <v>0.9304</v>
      </c>
      <c r="J25" s="1740">
        <v>0.9304</v>
      </c>
      <c r="K25" s="1740">
        <v>0.9304</v>
      </c>
      <c r="L25" s="1740">
        <v>0.9304</v>
      </c>
      <c r="M25" s="1740">
        <v>0.9304</v>
      </c>
    </row>
    <row r="26" spans="1:13">
      <c r="A26" s="1741">
        <v>2.4</v>
      </c>
      <c r="B26" s="1740">
        <v>1.1121</v>
      </c>
      <c r="C26" s="1740">
        <v>1.1121</v>
      </c>
      <c r="D26" s="1740">
        <v>1.0155</v>
      </c>
      <c r="E26" s="1740">
        <v>1.0155</v>
      </c>
      <c r="F26" s="1740">
        <v>1.0155</v>
      </c>
      <c r="G26" s="1740">
        <v>1.0155</v>
      </c>
      <c r="H26" s="1740">
        <v>1.0155</v>
      </c>
      <c r="I26" s="1740">
        <v>0.91</v>
      </c>
      <c r="J26" s="1740">
        <v>0.91</v>
      </c>
      <c r="K26" s="1740">
        <v>0.91</v>
      </c>
      <c r="L26" s="1740">
        <v>0.91</v>
      </c>
      <c r="M26" s="1740">
        <v>0.91</v>
      </c>
    </row>
    <row r="27" spans="1:13">
      <c r="A27" s="1741">
        <v>2.5</v>
      </c>
      <c r="B27" s="1740">
        <v>1.0976</v>
      </c>
      <c r="C27" s="1740">
        <v>1.0976</v>
      </c>
      <c r="D27" s="1740">
        <v>1</v>
      </c>
      <c r="E27" s="1740">
        <v>1</v>
      </c>
      <c r="F27" s="1740">
        <v>1</v>
      </c>
      <c r="G27" s="1740">
        <v>1</v>
      </c>
      <c r="H27" s="1740">
        <v>1</v>
      </c>
      <c r="I27" s="1740">
        <v>0.8908</v>
      </c>
      <c r="J27" s="1740">
        <v>0.8908</v>
      </c>
      <c r="K27" s="1740">
        <v>0.8908</v>
      </c>
      <c r="L27" s="1740">
        <v>0.8908</v>
      </c>
      <c r="M27" s="1740">
        <v>0.8908</v>
      </c>
    </row>
    <row r="28" spans="1:13">
      <c r="A28" s="1741">
        <v>2.6</v>
      </c>
      <c r="B28" s="1740">
        <v>1.0841</v>
      </c>
      <c r="C28" s="1740">
        <v>1.0841</v>
      </c>
      <c r="D28" s="1740">
        <v>0.9862</v>
      </c>
      <c r="E28" s="1740">
        <v>0.9862</v>
      </c>
      <c r="F28" s="1740">
        <v>0.9862</v>
      </c>
      <c r="G28" s="1740">
        <v>0.9862</v>
      </c>
      <c r="H28" s="1740">
        <v>0.9862</v>
      </c>
      <c r="I28" s="1740">
        <v>0.873</v>
      </c>
      <c r="J28" s="1740">
        <v>0.873</v>
      </c>
      <c r="K28" s="1740">
        <v>0.873</v>
      </c>
      <c r="L28" s="1740">
        <v>0.873</v>
      </c>
      <c r="M28" s="1740">
        <v>0.873</v>
      </c>
    </row>
    <row r="29" spans="1:13">
      <c r="A29" s="1741">
        <v>2.7</v>
      </c>
      <c r="B29" s="1740">
        <v>1.0716</v>
      </c>
      <c r="C29" s="1740">
        <v>1.0716</v>
      </c>
      <c r="D29" s="1740">
        <v>0.9733</v>
      </c>
      <c r="E29" s="1740">
        <v>0.9733</v>
      </c>
      <c r="F29" s="1740">
        <v>0.9733</v>
      </c>
      <c r="G29" s="1740">
        <v>0.9733</v>
      </c>
      <c r="H29" s="1740">
        <v>0.9733</v>
      </c>
      <c r="I29" s="1740">
        <v>0.8567</v>
      </c>
      <c r="J29" s="1740">
        <v>0.8567</v>
      </c>
      <c r="K29" s="1740">
        <v>0.8567</v>
      </c>
      <c r="L29" s="1740">
        <v>0.8567</v>
      </c>
      <c r="M29" s="1740">
        <v>0.8567</v>
      </c>
    </row>
    <row r="30" spans="1:13">
      <c r="A30" s="1741">
        <v>2.8</v>
      </c>
      <c r="B30" s="1740">
        <v>1.0602</v>
      </c>
      <c r="C30" s="1740">
        <v>1.0602</v>
      </c>
      <c r="D30" s="1740">
        <v>0.9616</v>
      </c>
      <c r="E30" s="1740">
        <v>0.9616</v>
      </c>
      <c r="F30" s="1740">
        <v>0.9616</v>
      </c>
      <c r="G30" s="1740">
        <v>0.9616</v>
      </c>
      <c r="H30" s="1740">
        <v>0.9616</v>
      </c>
      <c r="I30" s="1740">
        <v>0.8417</v>
      </c>
      <c r="J30" s="1740">
        <v>0.8417</v>
      </c>
      <c r="K30" s="1740">
        <v>0.8417</v>
      </c>
      <c r="L30" s="1740">
        <v>0.8417</v>
      </c>
      <c r="M30" s="1740">
        <v>0.8417</v>
      </c>
    </row>
    <row r="31" spans="1:13">
      <c r="A31" s="1741">
        <v>2.9</v>
      </c>
      <c r="B31" s="1740">
        <v>1.0497</v>
      </c>
      <c r="C31" s="1740">
        <v>1.0497</v>
      </c>
      <c r="D31" s="1740">
        <v>0.9509</v>
      </c>
      <c r="E31" s="1740">
        <v>0.9509</v>
      </c>
      <c r="F31" s="1740">
        <v>0.9509</v>
      </c>
      <c r="G31" s="1740">
        <v>0.9509</v>
      </c>
      <c r="H31" s="1740">
        <v>0.9509</v>
      </c>
      <c r="I31" s="1740">
        <v>0.8281</v>
      </c>
      <c r="J31" s="1740">
        <v>0.8281</v>
      </c>
      <c r="K31" s="1740">
        <v>0.8281</v>
      </c>
      <c r="L31" s="1740">
        <v>0.8281</v>
      </c>
      <c r="M31" s="1740">
        <v>0.8281</v>
      </c>
    </row>
    <row r="32" spans="1:13">
      <c r="A32" s="1741">
        <v>3</v>
      </c>
      <c r="B32" s="1740">
        <v>1.0401</v>
      </c>
      <c r="C32" s="1740">
        <v>1.0401</v>
      </c>
      <c r="D32" s="1740">
        <v>0.9409</v>
      </c>
      <c r="E32" s="1740">
        <v>0.9409</v>
      </c>
      <c r="F32" s="1740">
        <v>0.9409</v>
      </c>
      <c r="G32" s="1740">
        <v>0.9409</v>
      </c>
      <c r="H32" s="1740">
        <v>0.9409</v>
      </c>
      <c r="I32" s="1740">
        <v>0.8158</v>
      </c>
      <c r="J32" s="1740">
        <v>0.8158</v>
      </c>
      <c r="K32" s="1740">
        <v>0.8158</v>
      </c>
      <c r="L32" s="1740">
        <v>0.8158</v>
      </c>
      <c r="M32" s="1740">
        <v>0.8158</v>
      </c>
    </row>
    <row r="33" spans="1:13">
      <c r="A33" s="1741">
        <v>3.1</v>
      </c>
      <c r="B33" s="1740">
        <v>1.0314</v>
      </c>
      <c r="C33" s="1740">
        <v>1.0314</v>
      </c>
      <c r="D33" s="1740">
        <v>0.9317</v>
      </c>
      <c r="E33" s="1740">
        <v>0.9317</v>
      </c>
      <c r="F33" s="1740">
        <v>0.9317</v>
      </c>
      <c r="G33" s="1740">
        <v>0.9317</v>
      </c>
      <c r="H33" s="1740">
        <v>0.9317</v>
      </c>
      <c r="I33" s="1740">
        <v>0.8041</v>
      </c>
      <c r="J33" s="1740">
        <v>0.8041</v>
      </c>
      <c r="K33" s="1740">
        <v>0.8041</v>
      </c>
      <c r="L33" s="1740">
        <v>0.8041</v>
      </c>
      <c r="M33" s="1740">
        <v>0.8041</v>
      </c>
    </row>
    <row r="34" spans="1:13">
      <c r="A34" s="1741">
        <v>3.2</v>
      </c>
      <c r="B34" s="1740">
        <v>1.023</v>
      </c>
      <c r="C34" s="1740">
        <v>1.023</v>
      </c>
      <c r="D34" s="1740">
        <v>0.9228</v>
      </c>
      <c r="E34" s="1740">
        <v>0.9228</v>
      </c>
      <c r="F34" s="1740">
        <v>0.9228</v>
      </c>
      <c r="G34" s="1740">
        <v>0.9228</v>
      </c>
      <c r="H34" s="1740">
        <v>0.9228</v>
      </c>
      <c r="I34" s="1740">
        <v>0.793</v>
      </c>
      <c r="J34" s="1740">
        <v>0.793</v>
      </c>
      <c r="K34" s="1740">
        <v>0.793</v>
      </c>
      <c r="L34" s="1740">
        <v>0.793</v>
      </c>
      <c r="M34" s="1740">
        <v>0.793</v>
      </c>
    </row>
    <row r="35" spans="1:13">
      <c r="A35" s="1741">
        <v>3.3</v>
      </c>
      <c r="B35" s="1740">
        <v>1.015</v>
      </c>
      <c r="C35" s="1740">
        <v>1.015</v>
      </c>
      <c r="D35" s="1740">
        <v>0.9144</v>
      </c>
      <c r="E35" s="1740">
        <v>0.9144</v>
      </c>
      <c r="F35" s="1740">
        <v>0.9144</v>
      </c>
      <c r="G35" s="1740">
        <v>0.9144</v>
      </c>
      <c r="H35" s="1740">
        <v>0.9144</v>
      </c>
      <c r="I35" s="1740">
        <v>0.7822</v>
      </c>
      <c r="J35" s="1740">
        <v>0.7822</v>
      </c>
      <c r="K35" s="1740">
        <v>0.7822</v>
      </c>
      <c r="L35" s="1740">
        <v>0.7822</v>
      </c>
      <c r="M35" s="1740">
        <v>0.7822</v>
      </c>
    </row>
    <row r="36" spans="1:13">
      <c r="A36" s="1741">
        <v>3.4</v>
      </c>
      <c r="B36" s="1740">
        <v>1.0073</v>
      </c>
      <c r="C36" s="1740">
        <v>1.0073</v>
      </c>
      <c r="D36" s="1740">
        <v>0.9063</v>
      </c>
      <c r="E36" s="1740">
        <v>0.9063</v>
      </c>
      <c r="F36" s="1740">
        <v>0.9063</v>
      </c>
      <c r="G36" s="1740">
        <v>0.9063</v>
      </c>
      <c r="H36" s="1740">
        <v>0.9063</v>
      </c>
      <c r="I36" s="1740">
        <v>0.7721</v>
      </c>
      <c r="J36" s="1740">
        <v>0.7721</v>
      </c>
      <c r="K36" s="1740">
        <v>0.7721</v>
      </c>
      <c r="L36" s="1740">
        <v>0.7721</v>
      </c>
      <c r="M36" s="1740">
        <v>0.7721</v>
      </c>
    </row>
    <row r="37" spans="1:13">
      <c r="A37" s="1741">
        <v>3.5</v>
      </c>
      <c r="B37" s="1740">
        <v>1</v>
      </c>
      <c r="C37" s="1740">
        <v>1</v>
      </c>
      <c r="D37" s="1740">
        <v>0.8987</v>
      </c>
      <c r="E37" s="1740">
        <v>0.8987</v>
      </c>
      <c r="F37" s="1740">
        <v>0.8987</v>
      </c>
      <c r="G37" s="1740">
        <v>0.8987</v>
      </c>
      <c r="H37" s="1740">
        <v>0.8987</v>
      </c>
      <c r="I37" s="1740">
        <v>0.7624</v>
      </c>
      <c r="J37" s="1740">
        <v>0.7624</v>
      </c>
      <c r="K37" s="1740">
        <v>0.7624</v>
      </c>
      <c r="L37" s="1740">
        <v>0.7624</v>
      </c>
      <c r="M37" s="1740">
        <v>0.7624</v>
      </c>
    </row>
    <row r="38" spans="1:13">
      <c r="A38" s="1741">
        <v>3.6</v>
      </c>
      <c r="B38" s="1740">
        <v>0.9933</v>
      </c>
      <c r="C38" s="1740">
        <v>0.9933</v>
      </c>
      <c r="D38" s="1740">
        <v>0.8914</v>
      </c>
      <c r="E38" s="1740">
        <v>0.8914</v>
      </c>
      <c r="F38" s="1740">
        <v>0.8914</v>
      </c>
      <c r="G38" s="1740">
        <v>0.8914</v>
      </c>
      <c r="H38" s="1740">
        <v>0.8914</v>
      </c>
      <c r="I38" s="1740">
        <v>0.7532</v>
      </c>
      <c r="J38" s="1740">
        <v>0.7532</v>
      </c>
      <c r="K38" s="1740">
        <v>0.7532</v>
      </c>
      <c r="L38" s="1740">
        <v>0.7532</v>
      </c>
      <c r="M38" s="1740">
        <v>0.7532</v>
      </c>
    </row>
    <row r="39" spans="1:13">
      <c r="A39" s="1741">
        <v>3.7</v>
      </c>
      <c r="B39" s="1740">
        <v>0.9869</v>
      </c>
      <c r="C39" s="1740">
        <v>0.9869</v>
      </c>
      <c r="D39" s="1740">
        <v>0.8845</v>
      </c>
      <c r="E39" s="1740">
        <v>0.8845</v>
      </c>
      <c r="F39" s="1740">
        <v>0.8845</v>
      </c>
      <c r="G39" s="1740">
        <v>0.8845</v>
      </c>
      <c r="H39" s="1740">
        <v>0.8845</v>
      </c>
      <c r="I39" s="1740">
        <v>0.7446</v>
      </c>
      <c r="J39" s="1740">
        <v>0.7446</v>
      </c>
      <c r="K39" s="1740">
        <v>0.7446</v>
      </c>
      <c r="L39" s="1740">
        <v>0.7446</v>
      </c>
      <c r="M39" s="1740">
        <v>0.7446</v>
      </c>
    </row>
    <row r="40" spans="1:13">
      <c r="A40" s="1741">
        <v>3.8</v>
      </c>
      <c r="B40" s="1740">
        <v>0.9808</v>
      </c>
      <c r="C40" s="1740">
        <v>0.9808</v>
      </c>
      <c r="D40" s="1740">
        <v>0.8781</v>
      </c>
      <c r="E40" s="1740">
        <v>0.8781</v>
      </c>
      <c r="F40" s="1740">
        <v>0.8781</v>
      </c>
      <c r="G40" s="1740">
        <v>0.8781</v>
      </c>
      <c r="H40" s="1740">
        <v>0.8781</v>
      </c>
      <c r="I40" s="1740">
        <v>0.7364</v>
      </c>
      <c r="J40" s="1740">
        <v>0.7364</v>
      </c>
      <c r="K40" s="1740">
        <v>0.7364</v>
      </c>
      <c r="L40" s="1740">
        <v>0.7364</v>
      </c>
      <c r="M40" s="1740">
        <v>0.7364</v>
      </c>
    </row>
    <row r="41" spans="1:13">
      <c r="A41" s="1741">
        <v>3.9</v>
      </c>
      <c r="B41" s="1740">
        <v>0.9751</v>
      </c>
      <c r="C41" s="1740">
        <v>0.9751</v>
      </c>
      <c r="D41" s="1740">
        <v>0.8721</v>
      </c>
      <c r="E41" s="1740">
        <v>0.8721</v>
      </c>
      <c r="F41" s="1740">
        <v>0.8721</v>
      </c>
      <c r="G41" s="1740">
        <v>0.8721</v>
      </c>
      <c r="H41" s="1740">
        <v>0.8721</v>
      </c>
      <c r="I41" s="1740">
        <v>0.7288</v>
      </c>
      <c r="J41" s="1740">
        <v>0.7288</v>
      </c>
      <c r="K41" s="1740">
        <v>0.7288</v>
      </c>
      <c r="L41" s="1740">
        <v>0.7288</v>
      </c>
      <c r="M41" s="1740">
        <v>0.7288</v>
      </c>
    </row>
    <row r="42" spans="1:13">
      <c r="A42" s="1741">
        <v>4</v>
      </c>
      <c r="B42" s="1740">
        <v>0.9699</v>
      </c>
      <c r="C42" s="1740">
        <v>0.9699</v>
      </c>
      <c r="D42" s="1740">
        <v>0.8665</v>
      </c>
      <c r="E42" s="1740">
        <v>0.8665</v>
      </c>
      <c r="F42" s="1740">
        <v>0.8665</v>
      </c>
      <c r="G42" s="1740">
        <v>0.8665</v>
      </c>
      <c r="H42" s="1740">
        <v>0.8665</v>
      </c>
      <c r="I42" s="1740">
        <v>0.7218</v>
      </c>
      <c r="J42" s="1740">
        <v>0.7218</v>
      </c>
      <c r="K42" s="1740">
        <v>0.7218</v>
      </c>
      <c r="L42" s="1740">
        <v>0.7218</v>
      </c>
      <c r="M42" s="1740">
        <v>0.7218</v>
      </c>
    </row>
    <row r="43" spans="1:13">
      <c r="A43" s="1741">
        <v>4.1</v>
      </c>
      <c r="B43" s="1740">
        <v>0.9648</v>
      </c>
      <c r="C43" s="1740">
        <v>0.9648</v>
      </c>
      <c r="D43" s="1740">
        <v>0.8611</v>
      </c>
      <c r="E43" s="1740">
        <v>0.8611</v>
      </c>
      <c r="F43" s="1740">
        <v>0.8611</v>
      </c>
      <c r="G43" s="1740">
        <v>0.8611</v>
      </c>
      <c r="H43" s="1740">
        <v>0.8611</v>
      </c>
      <c r="I43" s="1740">
        <v>0.715</v>
      </c>
      <c r="J43" s="1740">
        <v>0.715</v>
      </c>
      <c r="K43" s="1740">
        <v>0.715</v>
      </c>
      <c r="L43" s="1740">
        <v>0.715</v>
      </c>
      <c r="M43" s="1740">
        <v>0.715</v>
      </c>
    </row>
    <row r="44" spans="1:13">
      <c r="A44" s="1741">
        <v>4.2</v>
      </c>
      <c r="B44" s="1740">
        <v>0.96</v>
      </c>
      <c r="C44" s="1740">
        <v>0.96</v>
      </c>
      <c r="D44" s="1740">
        <v>0.856</v>
      </c>
      <c r="E44" s="1740">
        <v>0.856</v>
      </c>
      <c r="F44" s="1740">
        <v>0.856</v>
      </c>
      <c r="G44" s="1740">
        <v>0.856</v>
      </c>
      <c r="H44" s="1740">
        <v>0.856</v>
      </c>
      <c r="I44" s="1740">
        <v>0.7084</v>
      </c>
      <c r="J44" s="1740">
        <v>0.7084</v>
      </c>
      <c r="K44" s="1740">
        <v>0.7084</v>
      </c>
      <c r="L44" s="1740">
        <v>0.7084</v>
      </c>
      <c r="M44" s="1740">
        <v>0.7084</v>
      </c>
    </row>
    <row r="45" spans="1:13">
      <c r="A45" s="1741">
        <v>4.3</v>
      </c>
      <c r="B45" s="1740">
        <v>0.9553</v>
      </c>
      <c r="C45" s="1740">
        <v>0.9553</v>
      </c>
      <c r="D45" s="1740">
        <v>0.851</v>
      </c>
      <c r="E45" s="1740">
        <v>0.851</v>
      </c>
      <c r="F45" s="1740">
        <v>0.851</v>
      </c>
      <c r="G45" s="1740">
        <v>0.851</v>
      </c>
      <c r="H45" s="1740">
        <v>0.851</v>
      </c>
      <c r="I45" s="1740">
        <v>0.702</v>
      </c>
      <c r="J45" s="1740">
        <v>0.702</v>
      </c>
      <c r="K45" s="1740">
        <v>0.702</v>
      </c>
      <c r="L45" s="1740">
        <v>0.702</v>
      </c>
      <c r="M45" s="1740">
        <v>0.702</v>
      </c>
    </row>
    <row r="46" spans="1:13">
      <c r="A46" s="1741">
        <v>4.4</v>
      </c>
      <c r="B46" s="1740">
        <v>0.9508</v>
      </c>
      <c r="C46" s="1740">
        <v>0.9508</v>
      </c>
      <c r="D46" s="1740">
        <v>0.8462</v>
      </c>
      <c r="E46" s="1740">
        <v>0.8462</v>
      </c>
      <c r="F46" s="1740">
        <v>0.8462</v>
      </c>
      <c r="G46" s="1740">
        <v>0.8462</v>
      </c>
      <c r="H46" s="1740">
        <v>0.8462</v>
      </c>
      <c r="I46" s="1740">
        <v>0.6958</v>
      </c>
      <c r="J46" s="1740">
        <v>0.6958</v>
      </c>
      <c r="K46" s="1740">
        <v>0.6958</v>
      </c>
      <c r="L46" s="1740">
        <v>0.6958</v>
      </c>
      <c r="M46" s="1740">
        <v>0.6958</v>
      </c>
    </row>
    <row r="47" spans="1:13">
      <c r="A47" s="1741">
        <v>4.5</v>
      </c>
      <c r="B47" s="1740">
        <v>0.9464</v>
      </c>
      <c r="C47" s="1740">
        <v>0.9464</v>
      </c>
      <c r="D47" s="1740">
        <v>0.8415</v>
      </c>
      <c r="E47" s="1740">
        <v>0.8415</v>
      </c>
      <c r="F47" s="1740">
        <v>0.8415</v>
      </c>
      <c r="G47" s="1740">
        <v>0.8415</v>
      </c>
      <c r="H47" s="1740">
        <v>0.8415</v>
      </c>
      <c r="I47" s="1740">
        <v>0.6899</v>
      </c>
      <c r="J47" s="1740">
        <v>0.6899</v>
      </c>
      <c r="K47" s="1740">
        <v>0.6899</v>
      </c>
      <c r="L47" s="1740">
        <v>0.6899</v>
      </c>
      <c r="M47" s="1740">
        <v>0.6899</v>
      </c>
    </row>
    <row r="48" spans="1:13">
      <c r="A48" s="1741">
        <v>4.6</v>
      </c>
      <c r="B48" s="1740">
        <v>0.9423</v>
      </c>
      <c r="C48" s="1740">
        <v>0.9423</v>
      </c>
      <c r="D48" s="1740">
        <v>0.8371</v>
      </c>
      <c r="E48" s="1740">
        <v>0.8371</v>
      </c>
      <c r="F48" s="1740">
        <v>0.8371</v>
      </c>
      <c r="G48" s="1740">
        <v>0.8371</v>
      </c>
      <c r="H48" s="1740">
        <v>0.8371</v>
      </c>
      <c r="I48" s="1740">
        <v>0.6843</v>
      </c>
      <c r="J48" s="1740">
        <v>0.6843</v>
      </c>
      <c r="K48" s="1740">
        <v>0.6843</v>
      </c>
      <c r="L48" s="1740">
        <v>0.6843</v>
      </c>
      <c r="M48" s="1740">
        <v>0.6843</v>
      </c>
    </row>
    <row r="49" spans="1:13">
      <c r="A49" s="1741">
        <v>4.7</v>
      </c>
      <c r="B49" s="1740">
        <v>0.9383</v>
      </c>
      <c r="C49" s="1740">
        <v>0.9383</v>
      </c>
      <c r="D49" s="1740">
        <v>0.8328</v>
      </c>
      <c r="E49" s="1740">
        <v>0.8328</v>
      </c>
      <c r="F49" s="1740">
        <v>0.8328</v>
      </c>
      <c r="G49" s="1740">
        <v>0.8328</v>
      </c>
      <c r="H49" s="1740">
        <v>0.8328</v>
      </c>
      <c r="I49" s="1740">
        <v>0.6788</v>
      </c>
      <c r="J49" s="1740">
        <v>0.6788</v>
      </c>
      <c r="K49" s="1740">
        <v>0.6788</v>
      </c>
      <c r="L49" s="1740">
        <v>0.6788</v>
      </c>
      <c r="M49" s="1740">
        <v>0.6788</v>
      </c>
    </row>
    <row r="50" spans="1:13">
      <c r="A50" s="1741">
        <v>4.8</v>
      </c>
      <c r="B50" s="1740">
        <v>0.9345</v>
      </c>
      <c r="C50" s="1740">
        <v>0.9345</v>
      </c>
      <c r="D50" s="1740">
        <v>0.8287</v>
      </c>
      <c r="E50" s="1740">
        <v>0.8287</v>
      </c>
      <c r="F50" s="1740">
        <v>0.8287</v>
      </c>
      <c r="G50" s="1740">
        <v>0.8287</v>
      </c>
      <c r="H50" s="1740">
        <v>0.8287</v>
      </c>
      <c r="I50" s="1740">
        <v>0.6736</v>
      </c>
      <c r="J50" s="1740">
        <v>0.6736</v>
      </c>
      <c r="K50" s="1740">
        <v>0.6736</v>
      </c>
      <c r="L50" s="1740">
        <v>0.6736</v>
      </c>
      <c r="M50" s="1740">
        <v>0.6736</v>
      </c>
    </row>
    <row r="51" spans="1:13">
      <c r="A51" s="1741">
        <v>4.9</v>
      </c>
      <c r="B51" s="1740">
        <v>0.9308</v>
      </c>
      <c r="C51" s="1740">
        <v>0.9308</v>
      </c>
      <c r="D51" s="1740">
        <v>0.8248</v>
      </c>
      <c r="E51" s="1740">
        <v>0.8248</v>
      </c>
      <c r="F51" s="1740">
        <v>0.8248</v>
      </c>
      <c r="G51" s="1740">
        <v>0.8248</v>
      </c>
      <c r="H51" s="1740">
        <v>0.8248</v>
      </c>
      <c r="I51" s="1740">
        <v>0.6685</v>
      </c>
      <c r="J51" s="1740">
        <v>0.6685</v>
      </c>
      <c r="K51" s="1740">
        <v>0.6685</v>
      </c>
      <c r="L51" s="1740">
        <v>0.6685</v>
      </c>
      <c r="M51" s="1740">
        <v>0.6685</v>
      </c>
    </row>
    <row r="52" spans="1:13">
      <c r="A52" s="1741">
        <v>5</v>
      </c>
      <c r="B52" s="1740">
        <v>0.9274</v>
      </c>
      <c r="C52" s="1740">
        <v>0.9274</v>
      </c>
      <c r="D52" s="1740">
        <v>0.8211</v>
      </c>
      <c r="E52" s="1740">
        <v>0.8211</v>
      </c>
      <c r="F52" s="1740">
        <v>0.8211</v>
      </c>
      <c r="G52" s="1740">
        <v>0.8211</v>
      </c>
      <c r="H52" s="1740">
        <v>0.8211</v>
      </c>
      <c r="I52" s="1740">
        <v>0.6637</v>
      </c>
      <c r="J52" s="1740">
        <v>0.6637</v>
      </c>
      <c r="K52" s="1740">
        <v>0.6637</v>
      </c>
      <c r="L52" s="1740">
        <v>0.6637</v>
      </c>
      <c r="M52" s="1740">
        <v>0.6637</v>
      </c>
    </row>
    <row r="53" spans="1:13">
      <c r="A53" s="1737">
        <v>5.1</v>
      </c>
      <c r="B53" s="1740">
        <v>0.9241</v>
      </c>
      <c r="C53" s="1740">
        <v>0.9241</v>
      </c>
      <c r="D53" s="1740">
        <v>0.8175</v>
      </c>
      <c r="E53" s="1740">
        <v>0.8175</v>
      </c>
      <c r="F53" s="1740">
        <v>0.8175</v>
      </c>
      <c r="G53" s="1740">
        <v>0.8175</v>
      </c>
      <c r="H53" s="1740">
        <v>0.8175</v>
      </c>
      <c r="I53" s="1740">
        <v>0.659</v>
      </c>
      <c r="J53" s="1740">
        <v>0.659</v>
      </c>
      <c r="K53" s="1740">
        <v>0.659</v>
      </c>
      <c r="L53" s="1740">
        <v>0.659</v>
      </c>
      <c r="M53" s="1740">
        <v>0.659</v>
      </c>
    </row>
    <row r="54" spans="1:13">
      <c r="A54" s="1737">
        <v>5.2</v>
      </c>
      <c r="B54" s="1740">
        <v>0.9209</v>
      </c>
      <c r="C54" s="1740">
        <v>0.9209</v>
      </c>
      <c r="D54" s="1740">
        <v>0.814</v>
      </c>
      <c r="E54" s="1740">
        <v>0.814</v>
      </c>
      <c r="F54" s="1740">
        <v>0.814</v>
      </c>
      <c r="G54" s="1740">
        <v>0.814</v>
      </c>
      <c r="H54" s="1740">
        <v>0.814</v>
      </c>
      <c r="I54" s="1740">
        <v>0.6545</v>
      </c>
      <c r="J54" s="1740">
        <v>0.6545</v>
      </c>
      <c r="K54" s="1740">
        <v>0.6545</v>
      </c>
      <c r="L54" s="1740">
        <v>0.6545</v>
      </c>
      <c r="M54" s="1740">
        <v>0.6545</v>
      </c>
    </row>
    <row r="55" spans="1:13">
      <c r="A55" s="1737">
        <v>5.3</v>
      </c>
      <c r="B55" s="1740">
        <v>0.9179</v>
      </c>
      <c r="C55" s="1740">
        <v>0.9179</v>
      </c>
      <c r="D55" s="1740">
        <v>0.8106</v>
      </c>
      <c r="E55" s="1740">
        <v>0.8106</v>
      </c>
      <c r="F55" s="1740">
        <v>0.8106</v>
      </c>
      <c r="G55" s="1740">
        <v>0.8106</v>
      </c>
      <c r="H55" s="1740">
        <v>0.8106</v>
      </c>
      <c r="I55" s="1740">
        <v>0.6502</v>
      </c>
      <c r="J55" s="1740">
        <v>0.6502</v>
      </c>
      <c r="K55" s="1740">
        <v>0.6502</v>
      </c>
      <c r="L55" s="1740">
        <v>0.6502</v>
      </c>
      <c r="M55" s="1740">
        <v>0.6502</v>
      </c>
    </row>
    <row r="56" spans="1:13">
      <c r="A56" s="1737">
        <v>5.4</v>
      </c>
      <c r="B56" s="1740">
        <v>0.9149</v>
      </c>
      <c r="C56" s="1740">
        <v>0.9149</v>
      </c>
      <c r="D56" s="1740">
        <v>0.8074</v>
      </c>
      <c r="E56" s="1740">
        <v>0.8074</v>
      </c>
      <c r="F56" s="1740">
        <v>0.8074</v>
      </c>
      <c r="G56" s="1740">
        <v>0.8074</v>
      </c>
      <c r="H56" s="1740">
        <v>0.8074</v>
      </c>
      <c r="I56" s="1740">
        <v>0.6459</v>
      </c>
      <c r="J56" s="1740">
        <v>0.6459</v>
      </c>
      <c r="K56" s="1740">
        <v>0.6459</v>
      </c>
      <c r="L56" s="1740">
        <v>0.6459</v>
      </c>
      <c r="M56" s="1740">
        <v>0.6459</v>
      </c>
    </row>
    <row r="57" spans="1:13">
      <c r="A57" s="1737">
        <v>5.5</v>
      </c>
      <c r="B57" s="1740">
        <v>0.912</v>
      </c>
      <c r="C57" s="1740">
        <v>0.912</v>
      </c>
      <c r="D57" s="1740">
        <v>0.8042</v>
      </c>
      <c r="E57" s="1740">
        <v>0.8042</v>
      </c>
      <c r="F57" s="1740">
        <v>0.8042</v>
      </c>
      <c r="G57" s="1740">
        <v>0.8042</v>
      </c>
      <c r="H57" s="1740">
        <v>0.8042</v>
      </c>
      <c r="I57" s="1740">
        <v>0.6418</v>
      </c>
      <c r="J57" s="1740">
        <v>0.6418</v>
      </c>
      <c r="K57" s="1740">
        <v>0.6418</v>
      </c>
      <c r="L57" s="1740">
        <v>0.6418</v>
      </c>
      <c r="M57" s="1740">
        <v>0.6418</v>
      </c>
    </row>
    <row r="58" spans="1:13">
      <c r="A58" s="1737">
        <v>5.6</v>
      </c>
      <c r="B58" s="1740">
        <v>0.9091</v>
      </c>
      <c r="C58" s="1740">
        <v>0.9091</v>
      </c>
      <c r="D58" s="1740">
        <v>0.8012</v>
      </c>
      <c r="E58" s="1740">
        <v>0.8012</v>
      </c>
      <c r="F58" s="1740">
        <v>0.8012</v>
      </c>
      <c r="G58" s="1740">
        <v>0.8012</v>
      </c>
      <c r="H58" s="1740">
        <v>0.8012</v>
      </c>
      <c r="I58" s="1740">
        <v>0.6379</v>
      </c>
      <c r="J58" s="1740">
        <v>0.6379</v>
      </c>
      <c r="K58" s="1740">
        <v>0.6379</v>
      </c>
      <c r="L58" s="1740">
        <v>0.6379</v>
      </c>
      <c r="M58" s="1740">
        <v>0.6379</v>
      </c>
    </row>
    <row r="59" spans="1:13">
      <c r="A59" s="1741">
        <v>5.7</v>
      </c>
      <c r="B59" s="1740">
        <v>0.9064</v>
      </c>
      <c r="C59" s="1740">
        <v>0.9064</v>
      </c>
      <c r="D59" s="1740">
        <v>0.7982</v>
      </c>
      <c r="E59" s="1740">
        <v>0.7982</v>
      </c>
      <c r="F59" s="1740">
        <v>0.7982</v>
      </c>
      <c r="G59" s="1740">
        <v>0.7982</v>
      </c>
      <c r="H59" s="1740">
        <v>0.7982</v>
      </c>
      <c r="I59" s="1740">
        <v>0.6341</v>
      </c>
      <c r="J59" s="1740">
        <v>0.6341</v>
      </c>
      <c r="K59" s="1740">
        <v>0.6341</v>
      </c>
      <c r="L59" s="1740">
        <v>0.6341</v>
      </c>
      <c r="M59" s="1740">
        <v>0.6341</v>
      </c>
    </row>
    <row r="60" spans="1:13">
      <c r="A60" s="1737">
        <v>5.8</v>
      </c>
      <c r="B60" s="1740">
        <v>0.9038</v>
      </c>
      <c r="C60" s="1740">
        <v>0.9038</v>
      </c>
      <c r="D60" s="1740">
        <v>0.7954</v>
      </c>
      <c r="E60" s="1740">
        <v>0.7954</v>
      </c>
      <c r="F60" s="1740">
        <v>0.7954</v>
      </c>
      <c r="G60" s="1740">
        <v>0.7954</v>
      </c>
      <c r="H60" s="1740">
        <v>0.7954</v>
      </c>
      <c r="I60" s="1740">
        <v>0.6304</v>
      </c>
      <c r="J60" s="1740">
        <v>0.6304</v>
      </c>
      <c r="K60" s="1740">
        <v>0.6304</v>
      </c>
      <c r="L60" s="1740">
        <v>0.6304</v>
      </c>
      <c r="M60" s="1740">
        <v>0.6304</v>
      </c>
    </row>
    <row r="61" spans="1:13">
      <c r="A61" s="1737">
        <v>5.9</v>
      </c>
      <c r="B61" s="1740">
        <v>0.9013</v>
      </c>
      <c r="C61" s="1740">
        <v>0.9013</v>
      </c>
      <c r="D61" s="1740">
        <v>0.7927</v>
      </c>
      <c r="E61" s="1740">
        <v>0.7927</v>
      </c>
      <c r="F61" s="1740">
        <v>0.7927</v>
      </c>
      <c r="G61" s="1740">
        <v>0.7927</v>
      </c>
      <c r="H61" s="1740">
        <v>0.7927</v>
      </c>
      <c r="I61" s="1740">
        <v>0.6269</v>
      </c>
      <c r="J61" s="1740">
        <v>0.6269</v>
      </c>
      <c r="K61" s="1740">
        <v>0.6269</v>
      </c>
      <c r="L61" s="1740">
        <v>0.6269</v>
      </c>
      <c r="M61" s="1740">
        <v>0.6269</v>
      </c>
    </row>
    <row r="62" spans="1:13">
      <c r="A62" s="1737">
        <v>6</v>
      </c>
      <c r="B62" s="1740">
        <v>0.8989</v>
      </c>
      <c r="C62" s="1740">
        <v>0.8989</v>
      </c>
      <c r="D62" s="1740">
        <v>0.7902</v>
      </c>
      <c r="E62" s="1740">
        <v>0.7902</v>
      </c>
      <c r="F62" s="1740">
        <v>0.7902</v>
      </c>
      <c r="G62" s="1740">
        <v>0.7902</v>
      </c>
      <c r="H62" s="1740">
        <v>0.7902</v>
      </c>
      <c r="I62" s="1740">
        <v>0.6235</v>
      </c>
      <c r="J62" s="1740">
        <v>0.6235</v>
      </c>
      <c r="K62" s="1740">
        <v>0.6235</v>
      </c>
      <c r="L62" s="1740">
        <v>0.6235</v>
      </c>
      <c r="M62" s="1740">
        <v>0.6235</v>
      </c>
    </row>
    <row r="63" spans="1:13">
      <c r="A63" s="1737">
        <v>6.1</v>
      </c>
      <c r="B63" s="1740">
        <v>0.8965</v>
      </c>
      <c r="C63" s="1740">
        <v>0.8965</v>
      </c>
      <c r="D63" s="1740">
        <v>0.7877</v>
      </c>
      <c r="E63" s="1740">
        <v>0.7877</v>
      </c>
      <c r="F63" s="1740">
        <v>0.7877</v>
      </c>
      <c r="G63" s="1740">
        <v>0.7877</v>
      </c>
      <c r="H63" s="1740">
        <v>0.7877</v>
      </c>
      <c r="I63" s="1740">
        <v>0.6203</v>
      </c>
      <c r="J63" s="1740">
        <v>0.6203</v>
      </c>
      <c r="K63" s="1740">
        <v>0.6203</v>
      </c>
      <c r="L63" s="1740">
        <v>0.6203</v>
      </c>
      <c r="M63" s="1740">
        <v>0.6203</v>
      </c>
    </row>
    <row r="64" spans="1:13">
      <c r="A64" s="1737">
        <v>6.2</v>
      </c>
      <c r="B64" s="1740">
        <v>0.8943</v>
      </c>
      <c r="C64" s="1740">
        <v>0.8943</v>
      </c>
      <c r="D64" s="1740">
        <v>0.7852</v>
      </c>
      <c r="E64" s="1740">
        <v>0.7852</v>
      </c>
      <c r="F64" s="1740">
        <v>0.7852</v>
      </c>
      <c r="G64" s="1740">
        <v>0.7852</v>
      </c>
      <c r="H64" s="1740">
        <v>0.7852</v>
      </c>
      <c r="I64" s="1740">
        <v>0.6172</v>
      </c>
      <c r="J64" s="1740">
        <v>0.6172</v>
      </c>
      <c r="K64" s="1740">
        <v>0.6172</v>
      </c>
      <c r="L64" s="1740">
        <v>0.6172</v>
      </c>
      <c r="M64" s="1740">
        <v>0.6172</v>
      </c>
    </row>
    <row r="65" spans="1:13">
      <c r="A65" s="1737">
        <v>6.3</v>
      </c>
      <c r="B65" s="1740">
        <v>0.892</v>
      </c>
      <c r="C65" s="1740">
        <v>0.892</v>
      </c>
      <c r="D65" s="1740">
        <v>0.7828</v>
      </c>
      <c r="E65" s="1740">
        <v>0.7828</v>
      </c>
      <c r="F65" s="1740">
        <v>0.7828</v>
      </c>
      <c r="G65" s="1740">
        <v>0.7828</v>
      </c>
      <c r="H65" s="1740">
        <v>0.7828</v>
      </c>
      <c r="I65" s="1740">
        <v>0.6141</v>
      </c>
      <c r="J65" s="1740">
        <v>0.6141</v>
      </c>
      <c r="K65" s="1740">
        <v>0.6141</v>
      </c>
      <c r="L65" s="1740">
        <v>0.6141</v>
      </c>
      <c r="M65" s="1740">
        <v>0.6141</v>
      </c>
    </row>
    <row r="66" spans="1:13">
      <c r="A66" s="1737">
        <v>6.4</v>
      </c>
      <c r="B66" s="1740">
        <v>0.8899</v>
      </c>
      <c r="C66" s="1740">
        <v>0.8899</v>
      </c>
      <c r="D66" s="1740">
        <v>0.7804</v>
      </c>
      <c r="E66" s="1740">
        <v>0.7804</v>
      </c>
      <c r="F66" s="1740">
        <v>0.7804</v>
      </c>
      <c r="G66" s="1740">
        <v>0.7804</v>
      </c>
      <c r="H66" s="1740">
        <v>0.7804</v>
      </c>
      <c r="I66" s="1740">
        <v>0.611</v>
      </c>
      <c r="J66" s="1740">
        <v>0.611</v>
      </c>
      <c r="K66" s="1740">
        <v>0.611</v>
      </c>
      <c r="L66" s="1740">
        <v>0.611</v>
      </c>
      <c r="M66" s="1740">
        <v>0.611</v>
      </c>
    </row>
    <row r="67" spans="1:13">
      <c r="A67" s="1737">
        <v>6.5</v>
      </c>
      <c r="B67" s="1740">
        <v>0.8878</v>
      </c>
      <c r="C67" s="1740">
        <v>0.8878</v>
      </c>
      <c r="D67" s="1740">
        <v>0.7781</v>
      </c>
      <c r="E67" s="1740">
        <v>0.7781</v>
      </c>
      <c r="F67" s="1740">
        <v>0.7781</v>
      </c>
      <c r="G67" s="1740">
        <v>0.7781</v>
      </c>
      <c r="H67" s="1740">
        <v>0.7781</v>
      </c>
      <c r="I67" s="1740">
        <v>0.608</v>
      </c>
      <c r="J67" s="1740">
        <v>0.608</v>
      </c>
      <c r="K67" s="1740">
        <v>0.608</v>
      </c>
      <c r="L67" s="1740">
        <v>0.608</v>
      </c>
      <c r="M67" s="1740">
        <v>0.608</v>
      </c>
    </row>
    <row r="68" spans="1:13">
      <c r="A68" s="1737">
        <v>6.6</v>
      </c>
      <c r="B68" s="1740">
        <v>0.8858</v>
      </c>
      <c r="C68" s="1740">
        <v>0.8858</v>
      </c>
      <c r="D68" s="1740">
        <v>0.7758</v>
      </c>
      <c r="E68" s="1740">
        <v>0.7758</v>
      </c>
      <c r="F68" s="1740">
        <v>0.7758</v>
      </c>
      <c r="G68" s="1740">
        <v>0.7758</v>
      </c>
      <c r="H68" s="1740">
        <v>0.7758</v>
      </c>
      <c r="I68" s="1740">
        <v>0.605</v>
      </c>
      <c r="J68" s="1740">
        <v>0.605</v>
      </c>
      <c r="K68" s="1740">
        <v>0.605</v>
      </c>
      <c r="L68" s="1740">
        <v>0.605</v>
      </c>
      <c r="M68" s="1740">
        <v>0.605</v>
      </c>
    </row>
    <row r="69" spans="1:13">
      <c r="A69" s="1737">
        <v>6.7</v>
      </c>
      <c r="B69" s="1740">
        <v>0.8838</v>
      </c>
      <c r="C69" s="1740">
        <v>0.8838</v>
      </c>
      <c r="D69" s="1740">
        <v>0.7736</v>
      </c>
      <c r="E69" s="1740">
        <v>0.7736</v>
      </c>
      <c r="F69" s="1740">
        <v>0.7736</v>
      </c>
      <c r="G69" s="1740">
        <v>0.7736</v>
      </c>
      <c r="H69" s="1740">
        <v>0.7736</v>
      </c>
      <c r="I69" s="1740">
        <v>0.6021</v>
      </c>
      <c r="J69" s="1740">
        <v>0.6021</v>
      </c>
      <c r="K69" s="1740">
        <v>0.6021</v>
      </c>
      <c r="L69" s="1740">
        <v>0.6021</v>
      </c>
      <c r="M69" s="1740">
        <v>0.6021</v>
      </c>
    </row>
    <row r="70" spans="1:13">
      <c r="A70" s="1737">
        <v>6.8</v>
      </c>
      <c r="B70" s="1740">
        <v>0.8819</v>
      </c>
      <c r="C70" s="1740">
        <v>0.8819</v>
      </c>
      <c r="D70" s="1740">
        <v>0.7716</v>
      </c>
      <c r="E70" s="1740">
        <v>0.7716</v>
      </c>
      <c r="F70" s="1740">
        <v>0.7716</v>
      </c>
      <c r="G70" s="1740">
        <v>0.7716</v>
      </c>
      <c r="H70" s="1740">
        <v>0.7716</v>
      </c>
      <c r="I70" s="1740">
        <v>0.5993</v>
      </c>
      <c r="J70" s="1740">
        <v>0.5993</v>
      </c>
      <c r="K70" s="1740">
        <v>0.5993</v>
      </c>
      <c r="L70" s="1740">
        <v>0.5993</v>
      </c>
      <c r="M70" s="1740">
        <v>0.5993</v>
      </c>
    </row>
    <row r="71" spans="1:13">
      <c r="A71" s="1737">
        <v>6.9</v>
      </c>
      <c r="B71" s="1740">
        <v>0.88</v>
      </c>
      <c r="C71" s="1740">
        <v>0.88</v>
      </c>
      <c r="D71" s="1740">
        <v>0.7695</v>
      </c>
      <c r="E71" s="1740">
        <v>0.7695</v>
      </c>
      <c r="F71" s="1740">
        <v>0.7695</v>
      </c>
      <c r="G71" s="1740">
        <v>0.7695</v>
      </c>
      <c r="H71" s="1740">
        <v>0.7695</v>
      </c>
      <c r="I71" s="1740">
        <v>0.5964</v>
      </c>
      <c r="J71" s="1740">
        <v>0.5964</v>
      </c>
      <c r="K71" s="1740">
        <v>0.5964</v>
      </c>
      <c r="L71" s="1740">
        <v>0.5964</v>
      </c>
      <c r="M71" s="1740">
        <v>0.5964</v>
      </c>
    </row>
    <row r="72" spans="1:13">
      <c r="A72" s="1737">
        <v>7</v>
      </c>
      <c r="B72" s="1740">
        <v>0.8782</v>
      </c>
      <c r="C72" s="1740">
        <v>0.8782</v>
      </c>
      <c r="D72" s="1740">
        <v>0.7675</v>
      </c>
      <c r="E72" s="1740">
        <v>0.7675</v>
      </c>
      <c r="F72" s="1740">
        <v>0.7675</v>
      </c>
      <c r="G72" s="1740">
        <v>0.7675</v>
      </c>
      <c r="H72" s="1740">
        <v>0.7675</v>
      </c>
      <c r="I72" s="1740">
        <v>0.5936</v>
      </c>
      <c r="J72" s="1740">
        <v>0.5936</v>
      </c>
      <c r="K72" s="1740">
        <v>0.5936</v>
      </c>
      <c r="L72" s="1740">
        <v>0.5936</v>
      </c>
      <c r="M72" s="1740">
        <v>0.5936</v>
      </c>
    </row>
    <row r="73" spans="1:13">
      <c r="A73" s="1737">
        <v>7.1</v>
      </c>
      <c r="B73" s="1740">
        <v>0.8766</v>
      </c>
      <c r="C73" s="1740">
        <v>0.8766</v>
      </c>
      <c r="D73" s="1740">
        <v>0.7657</v>
      </c>
      <c r="E73" s="1740">
        <v>0.7657</v>
      </c>
      <c r="F73" s="1740">
        <v>0.7657</v>
      </c>
      <c r="G73" s="1740">
        <v>0.7657</v>
      </c>
      <c r="H73" s="1740">
        <v>0.7657</v>
      </c>
      <c r="I73" s="1740">
        <v>0.5911</v>
      </c>
      <c r="J73" s="1740">
        <v>0.5911</v>
      </c>
      <c r="K73" s="1740">
        <v>0.5911</v>
      </c>
      <c r="L73" s="1740">
        <v>0.5911</v>
      </c>
      <c r="M73" s="1740">
        <v>0.5911</v>
      </c>
    </row>
    <row r="74" spans="1:13">
      <c r="A74" s="1737">
        <v>7.2</v>
      </c>
      <c r="B74" s="1740">
        <v>0.8749</v>
      </c>
      <c r="C74" s="1740">
        <v>0.8749</v>
      </c>
      <c r="D74" s="1740">
        <v>0.7638</v>
      </c>
      <c r="E74" s="1740">
        <v>0.7638</v>
      </c>
      <c r="F74" s="1740">
        <v>0.7638</v>
      </c>
      <c r="G74" s="1740">
        <v>0.7638</v>
      </c>
      <c r="H74" s="1740">
        <v>0.7638</v>
      </c>
      <c r="I74" s="1740">
        <v>0.5886</v>
      </c>
      <c r="J74" s="1740">
        <v>0.5886</v>
      </c>
      <c r="K74" s="1740">
        <v>0.5886</v>
      </c>
      <c r="L74" s="1740">
        <v>0.5886</v>
      </c>
      <c r="M74" s="1740">
        <v>0.5886</v>
      </c>
    </row>
    <row r="75" spans="1:13">
      <c r="A75" s="1737">
        <v>7.3</v>
      </c>
      <c r="B75" s="1740">
        <v>0.8733</v>
      </c>
      <c r="C75" s="1740">
        <v>0.8733</v>
      </c>
      <c r="D75" s="1740">
        <v>0.762</v>
      </c>
      <c r="E75" s="1740">
        <v>0.762</v>
      </c>
      <c r="F75" s="1740">
        <v>0.762</v>
      </c>
      <c r="G75" s="1740">
        <v>0.762</v>
      </c>
      <c r="H75" s="1740">
        <v>0.762</v>
      </c>
      <c r="I75" s="1740">
        <v>0.5862</v>
      </c>
      <c r="J75" s="1740">
        <v>0.5862</v>
      </c>
      <c r="K75" s="1740">
        <v>0.5862</v>
      </c>
      <c r="L75" s="1740">
        <v>0.5862</v>
      </c>
      <c r="M75" s="1740">
        <v>0.5862</v>
      </c>
    </row>
    <row r="76" spans="1:13">
      <c r="A76" s="1737">
        <v>7.4</v>
      </c>
      <c r="B76" s="1740">
        <v>0.8716</v>
      </c>
      <c r="C76" s="1740">
        <v>0.8716</v>
      </c>
      <c r="D76" s="1740">
        <v>0.7603</v>
      </c>
      <c r="E76" s="1740">
        <v>0.7603</v>
      </c>
      <c r="F76" s="1740">
        <v>0.7603</v>
      </c>
      <c r="G76" s="1740">
        <v>0.7603</v>
      </c>
      <c r="H76" s="1740">
        <v>0.7603</v>
      </c>
      <c r="I76" s="1740">
        <v>0.5838</v>
      </c>
      <c r="J76" s="1740">
        <v>0.5838</v>
      </c>
      <c r="K76" s="1740">
        <v>0.5838</v>
      </c>
      <c r="L76" s="1740">
        <v>0.5838</v>
      </c>
      <c r="M76" s="1740">
        <v>0.5838</v>
      </c>
    </row>
    <row r="77" spans="1:13">
      <c r="A77" s="1737">
        <v>7.5</v>
      </c>
      <c r="B77" s="1740">
        <v>0.87</v>
      </c>
      <c r="C77" s="1740">
        <v>0.87</v>
      </c>
      <c r="D77" s="1740">
        <v>0.7585</v>
      </c>
      <c r="E77" s="1740">
        <v>0.7585</v>
      </c>
      <c r="F77" s="1740">
        <v>0.7585</v>
      </c>
      <c r="G77" s="1740">
        <v>0.7585</v>
      </c>
      <c r="H77" s="1740">
        <v>0.7585</v>
      </c>
      <c r="I77" s="1740">
        <v>0.5814</v>
      </c>
      <c r="J77" s="1740">
        <v>0.5814</v>
      </c>
      <c r="K77" s="1740">
        <v>0.5814</v>
      </c>
      <c r="L77" s="1740">
        <v>0.5814</v>
      </c>
      <c r="M77" s="1740">
        <v>0.5814</v>
      </c>
    </row>
    <row r="78" spans="1:13">
      <c r="A78" s="1737">
        <v>7.6</v>
      </c>
      <c r="B78" s="1740">
        <v>0.8684</v>
      </c>
      <c r="C78" s="1740">
        <v>0.8684</v>
      </c>
      <c r="D78" s="1740">
        <v>0.7568</v>
      </c>
      <c r="E78" s="1740">
        <v>0.7568</v>
      </c>
      <c r="F78" s="1740">
        <v>0.7568</v>
      </c>
      <c r="G78" s="1740">
        <v>0.7568</v>
      </c>
      <c r="H78" s="1740">
        <v>0.7568</v>
      </c>
      <c r="I78" s="1740">
        <v>0.579</v>
      </c>
      <c r="J78" s="1740">
        <v>0.579</v>
      </c>
      <c r="K78" s="1740">
        <v>0.579</v>
      </c>
      <c r="L78" s="1740">
        <v>0.579</v>
      </c>
      <c r="M78" s="1740">
        <v>0.579</v>
      </c>
    </row>
    <row r="79" spans="1:13">
      <c r="A79" s="1737">
        <v>7.7</v>
      </c>
      <c r="B79" s="1740">
        <v>0.8669</v>
      </c>
      <c r="C79" s="1740">
        <v>0.8669</v>
      </c>
      <c r="D79" s="1740">
        <v>0.755</v>
      </c>
      <c r="E79" s="1740">
        <v>0.755</v>
      </c>
      <c r="F79" s="1740">
        <v>0.755</v>
      </c>
      <c r="G79" s="1740">
        <v>0.755</v>
      </c>
      <c r="H79" s="1740">
        <v>0.755</v>
      </c>
      <c r="I79" s="1740">
        <v>0.5767</v>
      </c>
      <c r="J79" s="1740">
        <v>0.5767</v>
      </c>
      <c r="K79" s="1740">
        <v>0.5767</v>
      </c>
      <c r="L79" s="1740">
        <v>0.5767</v>
      </c>
      <c r="M79" s="1740">
        <v>0.5767</v>
      </c>
    </row>
    <row r="80" spans="1:13">
      <c r="A80" s="1737">
        <v>7.8</v>
      </c>
      <c r="B80" s="1740">
        <v>0.8654</v>
      </c>
      <c r="C80" s="1740">
        <v>0.8654</v>
      </c>
      <c r="D80" s="1740">
        <v>0.7533</v>
      </c>
      <c r="E80" s="1740">
        <v>0.7533</v>
      </c>
      <c r="F80" s="1740">
        <v>0.7533</v>
      </c>
      <c r="G80" s="1740">
        <v>0.7533</v>
      </c>
      <c r="H80" s="1740">
        <v>0.7533</v>
      </c>
      <c r="I80" s="1740">
        <v>0.5745</v>
      </c>
      <c r="J80" s="1740">
        <v>0.5745</v>
      </c>
      <c r="K80" s="1740">
        <v>0.5745</v>
      </c>
      <c r="L80" s="1740">
        <v>0.5745</v>
      </c>
      <c r="M80" s="1740">
        <v>0.5745</v>
      </c>
    </row>
    <row r="81" spans="1:13">
      <c r="A81" s="1737">
        <v>7.9</v>
      </c>
      <c r="B81" s="1740">
        <v>0.8638</v>
      </c>
      <c r="C81" s="1740">
        <v>0.8638</v>
      </c>
      <c r="D81" s="1740">
        <v>0.7517</v>
      </c>
      <c r="E81" s="1740">
        <v>0.7517</v>
      </c>
      <c r="F81" s="1740">
        <v>0.7517</v>
      </c>
      <c r="G81" s="1740">
        <v>0.7517</v>
      </c>
      <c r="H81" s="1740">
        <v>0.7517</v>
      </c>
      <c r="I81" s="1740">
        <v>0.5722</v>
      </c>
      <c r="J81" s="1740">
        <v>0.5722</v>
      </c>
      <c r="K81" s="1740">
        <v>0.5722</v>
      </c>
      <c r="L81" s="1740">
        <v>0.5722</v>
      </c>
      <c r="M81" s="1740">
        <v>0.5722</v>
      </c>
    </row>
    <row r="82" spans="1:13">
      <c r="A82" s="1737">
        <v>8</v>
      </c>
      <c r="B82" s="1740">
        <v>0.8624</v>
      </c>
      <c r="C82" s="1740">
        <v>0.8624</v>
      </c>
      <c r="D82" s="1740">
        <v>0.75</v>
      </c>
      <c r="E82" s="1740">
        <v>0.75</v>
      </c>
      <c r="F82" s="1740">
        <v>0.75</v>
      </c>
      <c r="G82" s="1740">
        <v>0.75</v>
      </c>
      <c r="H82" s="1740">
        <v>0.75</v>
      </c>
      <c r="I82" s="1740">
        <v>0.5699</v>
      </c>
      <c r="J82" s="1740">
        <v>0.5699</v>
      </c>
      <c r="K82" s="1740">
        <v>0.5699</v>
      </c>
      <c r="L82" s="1740">
        <v>0.5699</v>
      </c>
      <c r="M82" s="1740">
        <v>0.5699</v>
      </c>
    </row>
    <row r="83" spans="1:13">
      <c r="A83" s="1737">
        <v>8.1</v>
      </c>
      <c r="B83" s="1740">
        <v>0.861</v>
      </c>
      <c r="C83" s="1740">
        <v>0.861</v>
      </c>
      <c r="D83" s="1740">
        <v>0.7485</v>
      </c>
      <c r="E83" s="1740">
        <v>0.7485</v>
      </c>
      <c r="F83" s="1740">
        <v>0.7485</v>
      </c>
      <c r="G83" s="1740">
        <v>0.7485</v>
      </c>
      <c r="H83" s="1740">
        <v>0.7485</v>
      </c>
      <c r="I83" s="1740">
        <v>0.5678</v>
      </c>
      <c r="J83" s="1740">
        <v>0.5678</v>
      </c>
      <c r="K83" s="1740">
        <v>0.5678</v>
      </c>
      <c r="L83" s="1740">
        <v>0.5678</v>
      </c>
      <c r="M83" s="1740">
        <v>0.5678</v>
      </c>
    </row>
    <row r="84" spans="1:13">
      <c r="A84" s="1737">
        <v>8.2</v>
      </c>
      <c r="B84" s="1740">
        <v>0.8597</v>
      </c>
      <c r="C84" s="1740">
        <v>0.8597</v>
      </c>
      <c r="D84" s="1740">
        <v>0.747</v>
      </c>
      <c r="E84" s="1740">
        <v>0.747</v>
      </c>
      <c r="F84" s="1740">
        <v>0.747</v>
      </c>
      <c r="G84" s="1740">
        <v>0.747</v>
      </c>
      <c r="H84" s="1740">
        <v>0.747</v>
      </c>
      <c r="I84" s="1740">
        <v>0.5659</v>
      </c>
      <c r="J84" s="1740">
        <v>0.5659</v>
      </c>
      <c r="K84" s="1740">
        <v>0.5659</v>
      </c>
      <c r="L84" s="1740">
        <v>0.5659</v>
      </c>
      <c r="M84" s="1740">
        <v>0.5659</v>
      </c>
    </row>
    <row r="85" spans="1:13">
      <c r="A85" s="1737">
        <v>8.3</v>
      </c>
      <c r="B85" s="1740">
        <v>0.8584</v>
      </c>
      <c r="C85" s="1740">
        <v>0.8584</v>
      </c>
      <c r="D85" s="1740">
        <v>0.7456</v>
      </c>
      <c r="E85" s="1740">
        <v>0.7456</v>
      </c>
      <c r="F85" s="1740">
        <v>0.7456</v>
      </c>
      <c r="G85" s="1740">
        <v>0.7456</v>
      </c>
      <c r="H85" s="1740">
        <v>0.7456</v>
      </c>
      <c r="I85" s="1740">
        <v>0.5639</v>
      </c>
      <c r="J85" s="1740">
        <v>0.5639</v>
      </c>
      <c r="K85" s="1740">
        <v>0.5639</v>
      </c>
      <c r="L85" s="1740">
        <v>0.5639</v>
      </c>
      <c r="M85" s="1740">
        <v>0.5639</v>
      </c>
    </row>
    <row r="86" spans="1:13">
      <c r="A86" s="1737">
        <v>8.4</v>
      </c>
      <c r="B86" s="1740">
        <v>0.8571</v>
      </c>
      <c r="C86" s="1740">
        <v>0.8571</v>
      </c>
      <c r="D86" s="1740">
        <v>0.7442</v>
      </c>
      <c r="E86" s="1740">
        <v>0.7442</v>
      </c>
      <c r="F86" s="1740">
        <v>0.7442</v>
      </c>
      <c r="G86" s="1740">
        <v>0.7442</v>
      </c>
      <c r="H86" s="1740">
        <v>0.7442</v>
      </c>
      <c r="I86" s="1740">
        <v>0.5619</v>
      </c>
      <c r="J86" s="1740">
        <v>0.5619</v>
      </c>
      <c r="K86" s="1740">
        <v>0.5619</v>
      </c>
      <c r="L86" s="1740">
        <v>0.5619</v>
      </c>
      <c r="M86" s="1740">
        <v>0.5619</v>
      </c>
    </row>
    <row r="87" spans="1:13">
      <c r="A87" s="1737">
        <v>8.5</v>
      </c>
      <c r="B87" s="1740">
        <v>0.8558</v>
      </c>
      <c r="C87" s="1740">
        <v>0.8558</v>
      </c>
      <c r="D87" s="1740">
        <v>0.7427</v>
      </c>
      <c r="E87" s="1740">
        <v>0.7427</v>
      </c>
      <c r="F87" s="1740">
        <v>0.7427</v>
      </c>
      <c r="G87" s="1740">
        <v>0.7427</v>
      </c>
      <c r="H87" s="1740">
        <v>0.7427</v>
      </c>
      <c r="I87" s="1740">
        <v>0.5599</v>
      </c>
      <c r="J87" s="1740">
        <v>0.5599</v>
      </c>
      <c r="K87" s="1740">
        <v>0.5599</v>
      </c>
      <c r="L87" s="1740">
        <v>0.5599</v>
      </c>
      <c r="M87" s="1740">
        <v>0.5599</v>
      </c>
    </row>
    <row r="88" spans="1:13">
      <c r="A88" s="1737">
        <v>8.6</v>
      </c>
      <c r="B88" s="1740">
        <v>0.8545</v>
      </c>
      <c r="C88" s="1740">
        <v>0.8545</v>
      </c>
      <c r="D88" s="1740">
        <v>0.7413</v>
      </c>
      <c r="E88" s="1740">
        <v>0.7413</v>
      </c>
      <c r="F88" s="1740">
        <v>0.7413</v>
      </c>
      <c r="G88" s="1740">
        <v>0.7413</v>
      </c>
      <c r="H88" s="1740">
        <v>0.7413</v>
      </c>
      <c r="I88" s="1740">
        <v>0.558</v>
      </c>
      <c r="J88" s="1740">
        <v>0.558</v>
      </c>
      <c r="K88" s="1740">
        <v>0.558</v>
      </c>
      <c r="L88" s="1740">
        <v>0.558</v>
      </c>
      <c r="M88" s="1740">
        <v>0.558</v>
      </c>
    </row>
    <row r="89" spans="1:13">
      <c r="A89" s="1737">
        <v>8.7</v>
      </c>
      <c r="B89" s="1740">
        <v>0.8533</v>
      </c>
      <c r="C89" s="1740">
        <v>0.8533</v>
      </c>
      <c r="D89" s="1740">
        <v>0.7399</v>
      </c>
      <c r="E89" s="1740">
        <v>0.7399</v>
      </c>
      <c r="F89" s="1740">
        <v>0.7399</v>
      </c>
      <c r="G89" s="1740">
        <v>0.7399</v>
      </c>
      <c r="H89" s="1740">
        <v>0.7399</v>
      </c>
      <c r="I89" s="1740">
        <v>0.556</v>
      </c>
      <c r="J89" s="1740">
        <v>0.556</v>
      </c>
      <c r="K89" s="1740">
        <v>0.556</v>
      </c>
      <c r="L89" s="1740">
        <v>0.556</v>
      </c>
      <c r="M89" s="1740">
        <v>0.556</v>
      </c>
    </row>
    <row r="90" spans="1:13">
      <c r="A90" s="1737">
        <v>8.8</v>
      </c>
      <c r="B90" s="1740">
        <v>0.8521</v>
      </c>
      <c r="C90" s="1740">
        <v>0.8521</v>
      </c>
      <c r="D90" s="1740">
        <v>0.7385</v>
      </c>
      <c r="E90" s="1740">
        <v>0.7385</v>
      </c>
      <c r="F90" s="1740">
        <v>0.7385</v>
      </c>
      <c r="G90" s="1740">
        <v>0.7385</v>
      </c>
      <c r="H90" s="1740">
        <v>0.7385</v>
      </c>
      <c r="I90" s="1740">
        <v>0.5542</v>
      </c>
      <c r="J90" s="1740">
        <v>0.5542</v>
      </c>
      <c r="K90" s="1740">
        <v>0.5542</v>
      </c>
      <c r="L90" s="1740">
        <v>0.5542</v>
      </c>
      <c r="M90" s="1740">
        <v>0.5542</v>
      </c>
    </row>
    <row r="91" spans="1:13">
      <c r="A91" s="1737">
        <v>8.9</v>
      </c>
      <c r="B91" s="1740">
        <v>0.851</v>
      </c>
      <c r="C91" s="1740">
        <v>0.851</v>
      </c>
      <c r="D91" s="1740">
        <v>0.7372</v>
      </c>
      <c r="E91" s="1740">
        <v>0.7372</v>
      </c>
      <c r="F91" s="1740">
        <v>0.7372</v>
      </c>
      <c r="G91" s="1740">
        <v>0.7372</v>
      </c>
      <c r="H91" s="1740">
        <v>0.7372</v>
      </c>
      <c r="I91" s="1740">
        <v>0.5523</v>
      </c>
      <c r="J91" s="1740">
        <v>0.5523</v>
      </c>
      <c r="K91" s="1740">
        <v>0.5523</v>
      </c>
      <c r="L91" s="1740">
        <v>0.5523</v>
      </c>
      <c r="M91" s="1740">
        <v>0.5523</v>
      </c>
    </row>
    <row r="92" spans="1:13">
      <c r="A92" s="1741">
        <v>9</v>
      </c>
      <c r="B92" s="1740">
        <v>0.8498</v>
      </c>
      <c r="C92" s="1740">
        <v>0.8498</v>
      </c>
      <c r="D92" s="1740">
        <v>0.7359</v>
      </c>
      <c r="E92" s="1740">
        <v>0.7359</v>
      </c>
      <c r="F92" s="1740">
        <v>0.7359</v>
      </c>
      <c r="G92" s="1740">
        <v>0.7359</v>
      </c>
      <c r="H92" s="1740">
        <v>0.7359</v>
      </c>
      <c r="I92" s="1740">
        <v>0.5505</v>
      </c>
      <c r="J92" s="1740">
        <v>0.5505</v>
      </c>
      <c r="K92" s="1740">
        <v>0.5505</v>
      </c>
      <c r="L92" s="1740">
        <v>0.5505</v>
      </c>
      <c r="M92" s="1740">
        <v>0.5505</v>
      </c>
    </row>
    <row r="93" spans="1:13">
      <c r="A93" s="1741">
        <v>9.1</v>
      </c>
      <c r="B93" s="1740">
        <v>0.8487</v>
      </c>
      <c r="C93" s="1740">
        <v>0.8487</v>
      </c>
      <c r="D93" s="1740">
        <v>0.7347</v>
      </c>
      <c r="E93" s="1740">
        <v>0.7347</v>
      </c>
      <c r="F93" s="1740">
        <v>0.7347</v>
      </c>
      <c r="G93" s="1740">
        <v>0.7347</v>
      </c>
      <c r="H93" s="1740">
        <v>0.7347</v>
      </c>
      <c r="I93" s="1740">
        <v>0.5488</v>
      </c>
      <c r="J93" s="1740">
        <v>0.5488</v>
      </c>
      <c r="K93" s="1740">
        <v>0.5488</v>
      </c>
      <c r="L93" s="1740">
        <v>0.5488</v>
      </c>
      <c r="M93" s="1740">
        <v>0.5488</v>
      </c>
    </row>
    <row r="94" spans="1:13">
      <c r="A94" s="1741">
        <v>9.2</v>
      </c>
      <c r="B94" s="1740">
        <v>0.8477</v>
      </c>
      <c r="C94" s="1740">
        <v>0.8477</v>
      </c>
      <c r="D94" s="1740">
        <v>0.7335</v>
      </c>
      <c r="E94" s="1740">
        <v>0.7335</v>
      </c>
      <c r="F94" s="1740">
        <v>0.7335</v>
      </c>
      <c r="G94" s="1740">
        <v>0.7335</v>
      </c>
      <c r="H94" s="1740">
        <v>0.7335</v>
      </c>
      <c r="I94" s="1740">
        <v>0.5471</v>
      </c>
      <c r="J94" s="1740">
        <v>0.5471</v>
      </c>
      <c r="K94" s="1740">
        <v>0.5471</v>
      </c>
      <c r="L94" s="1740">
        <v>0.5471</v>
      </c>
      <c r="M94" s="1740">
        <v>0.5471</v>
      </c>
    </row>
    <row r="95" spans="1:13">
      <c r="A95" s="1741">
        <v>9.3</v>
      </c>
      <c r="B95" s="1740">
        <v>0.8466</v>
      </c>
      <c r="C95" s="1740">
        <v>0.8466</v>
      </c>
      <c r="D95" s="1740">
        <v>0.7323</v>
      </c>
      <c r="E95" s="1740">
        <v>0.7323</v>
      </c>
      <c r="F95" s="1740">
        <v>0.7323</v>
      </c>
      <c r="G95" s="1740">
        <v>0.7323</v>
      </c>
      <c r="H95" s="1740">
        <v>0.7323</v>
      </c>
      <c r="I95" s="1740">
        <v>0.5454</v>
      </c>
      <c r="J95" s="1740">
        <v>0.5454</v>
      </c>
      <c r="K95" s="1740">
        <v>0.5454</v>
      </c>
      <c r="L95" s="1740">
        <v>0.5454</v>
      </c>
      <c r="M95" s="1740">
        <v>0.5454</v>
      </c>
    </row>
    <row r="96" spans="1:13">
      <c r="A96" s="1741">
        <v>9.4</v>
      </c>
      <c r="B96" s="1740">
        <v>0.8455</v>
      </c>
      <c r="C96" s="1740">
        <v>0.8455</v>
      </c>
      <c r="D96" s="1740">
        <v>0.7311</v>
      </c>
      <c r="E96" s="1740">
        <v>0.7311</v>
      </c>
      <c r="F96" s="1740">
        <v>0.7311</v>
      </c>
      <c r="G96" s="1740">
        <v>0.7311</v>
      </c>
      <c r="H96" s="1740">
        <v>0.7311</v>
      </c>
      <c r="I96" s="1740">
        <v>0.5437</v>
      </c>
      <c r="J96" s="1740">
        <v>0.5437</v>
      </c>
      <c r="K96" s="1740">
        <v>0.5437</v>
      </c>
      <c r="L96" s="1740">
        <v>0.5437</v>
      </c>
      <c r="M96" s="1740">
        <v>0.5437</v>
      </c>
    </row>
    <row r="97" spans="1:13">
      <c r="A97" s="1741">
        <v>9.5</v>
      </c>
      <c r="B97" s="1740">
        <v>0.8445</v>
      </c>
      <c r="C97" s="1740">
        <v>0.8445</v>
      </c>
      <c r="D97" s="1740">
        <v>0.7299</v>
      </c>
      <c r="E97" s="1740">
        <v>0.7299</v>
      </c>
      <c r="F97" s="1740">
        <v>0.7299</v>
      </c>
      <c r="G97" s="1740">
        <v>0.7299</v>
      </c>
      <c r="H97" s="1740">
        <v>0.7299</v>
      </c>
      <c r="I97" s="1740">
        <v>0.542</v>
      </c>
      <c r="J97" s="1740">
        <v>0.542</v>
      </c>
      <c r="K97" s="1740">
        <v>0.542</v>
      </c>
      <c r="L97" s="1740">
        <v>0.542</v>
      </c>
      <c r="M97" s="1740">
        <v>0.542</v>
      </c>
    </row>
    <row r="98" spans="1:13">
      <c r="A98" s="1741">
        <v>9.6</v>
      </c>
      <c r="B98" s="1740">
        <v>0.8434</v>
      </c>
      <c r="C98" s="1740">
        <v>0.8434</v>
      </c>
      <c r="D98" s="1740">
        <v>0.7287</v>
      </c>
      <c r="E98" s="1740">
        <v>0.7287</v>
      </c>
      <c r="F98" s="1740">
        <v>0.7287</v>
      </c>
      <c r="G98" s="1740">
        <v>0.7287</v>
      </c>
      <c r="H98" s="1740">
        <v>0.7287</v>
      </c>
      <c r="I98" s="1740">
        <v>0.5403</v>
      </c>
      <c r="J98" s="1740">
        <v>0.5403</v>
      </c>
      <c r="K98" s="1740">
        <v>0.5403</v>
      </c>
      <c r="L98" s="1740">
        <v>0.5403</v>
      </c>
      <c r="M98" s="1740">
        <v>0.5403</v>
      </c>
    </row>
    <row r="99" spans="1:13">
      <c r="A99" s="1741">
        <v>9.7</v>
      </c>
      <c r="B99" s="1740">
        <v>0.8423</v>
      </c>
      <c r="C99" s="1740">
        <v>0.8423</v>
      </c>
      <c r="D99" s="1740">
        <v>0.7275</v>
      </c>
      <c r="E99" s="1740">
        <v>0.7275</v>
      </c>
      <c r="F99" s="1740">
        <v>0.7275</v>
      </c>
      <c r="G99" s="1740">
        <v>0.7275</v>
      </c>
      <c r="H99" s="1740">
        <v>0.7275</v>
      </c>
      <c r="I99" s="1740">
        <v>0.5386</v>
      </c>
      <c r="J99" s="1740">
        <v>0.5386</v>
      </c>
      <c r="K99" s="1740">
        <v>0.5386</v>
      </c>
      <c r="L99" s="1740">
        <v>0.5386</v>
      </c>
      <c r="M99" s="1740">
        <v>0.5386</v>
      </c>
    </row>
    <row r="100" spans="1:13">
      <c r="A100" s="1741">
        <v>9.8</v>
      </c>
      <c r="B100" s="1740">
        <v>0.8414</v>
      </c>
      <c r="C100" s="1740">
        <v>0.8414</v>
      </c>
      <c r="D100" s="1740">
        <v>0.7263</v>
      </c>
      <c r="E100" s="1740">
        <v>0.7263</v>
      </c>
      <c r="F100" s="1740">
        <v>0.7263</v>
      </c>
      <c r="G100" s="1740">
        <v>0.7263</v>
      </c>
      <c r="H100" s="1740">
        <v>0.7263</v>
      </c>
      <c r="I100" s="1740">
        <v>0.5371</v>
      </c>
      <c r="J100" s="1740">
        <v>0.5371</v>
      </c>
      <c r="K100" s="1740">
        <v>0.5371</v>
      </c>
      <c r="L100" s="1740">
        <v>0.5371</v>
      </c>
      <c r="M100" s="1740">
        <v>0.5371</v>
      </c>
    </row>
    <row r="101" spans="1:13">
      <c r="A101" s="1741">
        <v>9.9</v>
      </c>
      <c r="B101" s="1740">
        <v>0.8405</v>
      </c>
      <c r="C101" s="1740">
        <v>0.8405</v>
      </c>
      <c r="D101" s="1740">
        <v>0.7252</v>
      </c>
      <c r="E101" s="1740">
        <v>0.7252</v>
      </c>
      <c r="F101" s="1740">
        <v>0.7252</v>
      </c>
      <c r="G101" s="1740">
        <v>0.7252</v>
      </c>
      <c r="H101" s="1740">
        <v>0.7252</v>
      </c>
      <c r="I101" s="1740">
        <v>0.5355</v>
      </c>
      <c r="J101" s="1740">
        <v>0.5355</v>
      </c>
      <c r="K101" s="1740">
        <v>0.5355</v>
      </c>
      <c r="L101" s="1740">
        <v>0.5355</v>
      </c>
      <c r="M101" s="1740">
        <v>0.5355</v>
      </c>
    </row>
    <row r="102" spans="1:13">
      <c r="A102" s="1741">
        <v>10</v>
      </c>
      <c r="B102" s="1740">
        <v>0.8395</v>
      </c>
      <c r="C102" s="1740">
        <v>0.8395</v>
      </c>
      <c r="D102" s="1740">
        <v>0.7241</v>
      </c>
      <c r="E102" s="1740">
        <v>0.7241</v>
      </c>
      <c r="F102" s="1740">
        <v>0.7241</v>
      </c>
      <c r="G102" s="1740">
        <v>0.7241</v>
      </c>
      <c r="H102" s="1740">
        <v>0.7241</v>
      </c>
      <c r="I102" s="1740">
        <v>0.534</v>
      </c>
      <c r="J102" s="1740">
        <v>0.534</v>
      </c>
      <c r="K102" s="1740">
        <v>0.534</v>
      </c>
      <c r="L102" s="1740">
        <v>0.534</v>
      </c>
      <c r="M102" s="1740">
        <v>0.534</v>
      </c>
    </row>
    <row r="103" ht="14.25" spans="1:14">
      <c r="A103" s="1735" t="s">
        <v>1800</v>
      </c>
      <c r="B103" s="1736"/>
      <c r="C103" s="1736"/>
      <c r="D103" s="1736"/>
      <c r="E103" s="1736"/>
      <c r="F103" s="1736"/>
      <c r="G103" s="1736"/>
      <c r="H103" s="1736"/>
      <c r="I103" s="1736"/>
      <c r="J103" s="1736"/>
      <c r="K103" s="1736"/>
      <c r="L103" s="1736"/>
      <c r="M103" s="1736"/>
      <c r="N103" s="1736"/>
    </row>
    <row r="104" ht="14.25" spans="1:14">
      <c r="A104" s="1737" t="s">
        <v>105</v>
      </c>
      <c r="B104" s="1738" t="s">
        <v>240</v>
      </c>
      <c r="C104" s="1738" t="s">
        <v>253</v>
      </c>
      <c r="D104" s="1738" t="s">
        <v>265</v>
      </c>
      <c r="E104" s="1738" t="s">
        <v>275</v>
      </c>
      <c r="F104" s="1738" t="s">
        <v>284</v>
      </c>
      <c r="G104" s="1738" t="s">
        <v>292</v>
      </c>
      <c r="H104" s="1739" t="s">
        <v>297</v>
      </c>
      <c r="I104" s="1739" t="s">
        <v>302</v>
      </c>
      <c r="J104" s="1742" t="s">
        <v>305</v>
      </c>
      <c r="K104" s="1742" t="s">
        <v>308</v>
      </c>
      <c r="L104" s="1742" t="s">
        <v>311</v>
      </c>
      <c r="M104" s="1742" t="s">
        <v>314</v>
      </c>
      <c r="N104" s="1736">
        <f>SUMPRODUCT((A105:A204=ROUNDDOWN(基准地价!G3,1))*(B104:M104=基准地价!G2)*(B105:M204))</f>
        <v>0</v>
      </c>
    </row>
    <row r="105" spans="1:13">
      <c r="A105" s="1737">
        <v>0.1</v>
      </c>
      <c r="B105" s="1740">
        <v>13.733</v>
      </c>
      <c r="C105" s="1740">
        <v>13.733</v>
      </c>
      <c r="D105" s="1740">
        <v>12.787</v>
      </c>
      <c r="E105" s="1740">
        <v>12.787</v>
      </c>
      <c r="F105" s="1740">
        <v>12.787</v>
      </c>
      <c r="G105" s="1740">
        <v>12.787</v>
      </c>
      <c r="H105" s="1740">
        <v>12.787</v>
      </c>
      <c r="I105" s="1740">
        <v>12.384</v>
      </c>
      <c r="J105" s="1740">
        <v>12.384</v>
      </c>
      <c r="K105" s="1740">
        <v>12.384</v>
      </c>
      <c r="L105" s="1740">
        <v>12.384</v>
      </c>
      <c r="M105" s="1740">
        <v>12.384</v>
      </c>
    </row>
    <row r="106" spans="1:13">
      <c r="A106" s="1737">
        <v>0.2</v>
      </c>
      <c r="B106" s="1740">
        <v>6.8665</v>
      </c>
      <c r="C106" s="1740">
        <v>6.8665</v>
      </c>
      <c r="D106" s="1740">
        <v>6.3935</v>
      </c>
      <c r="E106" s="1740">
        <v>6.3935</v>
      </c>
      <c r="F106" s="1740">
        <v>6.3935</v>
      </c>
      <c r="G106" s="1740">
        <v>6.3935</v>
      </c>
      <c r="H106" s="1740">
        <v>6.3935</v>
      </c>
      <c r="I106" s="1740">
        <v>6.192</v>
      </c>
      <c r="J106" s="1740">
        <v>6.192</v>
      </c>
      <c r="K106" s="1740">
        <v>6.192</v>
      </c>
      <c r="L106" s="1740">
        <v>6.192</v>
      </c>
      <c r="M106" s="1740">
        <v>6.192</v>
      </c>
    </row>
    <row r="107" spans="1:13">
      <c r="A107" s="1737">
        <v>0.3</v>
      </c>
      <c r="B107" s="1740">
        <v>4.5777</v>
      </c>
      <c r="C107" s="1740">
        <v>4.5777</v>
      </c>
      <c r="D107" s="1740">
        <v>4.2623</v>
      </c>
      <c r="E107" s="1740">
        <v>4.2623</v>
      </c>
      <c r="F107" s="1740">
        <v>4.2623</v>
      </c>
      <c r="G107" s="1740">
        <v>4.2623</v>
      </c>
      <c r="H107" s="1740">
        <v>4.2623</v>
      </c>
      <c r="I107" s="1740">
        <v>4.128</v>
      </c>
      <c r="J107" s="1740">
        <v>4.128</v>
      </c>
      <c r="K107" s="1740">
        <v>4.128</v>
      </c>
      <c r="L107" s="1740">
        <v>4.128</v>
      </c>
      <c r="M107" s="1740">
        <v>4.128</v>
      </c>
    </row>
    <row r="108" spans="1:13">
      <c r="A108" s="1737">
        <v>0.4</v>
      </c>
      <c r="B108" s="1740">
        <v>3.4333</v>
      </c>
      <c r="C108" s="1740">
        <v>3.4333</v>
      </c>
      <c r="D108" s="1740">
        <v>3.1968</v>
      </c>
      <c r="E108" s="1740">
        <v>3.1968</v>
      </c>
      <c r="F108" s="1740">
        <v>3.1968</v>
      </c>
      <c r="G108" s="1740">
        <v>3.1968</v>
      </c>
      <c r="H108" s="1740">
        <v>3.1968</v>
      </c>
      <c r="I108" s="1740">
        <v>3.096</v>
      </c>
      <c r="J108" s="1740">
        <v>3.096</v>
      </c>
      <c r="K108" s="1740">
        <v>3.096</v>
      </c>
      <c r="L108" s="1740">
        <v>3.096</v>
      </c>
      <c r="M108" s="1740">
        <v>3.096</v>
      </c>
    </row>
    <row r="109" spans="1:13">
      <c r="A109" s="1737">
        <v>0.5</v>
      </c>
      <c r="B109" s="1740">
        <v>2.7466</v>
      </c>
      <c r="C109" s="1740">
        <v>2.7466</v>
      </c>
      <c r="D109" s="1740">
        <v>2.5574</v>
      </c>
      <c r="E109" s="1740">
        <v>2.5574</v>
      </c>
      <c r="F109" s="1740">
        <v>2.5574</v>
      </c>
      <c r="G109" s="1740">
        <v>2.5574</v>
      </c>
      <c r="H109" s="1740">
        <v>2.5574</v>
      </c>
      <c r="I109" s="1740">
        <v>2.4768</v>
      </c>
      <c r="J109" s="1740">
        <v>2.4768</v>
      </c>
      <c r="K109" s="1740">
        <v>2.4768</v>
      </c>
      <c r="L109" s="1740">
        <v>2.4768</v>
      </c>
      <c r="M109" s="1740">
        <v>2.4768</v>
      </c>
    </row>
    <row r="110" spans="1:13">
      <c r="A110" s="1737">
        <v>0.6</v>
      </c>
      <c r="B110" s="1740">
        <v>2.2888</v>
      </c>
      <c r="C110" s="1740">
        <v>2.2888</v>
      </c>
      <c r="D110" s="1740">
        <v>2.1312</v>
      </c>
      <c r="E110" s="1740">
        <v>2.1312</v>
      </c>
      <c r="F110" s="1740">
        <v>2.1312</v>
      </c>
      <c r="G110" s="1740">
        <v>2.1312</v>
      </c>
      <c r="H110" s="1740">
        <v>2.1312</v>
      </c>
      <c r="I110" s="1740">
        <v>2.064</v>
      </c>
      <c r="J110" s="1740">
        <v>2.064</v>
      </c>
      <c r="K110" s="1740">
        <v>2.064</v>
      </c>
      <c r="L110" s="1740">
        <v>2.064</v>
      </c>
      <c r="M110" s="1740">
        <v>2.064</v>
      </c>
    </row>
    <row r="111" spans="1:13">
      <c r="A111" s="1737">
        <v>0.7</v>
      </c>
      <c r="B111" s="1740">
        <v>1.9619</v>
      </c>
      <c r="C111" s="1740">
        <v>1.9619</v>
      </c>
      <c r="D111" s="1740">
        <v>1.8267</v>
      </c>
      <c r="E111" s="1740">
        <v>1.8267</v>
      </c>
      <c r="F111" s="1740">
        <v>1.8267</v>
      </c>
      <c r="G111" s="1740">
        <v>1.8267</v>
      </c>
      <c r="H111" s="1740">
        <v>1.8267</v>
      </c>
      <c r="I111" s="1740">
        <v>1.7691</v>
      </c>
      <c r="J111" s="1740">
        <v>1.7691</v>
      </c>
      <c r="K111" s="1740">
        <v>1.7691</v>
      </c>
      <c r="L111" s="1740">
        <v>1.7691</v>
      </c>
      <c r="M111" s="1740">
        <v>1.7691</v>
      </c>
    </row>
    <row r="112" spans="1:13">
      <c r="A112" s="1737">
        <v>0.8</v>
      </c>
      <c r="B112" s="1740">
        <v>1.7166</v>
      </c>
      <c r="C112" s="1740">
        <v>1.7166</v>
      </c>
      <c r="D112" s="1740">
        <v>1.5984</v>
      </c>
      <c r="E112" s="1740">
        <v>1.5984</v>
      </c>
      <c r="F112" s="1740">
        <v>1.5984</v>
      </c>
      <c r="G112" s="1740">
        <v>1.5984</v>
      </c>
      <c r="H112" s="1740">
        <v>1.5984</v>
      </c>
      <c r="I112" s="1740">
        <v>1.548</v>
      </c>
      <c r="J112" s="1740">
        <v>1.548</v>
      </c>
      <c r="K112" s="1740">
        <v>1.548</v>
      </c>
      <c r="L112" s="1740">
        <v>1.548</v>
      </c>
      <c r="M112" s="1740">
        <v>1.548</v>
      </c>
    </row>
    <row r="113" spans="1:13">
      <c r="A113" s="1737">
        <v>0.9</v>
      </c>
      <c r="B113" s="1740">
        <v>1.5259</v>
      </c>
      <c r="C113" s="1740">
        <v>1.5259</v>
      </c>
      <c r="D113" s="1740">
        <v>1.4208</v>
      </c>
      <c r="E113" s="1740">
        <v>1.4208</v>
      </c>
      <c r="F113" s="1740">
        <v>1.4208</v>
      </c>
      <c r="G113" s="1740">
        <v>1.4208</v>
      </c>
      <c r="H113" s="1740">
        <v>1.4208</v>
      </c>
      <c r="I113" s="1740">
        <v>1.376</v>
      </c>
      <c r="J113" s="1740">
        <v>1.376</v>
      </c>
      <c r="K113" s="1740">
        <v>1.376</v>
      </c>
      <c r="L113" s="1740">
        <v>1.376</v>
      </c>
      <c r="M113" s="1740">
        <v>1.376</v>
      </c>
    </row>
    <row r="114" spans="1:13">
      <c r="A114" s="1737">
        <v>1</v>
      </c>
      <c r="B114" s="1740">
        <v>1.3733</v>
      </c>
      <c r="C114" s="1740">
        <v>1.3733</v>
      </c>
      <c r="D114" s="1740">
        <v>1.2787</v>
      </c>
      <c r="E114" s="1740">
        <v>1.2787</v>
      </c>
      <c r="F114" s="1740">
        <v>1.2787</v>
      </c>
      <c r="G114" s="1740">
        <v>1.2787</v>
      </c>
      <c r="H114" s="1740">
        <v>1.2787</v>
      </c>
      <c r="I114" s="1740">
        <v>1.2384</v>
      </c>
      <c r="J114" s="1740">
        <v>1.2384</v>
      </c>
      <c r="K114" s="1740">
        <v>1.2384</v>
      </c>
      <c r="L114" s="1740">
        <v>1.2384</v>
      </c>
      <c r="M114" s="1740">
        <v>1.2384</v>
      </c>
    </row>
    <row r="115" spans="1:13">
      <c r="A115" s="1737">
        <v>1.1</v>
      </c>
      <c r="B115" s="1740">
        <v>1.3489</v>
      </c>
      <c r="C115" s="1740">
        <v>1.3489</v>
      </c>
      <c r="D115" s="1740">
        <v>1.2542</v>
      </c>
      <c r="E115" s="1740">
        <v>1.2542</v>
      </c>
      <c r="F115" s="1740">
        <v>1.2542</v>
      </c>
      <c r="G115" s="1740">
        <v>1.2542</v>
      </c>
      <c r="H115" s="1740">
        <v>1.2542</v>
      </c>
      <c r="I115" s="1740">
        <v>1.205</v>
      </c>
      <c r="J115" s="1740">
        <v>1.205</v>
      </c>
      <c r="K115" s="1740">
        <v>1.205</v>
      </c>
      <c r="L115" s="1740">
        <v>1.205</v>
      </c>
      <c r="M115" s="1740">
        <v>1.205</v>
      </c>
    </row>
    <row r="116" spans="1:13">
      <c r="A116" s="1737">
        <v>1.2</v>
      </c>
      <c r="B116" s="1740">
        <v>1.3256</v>
      </c>
      <c r="C116" s="1740">
        <v>1.3256</v>
      </c>
      <c r="D116" s="1740">
        <v>1.2306</v>
      </c>
      <c r="E116" s="1740">
        <v>1.2306</v>
      </c>
      <c r="F116" s="1740">
        <v>1.2306</v>
      </c>
      <c r="G116" s="1740">
        <v>1.2306</v>
      </c>
      <c r="H116" s="1740">
        <v>1.2306</v>
      </c>
      <c r="I116" s="1740">
        <v>1.1742</v>
      </c>
      <c r="J116" s="1740">
        <v>1.1742</v>
      </c>
      <c r="K116" s="1740">
        <v>1.1742</v>
      </c>
      <c r="L116" s="1740">
        <v>1.1742</v>
      </c>
      <c r="M116" s="1740">
        <v>1.1742</v>
      </c>
    </row>
    <row r="117" spans="1:13">
      <c r="A117" s="1737">
        <v>1.3</v>
      </c>
      <c r="B117" s="1740">
        <v>1.3033</v>
      </c>
      <c r="C117" s="1740">
        <v>1.3033</v>
      </c>
      <c r="D117" s="1740">
        <v>1.2079</v>
      </c>
      <c r="E117" s="1740">
        <v>1.2079</v>
      </c>
      <c r="F117" s="1740">
        <v>1.2079</v>
      </c>
      <c r="G117" s="1740">
        <v>1.2079</v>
      </c>
      <c r="H117" s="1740">
        <v>1.2079</v>
      </c>
      <c r="I117" s="1740">
        <v>1.146</v>
      </c>
      <c r="J117" s="1740">
        <v>1.146</v>
      </c>
      <c r="K117" s="1740">
        <v>1.146</v>
      </c>
      <c r="L117" s="1740">
        <v>1.146</v>
      </c>
      <c r="M117" s="1740">
        <v>1.146</v>
      </c>
    </row>
    <row r="118" spans="1:13">
      <c r="A118" s="1737">
        <v>1.4</v>
      </c>
      <c r="B118" s="1740">
        <v>1.282</v>
      </c>
      <c r="C118" s="1740">
        <v>1.282</v>
      </c>
      <c r="D118" s="1740">
        <v>1.1862</v>
      </c>
      <c r="E118" s="1740">
        <v>1.1862</v>
      </c>
      <c r="F118" s="1740">
        <v>1.1862</v>
      </c>
      <c r="G118" s="1740">
        <v>1.1862</v>
      </c>
      <c r="H118" s="1740">
        <v>1.1862</v>
      </c>
      <c r="I118" s="1740">
        <v>1.12</v>
      </c>
      <c r="J118" s="1740">
        <v>1.12</v>
      </c>
      <c r="K118" s="1740">
        <v>1.12</v>
      </c>
      <c r="L118" s="1740">
        <v>1.12</v>
      </c>
      <c r="M118" s="1740">
        <v>1.12</v>
      </c>
    </row>
    <row r="119" spans="1:13">
      <c r="A119" s="1737">
        <v>1.5</v>
      </c>
      <c r="B119" s="1740">
        <v>1.2617</v>
      </c>
      <c r="C119" s="1740">
        <v>1.2617</v>
      </c>
      <c r="D119" s="1740">
        <v>1.1653</v>
      </c>
      <c r="E119" s="1740">
        <v>1.1653</v>
      </c>
      <c r="F119" s="1740">
        <v>1.1653</v>
      </c>
      <c r="G119" s="1740">
        <v>1.1653</v>
      </c>
      <c r="H119" s="1740">
        <v>1.1653</v>
      </c>
      <c r="I119" s="1740">
        <v>1.0961</v>
      </c>
      <c r="J119" s="1740">
        <v>1.0961</v>
      </c>
      <c r="K119" s="1740">
        <v>1.0961</v>
      </c>
      <c r="L119" s="1740">
        <v>1.0961</v>
      </c>
      <c r="M119" s="1740">
        <v>1.0961</v>
      </c>
    </row>
    <row r="120" spans="1:13">
      <c r="A120" s="1737">
        <v>1.6</v>
      </c>
      <c r="B120" s="1740">
        <v>1.2423</v>
      </c>
      <c r="C120" s="1740">
        <v>1.2423</v>
      </c>
      <c r="D120" s="1740">
        <v>1.1453</v>
      </c>
      <c r="E120" s="1740">
        <v>1.1453</v>
      </c>
      <c r="F120" s="1740">
        <v>1.1453</v>
      </c>
      <c r="G120" s="1740">
        <v>1.1453</v>
      </c>
      <c r="H120" s="1740">
        <v>1.1453</v>
      </c>
      <c r="I120" s="1740">
        <v>1.074</v>
      </c>
      <c r="J120" s="1740">
        <v>1.074</v>
      </c>
      <c r="K120" s="1740">
        <v>1.074</v>
      </c>
      <c r="L120" s="1740">
        <v>1.074</v>
      </c>
      <c r="M120" s="1740">
        <v>1.074</v>
      </c>
    </row>
    <row r="121" spans="1:13">
      <c r="A121" s="1737">
        <v>1.7</v>
      </c>
      <c r="B121" s="1740">
        <v>1.2237</v>
      </c>
      <c r="C121" s="1740">
        <v>1.2237</v>
      </c>
      <c r="D121" s="1740">
        <v>1.1261</v>
      </c>
      <c r="E121" s="1740">
        <v>1.1261</v>
      </c>
      <c r="F121" s="1740">
        <v>1.1261</v>
      </c>
      <c r="G121" s="1740">
        <v>1.1261</v>
      </c>
      <c r="H121" s="1740">
        <v>1.1261</v>
      </c>
      <c r="I121" s="1740">
        <v>1.0535</v>
      </c>
      <c r="J121" s="1740">
        <v>1.0535</v>
      </c>
      <c r="K121" s="1740">
        <v>1.0535</v>
      </c>
      <c r="L121" s="1740">
        <v>1.0535</v>
      </c>
      <c r="M121" s="1740">
        <v>1.0535</v>
      </c>
    </row>
    <row r="122" spans="1:13">
      <c r="A122" s="1737">
        <v>1.8</v>
      </c>
      <c r="B122" s="1740">
        <v>1.206</v>
      </c>
      <c r="C122" s="1740">
        <v>1.206</v>
      </c>
      <c r="D122" s="1740">
        <v>1.1077</v>
      </c>
      <c r="E122" s="1740">
        <v>1.1077</v>
      </c>
      <c r="F122" s="1740">
        <v>1.1077</v>
      </c>
      <c r="G122" s="1740">
        <v>1.1077</v>
      </c>
      <c r="H122" s="1740">
        <v>1.1077</v>
      </c>
      <c r="I122" s="1740">
        <v>1.0345</v>
      </c>
      <c r="J122" s="1740">
        <v>1.0345</v>
      </c>
      <c r="K122" s="1740">
        <v>1.0345</v>
      </c>
      <c r="L122" s="1740">
        <v>1.0345</v>
      </c>
      <c r="M122" s="1740">
        <v>1.0345</v>
      </c>
    </row>
    <row r="123" spans="1:13">
      <c r="A123" s="1737">
        <v>1.9</v>
      </c>
      <c r="B123" s="1740">
        <v>1.1891</v>
      </c>
      <c r="C123" s="1740">
        <v>1.1891</v>
      </c>
      <c r="D123" s="1740">
        <v>1.0901</v>
      </c>
      <c r="E123" s="1740">
        <v>1.0901</v>
      </c>
      <c r="F123" s="1740">
        <v>1.0901</v>
      </c>
      <c r="G123" s="1740">
        <v>1.0901</v>
      </c>
      <c r="H123" s="1740">
        <v>1.0901</v>
      </c>
      <c r="I123" s="1740">
        <v>1.0167</v>
      </c>
      <c r="J123" s="1740">
        <v>1.0167</v>
      </c>
      <c r="K123" s="1740">
        <v>1.0167</v>
      </c>
      <c r="L123" s="1740">
        <v>1.0167</v>
      </c>
      <c r="M123" s="1740">
        <v>1.0167</v>
      </c>
    </row>
    <row r="124" spans="1:13">
      <c r="A124" s="1737">
        <v>2</v>
      </c>
      <c r="B124" s="1740">
        <v>1.1729</v>
      </c>
      <c r="C124" s="1740">
        <v>1.1729</v>
      </c>
      <c r="D124" s="1740">
        <v>1.0733</v>
      </c>
      <c r="E124" s="1740">
        <v>1.0733</v>
      </c>
      <c r="F124" s="1740">
        <v>1.0733</v>
      </c>
      <c r="G124" s="1740">
        <v>1.0733</v>
      </c>
      <c r="H124" s="1740">
        <v>1.0733</v>
      </c>
      <c r="I124" s="1740">
        <v>1</v>
      </c>
      <c r="J124" s="1740">
        <v>1</v>
      </c>
      <c r="K124" s="1740">
        <v>1</v>
      </c>
      <c r="L124" s="1740">
        <v>1</v>
      </c>
      <c r="M124" s="1740">
        <v>1</v>
      </c>
    </row>
    <row r="125" spans="1:13">
      <c r="A125" s="1741">
        <v>2.1</v>
      </c>
      <c r="B125" s="1740">
        <v>1.1574</v>
      </c>
      <c r="C125" s="1740">
        <v>1.1574</v>
      </c>
      <c r="D125" s="1740">
        <v>1.0572</v>
      </c>
      <c r="E125" s="1740">
        <v>1.0572</v>
      </c>
      <c r="F125" s="1740">
        <v>1.0572</v>
      </c>
      <c r="G125" s="1740">
        <v>1.0572</v>
      </c>
      <c r="H125" s="1740">
        <v>1.0572</v>
      </c>
      <c r="I125" s="1740">
        <v>0.9841</v>
      </c>
      <c r="J125" s="1740">
        <v>0.9841</v>
      </c>
      <c r="K125" s="1740">
        <v>0.9841</v>
      </c>
      <c r="L125" s="1740">
        <v>0.9841</v>
      </c>
      <c r="M125" s="1740">
        <v>0.9841</v>
      </c>
    </row>
    <row r="126" spans="1:13">
      <c r="A126" s="1741">
        <v>2.2</v>
      </c>
      <c r="B126" s="1740">
        <v>1.1426</v>
      </c>
      <c r="C126" s="1740">
        <v>1.1426</v>
      </c>
      <c r="D126" s="1740">
        <v>1.0419</v>
      </c>
      <c r="E126" s="1740">
        <v>1.0419</v>
      </c>
      <c r="F126" s="1740">
        <v>1.0419</v>
      </c>
      <c r="G126" s="1740">
        <v>1.0419</v>
      </c>
      <c r="H126" s="1740">
        <v>1.0419</v>
      </c>
      <c r="I126" s="1740">
        <v>0.9689</v>
      </c>
      <c r="J126" s="1740">
        <v>0.9689</v>
      </c>
      <c r="K126" s="1740">
        <v>0.9689</v>
      </c>
      <c r="L126" s="1740">
        <v>0.9689</v>
      </c>
      <c r="M126" s="1740">
        <v>0.9689</v>
      </c>
    </row>
    <row r="127" spans="1:13">
      <c r="A127" s="1741">
        <v>2.3</v>
      </c>
      <c r="B127" s="1740">
        <v>1.1285</v>
      </c>
      <c r="C127" s="1740">
        <v>1.1285</v>
      </c>
      <c r="D127" s="1740">
        <v>1.0272</v>
      </c>
      <c r="E127" s="1740">
        <v>1.0272</v>
      </c>
      <c r="F127" s="1740">
        <v>1.0272</v>
      </c>
      <c r="G127" s="1740">
        <v>1.0272</v>
      </c>
      <c r="H127" s="1740">
        <v>1.0272</v>
      </c>
      <c r="I127" s="1740">
        <v>0.9544</v>
      </c>
      <c r="J127" s="1740">
        <v>0.9544</v>
      </c>
      <c r="K127" s="1740">
        <v>0.9544</v>
      </c>
      <c r="L127" s="1740">
        <v>0.9544</v>
      </c>
      <c r="M127" s="1740">
        <v>0.9544</v>
      </c>
    </row>
    <row r="128" spans="1:13">
      <c r="A128" s="1741">
        <v>2.4</v>
      </c>
      <c r="B128" s="1740">
        <v>1.1149</v>
      </c>
      <c r="C128" s="1740">
        <v>1.1149</v>
      </c>
      <c r="D128" s="1740">
        <v>1.0133</v>
      </c>
      <c r="E128" s="1740">
        <v>1.0133</v>
      </c>
      <c r="F128" s="1740">
        <v>1.0133</v>
      </c>
      <c r="G128" s="1740">
        <v>1.0133</v>
      </c>
      <c r="H128" s="1740">
        <v>1.0133</v>
      </c>
      <c r="I128" s="1740">
        <v>0.9405</v>
      </c>
      <c r="J128" s="1740">
        <v>0.9405</v>
      </c>
      <c r="K128" s="1740">
        <v>0.9405</v>
      </c>
      <c r="L128" s="1740">
        <v>0.9405</v>
      </c>
      <c r="M128" s="1740">
        <v>0.9405</v>
      </c>
    </row>
    <row r="129" spans="1:13">
      <c r="A129" s="1741">
        <v>2.5</v>
      </c>
      <c r="B129" s="1740">
        <v>1.102</v>
      </c>
      <c r="C129" s="1740">
        <v>1.102</v>
      </c>
      <c r="D129" s="1740">
        <v>1</v>
      </c>
      <c r="E129" s="1740">
        <v>1</v>
      </c>
      <c r="F129" s="1740">
        <v>1</v>
      </c>
      <c r="G129" s="1740">
        <v>1</v>
      </c>
      <c r="H129" s="1740">
        <v>1</v>
      </c>
      <c r="I129" s="1740">
        <v>0.9273</v>
      </c>
      <c r="J129" s="1740">
        <v>0.9273</v>
      </c>
      <c r="K129" s="1740">
        <v>0.9273</v>
      </c>
      <c r="L129" s="1740">
        <v>0.9273</v>
      </c>
      <c r="M129" s="1740">
        <v>0.9273</v>
      </c>
    </row>
    <row r="130" spans="1:13">
      <c r="A130" s="1741">
        <v>2.6</v>
      </c>
      <c r="B130" s="1740">
        <v>1.0896</v>
      </c>
      <c r="C130" s="1740">
        <v>1.0896</v>
      </c>
      <c r="D130" s="1740">
        <v>0.9874</v>
      </c>
      <c r="E130" s="1740">
        <v>0.9874</v>
      </c>
      <c r="F130" s="1740">
        <v>0.9874</v>
      </c>
      <c r="G130" s="1740">
        <v>0.9874</v>
      </c>
      <c r="H130" s="1740">
        <v>0.9874</v>
      </c>
      <c r="I130" s="1740">
        <v>0.9147</v>
      </c>
      <c r="J130" s="1740">
        <v>0.9147</v>
      </c>
      <c r="K130" s="1740">
        <v>0.9147</v>
      </c>
      <c r="L130" s="1740">
        <v>0.9147</v>
      </c>
      <c r="M130" s="1740">
        <v>0.9147</v>
      </c>
    </row>
    <row r="131" spans="1:13">
      <c r="A131" s="1741">
        <v>2.7</v>
      </c>
      <c r="B131" s="1740">
        <v>1.0778</v>
      </c>
      <c r="C131" s="1740">
        <v>1.0778</v>
      </c>
      <c r="D131" s="1740">
        <v>0.9754</v>
      </c>
      <c r="E131" s="1740">
        <v>0.9754</v>
      </c>
      <c r="F131" s="1740">
        <v>0.9754</v>
      </c>
      <c r="G131" s="1740">
        <v>0.9754</v>
      </c>
      <c r="H131" s="1740">
        <v>0.9754</v>
      </c>
      <c r="I131" s="1740">
        <v>0.9027</v>
      </c>
      <c r="J131" s="1740">
        <v>0.9027</v>
      </c>
      <c r="K131" s="1740">
        <v>0.9027</v>
      </c>
      <c r="L131" s="1740">
        <v>0.9027</v>
      </c>
      <c r="M131" s="1740">
        <v>0.9027</v>
      </c>
    </row>
    <row r="132" spans="1:13">
      <c r="A132" s="1741">
        <v>2.8</v>
      </c>
      <c r="B132" s="1740">
        <v>1.0665</v>
      </c>
      <c r="C132" s="1740">
        <v>1.0665</v>
      </c>
      <c r="D132" s="1740">
        <v>0.964</v>
      </c>
      <c r="E132" s="1740">
        <v>0.964</v>
      </c>
      <c r="F132" s="1740">
        <v>0.964</v>
      </c>
      <c r="G132" s="1740">
        <v>0.964</v>
      </c>
      <c r="H132" s="1740">
        <v>0.964</v>
      </c>
      <c r="I132" s="1740">
        <v>0.8912</v>
      </c>
      <c r="J132" s="1740">
        <v>0.8912</v>
      </c>
      <c r="K132" s="1740">
        <v>0.8912</v>
      </c>
      <c r="L132" s="1740">
        <v>0.8912</v>
      </c>
      <c r="M132" s="1740">
        <v>0.8912</v>
      </c>
    </row>
    <row r="133" spans="1:13">
      <c r="A133" s="1741">
        <v>2.9</v>
      </c>
      <c r="B133" s="1740">
        <v>1.0556</v>
      </c>
      <c r="C133" s="1740">
        <v>1.0556</v>
      </c>
      <c r="D133" s="1740">
        <v>0.9533</v>
      </c>
      <c r="E133" s="1740">
        <v>0.9533</v>
      </c>
      <c r="F133" s="1740">
        <v>0.9533</v>
      </c>
      <c r="G133" s="1740">
        <v>0.9533</v>
      </c>
      <c r="H133" s="1740">
        <v>0.9533</v>
      </c>
      <c r="I133" s="1740">
        <v>0.8802</v>
      </c>
      <c r="J133" s="1740">
        <v>0.8802</v>
      </c>
      <c r="K133" s="1740">
        <v>0.8802</v>
      </c>
      <c r="L133" s="1740">
        <v>0.8802</v>
      </c>
      <c r="M133" s="1740">
        <v>0.8802</v>
      </c>
    </row>
    <row r="134" spans="1:13">
      <c r="A134" s="1741">
        <v>3</v>
      </c>
      <c r="B134" s="1740">
        <v>1.0453</v>
      </c>
      <c r="C134" s="1740">
        <v>1.0453</v>
      </c>
      <c r="D134" s="1740">
        <v>0.943</v>
      </c>
      <c r="E134" s="1740">
        <v>0.943</v>
      </c>
      <c r="F134" s="1740">
        <v>0.943</v>
      </c>
      <c r="G134" s="1740">
        <v>0.943</v>
      </c>
      <c r="H134" s="1740">
        <v>0.943</v>
      </c>
      <c r="I134" s="1740">
        <v>0.8697</v>
      </c>
      <c r="J134" s="1740">
        <v>0.8697</v>
      </c>
      <c r="K134" s="1740">
        <v>0.8697</v>
      </c>
      <c r="L134" s="1740">
        <v>0.8697</v>
      </c>
      <c r="M134" s="1740">
        <v>0.8697</v>
      </c>
    </row>
    <row r="135" spans="1:13">
      <c r="A135" s="1741">
        <v>3.1</v>
      </c>
      <c r="B135" s="1740">
        <v>1.0354</v>
      </c>
      <c r="C135" s="1740">
        <v>1.0354</v>
      </c>
      <c r="D135" s="1740">
        <v>0.9333</v>
      </c>
      <c r="E135" s="1740">
        <v>0.9333</v>
      </c>
      <c r="F135" s="1740">
        <v>0.9333</v>
      </c>
      <c r="G135" s="1740">
        <v>0.9333</v>
      </c>
      <c r="H135" s="1740">
        <v>0.9333</v>
      </c>
      <c r="I135" s="1740">
        <v>0.8597</v>
      </c>
      <c r="J135" s="1740">
        <v>0.8597</v>
      </c>
      <c r="K135" s="1740">
        <v>0.8597</v>
      </c>
      <c r="L135" s="1740">
        <v>0.8597</v>
      </c>
      <c r="M135" s="1740">
        <v>0.8597</v>
      </c>
    </row>
    <row r="136" spans="1:13">
      <c r="A136" s="1741">
        <v>3.2</v>
      </c>
      <c r="B136" s="1740">
        <v>1.0259</v>
      </c>
      <c r="C136" s="1740">
        <v>1.0259</v>
      </c>
      <c r="D136" s="1740">
        <v>0.9241</v>
      </c>
      <c r="E136" s="1740">
        <v>0.9241</v>
      </c>
      <c r="F136" s="1740">
        <v>0.9241</v>
      </c>
      <c r="G136" s="1740">
        <v>0.9241</v>
      </c>
      <c r="H136" s="1740">
        <v>0.9241</v>
      </c>
      <c r="I136" s="1740">
        <v>0.8502</v>
      </c>
      <c r="J136" s="1740">
        <v>0.8502</v>
      </c>
      <c r="K136" s="1740">
        <v>0.8502</v>
      </c>
      <c r="L136" s="1740">
        <v>0.8502</v>
      </c>
      <c r="M136" s="1740">
        <v>0.8502</v>
      </c>
    </row>
    <row r="137" spans="1:13">
      <c r="A137" s="1741">
        <v>3.3</v>
      </c>
      <c r="B137" s="1740">
        <v>1.0169</v>
      </c>
      <c r="C137" s="1740">
        <v>1.0169</v>
      </c>
      <c r="D137" s="1740">
        <v>0.9154</v>
      </c>
      <c r="E137" s="1740">
        <v>0.9154</v>
      </c>
      <c r="F137" s="1740">
        <v>0.9154</v>
      </c>
      <c r="G137" s="1740">
        <v>0.9154</v>
      </c>
      <c r="H137" s="1740">
        <v>0.9154</v>
      </c>
      <c r="I137" s="1740">
        <v>0.8411</v>
      </c>
      <c r="J137" s="1740">
        <v>0.8411</v>
      </c>
      <c r="K137" s="1740">
        <v>0.8411</v>
      </c>
      <c r="L137" s="1740">
        <v>0.8411</v>
      </c>
      <c r="M137" s="1740">
        <v>0.8411</v>
      </c>
    </row>
    <row r="138" spans="1:13">
      <c r="A138" s="1741">
        <v>3.4</v>
      </c>
      <c r="B138" s="1740">
        <v>1.0082</v>
      </c>
      <c r="C138" s="1740">
        <v>1.0082</v>
      </c>
      <c r="D138" s="1740">
        <v>0.9071</v>
      </c>
      <c r="E138" s="1740">
        <v>0.9071</v>
      </c>
      <c r="F138" s="1740">
        <v>0.9071</v>
      </c>
      <c r="G138" s="1740">
        <v>0.9071</v>
      </c>
      <c r="H138" s="1740">
        <v>0.9071</v>
      </c>
      <c r="I138" s="1740">
        <v>0.8324</v>
      </c>
      <c r="J138" s="1740">
        <v>0.8324</v>
      </c>
      <c r="K138" s="1740">
        <v>0.8324</v>
      </c>
      <c r="L138" s="1740">
        <v>0.8324</v>
      </c>
      <c r="M138" s="1740">
        <v>0.8324</v>
      </c>
    </row>
    <row r="139" spans="1:13">
      <c r="A139" s="1741">
        <v>3.5</v>
      </c>
      <c r="B139" s="1740">
        <v>1</v>
      </c>
      <c r="C139" s="1740">
        <v>1</v>
      </c>
      <c r="D139" s="1740">
        <v>0.8993</v>
      </c>
      <c r="E139" s="1740">
        <v>0.8993</v>
      </c>
      <c r="F139" s="1740">
        <v>0.8993</v>
      </c>
      <c r="G139" s="1740">
        <v>0.8993</v>
      </c>
      <c r="H139" s="1740">
        <v>0.8993</v>
      </c>
      <c r="I139" s="1740">
        <v>0.8241</v>
      </c>
      <c r="J139" s="1740">
        <v>0.8241</v>
      </c>
      <c r="K139" s="1740">
        <v>0.8241</v>
      </c>
      <c r="L139" s="1740">
        <v>0.8241</v>
      </c>
      <c r="M139" s="1740">
        <v>0.8241</v>
      </c>
    </row>
    <row r="140" spans="1:13">
      <c r="A140" s="1741">
        <v>3.6</v>
      </c>
      <c r="B140" s="1740">
        <v>0.9922</v>
      </c>
      <c r="C140" s="1740">
        <v>0.9922</v>
      </c>
      <c r="D140" s="1740">
        <v>0.8919</v>
      </c>
      <c r="E140" s="1740">
        <v>0.8919</v>
      </c>
      <c r="F140" s="1740">
        <v>0.8919</v>
      </c>
      <c r="G140" s="1740">
        <v>0.8919</v>
      </c>
      <c r="H140" s="1740">
        <v>0.8919</v>
      </c>
      <c r="I140" s="1740">
        <v>0.8162</v>
      </c>
      <c r="J140" s="1740">
        <v>0.8162</v>
      </c>
      <c r="K140" s="1740">
        <v>0.8162</v>
      </c>
      <c r="L140" s="1740">
        <v>0.8162</v>
      </c>
      <c r="M140" s="1740">
        <v>0.8162</v>
      </c>
    </row>
    <row r="141" spans="1:13">
      <c r="A141" s="1741">
        <v>3.7</v>
      </c>
      <c r="B141" s="1740">
        <v>0.9848</v>
      </c>
      <c r="C141" s="1740">
        <v>0.9848</v>
      </c>
      <c r="D141" s="1740">
        <v>0.8848</v>
      </c>
      <c r="E141" s="1740">
        <v>0.8848</v>
      </c>
      <c r="F141" s="1740">
        <v>0.8848</v>
      </c>
      <c r="G141" s="1740">
        <v>0.8848</v>
      </c>
      <c r="H141" s="1740">
        <v>0.8848</v>
      </c>
      <c r="I141" s="1740">
        <v>0.8087</v>
      </c>
      <c r="J141" s="1740">
        <v>0.8087</v>
      </c>
      <c r="K141" s="1740">
        <v>0.8087</v>
      </c>
      <c r="L141" s="1740">
        <v>0.8087</v>
      </c>
      <c r="M141" s="1740">
        <v>0.8087</v>
      </c>
    </row>
    <row r="142" spans="1:13">
      <c r="A142" s="1741">
        <v>3.8</v>
      </c>
      <c r="B142" s="1740">
        <v>0.9778</v>
      </c>
      <c r="C142" s="1740">
        <v>0.9778</v>
      </c>
      <c r="D142" s="1740">
        <v>0.8781</v>
      </c>
      <c r="E142" s="1740">
        <v>0.8781</v>
      </c>
      <c r="F142" s="1740">
        <v>0.8781</v>
      </c>
      <c r="G142" s="1740">
        <v>0.8781</v>
      </c>
      <c r="H142" s="1740">
        <v>0.8781</v>
      </c>
      <c r="I142" s="1740">
        <v>0.8016</v>
      </c>
      <c r="J142" s="1740">
        <v>0.8016</v>
      </c>
      <c r="K142" s="1740">
        <v>0.8016</v>
      </c>
      <c r="L142" s="1740">
        <v>0.8016</v>
      </c>
      <c r="M142" s="1740">
        <v>0.8016</v>
      </c>
    </row>
    <row r="143" spans="1:13">
      <c r="A143" s="1741">
        <v>3.9</v>
      </c>
      <c r="B143" s="1740">
        <v>0.9712</v>
      </c>
      <c r="C143" s="1740">
        <v>0.9712</v>
      </c>
      <c r="D143" s="1740">
        <v>0.8718</v>
      </c>
      <c r="E143" s="1740">
        <v>0.8718</v>
      </c>
      <c r="F143" s="1740">
        <v>0.8718</v>
      </c>
      <c r="G143" s="1740">
        <v>0.8718</v>
      </c>
      <c r="H143" s="1740">
        <v>0.8718</v>
      </c>
      <c r="I143" s="1740">
        <v>0.7948</v>
      </c>
      <c r="J143" s="1740">
        <v>0.7948</v>
      </c>
      <c r="K143" s="1740">
        <v>0.7948</v>
      </c>
      <c r="L143" s="1740">
        <v>0.7948</v>
      </c>
      <c r="M143" s="1740">
        <v>0.7948</v>
      </c>
    </row>
    <row r="144" spans="1:13">
      <c r="A144" s="1741">
        <v>4</v>
      </c>
      <c r="B144" s="1740">
        <v>0.965</v>
      </c>
      <c r="C144" s="1740">
        <v>0.965</v>
      </c>
      <c r="D144" s="1740">
        <v>0.8658</v>
      </c>
      <c r="E144" s="1740">
        <v>0.8658</v>
      </c>
      <c r="F144" s="1740">
        <v>0.8658</v>
      </c>
      <c r="G144" s="1740">
        <v>0.8658</v>
      </c>
      <c r="H144" s="1740">
        <v>0.8658</v>
      </c>
      <c r="I144" s="1740">
        <v>0.7883</v>
      </c>
      <c r="J144" s="1740">
        <v>0.7883</v>
      </c>
      <c r="K144" s="1740">
        <v>0.7883</v>
      </c>
      <c r="L144" s="1740">
        <v>0.7883</v>
      </c>
      <c r="M144" s="1740">
        <v>0.7883</v>
      </c>
    </row>
    <row r="145" spans="1:13">
      <c r="A145" s="1741">
        <v>4.1</v>
      </c>
      <c r="B145" s="1740">
        <v>0.9591</v>
      </c>
      <c r="C145" s="1740">
        <v>0.9591</v>
      </c>
      <c r="D145" s="1740">
        <v>0.8601</v>
      </c>
      <c r="E145" s="1740">
        <v>0.8601</v>
      </c>
      <c r="F145" s="1740">
        <v>0.8601</v>
      </c>
      <c r="G145" s="1740">
        <v>0.8601</v>
      </c>
      <c r="H145" s="1740">
        <v>0.8601</v>
      </c>
      <c r="I145" s="1740">
        <v>0.782</v>
      </c>
      <c r="J145" s="1740">
        <v>0.782</v>
      </c>
      <c r="K145" s="1740">
        <v>0.782</v>
      </c>
      <c r="L145" s="1740">
        <v>0.782</v>
      </c>
      <c r="M145" s="1740">
        <v>0.782</v>
      </c>
    </row>
    <row r="146" spans="1:13">
      <c r="A146" s="1741">
        <v>4.2</v>
      </c>
      <c r="B146" s="1740">
        <v>0.9535</v>
      </c>
      <c r="C146" s="1740">
        <v>0.9535</v>
      </c>
      <c r="D146" s="1740">
        <v>0.8547</v>
      </c>
      <c r="E146" s="1740">
        <v>0.8547</v>
      </c>
      <c r="F146" s="1740">
        <v>0.8547</v>
      </c>
      <c r="G146" s="1740">
        <v>0.8547</v>
      </c>
      <c r="H146" s="1740">
        <v>0.8547</v>
      </c>
      <c r="I146" s="1740">
        <v>0.776</v>
      </c>
      <c r="J146" s="1740">
        <v>0.776</v>
      </c>
      <c r="K146" s="1740">
        <v>0.776</v>
      </c>
      <c r="L146" s="1740">
        <v>0.776</v>
      </c>
      <c r="M146" s="1740">
        <v>0.776</v>
      </c>
    </row>
    <row r="147" spans="1:13">
      <c r="A147" s="1741">
        <v>4.3</v>
      </c>
      <c r="B147" s="1740">
        <v>0.9482</v>
      </c>
      <c r="C147" s="1740">
        <v>0.9482</v>
      </c>
      <c r="D147" s="1740">
        <v>0.8496</v>
      </c>
      <c r="E147" s="1740">
        <v>0.8496</v>
      </c>
      <c r="F147" s="1740">
        <v>0.8496</v>
      </c>
      <c r="G147" s="1740">
        <v>0.8496</v>
      </c>
      <c r="H147" s="1740">
        <v>0.8496</v>
      </c>
      <c r="I147" s="1740">
        <v>0.7703</v>
      </c>
      <c r="J147" s="1740">
        <v>0.7703</v>
      </c>
      <c r="K147" s="1740">
        <v>0.7703</v>
      </c>
      <c r="L147" s="1740">
        <v>0.7703</v>
      </c>
      <c r="M147" s="1740">
        <v>0.7703</v>
      </c>
    </row>
    <row r="148" spans="1:13">
      <c r="A148" s="1741">
        <v>4.4</v>
      </c>
      <c r="B148" s="1740">
        <v>0.9432</v>
      </c>
      <c r="C148" s="1740">
        <v>0.9432</v>
      </c>
      <c r="D148" s="1740">
        <v>0.8448</v>
      </c>
      <c r="E148" s="1740">
        <v>0.8448</v>
      </c>
      <c r="F148" s="1740">
        <v>0.8448</v>
      </c>
      <c r="G148" s="1740">
        <v>0.8448</v>
      </c>
      <c r="H148" s="1740">
        <v>0.8448</v>
      </c>
      <c r="I148" s="1740">
        <v>0.7649</v>
      </c>
      <c r="J148" s="1740">
        <v>0.7649</v>
      </c>
      <c r="K148" s="1740">
        <v>0.7649</v>
      </c>
      <c r="L148" s="1740">
        <v>0.7649</v>
      </c>
      <c r="M148" s="1740">
        <v>0.7649</v>
      </c>
    </row>
    <row r="149" spans="1:13">
      <c r="A149" s="1741">
        <v>4.5</v>
      </c>
      <c r="B149" s="1740">
        <v>0.9385</v>
      </c>
      <c r="C149" s="1740">
        <v>0.9385</v>
      </c>
      <c r="D149" s="1740">
        <v>0.8402</v>
      </c>
      <c r="E149" s="1740">
        <v>0.8402</v>
      </c>
      <c r="F149" s="1740">
        <v>0.8402</v>
      </c>
      <c r="G149" s="1740">
        <v>0.8402</v>
      </c>
      <c r="H149" s="1740">
        <v>0.8402</v>
      </c>
      <c r="I149" s="1740">
        <v>0.7597</v>
      </c>
      <c r="J149" s="1740">
        <v>0.7597</v>
      </c>
      <c r="K149" s="1740">
        <v>0.7597</v>
      </c>
      <c r="L149" s="1740">
        <v>0.7597</v>
      </c>
      <c r="M149" s="1740">
        <v>0.7597</v>
      </c>
    </row>
    <row r="150" spans="1:13">
      <c r="A150" s="1741">
        <v>4.6</v>
      </c>
      <c r="B150" s="1740">
        <v>0.9341</v>
      </c>
      <c r="C150" s="1740">
        <v>0.9341</v>
      </c>
      <c r="D150" s="1740">
        <v>0.8358</v>
      </c>
      <c r="E150" s="1740">
        <v>0.8358</v>
      </c>
      <c r="F150" s="1740">
        <v>0.8358</v>
      </c>
      <c r="G150" s="1740">
        <v>0.8358</v>
      </c>
      <c r="H150" s="1740">
        <v>0.8358</v>
      </c>
      <c r="I150" s="1740">
        <v>0.7547</v>
      </c>
      <c r="J150" s="1740">
        <v>0.7547</v>
      </c>
      <c r="K150" s="1740">
        <v>0.7547</v>
      </c>
      <c r="L150" s="1740">
        <v>0.7547</v>
      </c>
      <c r="M150" s="1740">
        <v>0.7547</v>
      </c>
    </row>
    <row r="151" spans="1:13">
      <c r="A151" s="1741">
        <v>4.7</v>
      </c>
      <c r="B151" s="1740">
        <v>0.9299</v>
      </c>
      <c r="C151" s="1740">
        <v>0.9299</v>
      </c>
      <c r="D151" s="1740">
        <v>0.8316</v>
      </c>
      <c r="E151" s="1740">
        <v>0.8316</v>
      </c>
      <c r="F151" s="1740">
        <v>0.8316</v>
      </c>
      <c r="G151" s="1740">
        <v>0.8316</v>
      </c>
      <c r="H151" s="1740">
        <v>0.8316</v>
      </c>
      <c r="I151" s="1740">
        <v>0.7499</v>
      </c>
      <c r="J151" s="1740">
        <v>0.7499</v>
      </c>
      <c r="K151" s="1740">
        <v>0.7499</v>
      </c>
      <c r="L151" s="1740">
        <v>0.7499</v>
      </c>
      <c r="M151" s="1740">
        <v>0.7499</v>
      </c>
    </row>
    <row r="152" spans="1:13">
      <c r="A152" s="1741">
        <v>4.8</v>
      </c>
      <c r="B152" s="1740">
        <v>0.9259</v>
      </c>
      <c r="C152" s="1740">
        <v>0.9259</v>
      </c>
      <c r="D152" s="1740">
        <v>0.8277</v>
      </c>
      <c r="E152" s="1740">
        <v>0.8277</v>
      </c>
      <c r="F152" s="1740">
        <v>0.8277</v>
      </c>
      <c r="G152" s="1740">
        <v>0.8277</v>
      </c>
      <c r="H152" s="1740">
        <v>0.8277</v>
      </c>
      <c r="I152" s="1740">
        <v>0.7453</v>
      </c>
      <c r="J152" s="1740">
        <v>0.7453</v>
      </c>
      <c r="K152" s="1740">
        <v>0.7453</v>
      </c>
      <c r="L152" s="1740">
        <v>0.7453</v>
      </c>
      <c r="M152" s="1740">
        <v>0.7453</v>
      </c>
    </row>
    <row r="153" spans="1:13">
      <c r="A153" s="1741">
        <v>4.9</v>
      </c>
      <c r="B153" s="1740">
        <v>0.9221</v>
      </c>
      <c r="C153" s="1740">
        <v>0.9221</v>
      </c>
      <c r="D153" s="1740">
        <v>0.8239</v>
      </c>
      <c r="E153" s="1740">
        <v>0.8239</v>
      </c>
      <c r="F153" s="1740">
        <v>0.8239</v>
      </c>
      <c r="G153" s="1740">
        <v>0.8239</v>
      </c>
      <c r="H153" s="1740">
        <v>0.8239</v>
      </c>
      <c r="I153" s="1740">
        <v>0.7409</v>
      </c>
      <c r="J153" s="1740">
        <v>0.7409</v>
      </c>
      <c r="K153" s="1740">
        <v>0.7409</v>
      </c>
      <c r="L153" s="1740">
        <v>0.7409</v>
      </c>
      <c r="M153" s="1740">
        <v>0.7409</v>
      </c>
    </row>
    <row r="154" spans="1:13">
      <c r="A154" s="1741">
        <v>5</v>
      </c>
      <c r="B154" s="1740">
        <v>0.9185</v>
      </c>
      <c r="C154" s="1740">
        <v>0.9185</v>
      </c>
      <c r="D154" s="1740">
        <v>0.8203</v>
      </c>
      <c r="E154" s="1740">
        <v>0.8203</v>
      </c>
      <c r="F154" s="1740">
        <v>0.8203</v>
      </c>
      <c r="G154" s="1740">
        <v>0.8203</v>
      </c>
      <c r="H154" s="1740">
        <v>0.8203</v>
      </c>
      <c r="I154" s="1740">
        <v>0.7367</v>
      </c>
      <c r="J154" s="1740">
        <v>0.7367</v>
      </c>
      <c r="K154" s="1740">
        <v>0.7367</v>
      </c>
      <c r="L154" s="1740">
        <v>0.7367</v>
      </c>
      <c r="M154" s="1740">
        <v>0.7367</v>
      </c>
    </row>
    <row r="155" spans="1:13">
      <c r="A155" s="1737">
        <v>5.1</v>
      </c>
      <c r="B155" s="1740">
        <v>0.9151</v>
      </c>
      <c r="C155" s="1740">
        <v>0.9151</v>
      </c>
      <c r="D155" s="1740">
        <v>0.8169</v>
      </c>
      <c r="E155" s="1740">
        <v>0.8169</v>
      </c>
      <c r="F155" s="1740">
        <v>0.8169</v>
      </c>
      <c r="G155" s="1740">
        <v>0.8169</v>
      </c>
      <c r="H155" s="1740">
        <v>0.8169</v>
      </c>
      <c r="I155" s="1740">
        <v>0.7327</v>
      </c>
      <c r="J155" s="1740">
        <v>0.7327</v>
      </c>
      <c r="K155" s="1740">
        <v>0.7327</v>
      </c>
      <c r="L155" s="1740">
        <v>0.7327</v>
      </c>
      <c r="M155" s="1740">
        <v>0.7327</v>
      </c>
    </row>
    <row r="156" spans="1:13">
      <c r="A156" s="1737">
        <v>5.2</v>
      </c>
      <c r="B156" s="1740">
        <v>0.9119</v>
      </c>
      <c r="C156" s="1740">
        <v>0.9119</v>
      </c>
      <c r="D156" s="1740">
        <v>0.8136</v>
      </c>
      <c r="E156" s="1740">
        <v>0.8136</v>
      </c>
      <c r="F156" s="1740">
        <v>0.8136</v>
      </c>
      <c r="G156" s="1740">
        <v>0.8136</v>
      </c>
      <c r="H156" s="1740">
        <v>0.8136</v>
      </c>
      <c r="I156" s="1740">
        <v>0.7289</v>
      </c>
      <c r="J156" s="1740">
        <v>0.7289</v>
      </c>
      <c r="K156" s="1740">
        <v>0.7289</v>
      </c>
      <c r="L156" s="1740">
        <v>0.7289</v>
      </c>
      <c r="M156" s="1740">
        <v>0.7289</v>
      </c>
    </row>
    <row r="157" spans="1:13">
      <c r="A157" s="1737">
        <v>5.3</v>
      </c>
      <c r="B157" s="1740">
        <v>0.9088</v>
      </c>
      <c r="C157" s="1740">
        <v>0.9088</v>
      </c>
      <c r="D157" s="1740">
        <v>0.8105</v>
      </c>
      <c r="E157" s="1740">
        <v>0.8105</v>
      </c>
      <c r="F157" s="1740">
        <v>0.8105</v>
      </c>
      <c r="G157" s="1740">
        <v>0.8105</v>
      </c>
      <c r="H157" s="1740">
        <v>0.8105</v>
      </c>
      <c r="I157" s="1740">
        <v>0.7253</v>
      </c>
      <c r="J157" s="1740">
        <v>0.7253</v>
      </c>
      <c r="K157" s="1740">
        <v>0.7253</v>
      </c>
      <c r="L157" s="1740">
        <v>0.7253</v>
      </c>
      <c r="M157" s="1740">
        <v>0.7253</v>
      </c>
    </row>
    <row r="158" spans="1:13">
      <c r="A158" s="1737">
        <v>5.4</v>
      </c>
      <c r="B158" s="1740">
        <v>0.9058</v>
      </c>
      <c r="C158" s="1740">
        <v>0.9058</v>
      </c>
      <c r="D158" s="1740">
        <v>0.8075</v>
      </c>
      <c r="E158" s="1740">
        <v>0.8075</v>
      </c>
      <c r="F158" s="1740">
        <v>0.8075</v>
      </c>
      <c r="G158" s="1740">
        <v>0.8075</v>
      </c>
      <c r="H158" s="1740">
        <v>0.8075</v>
      </c>
      <c r="I158" s="1740">
        <v>0.7218</v>
      </c>
      <c r="J158" s="1740">
        <v>0.7218</v>
      </c>
      <c r="K158" s="1740">
        <v>0.7218</v>
      </c>
      <c r="L158" s="1740">
        <v>0.7218</v>
      </c>
      <c r="M158" s="1740">
        <v>0.7218</v>
      </c>
    </row>
    <row r="159" spans="1:13">
      <c r="A159" s="1737">
        <v>5.5</v>
      </c>
      <c r="B159" s="1740">
        <v>0.9029</v>
      </c>
      <c r="C159" s="1740">
        <v>0.9029</v>
      </c>
      <c r="D159" s="1740">
        <v>0.8047</v>
      </c>
      <c r="E159" s="1740">
        <v>0.8047</v>
      </c>
      <c r="F159" s="1740">
        <v>0.8047</v>
      </c>
      <c r="G159" s="1740">
        <v>0.8047</v>
      </c>
      <c r="H159" s="1740">
        <v>0.8047</v>
      </c>
      <c r="I159" s="1740">
        <v>0.7184</v>
      </c>
      <c r="J159" s="1740">
        <v>0.7184</v>
      </c>
      <c r="K159" s="1740">
        <v>0.7184</v>
      </c>
      <c r="L159" s="1740">
        <v>0.7184</v>
      </c>
      <c r="M159" s="1740">
        <v>0.7184</v>
      </c>
    </row>
    <row r="160" spans="1:13">
      <c r="A160" s="1737">
        <v>5.6</v>
      </c>
      <c r="B160" s="1740">
        <v>0.9001</v>
      </c>
      <c r="C160" s="1740">
        <v>0.9001</v>
      </c>
      <c r="D160" s="1740">
        <v>0.802</v>
      </c>
      <c r="E160" s="1740">
        <v>0.802</v>
      </c>
      <c r="F160" s="1740">
        <v>0.802</v>
      </c>
      <c r="G160" s="1740">
        <v>0.802</v>
      </c>
      <c r="H160" s="1740">
        <v>0.802</v>
      </c>
      <c r="I160" s="1740">
        <v>0.7151</v>
      </c>
      <c r="J160" s="1740">
        <v>0.7151</v>
      </c>
      <c r="K160" s="1740">
        <v>0.7151</v>
      </c>
      <c r="L160" s="1740">
        <v>0.7151</v>
      </c>
      <c r="M160" s="1740">
        <v>0.7151</v>
      </c>
    </row>
    <row r="161" spans="1:13">
      <c r="A161" s="1741">
        <v>5.7</v>
      </c>
      <c r="B161" s="1740">
        <v>0.8975</v>
      </c>
      <c r="C161" s="1740">
        <v>0.8975</v>
      </c>
      <c r="D161" s="1740">
        <v>0.7993</v>
      </c>
      <c r="E161" s="1740">
        <v>0.7993</v>
      </c>
      <c r="F161" s="1740">
        <v>0.7993</v>
      </c>
      <c r="G161" s="1740">
        <v>0.7993</v>
      </c>
      <c r="H161" s="1740">
        <v>0.7993</v>
      </c>
      <c r="I161" s="1740">
        <v>0.7119</v>
      </c>
      <c r="J161" s="1740">
        <v>0.7119</v>
      </c>
      <c r="K161" s="1740">
        <v>0.7119</v>
      </c>
      <c r="L161" s="1740">
        <v>0.7119</v>
      </c>
      <c r="M161" s="1740">
        <v>0.7119</v>
      </c>
    </row>
    <row r="162" spans="1:13">
      <c r="A162" s="1737">
        <v>5.8</v>
      </c>
      <c r="B162" s="1740">
        <v>0.895</v>
      </c>
      <c r="C162" s="1740">
        <v>0.895</v>
      </c>
      <c r="D162" s="1740">
        <v>0.7968</v>
      </c>
      <c r="E162" s="1740">
        <v>0.7968</v>
      </c>
      <c r="F162" s="1740">
        <v>0.7968</v>
      </c>
      <c r="G162" s="1740">
        <v>0.7968</v>
      </c>
      <c r="H162" s="1740">
        <v>0.7968</v>
      </c>
      <c r="I162" s="1740">
        <v>0.7088</v>
      </c>
      <c r="J162" s="1740">
        <v>0.7088</v>
      </c>
      <c r="K162" s="1740">
        <v>0.7088</v>
      </c>
      <c r="L162" s="1740">
        <v>0.7088</v>
      </c>
      <c r="M162" s="1740">
        <v>0.7088</v>
      </c>
    </row>
    <row r="163" spans="1:13">
      <c r="A163" s="1737">
        <v>5.9</v>
      </c>
      <c r="B163" s="1740">
        <v>0.8926</v>
      </c>
      <c r="C163" s="1740">
        <v>0.8926</v>
      </c>
      <c r="D163" s="1740">
        <v>0.7944</v>
      </c>
      <c r="E163" s="1740">
        <v>0.7944</v>
      </c>
      <c r="F163" s="1740">
        <v>0.7944</v>
      </c>
      <c r="G163" s="1740">
        <v>0.7944</v>
      </c>
      <c r="H163" s="1740">
        <v>0.7944</v>
      </c>
      <c r="I163" s="1740">
        <v>0.7058</v>
      </c>
      <c r="J163" s="1740">
        <v>0.7058</v>
      </c>
      <c r="K163" s="1740">
        <v>0.7058</v>
      </c>
      <c r="L163" s="1740">
        <v>0.7058</v>
      </c>
      <c r="M163" s="1740">
        <v>0.7058</v>
      </c>
    </row>
    <row r="164" spans="1:13">
      <c r="A164" s="1737">
        <v>6</v>
      </c>
      <c r="B164" s="1740">
        <v>0.8903</v>
      </c>
      <c r="C164" s="1740">
        <v>0.8903</v>
      </c>
      <c r="D164" s="1740">
        <v>0.792</v>
      </c>
      <c r="E164" s="1740">
        <v>0.792</v>
      </c>
      <c r="F164" s="1740">
        <v>0.792</v>
      </c>
      <c r="G164" s="1740">
        <v>0.792</v>
      </c>
      <c r="H164" s="1740">
        <v>0.792</v>
      </c>
      <c r="I164" s="1740">
        <v>0.7029</v>
      </c>
      <c r="J164" s="1740">
        <v>0.7029</v>
      </c>
      <c r="K164" s="1740">
        <v>0.7029</v>
      </c>
      <c r="L164" s="1740">
        <v>0.7029</v>
      </c>
      <c r="M164" s="1740">
        <v>0.7029</v>
      </c>
    </row>
    <row r="165" spans="1:13">
      <c r="A165" s="1737">
        <v>6.1</v>
      </c>
      <c r="B165" s="1740">
        <v>0.8881</v>
      </c>
      <c r="C165" s="1740">
        <v>0.8881</v>
      </c>
      <c r="D165" s="1740">
        <v>0.7898</v>
      </c>
      <c r="E165" s="1740">
        <v>0.7898</v>
      </c>
      <c r="F165" s="1740">
        <v>0.7898</v>
      </c>
      <c r="G165" s="1740">
        <v>0.7898</v>
      </c>
      <c r="H165" s="1740">
        <v>0.7898</v>
      </c>
      <c r="I165" s="1740">
        <v>0.7001</v>
      </c>
      <c r="J165" s="1740">
        <v>0.7001</v>
      </c>
      <c r="K165" s="1740">
        <v>0.7001</v>
      </c>
      <c r="L165" s="1740">
        <v>0.7001</v>
      </c>
      <c r="M165" s="1740">
        <v>0.7001</v>
      </c>
    </row>
    <row r="166" spans="1:13">
      <c r="A166" s="1737">
        <v>6.2</v>
      </c>
      <c r="B166" s="1740">
        <v>0.886</v>
      </c>
      <c r="C166" s="1740">
        <v>0.886</v>
      </c>
      <c r="D166" s="1740">
        <v>0.7876</v>
      </c>
      <c r="E166" s="1740">
        <v>0.7876</v>
      </c>
      <c r="F166" s="1740">
        <v>0.7876</v>
      </c>
      <c r="G166" s="1740">
        <v>0.7876</v>
      </c>
      <c r="H166" s="1740">
        <v>0.7876</v>
      </c>
      <c r="I166" s="1740">
        <v>0.6974</v>
      </c>
      <c r="J166" s="1740">
        <v>0.6974</v>
      </c>
      <c r="K166" s="1740">
        <v>0.6974</v>
      </c>
      <c r="L166" s="1740">
        <v>0.6974</v>
      </c>
      <c r="M166" s="1740">
        <v>0.6974</v>
      </c>
    </row>
    <row r="167" spans="1:13">
      <c r="A167" s="1737">
        <v>6.3</v>
      </c>
      <c r="B167" s="1740">
        <v>0.8839</v>
      </c>
      <c r="C167" s="1740">
        <v>0.8839</v>
      </c>
      <c r="D167" s="1740">
        <v>0.7855</v>
      </c>
      <c r="E167" s="1740">
        <v>0.7855</v>
      </c>
      <c r="F167" s="1740">
        <v>0.7855</v>
      </c>
      <c r="G167" s="1740">
        <v>0.7855</v>
      </c>
      <c r="H167" s="1740">
        <v>0.7855</v>
      </c>
      <c r="I167" s="1740">
        <v>0.6948</v>
      </c>
      <c r="J167" s="1740">
        <v>0.6948</v>
      </c>
      <c r="K167" s="1740">
        <v>0.6948</v>
      </c>
      <c r="L167" s="1740">
        <v>0.6948</v>
      </c>
      <c r="M167" s="1740">
        <v>0.6948</v>
      </c>
    </row>
    <row r="168" spans="1:13">
      <c r="A168" s="1737">
        <v>6.4</v>
      </c>
      <c r="B168" s="1740">
        <v>0.8819</v>
      </c>
      <c r="C168" s="1740">
        <v>0.8819</v>
      </c>
      <c r="D168" s="1740">
        <v>0.7834</v>
      </c>
      <c r="E168" s="1740">
        <v>0.7834</v>
      </c>
      <c r="F168" s="1740">
        <v>0.7834</v>
      </c>
      <c r="G168" s="1740">
        <v>0.7834</v>
      </c>
      <c r="H168" s="1740">
        <v>0.7834</v>
      </c>
      <c r="I168" s="1740">
        <v>0.6923</v>
      </c>
      <c r="J168" s="1740">
        <v>0.6923</v>
      </c>
      <c r="K168" s="1740">
        <v>0.6923</v>
      </c>
      <c r="L168" s="1740">
        <v>0.6923</v>
      </c>
      <c r="M168" s="1740">
        <v>0.6923</v>
      </c>
    </row>
    <row r="169" spans="1:13">
      <c r="A169" s="1737">
        <v>6.5</v>
      </c>
      <c r="B169" s="1740">
        <v>0.88</v>
      </c>
      <c r="C169" s="1740">
        <v>0.88</v>
      </c>
      <c r="D169" s="1740">
        <v>0.7814</v>
      </c>
      <c r="E169" s="1740">
        <v>0.7814</v>
      </c>
      <c r="F169" s="1740">
        <v>0.7814</v>
      </c>
      <c r="G169" s="1740">
        <v>0.7814</v>
      </c>
      <c r="H169" s="1740">
        <v>0.7814</v>
      </c>
      <c r="I169" s="1740">
        <v>0.6899</v>
      </c>
      <c r="J169" s="1740">
        <v>0.6899</v>
      </c>
      <c r="K169" s="1740">
        <v>0.6899</v>
      </c>
      <c r="L169" s="1740">
        <v>0.6899</v>
      </c>
      <c r="M169" s="1740">
        <v>0.6899</v>
      </c>
    </row>
    <row r="170" spans="1:13">
      <c r="A170" s="1737">
        <v>6.6</v>
      </c>
      <c r="B170" s="1740">
        <v>0.8781</v>
      </c>
      <c r="C170" s="1740">
        <v>0.8781</v>
      </c>
      <c r="D170" s="1740">
        <v>0.7795</v>
      </c>
      <c r="E170" s="1740">
        <v>0.7795</v>
      </c>
      <c r="F170" s="1740">
        <v>0.7795</v>
      </c>
      <c r="G170" s="1740">
        <v>0.7795</v>
      </c>
      <c r="H170" s="1740">
        <v>0.7795</v>
      </c>
      <c r="I170" s="1740">
        <v>0.6876</v>
      </c>
      <c r="J170" s="1740">
        <v>0.6876</v>
      </c>
      <c r="K170" s="1740">
        <v>0.6876</v>
      </c>
      <c r="L170" s="1740">
        <v>0.6876</v>
      </c>
      <c r="M170" s="1740">
        <v>0.6876</v>
      </c>
    </row>
    <row r="171" spans="1:13">
      <c r="A171" s="1737">
        <v>6.7</v>
      </c>
      <c r="B171" s="1740">
        <v>0.8763</v>
      </c>
      <c r="C171" s="1740">
        <v>0.8763</v>
      </c>
      <c r="D171" s="1740">
        <v>0.7776</v>
      </c>
      <c r="E171" s="1740">
        <v>0.7776</v>
      </c>
      <c r="F171" s="1740">
        <v>0.7776</v>
      </c>
      <c r="G171" s="1740">
        <v>0.7776</v>
      </c>
      <c r="H171" s="1740">
        <v>0.7776</v>
      </c>
      <c r="I171" s="1740">
        <v>0.6853</v>
      </c>
      <c r="J171" s="1740">
        <v>0.6853</v>
      </c>
      <c r="K171" s="1740">
        <v>0.6853</v>
      </c>
      <c r="L171" s="1740">
        <v>0.6853</v>
      </c>
      <c r="M171" s="1740">
        <v>0.6853</v>
      </c>
    </row>
    <row r="172" spans="1:13">
      <c r="A172" s="1737">
        <v>6.8</v>
      </c>
      <c r="B172" s="1740">
        <v>0.8745</v>
      </c>
      <c r="C172" s="1740">
        <v>0.8745</v>
      </c>
      <c r="D172" s="1740">
        <v>0.7757</v>
      </c>
      <c r="E172" s="1740">
        <v>0.7757</v>
      </c>
      <c r="F172" s="1740">
        <v>0.7757</v>
      </c>
      <c r="G172" s="1740">
        <v>0.7757</v>
      </c>
      <c r="H172" s="1740">
        <v>0.7757</v>
      </c>
      <c r="I172" s="1740">
        <v>0.6831</v>
      </c>
      <c r="J172" s="1740">
        <v>0.6831</v>
      </c>
      <c r="K172" s="1740">
        <v>0.6831</v>
      </c>
      <c r="L172" s="1740">
        <v>0.6831</v>
      </c>
      <c r="M172" s="1740">
        <v>0.6831</v>
      </c>
    </row>
    <row r="173" spans="1:13">
      <c r="A173" s="1737">
        <v>6.9</v>
      </c>
      <c r="B173" s="1740">
        <v>0.8728</v>
      </c>
      <c r="C173" s="1740">
        <v>0.8728</v>
      </c>
      <c r="D173" s="1740">
        <v>0.7739</v>
      </c>
      <c r="E173" s="1740">
        <v>0.7739</v>
      </c>
      <c r="F173" s="1740">
        <v>0.7739</v>
      </c>
      <c r="G173" s="1740">
        <v>0.7739</v>
      </c>
      <c r="H173" s="1740">
        <v>0.7739</v>
      </c>
      <c r="I173" s="1740">
        <v>0.6809</v>
      </c>
      <c r="J173" s="1740">
        <v>0.6809</v>
      </c>
      <c r="K173" s="1740">
        <v>0.6809</v>
      </c>
      <c r="L173" s="1740">
        <v>0.6809</v>
      </c>
      <c r="M173" s="1740">
        <v>0.6809</v>
      </c>
    </row>
    <row r="174" spans="1:13">
      <c r="A174" s="1737">
        <v>7</v>
      </c>
      <c r="B174" s="1740">
        <v>0.8711</v>
      </c>
      <c r="C174" s="1740">
        <v>0.8711</v>
      </c>
      <c r="D174" s="1740">
        <v>0.7721</v>
      </c>
      <c r="E174" s="1740">
        <v>0.7721</v>
      </c>
      <c r="F174" s="1740">
        <v>0.7721</v>
      </c>
      <c r="G174" s="1740">
        <v>0.7721</v>
      </c>
      <c r="H174" s="1740">
        <v>0.7721</v>
      </c>
      <c r="I174" s="1740">
        <v>0.6788</v>
      </c>
      <c r="J174" s="1740">
        <v>0.6788</v>
      </c>
      <c r="K174" s="1740">
        <v>0.6788</v>
      </c>
      <c r="L174" s="1740">
        <v>0.6788</v>
      </c>
      <c r="M174" s="1740">
        <v>0.6788</v>
      </c>
    </row>
    <row r="175" spans="1:13">
      <c r="A175" s="1737">
        <v>7.1</v>
      </c>
      <c r="B175" s="1740">
        <v>0.8694</v>
      </c>
      <c r="C175" s="1740">
        <v>0.8694</v>
      </c>
      <c r="D175" s="1740">
        <v>0.7704</v>
      </c>
      <c r="E175" s="1740">
        <v>0.7704</v>
      </c>
      <c r="F175" s="1740">
        <v>0.7704</v>
      </c>
      <c r="G175" s="1740">
        <v>0.7704</v>
      </c>
      <c r="H175" s="1740">
        <v>0.7704</v>
      </c>
      <c r="I175" s="1740">
        <v>0.6767</v>
      </c>
      <c r="J175" s="1740">
        <v>0.6767</v>
      </c>
      <c r="K175" s="1740">
        <v>0.6767</v>
      </c>
      <c r="L175" s="1740">
        <v>0.6767</v>
      </c>
      <c r="M175" s="1740">
        <v>0.6767</v>
      </c>
    </row>
    <row r="176" spans="1:13">
      <c r="A176" s="1737">
        <v>7.2</v>
      </c>
      <c r="B176" s="1740">
        <v>0.8677</v>
      </c>
      <c r="C176" s="1740">
        <v>0.8677</v>
      </c>
      <c r="D176" s="1740">
        <v>0.7687</v>
      </c>
      <c r="E176" s="1740">
        <v>0.7687</v>
      </c>
      <c r="F176" s="1740">
        <v>0.7687</v>
      </c>
      <c r="G176" s="1740">
        <v>0.7687</v>
      </c>
      <c r="H176" s="1740">
        <v>0.7687</v>
      </c>
      <c r="I176" s="1740">
        <v>0.6747</v>
      </c>
      <c r="J176" s="1740">
        <v>0.6747</v>
      </c>
      <c r="K176" s="1740">
        <v>0.6747</v>
      </c>
      <c r="L176" s="1740">
        <v>0.6747</v>
      </c>
      <c r="M176" s="1740">
        <v>0.6747</v>
      </c>
    </row>
    <row r="177" spans="1:13">
      <c r="A177" s="1737">
        <v>7.3</v>
      </c>
      <c r="B177" s="1740">
        <v>0.8661</v>
      </c>
      <c r="C177" s="1740">
        <v>0.8661</v>
      </c>
      <c r="D177" s="1740">
        <v>0.767</v>
      </c>
      <c r="E177" s="1740">
        <v>0.767</v>
      </c>
      <c r="F177" s="1740">
        <v>0.767</v>
      </c>
      <c r="G177" s="1740">
        <v>0.767</v>
      </c>
      <c r="H177" s="1740">
        <v>0.767</v>
      </c>
      <c r="I177" s="1740">
        <v>0.6727</v>
      </c>
      <c r="J177" s="1740">
        <v>0.6727</v>
      </c>
      <c r="K177" s="1740">
        <v>0.6727</v>
      </c>
      <c r="L177" s="1740">
        <v>0.6727</v>
      </c>
      <c r="M177" s="1740">
        <v>0.6727</v>
      </c>
    </row>
    <row r="178" spans="1:13">
      <c r="A178" s="1737">
        <v>7.4</v>
      </c>
      <c r="B178" s="1740">
        <v>0.8645</v>
      </c>
      <c r="C178" s="1740">
        <v>0.8645</v>
      </c>
      <c r="D178" s="1740">
        <v>0.7653</v>
      </c>
      <c r="E178" s="1740">
        <v>0.7653</v>
      </c>
      <c r="F178" s="1740">
        <v>0.7653</v>
      </c>
      <c r="G178" s="1740">
        <v>0.7653</v>
      </c>
      <c r="H178" s="1740">
        <v>0.7653</v>
      </c>
      <c r="I178" s="1740">
        <v>0.6708</v>
      </c>
      <c r="J178" s="1740">
        <v>0.6708</v>
      </c>
      <c r="K178" s="1740">
        <v>0.6708</v>
      </c>
      <c r="L178" s="1740">
        <v>0.6708</v>
      </c>
      <c r="M178" s="1740">
        <v>0.6708</v>
      </c>
    </row>
    <row r="179" spans="1:13">
      <c r="A179" s="1737">
        <v>7.5</v>
      </c>
      <c r="B179" s="1740">
        <v>0.863</v>
      </c>
      <c r="C179" s="1740">
        <v>0.863</v>
      </c>
      <c r="D179" s="1740">
        <v>0.7636</v>
      </c>
      <c r="E179" s="1740">
        <v>0.7636</v>
      </c>
      <c r="F179" s="1740">
        <v>0.7636</v>
      </c>
      <c r="G179" s="1740">
        <v>0.7636</v>
      </c>
      <c r="H179" s="1740">
        <v>0.7636</v>
      </c>
      <c r="I179" s="1740">
        <v>0.6689</v>
      </c>
      <c r="J179" s="1740">
        <v>0.6689</v>
      </c>
      <c r="K179" s="1740">
        <v>0.6689</v>
      </c>
      <c r="L179" s="1740">
        <v>0.6689</v>
      </c>
      <c r="M179" s="1740">
        <v>0.6689</v>
      </c>
    </row>
    <row r="180" spans="1:13">
      <c r="A180" s="1737">
        <v>7.6</v>
      </c>
      <c r="B180" s="1740">
        <v>0.8615</v>
      </c>
      <c r="C180" s="1740">
        <v>0.8615</v>
      </c>
      <c r="D180" s="1740">
        <v>0.762</v>
      </c>
      <c r="E180" s="1740">
        <v>0.762</v>
      </c>
      <c r="F180" s="1740">
        <v>0.762</v>
      </c>
      <c r="G180" s="1740">
        <v>0.762</v>
      </c>
      <c r="H180" s="1740">
        <v>0.762</v>
      </c>
      <c r="I180" s="1740">
        <v>0.667</v>
      </c>
      <c r="J180" s="1740">
        <v>0.667</v>
      </c>
      <c r="K180" s="1740">
        <v>0.667</v>
      </c>
      <c r="L180" s="1740">
        <v>0.667</v>
      </c>
      <c r="M180" s="1740">
        <v>0.667</v>
      </c>
    </row>
    <row r="181" spans="1:13">
      <c r="A181" s="1737">
        <v>7.7</v>
      </c>
      <c r="B181" s="1740">
        <v>0.86</v>
      </c>
      <c r="C181" s="1740">
        <v>0.86</v>
      </c>
      <c r="D181" s="1740">
        <v>0.7604</v>
      </c>
      <c r="E181" s="1740">
        <v>0.7604</v>
      </c>
      <c r="F181" s="1740">
        <v>0.7604</v>
      </c>
      <c r="G181" s="1740">
        <v>0.7604</v>
      </c>
      <c r="H181" s="1740">
        <v>0.7604</v>
      </c>
      <c r="I181" s="1740">
        <v>0.6651</v>
      </c>
      <c r="J181" s="1740">
        <v>0.6651</v>
      </c>
      <c r="K181" s="1740">
        <v>0.6651</v>
      </c>
      <c r="L181" s="1740">
        <v>0.6651</v>
      </c>
      <c r="M181" s="1740">
        <v>0.6651</v>
      </c>
    </row>
    <row r="182" spans="1:13">
      <c r="A182" s="1737">
        <v>7.8</v>
      </c>
      <c r="B182" s="1740">
        <v>0.8585</v>
      </c>
      <c r="C182" s="1740">
        <v>0.8585</v>
      </c>
      <c r="D182" s="1740">
        <v>0.7588</v>
      </c>
      <c r="E182" s="1740">
        <v>0.7588</v>
      </c>
      <c r="F182" s="1740">
        <v>0.7588</v>
      </c>
      <c r="G182" s="1740">
        <v>0.7588</v>
      </c>
      <c r="H182" s="1740">
        <v>0.7588</v>
      </c>
      <c r="I182" s="1740">
        <v>0.6633</v>
      </c>
      <c r="J182" s="1740">
        <v>0.6633</v>
      </c>
      <c r="K182" s="1740">
        <v>0.6633</v>
      </c>
      <c r="L182" s="1740">
        <v>0.6633</v>
      </c>
      <c r="M182" s="1740">
        <v>0.6633</v>
      </c>
    </row>
    <row r="183" spans="1:13">
      <c r="A183" s="1737">
        <v>7.9</v>
      </c>
      <c r="B183" s="1740">
        <v>0.857</v>
      </c>
      <c r="C183" s="1740">
        <v>0.857</v>
      </c>
      <c r="D183" s="1740">
        <v>0.7572</v>
      </c>
      <c r="E183" s="1740">
        <v>0.7572</v>
      </c>
      <c r="F183" s="1740">
        <v>0.7572</v>
      </c>
      <c r="G183" s="1740">
        <v>0.7572</v>
      </c>
      <c r="H183" s="1740">
        <v>0.7572</v>
      </c>
      <c r="I183" s="1740">
        <v>0.6615</v>
      </c>
      <c r="J183" s="1740">
        <v>0.6615</v>
      </c>
      <c r="K183" s="1740">
        <v>0.6615</v>
      </c>
      <c r="L183" s="1740">
        <v>0.6615</v>
      </c>
      <c r="M183" s="1740">
        <v>0.6615</v>
      </c>
    </row>
    <row r="184" spans="1:13">
      <c r="A184" s="1737">
        <v>8</v>
      </c>
      <c r="B184" s="1740">
        <v>0.8555</v>
      </c>
      <c r="C184" s="1740">
        <v>0.8555</v>
      </c>
      <c r="D184" s="1740">
        <v>0.7557</v>
      </c>
      <c r="E184" s="1740">
        <v>0.7557</v>
      </c>
      <c r="F184" s="1740">
        <v>0.7557</v>
      </c>
      <c r="G184" s="1740">
        <v>0.7557</v>
      </c>
      <c r="H184" s="1740">
        <v>0.7557</v>
      </c>
      <c r="I184" s="1740">
        <v>0.6597</v>
      </c>
      <c r="J184" s="1740">
        <v>0.6597</v>
      </c>
      <c r="K184" s="1740">
        <v>0.6597</v>
      </c>
      <c r="L184" s="1740">
        <v>0.6597</v>
      </c>
      <c r="M184" s="1740">
        <v>0.6597</v>
      </c>
    </row>
    <row r="185" spans="1:13">
      <c r="A185" s="1737">
        <v>8.1</v>
      </c>
      <c r="B185" s="1740">
        <v>0.854</v>
      </c>
      <c r="C185" s="1740">
        <v>0.854</v>
      </c>
      <c r="D185" s="1740">
        <v>0.7542</v>
      </c>
      <c r="E185" s="1740">
        <v>0.7542</v>
      </c>
      <c r="F185" s="1740">
        <v>0.7542</v>
      </c>
      <c r="G185" s="1740">
        <v>0.7542</v>
      </c>
      <c r="H185" s="1740">
        <v>0.7542</v>
      </c>
      <c r="I185" s="1740">
        <v>0.658</v>
      </c>
      <c r="J185" s="1740">
        <v>0.658</v>
      </c>
      <c r="K185" s="1740">
        <v>0.658</v>
      </c>
      <c r="L185" s="1740">
        <v>0.658</v>
      </c>
      <c r="M185" s="1740">
        <v>0.658</v>
      </c>
    </row>
    <row r="186" spans="1:13">
      <c r="A186" s="1737">
        <v>8.2</v>
      </c>
      <c r="B186" s="1740">
        <v>0.8525</v>
      </c>
      <c r="C186" s="1740">
        <v>0.8525</v>
      </c>
      <c r="D186" s="1740">
        <v>0.7527</v>
      </c>
      <c r="E186" s="1740">
        <v>0.7527</v>
      </c>
      <c r="F186" s="1740">
        <v>0.7527</v>
      </c>
      <c r="G186" s="1740">
        <v>0.7527</v>
      </c>
      <c r="H186" s="1740">
        <v>0.7527</v>
      </c>
      <c r="I186" s="1740">
        <v>0.6563</v>
      </c>
      <c r="J186" s="1740">
        <v>0.6563</v>
      </c>
      <c r="K186" s="1740">
        <v>0.6563</v>
      </c>
      <c r="L186" s="1740">
        <v>0.6563</v>
      </c>
      <c r="M186" s="1740">
        <v>0.6563</v>
      </c>
    </row>
    <row r="187" spans="1:13">
      <c r="A187" s="1737">
        <v>8.3</v>
      </c>
      <c r="B187" s="1740">
        <v>0.8511</v>
      </c>
      <c r="C187" s="1740">
        <v>0.8511</v>
      </c>
      <c r="D187" s="1740">
        <v>0.7512</v>
      </c>
      <c r="E187" s="1740">
        <v>0.7512</v>
      </c>
      <c r="F187" s="1740">
        <v>0.7512</v>
      </c>
      <c r="G187" s="1740">
        <v>0.7512</v>
      </c>
      <c r="H187" s="1740">
        <v>0.7512</v>
      </c>
      <c r="I187" s="1740">
        <v>0.6546</v>
      </c>
      <c r="J187" s="1740">
        <v>0.6546</v>
      </c>
      <c r="K187" s="1740">
        <v>0.6546</v>
      </c>
      <c r="L187" s="1740">
        <v>0.6546</v>
      </c>
      <c r="M187" s="1740">
        <v>0.6546</v>
      </c>
    </row>
    <row r="188" spans="1:13">
      <c r="A188" s="1737">
        <v>8.4</v>
      </c>
      <c r="B188" s="1740">
        <v>0.8497</v>
      </c>
      <c r="C188" s="1740">
        <v>0.8497</v>
      </c>
      <c r="D188" s="1740">
        <v>0.7497</v>
      </c>
      <c r="E188" s="1740">
        <v>0.7497</v>
      </c>
      <c r="F188" s="1740">
        <v>0.7497</v>
      </c>
      <c r="G188" s="1740">
        <v>0.7497</v>
      </c>
      <c r="H188" s="1740">
        <v>0.7497</v>
      </c>
      <c r="I188" s="1740">
        <v>0.653</v>
      </c>
      <c r="J188" s="1740">
        <v>0.653</v>
      </c>
      <c r="K188" s="1740">
        <v>0.653</v>
      </c>
      <c r="L188" s="1740">
        <v>0.653</v>
      </c>
      <c r="M188" s="1740">
        <v>0.653</v>
      </c>
    </row>
    <row r="189" spans="1:13">
      <c r="A189" s="1737">
        <v>8.5</v>
      </c>
      <c r="B189" s="1740">
        <v>0.8483</v>
      </c>
      <c r="C189" s="1740">
        <v>0.8483</v>
      </c>
      <c r="D189" s="1740">
        <v>0.7482</v>
      </c>
      <c r="E189" s="1740">
        <v>0.7482</v>
      </c>
      <c r="F189" s="1740">
        <v>0.7482</v>
      </c>
      <c r="G189" s="1740">
        <v>0.7482</v>
      </c>
      <c r="H189" s="1740">
        <v>0.7482</v>
      </c>
      <c r="I189" s="1740">
        <v>0.6514</v>
      </c>
      <c r="J189" s="1740">
        <v>0.6514</v>
      </c>
      <c r="K189" s="1740">
        <v>0.6514</v>
      </c>
      <c r="L189" s="1740">
        <v>0.6514</v>
      </c>
      <c r="M189" s="1740">
        <v>0.6514</v>
      </c>
    </row>
    <row r="190" spans="1:13">
      <c r="A190" s="1737">
        <v>8.6</v>
      </c>
      <c r="B190" s="1740">
        <v>0.8469</v>
      </c>
      <c r="C190" s="1740">
        <v>0.8469</v>
      </c>
      <c r="D190" s="1740">
        <v>0.7467</v>
      </c>
      <c r="E190" s="1740">
        <v>0.7467</v>
      </c>
      <c r="F190" s="1740">
        <v>0.7467</v>
      </c>
      <c r="G190" s="1740">
        <v>0.7467</v>
      </c>
      <c r="H190" s="1740">
        <v>0.7467</v>
      </c>
      <c r="I190" s="1740">
        <v>0.6498</v>
      </c>
      <c r="J190" s="1740">
        <v>0.6498</v>
      </c>
      <c r="K190" s="1740">
        <v>0.6498</v>
      </c>
      <c r="L190" s="1740">
        <v>0.6498</v>
      </c>
      <c r="M190" s="1740">
        <v>0.6498</v>
      </c>
    </row>
    <row r="191" spans="1:13">
      <c r="A191" s="1737">
        <v>8.7</v>
      </c>
      <c r="B191" s="1740">
        <v>0.8455</v>
      </c>
      <c r="C191" s="1740">
        <v>0.8455</v>
      </c>
      <c r="D191" s="1740">
        <v>0.7452</v>
      </c>
      <c r="E191" s="1740">
        <v>0.7452</v>
      </c>
      <c r="F191" s="1740">
        <v>0.7452</v>
      </c>
      <c r="G191" s="1740">
        <v>0.7452</v>
      </c>
      <c r="H191" s="1740">
        <v>0.7452</v>
      </c>
      <c r="I191" s="1740">
        <v>0.6482</v>
      </c>
      <c r="J191" s="1740">
        <v>0.6482</v>
      </c>
      <c r="K191" s="1740">
        <v>0.6482</v>
      </c>
      <c r="L191" s="1740">
        <v>0.6482</v>
      </c>
      <c r="M191" s="1740">
        <v>0.6482</v>
      </c>
    </row>
    <row r="192" spans="1:13">
      <c r="A192" s="1737">
        <v>8.8</v>
      </c>
      <c r="B192" s="1740">
        <v>0.8441</v>
      </c>
      <c r="C192" s="1740">
        <v>0.8441</v>
      </c>
      <c r="D192" s="1740">
        <v>0.7437</v>
      </c>
      <c r="E192" s="1740">
        <v>0.7437</v>
      </c>
      <c r="F192" s="1740">
        <v>0.7437</v>
      </c>
      <c r="G192" s="1740">
        <v>0.7437</v>
      </c>
      <c r="H192" s="1740">
        <v>0.7437</v>
      </c>
      <c r="I192" s="1740">
        <v>0.6466</v>
      </c>
      <c r="J192" s="1740">
        <v>0.6466</v>
      </c>
      <c r="K192" s="1740">
        <v>0.6466</v>
      </c>
      <c r="L192" s="1740">
        <v>0.6466</v>
      </c>
      <c r="M192" s="1740">
        <v>0.6466</v>
      </c>
    </row>
    <row r="193" spans="1:13">
      <c r="A193" s="1737">
        <v>8.9</v>
      </c>
      <c r="B193" s="1740">
        <v>0.8428</v>
      </c>
      <c r="C193" s="1740">
        <v>0.8428</v>
      </c>
      <c r="D193" s="1740">
        <v>0.7422</v>
      </c>
      <c r="E193" s="1740">
        <v>0.7422</v>
      </c>
      <c r="F193" s="1740">
        <v>0.7422</v>
      </c>
      <c r="G193" s="1740">
        <v>0.7422</v>
      </c>
      <c r="H193" s="1740">
        <v>0.7422</v>
      </c>
      <c r="I193" s="1740">
        <v>0.645</v>
      </c>
      <c r="J193" s="1740">
        <v>0.645</v>
      </c>
      <c r="K193" s="1740">
        <v>0.645</v>
      </c>
      <c r="L193" s="1740">
        <v>0.645</v>
      </c>
      <c r="M193" s="1740">
        <v>0.645</v>
      </c>
    </row>
    <row r="194" spans="1:13">
      <c r="A194" s="1741">
        <v>9</v>
      </c>
      <c r="B194" s="1740">
        <v>0.8415</v>
      </c>
      <c r="C194" s="1740">
        <v>0.8415</v>
      </c>
      <c r="D194" s="1740">
        <v>0.7407</v>
      </c>
      <c r="E194" s="1740">
        <v>0.7407</v>
      </c>
      <c r="F194" s="1740">
        <v>0.7407</v>
      </c>
      <c r="G194" s="1740">
        <v>0.7407</v>
      </c>
      <c r="H194" s="1740">
        <v>0.7407</v>
      </c>
      <c r="I194" s="1740">
        <v>0.6435</v>
      </c>
      <c r="J194" s="1740">
        <v>0.6435</v>
      </c>
      <c r="K194" s="1740">
        <v>0.6435</v>
      </c>
      <c r="L194" s="1740">
        <v>0.6435</v>
      </c>
      <c r="M194" s="1740">
        <v>0.6435</v>
      </c>
    </row>
    <row r="195" spans="1:13">
      <c r="A195" s="1741">
        <v>9.1</v>
      </c>
      <c r="B195" s="1740">
        <v>0.8402</v>
      </c>
      <c r="C195" s="1740">
        <v>0.8402</v>
      </c>
      <c r="D195" s="1740">
        <v>0.7392</v>
      </c>
      <c r="E195" s="1740">
        <v>0.7392</v>
      </c>
      <c r="F195" s="1740">
        <v>0.7392</v>
      </c>
      <c r="G195" s="1740">
        <v>0.7392</v>
      </c>
      <c r="H195" s="1740">
        <v>0.7392</v>
      </c>
      <c r="I195" s="1740">
        <v>0.642</v>
      </c>
      <c r="J195" s="1740">
        <v>0.642</v>
      </c>
      <c r="K195" s="1740">
        <v>0.642</v>
      </c>
      <c r="L195" s="1740">
        <v>0.642</v>
      </c>
      <c r="M195" s="1740">
        <v>0.642</v>
      </c>
    </row>
    <row r="196" spans="1:13">
      <c r="A196" s="1741">
        <v>9.2</v>
      </c>
      <c r="B196" s="1740">
        <v>0.8389</v>
      </c>
      <c r="C196" s="1740">
        <v>0.8389</v>
      </c>
      <c r="D196" s="1740">
        <v>0.7377</v>
      </c>
      <c r="E196" s="1740">
        <v>0.7377</v>
      </c>
      <c r="F196" s="1740">
        <v>0.7377</v>
      </c>
      <c r="G196" s="1740">
        <v>0.7377</v>
      </c>
      <c r="H196" s="1740">
        <v>0.7377</v>
      </c>
      <c r="I196" s="1740">
        <v>0.6406</v>
      </c>
      <c r="J196" s="1740">
        <v>0.6406</v>
      </c>
      <c r="K196" s="1740">
        <v>0.6406</v>
      </c>
      <c r="L196" s="1740">
        <v>0.6406</v>
      </c>
      <c r="M196" s="1740">
        <v>0.6406</v>
      </c>
    </row>
    <row r="197" spans="1:13">
      <c r="A197" s="1741">
        <v>9.3</v>
      </c>
      <c r="B197" s="1740">
        <v>0.8376</v>
      </c>
      <c r="C197" s="1740">
        <v>0.8376</v>
      </c>
      <c r="D197" s="1740">
        <v>0.7363</v>
      </c>
      <c r="E197" s="1740">
        <v>0.7363</v>
      </c>
      <c r="F197" s="1740">
        <v>0.7363</v>
      </c>
      <c r="G197" s="1740">
        <v>0.7363</v>
      </c>
      <c r="H197" s="1740">
        <v>0.7363</v>
      </c>
      <c r="I197" s="1740">
        <v>0.6392</v>
      </c>
      <c r="J197" s="1740">
        <v>0.6392</v>
      </c>
      <c r="K197" s="1740">
        <v>0.6392</v>
      </c>
      <c r="L197" s="1740">
        <v>0.6392</v>
      </c>
      <c r="M197" s="1740">
        <v>0.6392</v>
      </c>
    </row>
    <row r="198" spans="1:13">
      <c r="A198" s="1741">
        <v>9.4</v>
      </c>
      <c r="B198" s="1740">
        <v>0.8363</v>
      </c>
      <c r="C198" s="1740">
        <v>0.8363</v>
      </c>
      <c r="D198" s="1740">
        <v>0.7349</v>
      </c>
      <c r="E198" s="1740">
        <v>0.7349</v>
      </c>
      <c r="F198" s="1740">
        <v>0.7349</v>
      </c>
      <c r="G198" s="1740">
        <v>0.7349</v>
      </c>
      <c r="H198" s="1740">
        <v>0.7349</v>
      </c>
      <c r="I198" s="1740">
        <v>0.6378</v>
      </c>
      <c r="J198" s="1740">
        <v>0.6378</v>
      </c>
      <c r="K198" s="1740">
        <v>0.6378</v>
      </c>
      <c r="L198" s="1740">
        <v>0.6378</v>
      </c>
      <c r="M198" s="1740">
        <v>0.6378</v>
      </c>
    </row>
    <row r="199" spans="1:13">
      <c r="A199" s="1741">
        <v>9.5</v>
      </c>
      <c r="B199" s="1740">
        <v>0.835</v>
      </c>
      <c r="C199" s="1740">
        <v>0.835</v>
      </c>
      <c r="D199" s="1740">
        <v>0.7335</v>
      </c>
      <c r="E199" s="1740">
        <v>0.7335</v>
      </c>
      <c r="F199" s="1740">
        <v>0.7335</v>
      </c>
      <c r="G199" s="1740">
        <v>0.7335</v>
      </c>
      <c r="H199" s="1740">
        <v>0.7335</v>
      </c>
      <c r="I199" s="1740">
        <v>0.6364</v>
      </c>
      <c r="J199" s="1740">
        <v>0.6364</v>
      </c>
      <c r="K199" s="1740">
        <v>0.6364</v>
      </c>
      <c r="L199" s="1740">
        <v>0.6364</v>
      </c>
      <c r="M199" s="1740">
        <v>0.6364</v>
      </c>
    </row>
    <row r="200" spans="1:13">
      <c r="A200" s="1741">
        <v>9.6</v>
      </c>
      <c r="B200" s="1740">
        <v>0.8338</v>
      </c>
      <c r="C200" s="1740">
        <v>0.8338</v>
      </c>
      <c r="D200" s="1740">
        <v>0.7321</v>
      </c>
      <c r="E200" s="1740">
        <v>0.7321</v>
      </c>
      <c r="F200" s="1740">
        <v>0.7321</v>
      </c>
      <c r="G200" s="1740">
        <v>0.7321</v>
      </c>
      <c r="H200" s="1740">
        <v>0.7321</v>
      </c>
      <c r="I200" s="1740">
        <v>0.635</v>
      </c>
      <c r="J200" s="1740">
        <v>0.635</v>
      </c>
      <c r="K200" s="1740">
        <v>0.635</v>
      </c>
      <c r="L200" s="1740">
        <v>0.635</v>
      </c>
      <c r="M200" s="1740">
        <v>0.635</v>
      </c>
    </row>
    <row r="201" spans="1:13">
      <c r="A201" s="1741">
        <v>9.7</v>
      </c>
      <c r="B201" s="1740">
        <v>0.8326</v>
      </c>
      <c r="C201" s="1740">
        <v>0.8326</v>
      </c>
      <c r="D201" s="1740">
        <v>0.7307</v>
      </c>
      <c r="E201" s="1740">
        <v>0.7307</v>
      </c>
      <c r="F201" s="1740">
        <v>0.7307</v>
      </c>
      <c r="G201" s="1740">
        <v>0.7307</v>
      </c>
      <c r="H201" s="1740">
        <v>0.7307</v>
      </c>
      <c r="I201" s="1740">
        <v>0.6336</v>
      </c>
      <c r="J201" s="1740">
        <v>0.6336</v>
      </c>
      <c r="K201" s="1740">
        <v>0.6336</v>
      </c>
      <c r="L201" s="1740">
        <v>0.6336</v>
      </c>
      <c r="M201" s="1740">
        <v>0.6336</v>
      </c>
    </row>
    <row r="202" spans="1:13">
      <c r="A202" s="1741">
        <v>9.8</v>
      </c>
      <c r="B202" s="1740">
        <v>0.8314</v>
      </c>
      <c r="C202" s="1740">
        <v>0.8314</v>
      </c>
      <c r="D202" s="1740">
        <v>0.7293</v>
      </c>
      <c r="E202" s="1740">
        <v>0.7293</v>
      </c>
      <c r="F202" s="1740">
        <v>0.7293</v>
      </c>
      <c r="G202" s="1740">
        <v>0.7293</v>
      </c>
      <c r="H202" s="1740">
        <v>0.7293</v>
      </c>
      <c r="I202" s="1740">
        <v>0.6322</v>
      </c>
      <c r="J202" s="1740">
        <v>0.6322</v>
      </c>
      <c r="K202" s="1740">
        <v>0.6322</v>
      </c>
      <c r="L202" s="1740">
        <v>0.6322</v>
      </c>
      <c r="M202" s="1740">
        <v>0.6322</v>
      </c>
    </row>
    <row r="203" spans="1:13">
      <c r="A203" s="1741">
        <v>9.9</v>
      </c>
      <c r="B203" s="1740">
        <v>0.8302</v>
      </c>
      <c r="C203" s="1740">
        <v>0.8302</v>
      </c>
      <c r="D203" s="1740">
        <v>0.728</v>
      </c>
      <c r="E203" s="1740">
        <v>0.728</v>
      </c>
      <c r="F203" s="1740">
        <v>0.728</v>
      </c>
      <c r="G203" s="1740">
        <v>0.728</v>
      </c>
      <c r="H203" s="1740">
        <v>0.728</v>
      </c>
      <c r="I203" s="1740">
        <v>0.6308</v>
      </c>
      <c r="J203" s="1740">
        <v>0.6308</v>
      </c>
      <c r="K203" s="1740">
        <v>0.6308</v>
      </c>
      <c r="L203" s="1740">
        <v>0.6308</v>
      </c>
      <c r="M203" s="1740">
        <v>0.6308</v>
      </c>
    </row>
    <row r="204" spans="1:13">
      <c r="A204" s="1741">
        <v>10</v>
      </c>
      <c r="B204" s="1740">
        <v>0.829</v>
      </c>
      <c r="C204" s="1740">
        <v>0.829</v>
      </c>
      <c r="D204" s="1740">
        <v>0.7267</v>
      </c>
      <c r="E204" s="1740">
        <v>0.7267</v>
      </c>
      <c r="F204" s="1740">
        <v>0.7267</v>
      </c>
      <c r="G204" s="1740">
        <v>0.7267</v>
      </c>
      <c r="H204" s="1740">
        <v>0.7267</v>
      </c>
      <c r="I204" s="1740">
        <v>0.6294</v>
      </c>
      <c r="J204" s="1740">
        <v>0.6294</v>
      </c>
      <c r="K204" s="1740">
        <v>0.6294</v>
      </c>
      <c r="L204" s="1740">
        <v>0.6294</v>
      </c>
      <c r="M204" s="1740">
        <v>0.6294</v>
      </c>
    </row>
    <row r="205" ht="14.25" spans="1:13">
      <c r="A205" s="1735" t="s">
        <v>1801</v>
      </c>
      <c r="B205" s="1736"/>
      <c r="C205" s="1736"/>
      <c r="D205" s="1736"/>
      <c r="E205" s="1736"/>
      <c r="F205" s="1736"/>
      <c r="G205" s="1736"/>
      <c r="H205" s="1736"/>
      <c r="I205" s="1736"/>
      <c r="J205" s="1736"/>
      <c r="K205" s="1736"/>
      <c r="L205" s="1736"/>
      <c r="M205" s="1736"/>
    </row>
    <row r="206" spans="1:13">
      <c r="A206" s="1737" t="s">
        <v>105</v>
      </c>
      <c r="B206" s="1738" t="s">
        <v>240</v>
      </c>
      <c r="C206" s="1738" t="s">
        <v>253</v>
      </c>
      <c r="D206" s="1738" t="s">
        <v>265</v>
      </c>
      <c r="E206" s="1738" t="s">
        <v>275</v>
      </c>
      <c r="F206" s="1738" t="s">
        <v>284</v>
      </c>
      <c r="G206" s="1738" t="s">
        <v>292</v>
      </c>
      <c r="H206" s="1739" t="s">
        <v>297</v>
      </c>
      <c r="I206" s="1739" t="s">
        <v>302</v>
      </c>
      <c r="J206" s="1742" t="s">
        <v>305</v>
      </c>
      <c r="K206" s="1742" t="s">
        <v>308</v>
      </c>
      <c r="L206" s="1742" t="s">
        <v>311</v>
      </c>
      <c r="M206" s="1742" t="s">
        <v>314</v>
      </c>
    </row>
    <row r="207" spans="1:13">
      <c r="A207" s="1737">
        <v>0.1</v>
      </c>
      <c r="B207" s="1740">
        <v>12.172</v>
      </c>
      <c r="C207" s="1740">
        <v>12.172</v>
      </c>
      <c r="D207" s="1740">
        <v>12.376</v>
      </c>
      <c r="E207" s="1740">
        <v>12.376</v>
      </c>
      <c r="F207" s="1740">
        <v>12.376</v>
      </c>
      <c r="G207" s="1740">
        <v>12.376</v>
      </c>
      <c r="H207" s="1740">
        <v>12.376</v>
      </c>
      <c r="I207" s="1740">
        <v>11.072</v>
      </c>
      <c r="J207" s="1740">
        <v>11.072</v>
      </c>
      <c r="K207" s="1740">
        <v>11.072</v>
      </c>
      <c r="L207" s="1740">
        <v>11.072</v>
      </c>
      <c r="M207" s="1740">
        <v>11.072</v>
      </c>
    </row>
    <row r="208" spans="1:13">
      <c r="A208" s="1737">
        <v>0.2</v>
      </c>
      <c r="B208" s="1740">
        <v>6.086</v>
      </c>
      <c r="C208" s="1740">
        <v>6.086</v>
      </c>
      <c r="D208" s="1740">
        <v>6.188</v>
      </c>
      <c r="E208" s="1740">
        <v>6.188</v>
      </c>
      <c r="F208" s="1740">
        <v>6.188</v>
      </c>
      <c r="G208" s="1740">
        <v>6.188</v>
      </c>
      <c r="H208" s="1740">
        <v>6.188</v>
      </c>
      <c r="I208" s="1740">
        <v>5.536</v>
      </c>
      <c r="J208" s="1740">
        <v>5.536</v>
      </c>
      <c r="K208" s="1740">
        <v>5.536</v>
      </c>
      <c r="L208" s="1740">
        <v>5.536</v>
      </c>
      <c r="M208" s="1740">
        <v>5.536</v>
      </c>
    </row>
    <row r="209" spans="1:13">
      <c r="A209" s="1737">
        <v>0.3</v>
      </c>
      <c r="B209" s="1740">
        <v>4.0573</v>
      </c>
      <c r="C209" s="1740">
        <v>4.0573</v>
      </c>
      <c r="D209" s="1740">
        <v>4.1253</v>
      </c>
      <c r="E209" s="1740">
        <v>4.1253</v>
      </c>
      <c r="F209" s="1740">
        <v>4.1253</v>
      </c>
      <c r="G209" s="1740">
        <v>4.1253</v>
      </c>
      <c r="H209" s="1740">
        <v>4.1253</v>
      </c>
      <c r="I209" s="1740">
        <v>3.6907</v>
      </c>
      <c r="J209" s="1740">
        <v>3.6907</v>
      </c>
      <c r="K209" s="1740">
        <v>3.6907</v>
      </c>
      <c r="L209" s="1740">
        <v>3.6907</v>
      </c>
      <c r="M209" s="1740">
        <v>3.6907</v>
      </c>
    </row>
    <row r="210" spans="1:13">
      <c r="A210" s="1737">
        <v>0.4</v>
      </c>
      <c r="B210" s="1740">
        <v>3.043</v>
      </c>
      <c r="C210" s="1740">
        <v>3.043</v>
      </c>
      <c r="D210" s="1740">
        <v>3.094</v>
      </c>
      <c r="E210" s="1740">
        <v>3.094</v>
      </c>
      <c r="F210" s="1740">
        <v>3.094</v>
      </c>
      <c r="G210" s="1740">
        <v>3.094</v>
      </c>
      <c r="H210" s="1740">
        <v>3.094</v>
      </c>
      <c r="I210" s="1740">
        <v>2.768</v>
      </c>
      <c r="J210" s="1740">
        <v>2.768</v>
      </c>
      <c r="K210" s="1740">
        <v>2.768</v>
      </c>
      <c r="L210" s="1740">
        <v>2.768</v>
      </c>
      <c r="M210" s="1740">
        <v>2.768</v>
      </c>
    </row>
    <row r="211" spans="1:13">
      <c r="A211" s="1737">
        <v>0.5</v>
      </c>
      <c r="B211" s="1740">
        <v>2.4344</v>
      </c>
      <c r="C211" s="1740">
        <v>2.4344</v>
      </c>
      <c r="D211" s="1740">
        <v>2.4752</v>
      </c>
      <c r="E211" s="1740">
        <v>2.4752</v>
      </c>
      <c r="F211" s="1740">
        <v>2.4752</v>
      </c>
      <c r="G211" s="1740">
        <v>2.4752</v>
      </c>
      <c r="H211" s="1740">
        <v>2.4752</v>
      </c>
      <c r="I211" s="1740">
        <v>2.2144</v>
      </c>
      <c r="J211" s="1740">
        <v>2.2144</v>
      </c>
      <c r="K211" s="1740">
        <v>2.2144</v>
      </c>
      <c r="L211" s="1740">
        <v>2.2144</v>
      </c>
      <c r="M211" s="1740">
        <v>2.2144</v>
      </c>
    </row>
    <row r="212" spans="1:13">
      <c r="A212" s="1737">
        <v>0.6</v>
      </c>
      <c r="B212" s="1740">
        <v>2.0287</v>
      </c>
      <c r="C212" s="1740">
        <v>2.0287</v>
      </c>
      <c r="D212" s="1740">
        <v>2.0627</v>
      </c>
      <c r="E212" s="1740">
        <v>2.0627</v>
      </c>
      <c r="F212" s="1740">
        <v>2.0627</v>
      </c>
      <c r="G212" s="1740">
        <v>2.0627</v>
      </c>
      <c r="H212" s="1740">
        <v>2.0627</v>
      </c>
      <c r="I212" s="1740">
        <v>1.8453</v>
      </c>
      <c r="J212" s="1740">
        <v>1.8453</v>
      </c>
      <c r="K212" s="1740">
        <v>1.8453</v>
      </c>
      <c r="L212" s="1740">
        <v>1.8453</v>
      </c>
      <c r="M212" s="1740">
        <v>1.8453</v>
      </c>
    </row>
    <row r="213" spans="1:13">
      <c r="A213" s="1737">
        <v>0.7</v>
      </c>
      <c r="B213" s="1740">
        <v>1.7389</v>
      </c>
      <c r="C213" s="1740">
        <v>1.7389</v>
      </c>
      <c r="D213" s="1740">
        <v>1.768</v>
      </c>
      <c r="E213" s="1740">
        <v>1.768</v>
      </c>
      <c r="F213" s="1740">
        <v>1.768</v>
      </c>
      <c r="G213" s="1740">
        <v>1.768</v>
      </c>
      <c r="H213" s="1740">
        <v>1.768</v>
      </c>
      <c r="I213" s="1740">
        <v>1.5817</v>
      </c>
      <c r="J213" s="1740">
        <v>1.5817</v>
      </c>
      <c r="K213" s="1740">
        <v>1.5817</v>
      </c>
      <c r="L213" s="1740">
        <v>1.5817</v>
      </c>
      <c r="M213" s="1740">
        <v>1.5817</v>
      </c>
    </row>
    <row r="214" spans="1:13">
      <c r="A214" s="1737">
        <v>0.8</v>
      </c>
      <c r="B214" s="1740">
        <v>1.5215</v>
      </c>
      <c r="C214" s="1740">
        <v>1.5215</v>
      </c>
      <c r="D214" s="1740">
        <v>1.547</v>
      </c>
      <c r="E214" s="1740">
        <v>1.547</v>
      </c>
      <c r="F214" s="1740">
        <v>1.547</v>
      </c>
      <c r="G214" s="1740">
        <v>1.547</v>
      </c>
      <c r="H214" s="1740">
        <v>1.547</v>
      </c>
      <c r="I214" s="1740">
        <v>1.384</v>
      </c>
      <c r="J214" s="1740">
        <v>1.384</v>
      </c>
      <c r="K214" s="1740">
        <v>1.384</v>
      </c>
      <c r="L214" s="1740">
        <v>1.384</v>
      </c>
      <c r="M214" s="1740">
        <v>1.384</v>
      </c>
    </row>
    <row r="215" spans="1:13">
      <c r="A215" s="1737">
        <v>0.9</v>
      </c>
      <c r="B215" s="1740">
        <v>1.3524</v>
      </c>
      <c r="C215" s="1740">
        <v>1.3524</v>
      </c>
      <c r="D215" s="1740">
        <v>1.3751</v>
      </c>
      <c r="E215" s="1740">
        <v>1.3751</v>
      </c>
      <c r="F215" s="1740">
        <v>1.3751</v>
      </c>
      <c r="G215" s="1740">
        <v>1.3751</v>
      </c>
      <c r="H215" s="1740">
        <v>1.3751</v>
      </c>
      <c r="I215" s="1740">
        <v>1.2302</v>
      </c>
      <c r="J215" s="1740">
        <v>1.2302</v>
      </c>
      <c r="K215" s="1740">
        <v>1.2302</v>
      </c>
      <c r="L215" s="1740">
        <v>1.2302</v>
      </c>
      <c r="M215" s="1740">
        <v>1.2302</v>
      </c>
    </row>
    <row r="216" spans="1:13">
      <c r="A216" s="1737">
        <v>1</v>
      </c>
      <c r="B216" s="1740">
        <v>1.2172</v>
      </c>
      <c r="C216" s="1740">
        <v>1.2172</v>
      </c>
      <c r="D216" s="1740">
        <v>1.2376</v>
      </c>
      <c r="E216" s="1740">
        <v>1.2376</v>
      </c>
      <c r="F216" s="1740">
        <v>1.2376</v>
      </c>
      <c r="G216" s="1740">
        <v>1.2376</v>
      </c>
      <c r="H216" s="1740">
        <v>1.2376</v>
      </c>
      <c r="I216" s="1740">
        <v>1.1072</v>
      </c>
      <c r="J216" s="1740">
        <v>1.1072</v>
      </c>
      <c r="K216" s="1740">
        <v>1.1072</v>
      </c>
      <c r="L216" s="1740">
        <v>1.1072</v>
      </c>
      <c r="M216" s="1740">
        <v>1.1072</v>
      </c>
    </row>
    <row r="217" spans="1:13">
      <c r="A217" s="1737">
        <v>1.1</v>
      </c>
      <c r="B217" s="1740">
        <v>1.198</v>
      </c>
      <c r="C217" s="1740">
        <v>1.198</v>
      </c>
      <c r="D217" s="1740">
        <v>1.2156</v>
      </c>
      <c r="E217" s="1740">
        <v>1.2156</v>
      </c>
      <c r="F217" s="1740">
        <v>1.2156</v>
      </c>
      <c r="G217" s="1740">
        <v>1.2156</v>
      </c>
      <c r="H217" s="1740">
        <v>1.2156</v>
      </c>
      <c r="I217" s="1740">
        <v>1.0829</v>
      </c>
      <c r="J217" s="1740">
        <v>1.0829</v>
      </c>
      <c r="K217" s="1740">
        <v>1.0829</v>
      </c>
      <c r="L217" s="1740">
        <v>1.0829</v>
      </c>
      <c r="M217" s="1740">
        <v>1.0829</v>
      </c>
    </row>
    <row r="218" spans="1:13">
      <c r="A218" s="1737">
        <v>1.2</v>
      </c>
      <c r="B218" s="1740">
        <v>1.1795</v>
      </c>
      <c r="C218" s="1740">
        <v>1.1795</v>
      </c>
      <c r="D218" s="1740">
        <v>1.1947</v>
      </c>
      <c r="E218" s="1740">
        <v>1.1947</v>
      </c>
      <c r="F218" s="1740">
        <v>1.1947</v>
      </c>
      <c r="G218" s="1740">
        <v>1.1947</v>
      </c>
      <c r="H218" s="1740">
        <v>1.1947</v>
      </c>
      <c r="I218" s="1740">
        <v>1.0601</v>
      </c>
      <c r="J218" s="1740">
        <v>1.0601</v>
      </c>
      <c r="K218" s="1740">
        <v>1.0601</v>
      </c>
      <c r="L218" s="1740">
        <v>1.0601</v>
      </c>
      <c r="M218" s="1740">
        <v>1.0601</v>
      </c>
    </row>
    <row r="219" spans="1:13">
      <c r="A219" s="1737">
        <v>1.3</v>
      </c>
      <c r="B219" s="1740">
        <v>1.1618</v>
      </c>
      <c r="C219" s="1740">
        <v>1.1618</v>
      </c>
      <c r="D219" s="1740">
        <v>1.1748</v>
      </c>
      <c r="E219" s="1740">
        <v>1.1748</v>
      </c>
      <c r="F219" s="1740">
        <v>1.1748</v>
      </c>
      <c r="G219" s="1740">
        <v>1.1748</v>
      </c>
      <c r="H219" s="1740">
        <v>1.1748</v>
      </c>
      <c r="I219" s="1740">
        <v>1.0388</v>
      </c>
      <c r="J219" s="1740">
        <v>1.0388</v>
      </c>
      <c r="K219" s="1740">
        <v>1.0388</v>
      </c>
      <c r="L219" s="1740">
        <v>1.0388</v>
      </c>
      <c r="M219" s="1740">
        <v>1.0388</v>
      </c>
    </row>
    <row r="220" spans="1:13">
      <c r="A220" s="1737">
        <v>1.4</v>
      </c>
      <c r="B220" s="1740">
        <v>1.1448</v>
      </c>
      <c r="C220" s="1740">
        <v>1.1448</v>
      </c>
      <c r="D220" s="1740">
        <v>1.1558</v>
      </c>
      <c r="E220" s="1740">
        <v>1.1558</v>
      </c>
      <c r="F220" s="1740">
        <v>1.1558</v>
      </c>
      <c r="G220" s="1740">
        <v>1.1558</v>
      </c>
      <c r="H220" s="1740">
        <v>1.1558</v>
      </c>
      <c r="I220" s="1740">
        <v>1.0188</v>
      </c>
      <c r="J220" s="1740">
        <v>1.0188</v>
      </c>
      <c r="K220" s="1740">
        <v>1.0188</v>
      </c>
      <c r="L220" s="1740">
        <v>1.0188</v>
      </c>
      <c r="M220" s="1740">
        <v>1.0188</v>
      </c>
    </row>
    <row r="221" spans="1:13">
      <c r="A221" s="1737">
        <v>1.5</v>
      </c>
      <c r="B221" s="1740">
        <v>1.1285</v>
      </c>
      <c r="C221" s="1740">
        <v>1.1285</v>
      </c>
      <c r="D221" s="1740">
        <v>1.1378</v>
      </c>
      <c r="E221" s="1740">
        <v>1.1378</v>
      </c>
      <c r="F221" s="1740">
        <v>1.1378</v>
      </c>
      <c r="G221" s="1740">
        <v>1.1378</v>
      </c>
      <c r="H221" s="1740">
        <v>1.1378</v>
      </c>
      <c r="I221" s="1740">
        <v>1</v>
      </c>
      <c r="J221" s="1740">
        <v>1</v>
      </c>
      <c r="K221" s="1740">
        <v>1</v>
      </c>
      <c r="L221" s="1740">
        <v>1</v>
      </c>
      <c r="M221" s="1740">
        <v>1</v>
      </c>
    </row>
    <row r="222" spans="1:13">
      <c r="A222" s="1737">
        <v>1.6</v>
      </c>
      <c r="B222" s="1740">
        <v>1.1129</v>
      </c>
      <c r="C222" s="1740">
        <v>1.1129</v>
      </c>
      <c r="D222" s="1740">
        <v>1.1206</v>
      </c>
      <c r="E222" s="1740">
        <v>1.1206</v>
      </c>
      <c r="F222" s="1740">
        <v>1.1206</v>
      </c>
      <c r="G222" s="1740">
        <v>1.1206</v>
      </c>
      <c r="H222" s="1740">
        <v>1.1206</v>
      </c>
      <c r="I222" s="1740">
        <v>0.9824</v>
      </c>
      <c r="J222" s="1740">
        <v>0.9824</v>
      </c>
      <c r="K222" s="1740">
        <v>0.9824</v>
      </c>
      <c r="L222" s="1740">
        <v>0.9824</v>
      </c>
      <c r="M222" s="1740">
        <v>0.9824</v>
      </c>
    </row>
    <row r="223" spans="1:13">
      <c r="A223" s="1737">
        <v>1.7</v>
      </c>
      <c r="B223" s="1740">
        <v>1.098</v>
      </c>
      <c r="C223" s="1740">
        <v>1.098</v>
      </c>
      <c r="D223" s="1740">
        <v>1.1043</v>
      </c>
      <c r="E223" s="1740">
        <v>1.1043</v>
      </c>
      <c r="F223" s="1740">
        <v>1.1043</v>
      </c>
      <c r="G223" s="1740">
        <v>1.1043</v>
      </c>
      <c r="H223" s="1740">
        <v>1.1043</v>
      </c>
      <c r="I223" s="1740">
        <v>0.9658</v>
      </c>
      <c r="J223" s="1740">
        <v>0.9658</v>
      </c>
      <c r="K223" s="1740">
        <v>0.9658</v>
      </c>
      <c r="L223" s="1740">
        <v>0.9658</v>
      </c>
      <c r="M223" s="1740">
        <v>0.9658</v>
      </c>
    </row>
    <row r="224" spans="1:13">
      <c r="A224" s="1737">
        <v>1.8</v>
      </c>
      <c r="B224" s="1740">
        <v>1.0836</v>
      </c>
      <c r="C224" s="1740">
        <v>1.0836</v>
      </c>
      <c r="D224" s="1740">
        <v>1.0888</v>
      </c>
      <c r="E224" s="1740">
        <v>1.0888</v>
      </c>
      <c r="F224" s="1740">
        <v>1.0888</v>
      </c>
      <c r="G224" s="1740">
        <v>1.0888</v>
      </c>
      <c r="H224" s="1740">
        <v>1.0888</v>
      </c>
      <c r="I224" s="1740">
        <v>0.9503</v>
      </c>
      <c r="J224" s="1740">
        <v>0.9503</v>
      </c>
      <c r="K224" s="1740">
        <v>0.9503</v>
      </c>
      <c r="L224" s="1740">
        <v>0.9503</v>
      </c>
      <c r="M224" s="1740">
        <v>0.9503</v>
      </c>
    </row>
    <row r="225" spans="1:13">
      <c r="A225" s="1737">
        <v>1.9</v>
      </c>
      <c r="B225" s="1740">
        <v>1.0698</v>
      </c>
      <c r="C225" s="1740">
        <v>1.0698</v>
      </c>
      <c r="D225" s="1740">
        <v>1.0741</v>
      </c>
      <c r="E225" s="1740">
        <v>1.0741</v>
      </c>
      <c r="F225" s="1740">
        <v>1.0741</v>
      </c>
      <c r="G225" s="1740">
        <v>1.0741</v>
      </c>
      <c r="H225" s="1740">
        <v>1.0741</v>
      </c>
      <c r="I225" s="1740">
        <v>0.9361</v>
      </c>
      <c r="J225" s="1740">
        <v>0.9361</v>
      </c>
      <c r="K225" s="1740">
        <v>0.9361</v>
      </c>
      <c r="L225" s="1740">
        <v>0.9361</v>
      </c>
      <c r="M225" s="1740">
        <v>0.9361</v>
      </c>
    </row>
    <row r="226" spans="1:13">
      <c r="A226" s="1737">
        <v>2</v>
      </c>
      <c r="B226" s="1740">
        <v>1.0568</v>
      </c>
      <c r="C226" s="1740">
        <v>1.0568</v>
      </c>
      <c r="D226" s="1740">
        <v>1.0601</v>
      </c>
      <c r="E226" s="1740">
        <v>1.0601</v>
      </c>
      <c r="F226" s="1740">
        <v>1.0601</v>
      </c>
      <c r="G226" s="1740">
        <v>1.0601</v>
      </c>
      <c r="H226" s="1740">
        <v>1.0601</v>
      </c>
      <c r="I226" s="1740">
        <v>0.9224</v>
      </c>
      <c r="J226" s="1740">
        <v>0.9224</v>
      </c>
      <c r="K226" s="1740">
        <v>0.9224</v>
      </c>
      <c r="L226" s="1740">
        <v>0.9224</v>
      </c>
      <c r="M226" s="1740">
        <v>0.9224</v>
      </c>
    </row>
    <row r="227" spans="1:13">
      <c r="A227" s="1741">
        <v>2.1</v>
      </c>
      <c r="B227" s="1740">
        <v>1.0443</v>
      </c>
      <c r="C227" s="1740">
        <v>1.0443</v>
      </c>
      <c r="D227" s="1740">
        <v>1.0468</v>
      </c>
      <c r="E227" s="1740">
        <v>1.0468</v>
      </c>
      <c r="F227" s="1740">
        <v>1.0468</v>
      </c>
      <c r="G227" s="1740">
        <v>1.0468</v>
      </c>
      <c r="H227" s="1740">
        <v>1.0468</v>
      </c>
      <c r="I227" s="1740">
        <v>0.9096</v>
      </c>
      <c r="J227" s="1740">
        <v>0.9096</v>
      </c>
      <c r="K227" s="1740">
        <v>0.9096</v>
      </c>
      <c r="L227" s="1740">
        <v>0.9096</v>
      </c>
      <c r="M227" s="1740">
        <v>0.9096</v>
      </c>
    </row>
    <row r="228" spans="1:13">
      <c r="A228" s="1741">
        <v>2.2</v>
      </c>
      <c r="B228" s="1740">
        <v>1.0325</v>
      </c>
      <c r="C228" s="1740">
        <v>1.0325</v>
      </c>
      <c r="D228" s="1740">
        <v>1.0342</v>
      </c>
      <c r="E228" s="1740">
        <v>1.0342</v>
      </c>
      <c r="F228" s="1740">
        <v>1.0342</v>
      </c>
      <c r="G228" s="1740">
        <v>1.0342</v>
      </c>
      <c r="H228" s="1740">
        <v>1.0342</v>
      </c>
      <c r="I228" s="1740">
        <v>0.8975</v>
      </c>
      <c r="J228" s="1740">
        <v>0.8975</v>
      </c>
      <c r="K228" s="1740">
        <v>0.8975</v>
      </c>
      <c r="L228" s="1740">
        <v>0.8975</v>
      </c>
      <c r="M228" s="1740">
        <v>0.8975</v>
      </c>
    </row>
    <row r="229" spans="1:13">
      <c r="A229" s="1741">
        <v>2.3</v>
      </c>
      <c r="B229" s="1740">
        <v>1.021</v>
      </c>
      <c r="C229" s="1740">
        <v>1.021</v>
      </c>
      <c r="D229" s="1740">
        <v>1.0222</v>
      </c>
      <c r="E229" s="1740">
        <v>1.0222</v>
      </c>
      <c r="F229" s="1740">
        <v>1.0222</v>
      </c>
      <c r="G229" s="1740">
        <v>1.0222</v>
      </c>
      <c r="H229" s="1740">
        <v>1.0222</v>
      </c>
      <c r="I229" s="1740">
        <v>0.8862</v>
      </c>
      <c r="J229" s="1740">
        <v>0.8862</v>
      </c>
      <c r="K229" s="1740">
        <v>0.8862</v>
      </c>
      <c r="L229" s="1740">
        <v>0.8862</v>
      </c>
      <c r="M229" s="1740">
        <v>0.8862</v>
      </c>
    </row>
    <row r="230" spans="1:13">
      <c r="A230" s="1741">
        <v>2.4</v>
      </c>
      <c r="B230" s="1740">
        <v>1.0102</v>
      </c>
      <c r="C230" s="1740">
        <v>1.0102</v>
      </c>
      <c r="D230" s="1740">
        <v>1.0108</v>
      </c>
      <c r="E230" s="1740">
        <v>1.0108</v>
      </c>
      <c r="F230" s="1740">
        <v>1.0108</v>
      </c>
      <c r="G230" s="1740">
        <v>1.0108</v>
      </c>
      <c r="H230" s="1740">
        <v>1.0108</v>
      </c>
      <c r="I230" s="1740">
        <v>0.8753</v>
      </c>
      <c r="J230" s="1740">
        <v>0.8753</v>
      </c>
      <c r="K230" s="1740">
        <v>0.8753</v>
      </c>
      <c r="L230" s="1740">
        <v>0.8753</v>
      </c>
      <c r="M230" s="1740">
        <v>0.8753</v>
      </c>
    </row>
    <row r="231" spans="1:13">
      <c r="A231" s="1741">
        <v>2.5</v>
      </c>
      <c r="B231" s="1740">
        <v>1</v>
      </c>
      <c r="C231" s="1740">
        <v>1</v>
      </c>
      <c r="D231" s="1740">
        <v>1</v>
      </c>
      <c r="E231" s="1740">
        <v>1</v>
      </c>
      <c r="F231" s="1740">
        <v>1</v>
      </c>
      <c r="G231" s="1740">
        <v>1</v>
      </c>
      <c r="H231" s="1740">
        <v>1</v>
      </c>
      <c r="I231" s="1740">
        <v>0.8651</v>
      </c>
      <c r="J231" s="1740">
        <v>0.8651</v>
      </c>
      <c r="K231" s="1740">
        <v>0.8651</v>
      </c>
      <c r="L231" s="1740">
        <v>0.8651</v>
      </c>
      <c r="M231" s="1740">
        <v>0.8651</v>
      </c>
    </row>
    <row r="232" spans="1:13">
      <c r="A232" s="1741">
        <v>2.6</v>
      </c>
      <c r="B232" s="1740">
        <v>0.9903</v>
      </c>
      <c r="C232" s="1740">
        <v>0.9903</v>
      </c>
      <c r="D232" s="1740">
        <v>0.9897</v>
      </c>
      <c r="E232" s="1740">
        <v>0.9897</v>
      </c>
      <c r="F232" s="1740">
        <v>0.9897</v>
      </c>
      <c r="G232" s="1740">
        <v>0.9897</v>
      </c>
      <c r="H232" s="1740">
        <v>0.9897</v>
      </c>
      <c r="I232" s="1740">
        <v>0.8553</v>
      </c>
      <c r="J232" s="1740">
        <v>0.8553</v>
      </c>
      <c r="K232" s="1740">
        <v>0.8553</v>
      </c>
      <c r="L232" s="1740">
        <v>0.8553</v>
      </c>
      <c r="M232" s="1740">
        <v>0.8553</v>
      </c>
    </row>
    <row r="233" spans="1:13">
      <c r="A233" s="1741">
        <v>2.7</v>
      </c>
      <c r="B233" s="1740">
        <v>0.9811</v>
      </c>
      <c r="C233" s="1740">
        <v>0.9811</v>
      </c>
      <c r="D233" s="1740">
        <v>0.9799</v>
      </c>
      <c r="E233" s="1740">
        <v>0.9799</v>
      </c>
      <c r="F233" s="1740">
        <v>0.9799</v>
      </c>
      <c r="G233" s="1740">
        <v>0.9799</v>
      </c>
      <c r="H233" s="1740">
        <v>0.9799</v>
      </c>
      <c r="I233" s="1740">
        <v>0.846</v>
      </c>
      <c r="J233" s="1740">
        <v>0.846</v>
      </c>
      <c r="K233" s="1740">
        <v>0.846</v>
      </c>
      <c r="L233" s="1740">
        <v>0.846</v>
      </c>
      <c r="M233" s="1740">
        <v>0.846</v>
      </c>
    </row>
    <row r="234" spans="1:13">
      <c r="A234" s="1741">
        <v>2.8</v>
      </c>
      <c r="B234" s="1740">
        <v>0.9724</v>
      </c>
      <c r="C234" s="1740">
        <v>0.9724</v>
      </c>
      <c r="D234" s="1740">
        <v>0.9706</v>
      </c>
      <c r="E234" s="1740">
        <v>0.9706</v>
      </c>
      <c r="F234" s="1740">
        <v>0.9706</v>
      </c>
      <c r="G234" s="1740">
        <v>0.9706</v>
      </c>
      <c r="H234" s="1740">
        <v>0.9706</v>
      </c>
      <c r="I234" s="1740">
        <v>0.8371</v>
      </c>
      <c r="J234" s="1740">
        <v>0.8371</v>
      </c>
      <c r="K234" s="1740">
        <v>0.8371</v>
      </c>
      <c r="L234" s="1740">
        <v>0.8371</v>
      </c>
      <c r="M234" s="1740">
        <v>0.8371</v>
      </c>
    </row>
    <row r="235" spans="1:13">
      <c r="A235" s="1741">
        <v>2.9</v>
      </c>
      <c r="B235" s="1740">
        <v>0.9642</v>
      </c>
      <c r="C235" s="1740">
        <v>0.9642</v>
      </c>
      <c r="D235" s="1740">
        <v>0.9618</v>
      </c>
      <c r="E235" s="1740">
        <v>0.9618</v>
      </c>
      <c r="F235" s="1740">
        <v>0.9618</v>
      </c>
      <c r="G235" s="1740">
        <v>0.9618</v>
      </c>
      <c r="H235" s="1740">
        <v>0.9618</v>
      </c>
      <c r="I235" s="1740">
        <v>0.8285</v>
      </c>
      <c r="J235" s="1740">
        <v>0.8285</v>
      </c>
      <c r="K235" s="1740">
        <v>0.8285</v>
      </c>
      <c r="L235" s="1740">
        <v>0.8285</v>
      </c>
      <c r="M235" s="1740">
        <v>0.8285</v>
      </c>
    </row>
    <row r="236" spans="1:13">
      <c r="A236" s="1741">
        <v>3</v>
      </c>
      <c r="B236" s="1740">
        <v>0.9564</v>
      </c>
      <c r="C236" s="1740">
        <v>0.9564</v>
      </c>
      <c r="D236" s="1740">
        <v>0.9534</v>
      </c>
      <c r="E236" s="1740">
        <v>0.9534</v>
      </c>
      <c r="F236" s="1740">
        <v>0.9534</v>
      </c>
      <c r="G236" s="1740">
        <v>0.9534</v>
      </c>
      <c r="H236" s="1740">
        <v>0.9534</v>
      </c>
      <c r="I236" s="1740">
        <v>0.8204</v>
      </c>
      <c r="J236" s="1740">
        <v>0.8204</v>
      </c>
      <c r="K236" s="1740">
        <v>0.8204</v>
      </c>
      <c r="L236" s="1740">
        <v>0.8204</v>
      </c>
      <c r="M236" s="1740">
        <v>0.8204</v>
      </c>
    </row>
    <row r="237" spans="1:13">
      <c r="A237" s="1741">
        <v>3.1</v>
      </c>
      <c r="B237" s="1740">
        <v>0.949</v>
      </c>
      <c r="C237" s="1740">
        <v>0.949</v>
      </c>
      <c r="D237" s="1740">
        <v>0.9455</v>
      </c>
      <c r="E237" s="1740">
        <v>0.9455</v>
      </c>
      <c r="F237" s="1740">
        <v>0.9455</v>
      </c>
      <c r="G237" s="1740">
        <v>0.9455</v>
      </c>
      <c r="H237" s="1740">
        <v>0.9455</v>
      </c>
      <c r="I237" s="1740">
        <v>0.8126</v>
      </c>
      <c r="J237" s="1740">
        <v>0.8126</v>
      </c>
      <c r="K237" s="1740">
        <v>0.8126</v>
      </c>
      <c r="L237" s="1740">
        <v>0.8126</v>
      </c>
      <c r="M237" s="1740">
        <v>0.8126</v>
      </c>
    </row>
    <row r="238" spans="1:13">
      <c r="A238" s="1741">
        <v>3.2</v>
      </c>
      <c r="B238" s="1740">
        <v>0.942</v>
      </c>
      <c r="C238" s="1740">
        <v>0.942</v>
      </c>
      <c r="D238" s="1740">
        <v>0.9379</v>
      </c>
      <c r="E238" s="1740">
        <v>0.9379</v>
      </c>
      <c r="F238" s="1740">
        <v>0.9379</v>
      </c>
      <c r="G238" s="1740">
        <v>0.9379</v>
      </c>
      <c r="H238" s="1740">
        <v>0.9379</v>
      </c>
      <c r="I238" s="1740">
        <v>0.8053</v>
      </c>
      <c r="J238" s="1740">
        <v>0.8053</v>
      </c>
      <c r="K238" s="1740">
        <v>0.8053</v>
      </c>
      <c r="L238" s="1740">
        <v>0.8053</v>
      </c>
      <c r="M238" s="1740">
        <v>0.8053</v>
      </c>
    </row>
    <row r="239" spans="1:13">
      <c r="A239" s="1741">
        <v>3.3</v>
      </c>
      <c r="B239" s="1740">
        <v>0.9354</v>
      </c>
      <c r="C239" s="1740">
        <v>0.9354</v>
      </c>
      <c r="D239" s="1740">
        <v>0.9307</v>
      </c>
      <c r="E239" s="1740">
        <v>0.9307</v>
      </c>
      <c r="F239" s="1740">
        <v>0.9307</v>
      </c>
      <c r="G239" s="1740">
        <v>0.9307</v>
      </c>
      <c r="H239" s="1740">
        <v>0.9307</v>
      </c>
      <c r="I239" s="1740">
        <v>0.7982</v>
      </c>
      <c r="J239" s="1740">
        <v>0.7982</v>
      </c>
      <c r="K239" s="1740">
        <v>0.7982</v>
      </c>
      <c r="L239" s="1740">
        <v>0.7982</v>
      </c>
      <c r="M239" s="1740">
        <v>0.7982</v>
      </c>
    </row>
    <row r="240" spans="1:13">
      <c r="A240" s="1741">
        <v>3.4</v>
      </c>
      <c r="B240" s="1740">
        <v>0.9292</v>
      </c>
      <c r="C240" s="1740">
        <v>0.9292</v>
      </c>
      <c r="D240" s="1740">
        <v>0.9239</v>
      </c>
      <c r="E240" s="1740">
        <v>0.9239</v>
      </c>
      <c r="F240" s="1740">
        <v>0.9239</v>
      </c>
      <c r="G240" s="1740">
        <v>0.9239</v>
      </c>
      <c r="H240" s="1740">
        <v>0.9239</v>
      </c>
      <c r="I240" s="1740">
        <v>0.7914</v>
      </c>
      <c r="J240" s="1740">
        <v>0.7914</v>
      </c>
      <c r="K240" s="1740">
        <v>0.7914</v>
      </c>
      <c r="L240" s="1740">
        <v>0.7914</v>
      </c>
      <c r="M240" s="1740">
        <v>0.7914</v>
      </c>
    </row>
    <row r="241" spans="1:13">
      <c r="A241" s="1741">
        <v>3.5</v>
      </c>
      <c r="B241" s="1740">
        <v>0.9234</v>
      </c>
      <c r="C241" s="1740">
        <v>0.9234</v>
      </c>
      <c r="D241" s="1740">
        <v>0.9175</v>
      </c>
      <c r="E241" s="1740">
        <v>0.9175</v>
      </c>
      <c r="F241" s="1740">
        <v>0.9175</v>
      </c>
      <c r="G241" s="1740">
        <v>0.9175</v>
      </c>
      <c r="H241" s="1740">
        <v>0.9175</v>
      </c>
      <c r="I241" s="1740">
        <v>0.7849</v>
      </c>
      <c r="J241" s="1740">
        <v>0.7849</v>
      </c>
      <c r="K241" s="1740">
        <v>0.7849</v>
      </c>
      <c r="L241" s="1740">
        <v>0.7849</v>
      </c>
      <c r="M241" s="1740">
        <v>0.7849</v>
      </c>
    </row>
    <row r="242" spans="1:13">
      <c r="A242" s="1741">
        <v>3.6</v>
      </c>
      <c r="B242" s="1740">
        <v>0.9179</v>
      </c>
      <c r="C242" s="1740">
        <v>0.9179</v>
      </c>
      <c r="D242" s="1740">
        <v>0.9114</v>
      </c>
      <c r="E242" s="1740">
        <v>0.9114</v>
      </c>
      <c r="F242" s="1740">
        <v>0.9114</v>
      </c>
      <c r="G242" s="1740">
        <v>0.9114</v>
      </c>
      <c r="H242" s="1740">
        <v>0.9114</v>
      </c>
      <c r="I242" s="1740">
        <v>0.7788</v>
      </c>
      <c r="J242" s="1740">
        <v>0.7788</v>
      </c>
      <c r="K242" s="1740">
        <v>0.7788</v>
      </c>
      <c r="L242" s="1740">
        <v>0.7788</v>
      </c>
      <c r="M242" s="1740">
        <v>0.7788</v>
      </c>
    </row>
    <row r="243" spans="1:13">
      <c r="A243" s="1741">
        <v>3.7</v>
      </c>
      <c r="B243" s="1740">
        <v>0.9127</v>
      </c>
      <c r="C243" s="1740">
        <v>0.9127</v>
      </c>
      <c r="D243" s="1740">
        <v>0.9056</v>
      </c>
      <c r="E243" s="1740">
        <v>0.9056</v>
      </c>
      <c r="F243" s="1740">
        <v>0.9056</v>
      </c>
      <c r="G243" s="1740">
        <v>0.9056</v>
      </c>
      <c r="H243" s="1740">
        <v>0.9056</v>
      </c>
      <c r="I243" s="1740">
        <v>0.773</v>
      </c>
      <c r="J243" s="1740">
        <v>0.773</v>
      </c>
      <c r="K243" s="1740">
        <v>0.773</v>
      </c>
      <c r="L243" s="1740">
        <v>0.773</v>
      </c>
      <c r="M243" s="1740">
        <v>0.773</v>
      </c>
    </row>
    <row r="244" spans="1:13">
      <c r="A244" s="1741">
        <v>3.8</v>
      </c>
      <c r="B244" s="1740">
        <v>0.9078</v>
      </c>
      <c r="C244" s="1740">
        <v>0.9078</v>
      </c>
      <c r="D244" s="1740">
        <v>0.9001</v>
      </c>
      <c r="E244" s="1740">
        <v>0.9001</v>
      </c>
      <c r="F244" s="1740">
        <v>0.9001</v>
      </c>
      <c r="G244" s="1740">
        <v>0.9001</v>
      </c>
      <c r="H244" s="1740">
        <v>0.9001</v>
      </c>
      <c r="I244" s="1740">
        <v>0.7674</v>
      </c>
      <c r="J244" s="1740">
        <v>0.7674</v>
      </c>
      <c r="K244" s="1740">
        <v>0.7674</v>
      </c>
      <c r="L244" s="1740">
        <v>0.7674</v>
      </c>
      <c r="M244" s="1740">
        <v>0.7674</v>
      </c>
    </row>
    <row r="245" spans="1:13">
      <c r="A245" s="1741">
        <v>3.9</v>
      </c>
      <c r="B245" s="1740">
        <v>0.9032</v>
      </c>
      <c r="C245" s="1740">
        <v>0.9032</v>
      </c>
      <c r="D245" s="1740">
        <v>0.8949</v>
      </c>
      <c r="E245" s="1740">
        <v>0.8949</v>
      </c>
      <c r="F245" s="1740">
        <v>0.8949</v>
      </c>
      <c r="G245" s="1740">
        <v>0.8949</v>
      </c>
      <c r="H245" s="1740">
        <v>0.8949</v>
      </c>
      <c r="I245" s="1740">
        <v>0.7621</v>
      </c>
      <c r="J245" s="1740">
        <v>0.7621</v>
      </c>
      <c r="K245" s="1740">
        <v>0.7621</v>
      </c>
      <c r="L245" s="1740">
        <v>0.7621</v>
      </c>
      <c r="M245" s="1740">
        <v>0.7621</v>
      </c>
    </row>
    <row r="246" spans="1:13">
      <c r="A246" s="1741">
        <v>4</v>
      </c>
      <c r="B246" s="1740">
        <v>0.8989</v>
      </c>
      <c r="C246" s="1740">
        <v>0.8989</v>
      </c>
      <c r="D246" s="1740">
        <v>0.89</v>
      </c>
      <c r="E246" s="1740">
        <v>0.89</v>
      </c>
      <c r="F246" s="1740">
        <v>0.89</v>
      </c>
      <c r="G246" s="1740">
        <v>0.89</v>
      </c>
      <c r="H246" s="1740">
        <v>0.89</v>
      </c>
      <c r="I246" s="1740">
        <v>0.7571</v>
      </c>
      <c r="J246" s="1740">
        <v>0.7571</v>
      </c>
      <c r="K246" s="1740">
        <v>0.7571</v>
      </c>
      <c r="L246" s="1740">
        <v>0.7571</v>
      </c>
      <c r="M246" s="1740">
        <v>0.7571</v>
      </c>
    </row>
    <row r="247" spans="1:13">
      <c r="A247" s="1741">
        <v>4.1</v>
      </c>
      <c r="B247" s="1740">
        <v>0.8948</v>
      </c>
      <c r="C247" s="1740">
        <v>0.8948</v>
      </c>
      <c r="D247" s="1740">
        <v>0.8854</v>
      </c>
      <c r="E247" s="1740">
        <v>0.8854</v>
      </c>
      <c r="F247" s="1740">
        <v>0.8854</v>
      </c>
      <c r="G247" s="1740">
        <v>0.8854</v>
      </c>
      <c r="H247" s="1740">
        <v>0.8854</v>
      </c>
      <c r="I247" s="1740">
        <v>0.7523</v>
      </c>
      <c r="J247" s="1740">
        <v>0.7523</v>
      </c>
      <c r="K247" s="1740">
        <v>0.7523</v>
      </c>
      <c r="L247" s="1740">
        <v>0.7523</v>
      </c>
      <c r="M247" s="1740">
        <v>0.7523</v>
      </c>
    </row>
    <row r="248" spans="1:13">
      <c r="A248" s="1741">
        <v>4.2</v>
      </c>
      <c r="B248" s="1740">
        <v>0.891</v>
      </c>
      <c r="C248" s="1740">
        <v>0.891</v>
      </c>
      <c r="D248" s="1740">
        <v>0.8811</v>
      </c>
      <c r="E248" s="1740">
        <v>0.8811</v>
      </c>
      <c r="F248" s="1740">
        <v>0.8811</v>
      </c>
      <c r="G248" s="1740">
        <v>0.8811</v>
      </c>
      <c r="H248" s="1740">
        <v>0.8811</v>
      </c>
      <c r="I248" s="1740">
        <v>0.7478</v>
      </c>
      <c r="J248" s="1740">
        <v>0.7478</v>
      </c>
      <c r="K248" s="1740">
        <v>0.7478</v>
      </c>
      <c r="L248" s="1740">
        <v>0.7478</v>
      </c>
      <c r="M248" s="1740">
        <v>0.7478</v>
      </c>
    </row>
    <row r="249" spans="1:13">
      <c r="A249" s="1741">
        <v>4.3</v>
      </c>
      <c r="B249" s="1740">
        <v>0.8874</v>
      </c>
      <c r="C249" s="1740">
        <v>0.8874</v>
      </c>
      <c r="D249" s="1740">
        <v>0.877</v>
      </c>
      <c r="E249" s="1740">
        <v>0.877</v>
      </c>
      <c r="F249" s="1740">
        <v>0.877</v>
      </c>
      <c r="G249" s="1740">
        <v>0.877</v>
      </c>
      <c r="H249" s="1740">
        <v>0.877</v>
      </c>
      <c r="I249" s="1740">
        <v>0.7433</v>
      </c>
      <c r="J249" s="1740">
        <v>0.7433</v>
      </c>
      <c r="K249" s="1740">
        <v>0.7433</v>
      </c>
      <c r="L249" s="1740">
        <v>0.7433</v>
      </c>
      <c r="M249" s="1740">
        <v>0.7433</v>
      </c>
    </row>
    <row r="250" spans="1:13">
      <c r="A250" s="1741">
        <v>4.4</v>
      </c>
      <c r="B250" s="1740">
        <v>0.884</v>
      </c>
      <c r="C250" s="1740">
        <v>0.884</v>
      </c>
      <c r="D250" s="1740">
        <v>0.8731</v>
      </c>
      <c r="E250" s="1740">
        <v>0.8731</v>
      </c>
      <c r="F250" s="1740">
        <v>0.8731</v>
      </c>
      <c r="G250" s="1740">
        <v>0.8731</v>
      </c>
      <c r="H250" s="1740">
        <v>0.8731</v>
      </c>
      <c r="I250" s="1740">
        <v>0.7391</v>
      </c>
      <c r="J250" s="1740">
        <v>0.7391</v>
      </c>
      <c r="K250" s="1740">
        <v>0.7391</v>
      </c>
      <c r="L250" s="1740">
        <v>0.7391</v>
      </c>
      <c r="M250" s="1740">
        <v>0.7391</v>
      </c>
    </row>
    <row r="251" spans="1:13">
      <c r="A251" s="1741">
        <v>4.5</v>
      </c>
      <c r="B251" s="1740">
        <v>0.8808</v>
      </c>
      <c r="C251" s="1740">
        <v>0.8808</v>
      </c>
      <c r="D251" s="1740">
        <v>0.8694</v>
      </c>
      <c r="E251" s="1740">
        <v>0.8694</v>
      </c>
      <c r="F251" s="1740">
        <v>0.8694</v>
      </c>
      <c r="G251" s="1740">
        <v>0.8694</v>
      </c>
      <c r="H251" s="1740">
        <v>0.8694</v>
      </c>
      <c r="I251" s="1740">
        <v>0.735</v>
      </c>
      <c r="J251" s="1740">
        <v>0.735</v>
      </c>
      <c r="K251" s="1740">
        <v>0.735</v>
      </c>
      <c r="L251" s="1740">
        <v>0.735</v>
      </c>
      <c r="M251" s="1740">
        <v>0.735</v>
      </c>
    </row>
    <row r="252" spans="1:13">
      <c r="A252" s="1741">
        <v>4.6</v>
      </c>
      <c r="B252" s="1740">
        <v>0.8778</v>
      </c>
      <c r="C252" s="1740">
        <v>0.8778</v>
      </c>
      <c r="D252" s="1740">
        <v>0.8659</v>
      </c>
      <c r="E252" s="1740">
        <v>0.8659</v>
      </c>
      <c r="F252" s="1740">
        <v>0.8659</v>
      </c>
      <c r="G252" s="1740">
        <v>0.8659</v>
      </c>
      <c r="H252" s="1740">
        <v>0.8659</v>
      </c>
      <c r="I252" s="1740">
        <v>0.7311</v>
      </c>
      <c r="J252" s="1740">
        <v>0.7311</v>
      </c>
      <c r="K252" s="1740">
        <v>0.7311</v>
      </c>
      <c r="L252" s="1740">
        <v>0.7311</v>
      </c>
      <c r="M252" s="1740">
        <v>0.7311</v>
      </c>
    </row>
    <row r="253" spans="1:13">
      <c r="A253" s="1741">
        <v>4.7</v>
      </c>
      <c r="B253" s="1740">
        <v>0.875</v>
      </c>
      <c r="C253" s="1740">
        <v>0.875</v>
      </c>
      <c r="D253" s="1740">
        <v>0.8626</v>
      </c>
      <c r="E253" s="1740">
        <v>0.8626</v>
      </c>
      <c r="F253" s="1740">
        <v>0.8626</v>
      </c>
      <c r="G253" s="1740">
        <v>0.8626</v>
      </c>
      <c r="H253" s="1740">
        <v>0.8626</v>
      </c>
      <c r="I253" s="1740">
        <v>0.7275</v>
      </c>
      <c r="J253" s="1740">
        <v>0.7275</v>
      </c>
      <c r="K253" s="1740">
        <v>0.7275</v>
      </c>
      <c r="L253" s="1740">
        <v>0.7275</v>
      </c>
      <c r="M253" s="1740">
        <v>0.7275</v>
      </c>
    </row>
    <row r="254" spans="1:13">
      <c r="A254" s="1741">
        <v>4.8</v>
      </c>
      <c r="B254" s="1740">
        <v>0.8723</v>
      </c>
      <c r="C254" s="1740">
        <v>0.8723</v>
      </c>
      <c r="D254" s="1740">
        <v>0.8595</v>
      </c>
      <c r="E254" s="1740">
        <v>0.8595</v>
      </c>
      <c r="F254" s="1740">
        <v>0.8595</v>
      </c>
      <c r="G254" s="1740">
        <v>0.8595</v>
      </c>
      <c r="H254" s="1740">
        <v>0.8595</v>
      </c>
      <c r="I254" s="1740">
        <v>0.724</v>
      </c>
      <c r="J254" s="1740">
        <v>0.724</v>
      </c>
      <c r="K254" s="1740">
        <v>0.724</v>
      </c>
      <c r="L254" s="1740">
        <v>0.724</v>
      </c>
      <c r="M254" s="1740">
        <v>0.724</v>
      </c>
    </row>
    <row r="255" spans="1:13">
      <c r="A255" s="1741">
        <v>4.9</v>
      </c>
      <c r="B255" s="1740">
        <v>0.8698</v>
      </c>
      <c r="C255" s="1740">
        <v>0.8698</v>
      </c>
      <c r="D255" s="1740">
        <v>0.8566</v>
      </c>
      <c r="E255" s="1740">
        <v>0.8566</v>
      </c>
      <c r="F255" s="1740">
        <v>0.8566</v>
      </c>
      <c r="G255" s="1740">
        <v>0.8566</v>
      </c>
      <c r="H255" s="1740">
        <v>0.8566</v>
      </c>
      <c r="I255" s="1740">
        <v>0.7208</v>
      </c>
      <c r="J255" s="1740">
        <v>0.7208</v>
      </c>
      <c r="K255" s="1740">
        <v>0.7208</v>
      </c>
      <c r="L255" s="1740">
        <v>0.7208</v>
      </c>
      <c r="M255" s="1740">
        <v>0.7208</v>
      </c>
    </row>
    <row r="256" spans="1:13">
      <c r="A256" s="1741">
        <v>5</v>
      </c>
      <c r="B256" s="1740">
        <v>0.8674</v>
      </c>
      <c r="C256" s="1740">
        <v>0.8674</v>
      </c>
      <c r="D256" s="1740">
        <v>0.8538</v>
      </c>
      <c r="E256" s="1740">
        <v>0.8538</v>
      </c>
      <c r="F256" s="1740">
        <v>0.8538</v>
      </c>
      <c r="G256" s="1740">
        <v>0.8538</v>
      </c>
      <c r="H256" s="1740">
        <v>0.8538</v>
      </c>
      <c r="I256" s="1740">
        <v>0.7176</v>
      </c>
      <c r="J256" s="1740">
        <v>0.7176</v>
      </c>
      <c r="K256" s="1740">
        <v>0.7176</v>
      </c>
      <c r="L256" s="1740">
        <v>0.7176</v>
      </c>
      <c r="M256" s="1740">
        <v>0.7176</v>
      </c>
    </row>
    <row r="257" spans="1:13">
      <c r="A257" s="1737">
        <v>5.1</v>
      </c>
      <c r="B257" s="1740">
        <v>0.8652</v>
      </c>
      <c r="C257" s="1740">
        <v>0.8652</v>
      </c>
      <c r="D257" s="1740">
        <v>0.8511</v>
      </c>
      <c r="E257" s="1740">
        <v>0.8511</v>
      </c>
      <c r="F257" s="1740">
        <v>0.8511</v>
      </c>
      <c r="G257" s="1740">
        <v>0.8511</v>
      </c>
      <c r="H257" s="1740">
        <v>0.8511</v>
      </c>
      <c r="I257" s="1740">
        <v>0.7147</v>
      </c>
      <c r="J257" s="1740">
        <v>0.7147</v>
      </c>
      <c r="K257" s="1740">
        <v>0.7147</v>
      </c>
      <c r="L257" s="1740">
        <v>0.7147</v>
      </c>
      <c r="M257" s="1740">
        <v>0.7147</v>
      </c>
    </row>
    <row r="258" spans="1:13">
      <c r="A258" s="1737">
        <v>5.2</v>
      </c>
      <c r="B258" s="1740">
        <v>0.8631</v>
      </c>
      <c r="C258" s="1740">
        <v>0.8631</v>
      </c>
      <c r="D258" s="1740">
        <v>0.8486</v>
      </c>
      <c r="E258" s="1740">
        <v>0.8486</v>
      </c>
      <c r="F258" s="1740">
        <v>0.8486</v>
      </c>
      <c r="G258" s="1740">
        <v>0.8486</v>
      </c>
      <c r="H258" s="1740">
        <v>0.8486</v>
      </c>
      <c r="I258" s="1740">
        <v>0.7119</v>
      </c>
      <c r="J258" s="1740">
        <v>0.7119</v>
      </c>
      <c r="K258" s="1740">
        <v>0.7119</v>
      </c>
      <c r="L258" s="1740">
        <v>0.7119</v>
      </c>
      <c r="M258" s="1740">
        <v>0.7119</v>
      </c>
    </row>
    <row r="259" spans="1:13">
      <c r="A259" s="1737">
        <v>5.3</v>
      </c>
      <c r="B259" s="1740">
        <v>0.8612</v>
      </c>
      <c r="C259" s="1740">
        <v>0.8612</v>
      </c>
      <c r="D259" s="1740">
        <v>0.8462</v>
      </c>
      <c r="E259" s="1740">
        <v>0.8462</v>
      </c>
      <c r="F259" s="1740">
        <v>0.8462</v>
      </c>
      <c r="G259" s="1740">
        <v>0.8462</v>
      </c>
      <c r="H259" s="1740">
        <v>0.8462</v>
      </c>
      <c r="I259" s="1740">
        <v>0.7091</v>
      </c>
      <c r="J259" s="1740">
        <v>0.7091</v>
      </c>
      <c r="K259" s="1740">
        <v>0.7091</v>
      </c>
      <c r="L259" s="1740">
        <v>0.7091</v>
      </c>
      <c r="M259" s="1740">
        <v>0.7091</v>
      </c>
    </row>
    <row r="260" spans="1:13">
      <c r="A260" s="1737">
        <v>5.4</v>
      </c>
      <c r="B260" s="1740">
        <v>0.8594</v>
      </c>
      <c r="C260" s="1740">
        <v>0.8594</v>
      </c>
      <c r="D260" s="1740">
        <v>0.8439</v>
      </c>
      <c r="E260" s="1740">
        <v>0.8439</v>
      </c>
      <c r="F260" s="1740">
        <v>0.8439</v>
      </c>
      <c r="G260" s="1740">
        <v>0.8439</v>
      </c>
      <c r="H260" s="1740">
        <v>0.8439</v>
      </c>
      <c r="I260" s="1740">
        <v>0.7065</v>
      </c>
      <c r="J260" s="1740">
        <v>0.7065</v>
      </c>
      <c r="K260" s="1740">
        <v>0.7065</v>
      </c>
      <c r="L260" s="1740">
        <v>0.7065</v>
      </c>
      <c r="M260" s="1740">
        <v>0.7065</v>
      </c>
    </row>
    <row r="261" spans="1:13">
      <c r="A261" s="1737">
        <v>5.5</v>
      </c>
      <c r="B261" s="1740">
        <v>0.8577</v>
      </c>
      <c r="C261" s="1740">
        <v>0.8577</v>
      </c>
      <c r="D261" s="1740">
        <v>0.8418</v>
      </c>
      <c r="E261" s="1740">
        <v>0.8418</v>
      </c>
      <c r="F261" s="1740">
        <v>0.8418</v>
      </c>
      <c r="G261" s="1740">
        <v>0.8418</v>
      </c>
      <c r="H261" s="1740">
        <v>0.8418</v>
      </c>
      <c r="I261" s="1740">
        <v>0.704</v>
      </c>
      <c r="J261" s="1740">
        <v>0.704</v>
      </c>
      <c r="K261" s="1740">
        <v>0.704</v>
      </c>
      <c r="L261" s="1740">
        <v>0.704</v>
      </c>
      <c r="M261" s="1740">
        <v>0.704</v>
      </c>
    </row>
    <row r="262" spans="1:13">
      <c r="A262" s="1737">
        <v>5.6</v>
      </c>
      <c r="B262" s="1740">
        <v>0.856</v>
      </c>
      <c r="C262" s="1740">
        <v>0.856</v>
      </c>
      <c r="D262" s="1740">
        <v>0.8398</v>
      </c>
      <c r="E262" s="1740">
        <v>0.8398</v>
      </c>
      <c r="F262" s="1740">
        <v>0.8398</v>
      </c>
      <c r="G262" s="1740">
        <v>0.8398</v>
      </c>
      <c r="H262" s="1740">
        <v>0.8398</v>
      </c>
      <c r="I262" s="1740">
        <v>0.7016</v>
      </c>
      <c r="J262" s="1740">
        <v>0.7016</v>
      </c>
      <c r="K262" s="1740">
        <v>0.7016</v>
      </c>
      <c r="L262" s="1740">
        <v>0.7016</v>
      </c>
      <c r="M262" s="1740">
        <v>0.7016</v>
      </c>
    </row>
    <row r="263" spans="1:13">
      <c r="A263" s="1741">
        <v>5.7</v>
      </c>
      <c r="B263" s="1740">
        <v>0.8544</v>
      </c>
      <c r="C263" s="1740">
        <v>0.8544</v>
      </c>
      <c r="D263" s="1740">
        <v>0.8379</v>
      </c>
      <c r="E263" s="1740">
        <v>0.8379</v>
      </c>
      <c r="F263" s="1740">
        <v>0.8379</v>
      </c>
      <c r="G263" s="1740">
        <v>0.8379</v>
      </c>
      <c r="H263" s="1740">
        <v>0.8379</v>
      </c>
      <c r="I263" s="1740">
        <v>0.6994</v>
      </c>
      <c r="J263" s="1740">
        <v>0.6994</v>
      </c>
      <c r="K263" s="1740">
        <v>0.6994</v>
      </c>
      <c r="L263" s="1740">
        <v>0.6994</v>
      </c>
      <c r="M263" s="1740">
        <v>0.6994</v>
      </c>
    </row>
    <row r="264" spans="1:13">
      <c r="A264" s="1737">
        <v>5.8</v>
      </c>
      <c r="B264" s="1740">
        <v>0.8529</v>
      </c>
      <c r="C264" s="1740">
        <v>0.8529</v>
      </c>
      <c r="D264" s="1740">
        <v>0.836</v>
      </c>
      <c r="E264" s="1740">
        <v>0.836</v>
      </c>
      <c r="F264" s="1740">
        <v>0.836</v>
      </c>
      <c r="G264" s="1740">
        <v>0.836</v>
      </c>
      <c r="H264" s="1740">
        <v>0.836</v>
      </c>
      <c r="I264" s="1740">
        <v>0.6972</v>
      </c>
      <c r="J264" s="1740">
        <v>0.6972</v>
      </c>
      <c r="K264" s="1740">
        <v>0.6972</v>
      </c>
      <c r="L264" s="1740">
        <v>0.6972</v>
      </c>
      <c r="M264" s="1740">
        <v>0.6972</v>
      </c>
    </row>
    <row r="265" spans="1:13">
      <c r="A265" s="1737">
        <v>5.9</v>
      </c>
      <c r="B265" s="1740">
        <v>0.8515</v>
      </c>
      <c r="C265" s="1740">
        <v>0.8515</v>
      </c>
      <c r="D265" s="1740">
        <v>0.8343</v>
      </c>
      <c r="E265" s="1740">
        <v>0.8343</v>
      </c>
      <c r="F265" s="1740">
        <v>0.8343</v>
      </c>
      <c r="G265" s="1740">
        <v>0.8343</v>
      </c>
      <c r="H265" s="1740">
        <v>0.8343</v>
      </c>
      <c r="I265" s="1740">
        <v>0.6952</v>
      </c>
      <c r="J265" s="1740">
        <v>0.6952</v>
      </c>
      <c r="K265" s="1740">
        <v>0.6952</v>
      </c>
      <c r="L265" s="1740">
        <v>0.6952</v>
      </c>
      <c r="M265" s="1740">
        <v>0.6952</v>
      </c>
    </row>
    <row r="266" spans="1:13">
      <c r="A266" s="1737">
        <v>6</v>
      </c>
      <c r="B266" s="1740">
        <v>0.8502</v>
      </c>
      <c r="C266" s="1740">
        <v>0.8502</v>
      </c>
      <c r="D266" s="1740">
        <v>0.8327</v>
      </c>
      <c r="E266" s="1740">
        <v>0.8327</v>
      </c>
      <c r="F266" s="1740">
        <v>0.8327</v>
      </c>
      <c r="G266" s="1740">
        <v>0.8327</v>
      </c>
      <c r="H266" s="1740">
        <v>0.8327</v>
      </c>
      <c r="I266" s="1740">
        <v>0.6932</v>
      </c>
      <c r="J266" s="1740">
        <v>0.6932</v>
      </c>
      <c r="K266" s="1740">
        <v>0.6932</v>
      </c>
      <c r="L266" s="1740">
        <v>0.6932</v>
      </c>
      <c r="M266" s="1740">
        <v>0.6932</v>
      </c>
    </row>
    <row r="267" spans="1:13">
      <c r="A267" s="1737">
        <v>6.1</v>
      </c>
      <c r="B267" s="1740">
        <v>0.849</v>
      </c>
      <c r="C267" s="1740">
        <v>0.849</v>
      </c>
      <c r="D267" s="1740">
        <v>0.8311</v>
      </c>
      <c r="E267" s="1740">
        <v>0.8311</v>
      </c>
      <c r="F267" s="1740">
        <v>0.8311</v>
      </c>
      <c r="G267" s="1740">
        <v>0.8311</v>
      </c>
      <c r="H267" s="1740">
        <v>0.8311</v>
      </c>
      <c r="I267" s="1740">
        <v>0.6913</v>
      </c>
      <c r="J267" s="1740">
        <v>0.6913</v>
      </c>
      <c r="K267" s="1740">
        <v>0.6913</v>
      </c>
      <c r="L267" s="1740">
        <v>0.6913</v>
      </c>
      <c r="M267" s="1740">
        <v>0.6913</v>
      </c>
    </row>
    <row r="268" spans="1:13">
      <c r="A268" s="1737">
        <v>6.2</v>
      </c>
      <c r="B268" s="1740">
        <v>0.8478</v>
      </c>
      <c r="C268" s="1740">
        <v>0.8478</v>
      </c>
      <c r="D268" s="1740">
        <v>0.8296</v>
      </c>
      <c r="E268" s="1740">
        <v>0.8296</v>
      </c>
      <c r="F268" s="1740">
        <v>0.8296</v>
      </c>
      <c r="G268" s="1740">
        <v>0.8296</v>
      </c>
      <c r="H268" s="1740">
        <v>0.8296</v>
      </c>
      <c r="I268" s="1740">
        <v>0.6894</v>
      </c>
      <c r="J268" s="1740">
        <v>0.6894</v>
      </c>
      <c r="K268" s="1740">
        <v>0.6894</v>
      </c>
      <c r="L268" s="1740">
        <v>0.6894</v>
      </c>
      <c r="M268" s="1740">
        <v>0.6894</v>
      </c>
    </row>
    <row r="269" spans="1:13">
      <c r="A269" s="1737">
        <v>6.3</v>
      </c>
      <c r="B269" s="1740">
        <v>0.8467</v>
      </c>
      <c r="C269" s="1740">
        <v>0.8467</v>
      </c>
      <c r="D269" s="1740">
        <v>0.8282</v>
      </c>
      <c r="E269" s="1740">
        <v>0.8282</v>
      </c>
      <c r="F269" s="1740">
        <v>0.8282</v>
      </c>
      <c r="G269" s="1740">
        <v>0.8282</v>
      </c>
      <c r="H269" s="1740">
        <v>0.8282</v>
      </c>
      <c r="I269" s="1740">
        <v>0.6877</v>
      </c>
      <c r="J269" s="1740">
        <v>0.6877</v>
      </c>
      <c r="K269" s="1740">
        <v>0.6877</v>
      </c>
      <c r="L269" s="1740">
        <v>0.6877</v>
      </c>
      <c r="M269" s="1740">
        <v>0.6877</v>
      </c>
    </row>
    <row r="270" spans="1:13">
      <c r="A270" s="1737">
        <v>6.4</v>
      </c>
      <c r="B270" s="1740">
        <v>0.8457</v>
      </c>
      <c r="C270" s="1740">
        <v>0.8457</v>
      </c>
      <c r="D270" s="1740">
        <v>0.8269</v>
      </c>
      <c r="E270" s="1740">
        <v>0.8269</v>
      </c>
      <c r="F270" s="1740">
        <v>0.8269</v>
      </c>
      <c r="G270" s="1740">
        <v>0.8269</v>
      </c>
      <c r="H270" s="1740">
        <v>0.8269</v>
      </c>
      <c r="I270" s="1740">
        <v>0.6861</v>
      </c>
      <c r="J270" s="1740">
        <v>0.6861</v>
      </c>
      <c r="K270" s="1740">
        <v>0.6861</v>
      </c>
      <c r="L270" s="1740">
        <v>0.6861</v>
      </c>
      <c r="M270" s="1740">
        <v>0.6861</v>
      </c>
    </row>
    <row r="271" spans="1:13">
      <c r="A271" s="1737">
        <v>6.5</v>
      </c>
      <c r="B271" s="1740">
        <v>0.8447</v>
      </c>
      <c r="C271" s="1740">
        <v>0.8447</v>
      </c>
      <c r="D271" s="1740">
        <v>0.8257</v>
      </c>
      <c r="E271" s="1740">
        <v>0.8257</v>
      </c>
      <c r="F271" s="1740">
        <v>0.8257</v>
      </c>
      <c r="G271" s="1740">
        <v>0.8257</v>
      </c>
      <c r="H271" s="1740">
        <v>0.8257</v>
      </c>
      <c r="I271" s="1740">
        <v>0.6844</v>
      </c>
      <c r="J271" s="1740">
        <v>0.6844</v>
      </c>
      <c r="K271" s="1740">
        <v>0.6844</v>
      </c>
      <c r="L271" s="1740">
        <v>0.6844</v>
      </c>
      <c r="M271" s="1740">
        <v>0.6844</v>
      </c>
    </row>
    <row r="272" spans="1:13">
      <c r="A272" s="1737">
        <v>6.6</v>
      </c>
      <c r="B272" s="1740">
        <v>0.8437</v>
      </c>
      <c r="C272" s="1740">
        <v>0.8437</v>
      </c>
      <c r="D272" s="1740">
        <v>0.8245</v>
      </c>
      <c r="E272" s="1740">
        <v>0.8245</v>
      </c>
      <c r="F272" s="1740">
        <v>0.8245</v>
      </c>
      <c r="G272" s="1740">
        <v>0.8245</v>
      </c>
      <c r="H272" s="1740">
        <v>0.8245</v>
      </c>
      <c r="I272" s="1740">
        <v>0.6829</v>
      </c>
      <c r="J272" s="1740">
        <v>0.6829</v>
      </c>
      <c r="K272" s="1740">
        <v>0.6829</v>
      </c>
      <c r="L272" s="1740">
        <v>0.6829</v>
      </c>
      <c r="M272" s="1740">
        <v>0.6829</v>
      </c>
    </row>
    <row r="273" spans="1:13">
      <c r="A273" s="1737">
        <v>6.7</v>
      </c>
      <c r="B273" s="1740">
        <v>0.8427</v>
      </c>
      <c r="C273" s="1740">
        <v>0.8427</v>
      </c>
      <c r="D273" s="1740">
        <v>0.8233</v>
      </c>
      <c r="E273" s="1740">
        <v>0.8233</v>
      </c>
      <c r="F273" s="1740">
        <v>0.8233</v>
      </c>
      <c r="G273" s="1740">
        <v>0.8233</v>
      </c>
      <c r="H273" s="1740">
        <v>0.8233</v>
      </c>
      <c r="I273" s="1740">
        <v>0.6813</v>
      </c>
      <c r="J273" s="1740">
        <v>0.6813</v>
      </c>
      <c r="K273" s="1740">
        <v>0.6813</v>
      </c>
      <c r="L273" s="1740">
        <v>0.6813</v>
      </c>
      <c r="M273" s="1740">
        <v>0.6813</v>
      </c>
    </row>
    <row r="274" spans="1:13">
      <c r="A274" s="1737">
        <v>6.8</v>
      </c>
      <c r="B274" s="1740">
        <v>0.8418</v>
      </c>
      <c r="C274" s="1740">
        <v>0.8418</v>
      </c>
      <c r="D274" s="1740">
        <v>0.8221</v>
      </c>
      <c r="E274" s="1740">
        <v>0.8221</v>
      </c>
      <c r="F274" s="1740">
        <v>0.8221</v>
      </c>
      <c r="G274" s="1740">
        <v>0.8221</v>
      </c>
      <c r="H274" s="1740">
        <v>0.8221</v>
      </c>
      <c r="I274" s="1740">
        <v>0.6798</v>
      </c>
      <c r="J274" s="1740">
        <v>0.6798</v>
      </c>
      <c r="K274" s="1740">
        <v>0.6798</v>
      </c>
      <c r="L274" s="1740">
        <v>0.6798</v>
      </c>
      <c r="M274" s="1740">
        <v>0.6798</v>
      </c>
    </row>
    <row r="275" spans="1:13">
      <c r="A275" s="1737">
        <v>6.9</v>
      </c>
      <c r="B275" s="1740">
        <v>0.8409</v>
      </c>
      <c r="C275" s="1740">
        <v>0.8409</v>
      </c>
      <c r="D275" s="1740">
        <v>0.821</v>
      </c>
      <c r="E275" s="1740">
        <v>0.821</v>
      </c>
      <c r="F275" s="1740">
        <v>0.821</v>
      </c>
      <c r="G275" s="1740">
        <v>0.821</v>
      </c>
      <c r="H275" s="1740">
        <v>0.821</v>
      </c>
      <c r="I275" s="1740">
        <v>0.6785</v>
      </c>
      <c r="J275" s="1740">
        <v>0.6785</v>
      </c>
      <c r="K275" s="1740">
        <v>0.6785</v>
      </c>
      <c r="L275" s="1740">
        <v>0.6785</v>
      </c>
      <c r="M275" s="1740">
        <v>0.6785</v>
      </c>
    </row>
    <row r="276" spans="1:13">
      <c r="A276" s="1737">
        <v>7</v>
      </c>
      <c r="B276" s="1740">
        <v>0.8401</v>
      </c>
      <c r="C276" s="1740">
        <v>0.8401</v>
      </c>
      <c r="D276" s="1740">
        <v>0.8199</v>
      </c>
      <c r="E276" s="1740">
        <v>0.8199</v>
      </c>
      <c r="F276" s="1740">
        <v>0.8199</v>
      </c>
      <c r="G276" s="1740">
        <v>0.8199</v>
      </c>
      <c r="H276" s="1740">
        <v>0.8199</v>
      </c>
      <c r="I276" s="1740">
        <v>0.6772</v>
      </c>
      <c r="J276" s="1740">
        <v>0.6772</v>
      </c>
      <c r="K276" s="1740">
        <v>0.6772</v>
      </c>
      <c r="L276" s="1740">
        <v>0.6772</v>
      </c>
      <c r="M276" s="1740">
        <v>0.6772</v>
      </c>
    </row>
    <row r="277" spans="1:13">
      <c r="A277" s="1737">
        <v>7.1</v>
      </c>
      <c r="B277" s="1740">
        <v>0.8393</v>
      </c>
      <c r="C277" s="1740">
        <v>0.8393</v>
      </c>
      <c r="D277" s="1740">
        <v>0.8189</v>
      </c>
      <c r="E277" s="1740">
        <v>0.8189</v>
      </c>
      <c r="F277" s="1740">
        <v>0.8189</v>
      </c>
      <c r="G277" s="1740">
        <v>0.8189</v>
      </c>
      <c r="H277" s="1740">
        <v>0.8189</v>
      </c>
      <c r="I277" s="1740">
        <v>0.6759</v>
      </c>
      <c r="J277" s="1740">
        <v>0.6759</v>
      </c>
      <c r="K277" s="1740">
        <v>0.6759</v>
      </c>
      <c r="L277" s="1740">
        <v>0.6759</v>
      </c>
      <c r="M277" s="1740">
        <v>0.6759</v>
      </c>
    </row>
    <row r="278" spans="1:13">
      <c r="A278" s="1737">
        <v>7.2</v>
      </c>
      <c r="B278" s="1740">
        <v>0.8385</v>
      </c>
      <c r="C278" s="1740">
        <v>0.8385</v>
      </c>
      <c r="D278" s="1740">
        <v>0.8179</v>
      </c>
      <c r="E278" s="1740">
        <v>0.8179</v>
      </c>
      <c r="F278" s="1740">
        <v>0.8179</v>
      </c>
      <c r="G278" s="1740">
        <v>0.8179</v>
      </c>
      <c r="H278" s="1740">
        <v>0.8179</v>
      </c>
      <c r="I278" s="1740">
        <v>0.6746</v>
      </c>
      <c r="J278" s="1740">
        <v>0.6746</v>
      </c>
      <c r="K278" s="1740">
        <v>0.6746</v>
      </c>
      <c r="L278" s="1740">
        <v>0.6746</v>
      </c>
      <c r="M278" s="1740">
        <v>0.6746</v>
      </c>
    </row>
    <row r="279" spans="1:13">
      <c r="A279" s="1737">
        <v>7.3</v>
      </c>
      <c r="B279" s="1740">
        <v>0.8377</v>
      </c>
      <c r="C279" s="1740">
        <v>0.8377</v>
      </c>
      <c r="D279" s="1740">
        <v>0.8169</v>
      </c>
      <c r="E279" s="1740">
        <v>0.8169</v>
      </c>
      <c r="F279" s="1740">
        <v>0.8169</v>
      </c>
      <c r="G279" s="1740">
        <v>0.8169</v>
      </c>
      <c r="H279" s="1740">
        <v>0.8169</v>
      </c>
      <c r="I279" s="1740">
        <v>0.6734</v>
      </c>
      <c r="J279" s="1740">
        <v>0.6734</v>
      </c>
      <c r="K279" s="1740">
        <v>0.6734</v>
      </c>
      <c r="L279" s="1740">
        <v>0.6734</v>
      </c>
      <c r="M279" s="1740">
        <v>0.6734</v>
      </c>
    </row>
    <row r="280" spans="1:13">
      <c r="A280" s="1737">
        <v>7.4</v>
      </c>
      <c r="B280" s="1740">
        <v>0.837</v>
      </c>
      <c r="C280" s="1740">
        <v>0.837</v>
      </c>
      <c r="D280" s="1740">
        <v>0.816</v>
      </c>
      <c r="E280" s="1740">
        <v>0.816</v>
      </c>
      <c r="F280" s="1740">
        <v>0.816</v>
      </c>
      <c r="G280" s="1740">
        <v>0.816</v>
      </c>
      <c r="H280" s="1740">
        <v>0.816</v>
      </c>
      <c r="I280" s="1740">
        <v>0.6721</v>
      </c>
      <c r="J280" s="1740">
        <v>0.6721</v>
      </c>
      <c r="K280" s="1740">
        <v>0.6721</v>
      </c>
      <c r="L280" s="1740">
        <v>0.6721</v>
      </c>
      <c r="M280" s="1740">
        <v>0.6721</v>
      </c>
    </row>
    <row r="281" spans="1:13">
      <c r="A281" s="1737">
        <v>7.5</v>
      </c>
      <c r="B281" s="1740">
        <v>0.8363</v>
      </c>
      <c r="C281" s="1740">
        <v>0.8363</v>
      </c>
      <c r="D281" s="1740">
        <v>0.8151</v>
      </c>
      <c r="E281" s="1740">
        <v>0.8151</v>
      </c>
      <c r="F281" s="1740">
        <v>0.8151</v>
      </c>
      <c r="G281" s="1740">
        <v>0.8151</v>
      </c>
      <c r="H281" s="1740">
        <v>0.8151</v>
      </c>
      <c r="I281" s="1740">
        <v>0.6709</v>
      </c>
      <c r="J281" s="1740">
        <v>0.6709</v>
      </c>
      <c r="K281" s="1740">
        <v>0.6709</v>
      </c>
      <c r="L281" s="1740">
        <v>0.6709</v>
      </c>
      <c r="M281" s="1740">
        <v>0.6709</v>
      </c>
    </row>
    <row r="282" spans="1:13">
      <c r="A282" s="1737">
        <v>7.6</v>
      </c>
      <c r="B282" s="1740">
        <v>0.8356</v>
      </c>
      <c r="C282" s="1740">
        <v>0.8356</v>
      </c>
      <c r="D282" s="1740">
        <v>0.8142</v>
      </c>
      <c r="E282" s="1740">
        <v>0.8142</v>
      </c>
      <c r="F282" s="1740">
        <v>0.8142</v>
      </c>
      <c r="G282" s="1740">
        <v>0.8142</v>
      </c>
      <c r="H282" s="1740">
        <v>0.8142</v>
      </c>
      <c r="I282" s="1740">
        <v>0.6698</v>
      </c>
      <c r="J282" s="1740">
        <v>0.6698</v>
      </c>
      <c r="K282" s="1740">
        <v>0.6698</v>
      </c>
      <c r="L282" s="1740">
        <v>0.6698</v>
      </c>
      <c r="M282" s="1740">
        <v>0.6698</v>
      </c>
    </row>
    <row r="283" spans="1:13">
      <c r="A283" s="1737">
        <v>7.7</v>
      </c>
      <c r="B283" s="1740">
        <v>0.8349</v>
      </c>
      <c r="C283" s="1740">
        <v>0.8349</v>
      </c>
      <c r="D283" s="1740">
        <v>0.8133</v>
      </c>
      <c r="E283" s="1740">
        <v>0.8133</v>
      </c>
      <c r="F283" s="1740">
        <v>0.8133</v>
      </c>
      <c r="G283" s="1740">
        <v>0.8133</v>
      </c>
      <c r="H283" s="1740">
        <v>0.8133</v>
      </c>
      <c r="I283" s="1740">
        <v>0.6687</v>
      </c>
      <c r="J283" s="1740">
        <v>0.6687</v>
      </c>
      <c r="K283" s="1740">
        <v>0.6687</v>
      </c>
      <c r="L283" s="1740">
        <v>0.6687</v>
      </c>
      <c r="M283" s="1740">
        <v>0.6687</v>
      </c>
    </row>
    <row r="284" spans="1:13">
      <c r="A284" s="1737">
        <v>7.8</v>
      </c>
      <c r="B284" s="1740">
        <v>0.8342</v>
      </c>
      <c r="C284" s="1740">
        <v>0.8342</v>
      </c>
      <c r="D284" s="1740">
        <v>0.8124</v>
      </c>
      <c r="E284" s="1740">
        <v>0.8124</v>
      </c>
      <c r="F284" s="1740">
        <v>0.8124</v>
      </c>
      <c r="G284" s="1740">
        <v>0.8124</v>
      </c>
      <c r="H284" s="1740">
        <v>0.8124</v>
      </c>
      <c r="I284" s="1740">
        <v>0.6676</v>
      </c>
      <c r="J284" s="1740">
        <v>0.6676</v>
      </c>
      <c r="K284" s="1740">
        <v>0.6676</v>
      </c>
      <c r="L284" s="1740">
        <v>0.6676</v>
      </c>
      <c r="M284" s="1740">
        <v>0.6676</v>
      </c>
    </row>
    <row r="285" spans="1:13">
      <c r="A285" s="1737">
        <v>7.9</v>
      </c>
      <c r="B285" s="1740">
        <v>0.8335</v>
      </c>
      <c r="C285" s="1740">
        <v>0.8335</v>
      </c>
      <c r="D285" s="1740">
        <v>0.8116</v>
      </c>
      <c r="E285" s="1740">
        <v>0.8116</v>
      </c>
      <c r="F285" s="1740">
        <v>0.8116</v>
      </c>
      <c r="G285" s="1740">
        <v>0.8116</v>
      </c>
      <c r="H285" s="1740">
        <v>0.8116</v>
      </c>
      <c r="I285" s="1740">
        <v>0.6665</v>
      </c>
      <c r="J285" s="1740">
        <v>0.6665</v>
      </c>
      <c r="K285" s="1740">
        <v>0.6665</v>
      </c>
      <c r="L285" s="1740">
        <v>0.6665</v>
      </c>
      <c r="M285" s="1740">
        <v>0.6665</v>
      </c>
    </row>
    <row r="286" spans="1:13">
      <c r="A286" s="1737">
        <v>8</v>
      </c>
      <c r="B286" s="1740">
        <v>0.8328</v>
      </c>
      <c r="C286" s="1740">
        <v>0.8328</v>
      </c>
      <c r="D286" s="1740">
        <v>0.8108</v>
      </c>
      <c r="E286" s="1740">
        <v>0.8108</v>
      </c>
      <c r="F286" s="1740">
        <v>0.8108</v>
      </c>
      <c r="G286" s="1740">
        <v>0.8108</v>
      </c>
      <c r="H286" s="1740">
        <v>0.8108</v>
      </c>
      <c r="I286" s="1740">
        <v>0.6655</v>
      </c>
      <c r="J286" s="1740">
        <v>0.6655</v>
      </c>
      <c r="K286" s="1740">
        <v>0.6655</v>
      </c>
      <c r="L286" s="1740">
        <v>0.6655</v>
      </c>
      <c r="M286" s="1740">
        <v>0.6655</v>
      </c>
    </row>
    <row r="287" spans="1:13">
      <c r="A287" s="1737">
        <v>8.1</v>
      </c>
      <c r="B287" s="1740">
        <v>0.8322</v>
      </c>
      <c r="C287" s="1740">
        <v>0.8322</v>
      </c>
      <c r="D287" s="1740">
        <v>0.81</v>
      </c>
      <c r="E287" s="1740">
        <v>0.81</v>
      </c>
      <c r="F287" s="1740">
        <v>0.81</v>
      </c>
      <c r="G287" s="1740">
        <v>0.81</v>
      </c>
      <c r="H287" s="1740">
        <v>0.81</v>
      </c>
      <c r="I287" s="1740">
        <v>0.6644</v>
      </c>
      <c r="J287" s="1740">
        <v>0.6644</v>
      </c>
      <c r="K287" s="1740">
        <v>0.6644</v>
      </c>
      <c r="L287" s="1740">
        <v>0.6644</v>
      </c>
      <c r="M287" s="1740">
        <v>0.6644</v>
      </c>
    </row>
    <row r="288" spans="1:13">
      <c r="A288" s="1737">
        <v>8.2</v>
      </c>
      <c r="B288" s="1740">
        <v>0.8316</v>
      </c>
      <c r="C288" s="1740">
        <v>0.8316</v>
      </c>
      <c r="D288" s="1740">
        <v>0.8092</v>
      </c>
      <c r="E288" s="1740">
        <v>0.8092</v>
      </c>
      <c r="F288" s="1740">
        <v>0.8092</v>
      </c>
      <c r="G288" s="1740">
        <v>0.8092</v>
      </c>
      <c r="H288" s="1740">
        <v>0.8092</v>
      </c>
      <c r="I288" s="1740">
        <v>0.6634</v>
      </c>
      <c r="J288" s="1740">
        <v>0.6634</v>
      </c>
      <c r="K288" s="1740">
        <v>0.6634</v>
      </c>
      <c r="L288" s="1740">
        <v>0.6634</v>
      </c>
      <c r="M288" s="1740">
        <v>0.6634</v>
      </c>
    </row>
    <row r="289" spans="1:13">
      <c r="A289" s="1737">
        <v>8.3</v>
      </c>
      <c r="B289" s="1740">
        <v>0.831</v>
      </c>
      <c r="C289" s="1740">
        <v>0.831</v>
      </c>
      <c r="D289" s="1740">
        <v>0.8084</v>
      </c>
      <c r="E289" s="1740">
        <v>0.8084</v>
      </c>
      <c r="F289" s="1740">
        <v>0.8084</v>
      </c>
      <c r="G289" s="1740">
        <v>0.8084</v>
      </c>
      <c r="H289" s="1740">
        <v>0.8084</v>
      </c>
      <c r="I289" s="1740">
        <v>0.6624</v>
      </c>
      <c r="J289" s="1740">
        <v>0.6624</v>
      </c>
      <c r="K289" s="1740">
        <v>0.6624</v>
      </c>
      <c r="L289" s="1740">
        <v>0.6624</v>
      </c>
      <c r="M289" s="1740">
        <v>0.6624</v>
      </c>
    </row>
    <row r="290" spans="1:13">
      <c r="A290" s="1737">
        <v>8.4</v>
      </c>
      <c r="B290" s="1740">
        <v>0.8304</v>
      </c>
      <c r="C290" s="1740">
        <v>0.8304</v>
      </c>
      <c r="D290" s="1740">
        <v>0.8076</v>
      </c>
      <c r="E290" s="1740">
        <v>0.8076</v>
      </c>
      <c r="F290" s="1740">
        <v>0.8076</v>
      </c>
      <c r="G290" s="1740">
        <v>0.8076</v>
      </c>
      <c r="H290" s="1740">
        <v>0.8076</v>
      </c>
      <c r="I290" s="1740">
        <v>0.6614</v>
      </c>
      <c r="J290" s="1740">
        <v>0.6614</v>
      </c>
      <c r="K290" s="1740">
        <v>0.6614</v>
      </c>
      <c r="L290" s="1740">
        <v>0.6614</v>
      </c>
      <c r="M290" s="1740">
        <v>0.6614</v>
      </c>
    </row>
    <row r="291" spans="1:13">
      <c r="A291" s="1737">
        <v>8.5</v>
      </c>
      <c r="B291" s="1740">
        <v>0.8298</v>
      </c>
      <c r="C291" s="1740">
        <v>0.8298</v>
      </c>
      <c r="D291" s="1740">
        <v>0.8068</v>
      </c>
      <c r="E291" s="1740">
        <v>0.8068</v>
      </c>
      <c r="F291" s="1740">
        <v>0.8068</v>
      </c>
      <c r="G291" s="1740">
        <v>0.8068</v>
      </c>
      <c r="H291" s="1740">
        <v>0.8068</v>
      </c>
      <c r="I291" s="1740">
        <v>0.6605</v>
      </c>
      <c r="J291" s="1740">
        <v>0.6605</v>
      </c>
      <c r="K291" s="1740">
        <v>0.6605</v>
      </c>
      <c r="L291" s="1740">
        <v>0.6605</v>
      </c>
      <c r="M291" s="1740">
        <v>0.6605</v>
      </c>
    </row>
    <row r="292" spans="1:13">
      <c r="A292" s="1737">
        <v>8.6</v>
      </c>
      <c r="B292" s="1740">
        <v>0.8292</v>
      </c>
      <c r="C292" s="1740">
        <v>0.8292</v>
      </c>
      <c r="D292" s="1740">
        <v>0.806</v>
      </c>
      <c r="E292" s="1740">
        <v>0.806</v>
      </c>
      <c r="F292" s="1740">
        <v>0.806</v>
      </c>
      <c r="G292" s="1740">
        <v>0.806</v>
      </c>
      <c r="H292" s="1740">
        <v>0.806</v>
      </c>
      <c r="I292" s="1740">
        <v>0.6595</v>
      </c>
      <c r="J292" s="1740">
        <v>0.6595</v>
      </c>
      <c r="K292" s="1740">
        <v>0.6595</v>
      </c>
      <c r="L292" s="1740">
        <v>0.6595</v>
      </c>
      <c r="M292" s="1740">
        <v>0.6595</v>
      </c>
    </row>
    <row r="293" spans="1:13">
      <c r="A293" s="1737">
        <v>8.7</v>
      </c>
      <c r="B293" s="1740">
        <v>0.8286</v>
      </c>
      <c r="C293" s="1740">
        <v>0.8286</v>
      </c>
      <c r="D293" s="1740">
        <v>0.8052</v>
      </c>
      <c r="E293" s="1740">
        <v>0.8052</v>
      </c>
      <c r="F293" s="1740">
        <v>0.8052</v>
      </c>
      <c r="G293" s="1740">
        <v>0.8052</v>
      </c>
      <c r="H293" s="1740">
        <v>0.8052</v>
      </c>
      <c r="I293" s="1740">
        <v>0.6586</v>
      </c>
      <c r="J293" s="1740">
        <v>0.6586</v>
      </c>
      <c r="K293" s="1740">
        <v>0.6586</v>
      </c>
      <c r="L293" s="1740">
        <v>0.6586</v>
      </c>
      <c r="M293" s="1740">
        <v>0.6586</v>
      </c>
    </row>
    <row r="294" spans="1:13">
      <c r="A294" s="1737">
        <v>8.8</v>
      </c>
      <c r="B294" s="1740">
        <v>0.828</v>
      </c>
      <c r="C294" s="1740">
        <v>0.828</v>
      </c>
      <c r="D294" s="1740">
        <v>0.8044</v>
      </c>
      <c r="E294" s="1740">
        <v>0.8044</v>
      </c>
      <c r="F294" s="1740">
        <v>0.8044</v>
      </c>
      <c r="G294" s="1740">
        <v>0.8044</v>
      </c>
      <c r="H294" s="1740">
        <v>0.8044</v>
      </c>
      <c r="I294" s="1740">
        <v>0.6576</v>
      </c>
      <c r="J294" s="1740">
        <v>0.6576</v>
      </c>
      <c r="K294" s="1740">
        <v>0.6576</v>
      </c>
      <c r="L294" s="1740">
        <v>0.6576</v>
      </c>
      <c r="M294" s="1740">
        <v>0.6576</v>
      </c>
    </row>
    <row r="295" spans="1:13">
      <c r="A295" s="1737">
        <v>8.9</v>
      </c>
      <c r="B295" s="1740">
        <v>0.8274</v>
      </c>
      <c r="C295" s="1740">
        <v>0.8274</v>
      </c>
      <c r="D295" s="1740">
        <v>0.8036</v>
      </c>
      <c r="E295" s="1740">
        <v>0.8036</v>
      </c>
      <c r="F295" s="1740">
        <v>0.8036</v>
      </c>
      <c r="G295" s="1740">
        <v>0.8036</v>
      </c>
      <c r="H295" s="1740">
        <v>0.8036</v>
      </c>
      <c r="I295" s="1740">
        <v>0.6567</v>
      </c>
      <c r="J295" s="1740">
        <v>0.6567</v>
      </c>
      <c r="K295" s="1740">
        <v>0.6567</v>
      </c>
      <c r="L295" s="1740">
        <v>0.6567</v>
      </c>
      <c r="M295" s="1740">
        <v>0.6567</v>
      </c>
    </row>
    <row r="296" spans="1:13">
      <c r="A296" s="1741">
        <v>9</v>
      </c>
      <c r="B296" s="1740">
        <v>0.8268</v>
      </c>
      <c r="C296" s="1740">
        <v>0.8268</v>
      </c>
      <c r="D296" s="1740">
        <v>0.8028</v>
      </c>
      <c r="E296" s="1740">
        <v>0.8028</v>
      </c>
      <c r="F296" s="1740">
        <v>0.8028</v>
      </c>
      <c r="G296" s="1740">
        <v>0.8028</v>
      </c>
      <c r="H296" s="1740">
        <v>0.8028</v>
      </c>
      <c r="I296" s="1740">
        <v>0.6557</v>
      </c>
      <c r="J296" s="1740">
        <v>0.6557</v>
      </c>
      <c r="K296" s="1740">
        <v>0.6557</v>
      </c>
      <c r="L296" s="1740">
        <v>0.6557</v>
      </c>
      <c r="M296" s="1740">
        <v>0.6557</v>
      </c>
    </row>
    <row r="297" spans="1:13">
      <c r="A297" s="1741">
        <v>9.1</v>
      </c>
      <c r="B297" s="1740">
        <v>0.8262</v>
      </c>
      <c r="C297" s="1740">
        <v>0.8262</v>
      </c>
      <c r="D297" s="1740">
        <v>0.802</v>
      </c>
      <c r="E297" s="1740">
        <v>0.802</v>
      </c>
      <c r="F297" s="1740">
        <v>0.802</v>
      </c>
      <c r="G297" s="1740">
        <v>0.802</v>
      </c>
      <c r="H297" s="1740">
        <v>0.802</v>
      </c>
      <c r="I297" s="1740">
        <v>0.6548</v>
      </c>
      <c r="J297" s="1740">
        <v>0.6548</v>
      </c>
      <c r="K297" s="1740">
        <v>0.6548</v>
      </c>
      <c r="L297" s="1740">
        <v>0.6548</v>
      </c>
      <c r="M297" s="1740">
        <v>0.6548</v>
      </c>
    </row>
    <row r="298" spans="1:13">
      <c r="A298" s="1741">
        <v>9.2</v>
      </c>
      <c r="B298" s="1740">
        <v>0.8256</v>
      </c>
      <c r="C298" s="1740">
        <v>0.8256</v>
      </c>
      <c r="D298" s="1740">
        <v>0.8012</v>
      </c>
      <c r="E298" s="1740">
        <v>0.8012</v>
      </c>
      <c r="F298" s="1740">
        <v>0.8012</v>
      </c>
      <c r="G298" s="1740">
        <v>0.8012</v>
      </c>
      <c r="H298" s="1740">
        <v>0.8012</v>
      </c>
      <c r="I298" s="1740">
        <v>0.6538</v>
      </c>
      <c r="J298" s="1740">
        <v>0.6538</v>
      </c>
      <c r="K298" s="1740">
        <v>0.6538</v>
      </c>
      <c r="L298" s="1740">
        <v>0.6538</v>
      </c>
      <c r="M298" s="1740">
        <v>0.6538</v>
      </c>
    </row>
    <row r="299" spans="1:13">
      <c r="A299" s="1741">
        <v>9.3</v>
      </c>
      <c r="B299" s="1740">
        <v>0.825</v>
      </c>
      <c r="C299" s="1740">
        <v>0.825</v>
      </c>
      <c r="D299" s="1740">
        <v>0.8004</v>
      </c>
      <c r="E299" s="1740">
        <v>0.8004</v>
      </c>
      <c r="F299" s="1740">
        <v>0.8004</v>
      </c>
      <c r="G299" s="1740">
        <v>0.8004</v>
      </c>
      <c r="H299" s="1740">
        <v>0.8004</v>
      </c>
      <c r="I299" s="1740">
        <v>0.6529</v>
      </c>
      <c r="J299" s="1740">
        <v>0.6529</v>
      </c>
      <c r="K299" s="1740">
        <v>0.6529</v>
      </c>
      <c r="L299" s="1740">
        <v>0.6529</v>
      </c>
      <c r="M299" s="1740">
        <v>0.6529</v>
      </c>
    </row>
    <row r="300" spans="1:13">
      <c r="A300" s="1741">
        <v>9.4</v>
      </c>
      <c r="B300" s="1740">
        <v>0.8244</v>
      </c>
      <c r="C300" s="1740">
        <v>0.8244</v>
      </c>
      <c r="D300" s="1740">
        <v>0.7996</v>
      </c>
      <c r="E300" s="1740">
        <v>0.7996</v>
      </c>
      <c r="F300" s="1740">
        <v>0.7996</v>
      </c>
      <c r="G300" s="1740">
        <v>0.7996</v>
      </c>
      <c r="H300" s="1740">
        <v>0.7996</v>
      </c>
      <c r="I300" s="1740">
        <v>0.6519</v>
      </c>
      <c r="J300" s="1740">
        <v>0.6519</v>
      </c>
      <c r="K300" s="1740">
        <v>0.6519</v>
      </c>
      <c r="L300" s="1740">
        <v>0.6519</v>
      </c>
      <c r="M300" s="1740">
        <v>0.6519</v>
      </c>
    </row>
    <row r="301" spans="1:13">
      <c r="A301" s="1741">
        <v>9.5</v>
      </c>
      <c r="B301" s="1740">
        <v>0.8238</v>
      </c>
      <c r="C301" s="1740">
        <v>0.8238</v>
      </c>
      <c r="D301" s="1740">
        <v>0.7988</v>
      </c>
      <c r="E301" s="1740">
        <v>0.7988</v>
      </c>
      <c r="F301" s="1740">
        <v>0.7988</v>
      </c>
      <c r="G301" s="1740">
        <v>0.7988</v>
      </c>
      <c r="H301" s="1740">
        <v>0.7988</v>
      </c>
      <c r="I301" s="1740">
        <v>0.651</v>
      </c>
      <c r="J301" s="1740">
        <v>0.651</v>
      </c>
      <c r="K301" s="1740">
        <v>0.651</v>
      </c>
      <c r="L301" s="1740">
        <v>0.651</v>
      </c>
      <c r="M301" s="1740">
        <v>0.651</v>
      </c>
    </row>
    <row r="302" spans="1:13">
      <c r="A302" s="1741">
        <v>9.6</v>
      </c>
      <c r="B302" s="1740">
        <v>0.8232</v>
      </c>
      <c r="C302" s="1740">
        <v>0.8232</v>
      </c>
      <c r="D302" s="1740">
        <v>0.798</v>
      </c>
      <c r="E302" s="1740">
        <v>0.798</v>
      </c>
      <c r="F302" s="1740">
        <v>0.798</v>
      </c>
      <c r="G302" s="1740">
        <v>0.798</v>
      </c>
      <c r="H302" s="1740">
        <v>0.798</v>
      </c>
      <c r="I302" s="1740">
        <v>0.65</v>
      </c>
      <c r="J302" s="1740">
        <v>0.65</v>
      </c>
      <c r="K302" s="1740">
        <v>0.65</v>
      </c>
      <c r="L302" s="1740">
        <v>0.65</v>
      </c>
      <c r="M302" s="1740">
        <v>0.65</v>
      </c>
    </row>
    <row r="303" spans="1:13">
      <c r="A303" s="1741">
        <v>9.7</v>
      </c>
      <c r="B303" s="1740">
        <v>0.8226</v>
      </c>
      <c r="C303" s="1740">
        <v>0.8226</v>
      </c>
      <c r="D303" s="1740">
        <v>0.7972</v>
      </c>
      <c r="E303" s="1740">
        <v>0.7972</v>
      </c>
      <c r="F303" s="1740">
        <v>0.7972</v>
      </c>
      <c r="G303" s="1740">
        <v>0.7972</v>
      </c>
      <c r="H303" s="1740">
        <v>0.7972</v>
      </c>
      <c r="I303" s="1740">
        <v>0.649</v>
      </c>
      <c r="J303" s="1740">
        <v>0.649</v>
      </c>
      <c r="K303" s="1740">
        <v>0.649</v>
      </c>
      <c r="L303" s="1740">
        <v>0.649</v>
      </c>
      <c r="M303" s="1740">
        <v>0.649</v>
      </c>
    </row>
    <row r="304" spans="1:13">
      <c r="A304" s="1741">
        <v>9.8</v>
      </c>
      <c r="B304" s="1740">
        <v>0.822</v>
      </c>
      <c r="C304" s="1740">
        <v>0.822</v>
      </c>
      <c r="D304" s="1740">
        <v>0.7964</v>
      </c>
      <c r="E304" s="1740">
        <v>0.7964</v>
      </c>
      <c r="F304" s="1740">
        <v>0.7964</v>
      </c>
      <c r="G304" s="1740">
        <v>0.7964</v>
      </c>
      <c r="H304" s="1740">
        <v>0.7964</v>
      </c>
      <c r="I304" s="1740">
        <v>0.6481</v>
      </c>
      <c r="J304" s="1740">
        <v>0.6481</v>
      </c>
      <c r="K304" s="1740">
        <v>0.6481</v>
      </c>
      <c r="L304" s="1740">
        <v>0.6481</v>
      </c>
      <c r="M304" s="1740">
        <v>0.6481</v>
      </c>
    </row>
    <row r="305" spans="1:13">
      <c r="A305" s="1741">
        <v>9.9</v>
      </c>
      <c r="B305" s="1740">
        <v>0.8214</v>
      </c>
      <c r="C305" s="1740">
        <v>0.8214</v>
      </c>
      <c r="D305" s="1740">
        <v>0.7956</v>
      </c>
      <c r="E305" s="1740">
        <v>0.7956</v>
      </c>
      <c r="F305" s="1740">
        <v>0.7956</v>
      </c>
      <c r="G305" s="1740">
        <v>0.7956</v>
      </c>
      <c r="H305" s="1740">
        <v>0.7956</v>
      </c>
      <c r="I305" s="1740">
        <v>0.6471</v>
      </c>
      <c r="J305" s="1740">
        <v>0.6471</v>
      </c>
      <c r="K305" s="1740">
        <v>0.6471</v>
      </c>
      <c r="L305" s="1740">
        <v>0.6471</v>
      </c>
      <c r="M305" s="1740">
        <v>0.6471</v>
      </c>
    </row>
    <row r="306" spans="1:13">
      <c r="A306" s="1741">
        <v>10</v>
      </c>
      <c r="B306" s="1740">
        <v>0.8208</v>
      </c>
      <c r="C306" s="1740">
        <v>0.8208</v>
      </c>
      <c r="D306" s="1740">
        <v>0.7948</v>
      </c>
      <c r="E306" s="1740">
        <v>0.7948</v>
      </c>
      <c r="F306" s="1740">
        <v>0.7948</v>
      </c>
      <c r="G306" s="1740">
        <v>0.7948</v>
      </c>
      <c r="H306" s="1740">
        <v>0.7948</v>
      </c>
      <c r="I306" s="1740">
        <v>0.6462</v>
      </c>
      <c r="J306" s="1740">
        <v>0.6462</v>
      </c>
      <c r="K306" s="1740">
        <v>0.6462</v>
      </c>
      <c r="L306" s="1740">
        <v>0.6462</v>
      </c>
      <c r="M306" s="1740">
        <v>0.6462</v>
      </c>
    </row>
    <row r="307" ht="14.25" spans="1:13">
      <c r="A307" s="1735" t="s">
        <v>1802</v>
      </c>
      <c r="B307" s="1736"/>
      <c r="C307" s="1736"/>
      <c r="D307" s="1736"/>
      <c r="E307" s="1736"/>
      <c r="F307" s="1736"/>
      <c r="G307" s="1736"/>
      <c r="H307" s="1736"/>
      <c r="I307" s="1736"/>
      <c r="J307" s="1736"/>
      <c r="K307" s="1736"/>
      <c r="L307" s="1736"/>
      <c r="M307" s="1736"/>
    </row>
    <row r="308" spans="1:13">
      <c r="A308" s="1737" t="s">
        <v>105</v>
      </c>
      <c r="B308" s="1738" t="s">
        <v>240</v>
      </c>
      <c r="C308" s="1738" t="s">
        <v>253</v>
      </c>
      <c r="D308" s="1738" t="s">
        <v>265</v>
      </c>
      <c r="E308" s="1738" t="s">
        <v>275</v>
      </c>
      <c r="F308" s="1738" t="s">
        <v>284</v>
      </c>
      <c r="G308" s="1738" t="s">
        <v>292</v>
      </c>
      <c r="H308" s="1739" t="s">
        <v>297</v>
      </c>
      <c r="I308" s="1739" t="s">
        <v>302</v>
      </c>
      <c r="J308" s="1742" t="s">
        <v>305</v>
      </c>
      <c r="K308" s="1742" t="s">
        <v>308</v>
      </c>
      <c r="L308" s="1742" t="s">
        <v>311</v>
      </c>
      <c r="M308" s="1742" t="s">
        <v>314</v>
      </c>
    </row>
    <row r="309" spans="1:13">
      <c r="A309" s="1737">
        <v>0.1</v>
      </c>
      <c r="B309" s="1740">
        <v>11.506</v>
      </c>
      <c r="C309" s="1740">
        <v>11.506</v>
      </c>
      <c r="D309" s="1740">
        <v>12.015</v>
      </c>
      <c r="E309" s="1740">
        <v>12.015</v>
      </c>
      <c r="F309" s="1740">
        <v>12.015</v>
      </c>
      <c r="G309" s="1740">
        <v>11.118</v>
      </c>
      <c r="H309" s="1740">
        <v>11.118</v>
      </c>
      <c r="I309" s="1740">
        <v>10</v>
      </c>
      <c r="J309" s="1740">
        <v>10</v>
      </c>
      <c r="K309" s="1740">
        <v>10</v>
      </c>
      <c r="L309" s="1740">
        <v>10</v>
      </c>
      <c r="M309" s="1740">
        <v>10</v>
      </c>
    </row>
    <row r="310" spans="1:13">
      <c r="A310" s="1737">
        <v>0.2</v>
      </c>
      <c r="B310" s="1740">
        <v>5.753</v>
      </c>
      <c r="C310" s="1740">
        <v>5.753</v>
      </c>
      <c r="D310" s="1740">
        <v>6.0075</v>
      </c>
      <c r="E310" s="1740">
        <v>6.0075</v>
      </c>
      <c r="F310" s="1740">
        <v>6.0075</v>
      </c>
      <c r="G310" s="1740">
        <v>5.559</v>
      </c>
      <c r="H310" s="1740">
        <v>5.559</v>
      </c>
      <c r="I310" s="1740">
        <v>5</v>
      </c>
      <c r="J310" s="1740">
        <v>5</v>
      </c>
      <c r="K310" s="1740">
        <v>5</v>
      </c>
      <c r="L310" s="1740">
        <v>5</v>
      </c>
      <c r="M310" s="1740">
        <v>5</v>
      </c>
    </row>
    <row r="311" spans="1:13">
      <c r="A311" s="1737">
        <v>0.3</v>
      </c>
      <c r="B311" s="1740">
        <v>3.8353</v>
      </c>
      <c r="C311" s="1740">
        <v>3.8353</v>
      </c>
      <c r="D311" s="1740">
        <v>4.005</v>
      </c>
      <c r="E311" s="1740">
        <v>4.005</v>
      </c>
      <c r="F311" s="1740">
        <v>4.005</v>
      </c>
      <c r="G311" s="1740">
        <v>3.706</v>
      </c>
      <c r="H311" s="1740">
        <v>3.706</v>
      </c>
      <c r="I311" s="1740">
        <v>3.3333</v>
      </c>
      <c r="J311" s="1740">
        <v>3.3333</v>
      </c>
      <c r="K311" s="1740">
        <v>3.3333</v>
      </c>
      <c r="L311" s="1740">
        <v>3.3333</v>
      </c>
      <c r="M311" s="1740">
        <v>3.3333</v>
      </c>
    </row>
    <row r="312" spans="1:13">
      <c r="A312" s="1737">
        <v>0.4</v>
      </c>
      <c r="B312" s="1740">
        <v>2.8765</v>
      </c>
      <c r="C312" s="1740">
        <v>2.8765</v>
      </c>
      <c r="D312" s="1740">
        <v>3.0038</v>
      </c>
      <c r="E312" s="1740">
        <v>3.0038</v>
      </c>
      <c r="F312" s="1740">
        <v>3.0038</v>
      </c>
      <c r="G312" s="1740">
        <v>2.7795</v>
      </c>
      <c r="H312" s="1740">
        <v>2.7795</v>
      </c>
      <c r="I312" s="1740">
        <v>2.5</v>
      </c>
      <c r="J312" s="1740">
        <v>2.5</v>
      </c>
      <c r="K312" s="1740">
        <v>2.5</v>
      </c>
      <c r="L312" s="1740">
        <v>2.5</v>
      </c>
      <c r="M312" s="1740">
        <v>2.5</v>
      </c>
    </row>
    <row r="313" spans="1:13">
      <c r="A313" s="1737">
        <v>0.5</v>
      </c>
      <c r="B313" s="1740">
        <v>2.3012</v>
      </c>
      <c r="C313" s="1740">
        <v>2.3012</v>
      </c>
      <c r="D313" s="1740">
        <v>2.403</v>
      </c>
      <c r="E313" s="1740">
        <v>2.403</v>
      </c>
      <c r="F313" s="1740">
        <v>2.403</v>
      </c>
      <c r="G313" s="1740">
        <v>2.2236</v>
      </c>
      <c r="H313" s="1740">
        <v>2.2236</v>
      </c>
      <c r="I313" s="1740">
        <v>2</v>
      </c>
      <c r="J313" s="1740">
        <v>2</v>
      </c>
      <c r="K313" s="1740">
        <v>2</v>
      </c>
      <c r="L313" s="1740">
        <v>2</v>
      </c>
      <c r="M313" s="1740">
        <v>2</v>
      </c>
    </row>
    <row r="314" spans="1:13">
      <c r="A314" s="1737">
        <v>0.6</v>
      </c>
      <c r="B314" s="1740">
        <v>1.9177</v>
      </c>
      <c r="C314" s="1740">
        <v>1.9177</v>
      </c>
      <c r="D314" s="1740">
        <v>2.0025</v>
      </c>
      <c r="E314" s="1740">
        <v>2.0025</v>
      </c>
      <c r="F314" s="1740">
        <v>2.0025</v>
      </c>
      <c r="G314" s="1740">
        <v>1.853</v>
      </c>
      <c r="H314" s="1740">
        <v>1.853</v>
      </c>
      <c r="I314" s="1740">
        <v>1.6667</v>
      </c>
      <c r="J314" s="1740">
        <v>1.6667</v>
      </c>
      <c r="K314" s="1740">
        <v>1.6667</v>
      </c>
      <c r="L314" s="1740">
        <v>1.6667</v>
      </c>
      <c r="M314" s="1740">
        <v>1.6667</v>
      </c>
    </row>
    <row r="315" spans="1:13">
      <c r="A315" s="1737">
        <v>0.7</v>
      </c>
      <c r="B315" s="1740">
        <v>1.6437</v>
      </c>
      <c r="C315" s="1740">
        <v>1.6437</v>
      </c>
      <c r="D315" s="1740">
        <v>1.7164</v>
      </c>
      <c r="E315" s="1740">
        <v>1.7164</v>
      </c>
      <c r="F315" s="1740">
        <v>1.7164</v>
      </c>
      <c r="G315" s="1740">
        <v>1.5883</v>
      </c>
      <c r="H315" s="1740">
        <v>1.5883</v>
      </c>
      <c r="I315" s="1740">
        <v>1.4286</v>
      </c>
      <c r="J315" s="1740">
        <v>1.4286</v>
      </c>
      <c r="K315" s="1740">
        <v>1.4286</v>
      </c>
      <c r="L315" s="1740">
        <v>1.4286</v>
      </c>
      <c r="M315" s="1740">
        <v>1.4286</v>
      </c>
    </row>
    <row r="316" spans="1:13">
      <c r="A316" s="1737">
        <v>0.8</v>
      </c>
      <c r="B316" s="1740">
        <v>1.4383</v>
      </c>
      <c r="C316" s="1740">
        <v>1.4383</v>
      </c>
      <c r="D316" s="1740">
        <v>1.5019</v>
      </c>
      <c r="E316" s="1740">
        <v>1.5019</v>
      </c>
      <c r="F316" s="1740">
        <v>1.5019</v>
      </c>
      <c r="G316" s="1740">
        <v>1.3898</v>
      </c>
      <c r="H316" s="1740">
        <v>1.3898</v>
      </c>
      <c r="I316" s="1740">
        <v>1.25</v>
      </c>
      <c r="J316" s="1740">
        <v>1.25</v>
      </c>
      <c r="K316" s="1740">
        <v>1.25</v>
      </c>
      <c r="L316" s="1740">
        <v>1.25</v>
      </c>
      <c r="M316" s="1740">
        <v>1.25</v>
      </c>
    </row>
    <row r="317" spans="1:13">
      <c r="A317" s="1737">
        <v>0.9</v>
      </c>
      <c r="B317" s="1740">
        <v>1.2784</v>
      </c>
      <c r="C317" s="1740">
        <v>1.2784</v>
      </c>
      <c r="D317" s="1740">
        <v>1.335</v>
      </c>
      <c r="E317" s="1740">
        <v>1.335</v>
      </c>
      <c r="F317" s="1740">
        <v>1.335</v>
      </c>
      <c r="G317" s="1740">
        <v>1.2353</v>
      </c>
      <c r="H317" s="1740">
        <v>1.2353</v>
      </c>
      <c r="I317" s="1740">
        <v>1.1111</v>
      </c>
      <c r="J317" s="1740">
        <v>1.1111</v>
      </c>
      <c r="K317" s="1740">
        <v>1.1111</v>
      </c>
      <c r="L317" s="1740">
        <v>1.1111</v>
      </c>
      <c r="M317" s="1740">
        <v>1.1111</v>
      </c>
    </row>
    <row r="318" spans="1:13">
      <c r="A318" s="1737">
        <v>1</v>
      </c>
      <c r="B318" s="1740">
        <v>1.1506</v>
      </c>
      <c r="C318" s="1740">
        <v>1.1506</v>
      </c>
      <c r="D318" s="1740">
        <v>1.2015</v>
      </c>
      <c r="E318" s="1740">
        <v>1.2015</v>
      </c>
      <c r="F318" s="1740">
        <v>1.2015</v>
      </c>
      <c r="G318" s="1740">
        <v>1.1118</v>
      </c>
      <c r="H318" s="1740">
        <v>1.1118</v>
      </c>
      <c r="I318" s="1740">
        <v>1</v>
      </c>
      <c r="J318" s="1740">
        <v>1</v>
      </c>
      <c r="K318" s="1740">
        <v>1</v>
      </c>
      <c r="L318" s="1740">
        <v>1</v>
      </c>
      <c r="M318" s="1740">
        <v>1</v>
      </c>
    </row>
    <row r="319" spans="1:13">
      <c r="A319" s="1737">
        <v>1.1</v>
      </c>
      <c r="B319" s="1740">
        <v>1.1159</v>
      </c>
      <c r="C319" s="1740">
        <v>1.1159</v>
      </c>
      <c r="D319" s="1740">
        <v>1.1441</v>
      </c>
      <c r="E319" s="1740">
        <v>1.1441</v>
      </c>
      <c r="F319" s="1740">
        <v>1.1441</v>
      </c>
      <c r="G319" s="1740">
        <v>1.0493</v>
      </c>
      <c r="H319" s="1740">
        <v>1.0493</v>
      </c>
      <c r="I319" s="1740">
        <v>0.9373</v>
      </c>
      <c r="J319" s="1740">
        <v>0.9373</v>
      </c>
      <c r="K319" s="1740">
        <v>0.9373</v>
      </c>
      <c r="L319" s="1740">
        <v>0.9373</v>
      </c>
      <c r="M319" s="1740">
        <v>0.9373</v>
      </c>
    </row>
    <row r="320" spans="1:13">
      <c r="A320" s="1737">
        <v>1.2</v>
      </c>
      <c r="B320" s="1740">
        <v>1.0837</v>
      </c>
      <c r="C320" s="1740">
        <v>1.0837</v>
      </c>
      <c r="D320" s="1740">
        <v>1.0973</v>
      </c>
      <c r="E320" s="1740">
        <v>1.0973</v>
      </c>
      <c r="F320" s="1740">
        <v>1.0973</v>
      </c>
      <c r="G320" s="1740">
        <v>1</v>
      </c>
      <c r="H320" s="1740">
        <v>1</v>
      </c>
      <c r="I320" s="1740">
        <v>0.8889</v>
      </c>
      <c r="J320" s="1740">
        <v>0.8889</v>
      </c>
      <c r="K320" s="1740">
        <v>0.8889</v>
      </c>
      <c r="L320" s="1740">
        <v>0.8889</v>
      </c>
      <c r="M320" s="1740">
        <v>0.8889</v>
      </c>
    </row>
    <row r="321" spans="1:13">
      <c r="A321" s="1737">
        <v>1.3</v>
      </c>
      <c r="B321" s="1740">
        <v>1.0538</v>
      </c>
      <c r="C321" s="1740">
        <v>1.0538</v>
      </c>
      <c r="D321" s="1740">
        <v>1.059</v>
      </c>
      <c r="E321" s="1740">
        <v>1.059</v>
      </c>
      <c r="F321" s="1740">
        <v>1.059</v>
      </c>
      <c r="G321" s="1740">
        <v>0.9614</v>
      </c>
      <c r="H321" s="1740">
        <v>0.9614</v>
      </c>
      <c r="I321" s="1740">
        <v>0.8521</v>
      </c>
      <c r="J321" s="1740">
        <v>0.8521</v>
      </c>
      <c r="K321" s="1740">
        <v>0.8521</v>
      </c>
      <c r="L321" s="1740">
        <v>0.8521</v>
      </c>
      <c r="M321" s="1740">
        <v>0.8521</v>
      </c>
    </row>
    <row r="322" spans="1:13">
      <c r="A322" s="1737">
        <v>1.4</v>
      </c>
      <c r="B322" s="1740">
        <v>1.026</v>
      </c>
      <c r="C322" s="1740">
        <v>1.026</v>
      </c>
      <c r="D322" s="1740">
        <v>1.0272</v>
      </c>
      <c r="E322" s="1740">
        <v>1.0272</v>
      </c>
      <c r="F322" s="1740">
        <v>1.0272</v>
      </c>
      <c r="G322" s="1740">
        <v>0.9308</v>
      </c>
      <c r="H322" s="1740">
        <v>0.9308</v>
      </c>
      <c r="I322" s="1740">
        <v>0.8238</v>
      </c>
      <c r="J322" s="1740">
        <v>0.8238</v>
      </c>
      <c r="K322" s="1740">
        <v>0.8238</v>
      </c>
      <c r="L322" s="1740">
        <v>0.8238</v>
      </c>
      <c r="M322" s="1740">
        <v>0.8238</v>
      </c>
    </row>
    <row r="323" spans="1:13">
      <c r="A323" s="1737">
        <v>1.5</v>
      </c>
      <c r="B323" s="1740">
        <v>1</v>
      </c>
      <c r="C323" s="1740">
        <v>1</v>
      </c>
      <c r="D323" s="1740">
        <v>1</v>
      </c>
      <c r="E323" s="1740">
        <v>1</v>
      </c>
      <c r="F323" s="1740">
        <v>1</v>
      </c>
      <c r="G323" s="1740">
        <v>0.9056</v>
      </c>
      <c r="H323" s="1740">
        <v>0.9056</v>
      </c>
      <c r="I323" s="1740">
        <v>0.8011</v>
      </c>
      <c r="J323" s="1740">
        <v>0.8011</v>
      </c>
      <c r="K323" s="1740">
        <v>0.8011</v>
      </c>
      <c r="L323" s="1740">
        <v>0.8011</v>
      </c>
      <c r="M323" s="1740">
        <v>0.8011</v>
      </c>
    </row>
    <row r="324" spans="1:13">
      <c r="A324" s="1737">
        <v>1.6</v>
      </c>
      <c r="B324" s="1740">
        <v>0.9757</v>
      </c>
      <c r="C324" s="1740">
        <v>0.9757</v>
      </c>
      <c r="D324" s="1740">
        <v>0.9752</v>
      </c>
      <c r="E324" s="1740">
        <v>0.9752</v>
      </c>
      <c r="F324" s="1740">
        <v>0.9752</v>
      </c>
      <c r="G324" s="1740">
        <v>0.8831</v>
      </c>
      <c r="H324" s="1740">
        <v>0.8831</v>
      </c>
      <c r="I324" s="1740">
        <v>0.781</v>
      </c>
      <c r="J324" s="1740">
        <v>0.781</v>
      </c>
      <c r="K324" s="1740">
        <v>0.781</v>
      </c>
      <c r="L324" s="1740">
        <v>0.781</v>
      </c>
      <c r="M324" s="1740">
        <v>0.781</v>
      </c>
    </row>
    <row r="325" spans="1:13">
      <c r="A325" s="1737">
        <v>1.7</v>
      </c>
      <c r="B325" s="1740">
        <v>0.9529</v>
      </c>
      <c r="C325" s="1740">
        <v>0.9529</v>
      </c>
      <c r="D325" s="1740">
        <v>0.9519</v>
      </c>
      <c r="E325" s="1740">
        <v>0.9519</v>
      </c>
      <c r="F325" s="1740">
        <v>0.9519</v>
      </c>
      <c r="G325" s="1740">
        <v>0.8618</v>
      </c>
      <c r="H325" s="1740">
        <v>0.8618</v>
      </c>
      <c r="I325" s="1740">
        <v>0.7621</v>
      </c>
      <c r="J325" s="1740">
        <v>0.7621</v>
      </c>
      <c r="K325" s="1740">
        <v>0.7621</v>
      </c>
      <c r="L325" s="1740">
        <v>0.7621</v>
      </c>
      <c r="M325" s="1740">
        <v>0.7621</v>
      </c>
    </row>
    <row r="326" spans="1:13">
      <c r="A326" s="1737">
        <v>1.8</v>
      </c>
      <c r="B326" s="1740">
        <v>0.9315</v>
      </c>
      <c r="C326" s="1740">
        <v>0.9315</v>
      </c>
      <c r="D326" s="1740">
        <v>0.93</v>
      </c>
      <c r="E326" s="1740">
        <v>0.93</v>
      </c>
      <c r="F326" s="1740">
        <v>0.93</v>
      </c>
      <c r="G326" s="1740">
        <v>0.8418</v>
      </c>
      <c r="H326" s="1740">
        <v>0.8418</v>
      </c>
      <c r="I326" s="1740">
        <v>0.7442</v>
      </c>
      <c r="J326" s="1740">
        <v>0.7442</v>
      </c>
      <c r="K326" s="1740">
        <v>0.7442</v>
      </c>
      <c r="L326" s="1740">
        <v>0.7442</v>
      </c>
      <c r="M326" s="1740">
        <v>0.7442</v>
      </c>
    </row>
    <row r="327" spans="1:13">
      <c r="A327" s="1737">
        <v>1.9</v>
      </c>
      <c r="B327" s="1740">
        <v>0.9114</v>
      </c>
      <c r="C327" s="1740">
        <v>0.9114</v>
      </c>
      <c r="D327" s="1740">
        <v>0.9094</v>
      </c>
      <c r="E327" s="1740">
        <v>0.9094</v>
      </c>
      <c r="F327" s="1740">
        <v>0.9094</v>
      </c>
      <c r="G327" s="1740">
        <v>0.8229</v>
      </c>
      <c r="H327" s="1740">
        <v>0.8229</v>
      </c>
      <c r="I327" s="1740">
        <v>0.7274</v>
      </c>
      <c r="J327" s="1740">
        <v>0.7274</v>
      </c>
      <c r="K327" s="1740">
        <v>0.7274</v>
      </c>
      <c r="L327" s="1740">
        <v>0.7274</v>
      </c>
      <c r="M327" s="1740">
        <v>0.7274</v>
      </c>
    </row>
    <row r="328" spans="1:13">
      <c r="A328" s="1737">
        <v>2</v>
      </c>
      <c r="B328" s="1740">
        <v>0.8927</v>
      </c>
      <c r="C328" s="1740">
        <v>0.8927</v>
      </c>
      <c r="D328" s="1740">
        <v>0.8901</v>
      </c>
      <c r="E328" s="1740">
        <v>0.8901</v>
      </c>
      <c r="F328" s="1740">
        <v>0.8901</v>
      </c>
      <c r="G328" s="1740">
        <v>0.8053</v>
      </c>
      <c r="H328" s="1740">
        <v>0.8053</v>
      </c>
      <c r="I328" s="1740">
        <v>0.7116</v>
      </c>
      <c r="J328" s="1740">
        <v>0.7116</v>
      </c>
      <c r="K328" s="1740">
        <v>0.7116</v>
      </c>
      <c r="L328" s="1740">
        <v>0.7116</v>
      </c>
      <c r="M328" s="1740">
        <v>0.7116</v>
      </c>
    </row>
    <row r="329" spans="1:13">
      <c r="A329" s="1741">
        <v>2.1</v>
      </c>
      <c r="B329" s="1740">
        <v>0.8752</v>
      </c>
      <c r="C329" s="1740">
        <v>0.8752</v>
      </c>
      <c r="D329" s="1740">
        <v>0.872</v>
      </c>
      <c r="E329" s="1740">
        <v>0.872</v>
      </c>
      <c r="F329" s="1740">
        <v>0.872</v>
      </c>
      <c r="G329" s="1740">
        <v>0.7887</v>
      </c>
      <c r="H329" s="1740">
        <v>0.7887</v>
      </c>
      <c r="I329" s="1740">
        <v>0.6967</v>
      </c>
      <c r="J329" s="1740">
        <v>0.6967</v>
      </c>
      <c r="K329" s="1740">
        <v>0.6967</v>
      </c>
      <c r="L329" s="1740">
        <v>0.6967</v>
      </c>
      <c r="M329" s="1740">
        <v>0.6967</v>
      </c>
    </row>
    <row r="330" spans="1:13">
      <c r="A330" s="1741">
        <v>2.2</v>
      </c>
      <c r="B330" s="1740">
        <v>0.8588</v>
      </c>
      <c r="C330" s="1740">
        <v>0.8588</v>
      </c>
      <c r="D330" s="1740">
        <v>0.855</v>
      </c>
      <c r="E330" s="1740">
        <v>0.855</v>
      </c>
      <c r="F330" s="1740">
        <v>0.855</v>
      </c>
      <c r="G330" s="1740">
        <v>0.773</v>
      </c>
      <c r="H330" s="1740">
        <v>0.773</v>
      </c>
      <c r="I330" s="1740">
        <v>0.6827</v>
      </c>
      <c r="J330" s="1740">
        <v>0.6827</v>
      </c>
      <c r="K330" s="1740">
        <v>0.6827</v>
      </c>
      <c r="L330" s="1740">
        <v>0.6827</v>
      </c>
      <c r="M330" s="1740">
        <v>0.6827</v>
      </c>
    </row>
    <row r="331" spans="1:13">
      <c r="A331" s="1741">
        <v>2.3</v>
      </c>
      <c r="B331" s="1740">
        <v>0.8436</v>
      </c>
      <c r="C331" s="1740">
        <v>0.8436</v>
      </c>
      <c r="D331" s="1740">
        <v>0.839</v>
      </c>
      <c r="E331" s="1740">
        <v>0.839</v>
      </c>
      <c r="F331" s="1740">
        <v>0.839</v>
      </c>
      <c r="G331" s="1740">
        <v>0.7584</v>
      </c>
      <c r="H331" s="1740">
        <v>0.7584</v>
      </c>
      <c r="I331" s="1740">
        <v>0.6695</v>
      </c>
      <c r="J331" s="1740">
        <v>0.6695</v>
      </c>
      <c r="K331" s="1740">
        <v>0.6695</v>
      </c>
      <c r="L331" s="1740">
        <v>0.6695</v>
      </c>
      <c r="M331" s="1740">
        <v>0.6695</v>
      </c>
    </row>
    <row r="332" spans="1:13">
      <c r="A332" s="1741">
        <v>2.4</v>
      </c>
      <c r="B332" s="1740">
        <v>0.8294</v>
      </c>
      <c r="C332" s="1740">
        <v>0.8294</v>
      </c>
      <c r="D332" s="1740">
        <v>0.8241</v>
      </c>
      <c r="E332" s="1740">
        <v>0.8241</v>
      </c>
      <c r="F332" s="1740">
        <v>0.8241</v>
      </c>
      <c r="G332" s="1740">
        <v>0.7446</v>
      </c>
      <c r="H332" s="1740">
        <v>0.7446</v>
      </c>
      <c r="I332" s="1740">
        <v>0.6571</v>
      </c>
      <c r="J332" s="1740">
        <v>0.6571</v>
      </c>
      <c r="K332" s="1740">
        <v>0.6571</v>
      </c>
      <c r="L332" s="1740">
        <v>0.6571</v>
      </c>
      <c r="M332" s="1740">
        <v>0.6571</v>
      </c>
    </row>
    <row r="333" spans="1:13">
      <c r="A333" s="1741">
        <v>2.5</v>
      </c>
      <c r="B333" s="1740">
        <v>0.8162</v>
      </c>
      <c r="C333" s="1740">
        <v>0.8162</v>
      </c>
      <c r="D333" s="1740">
        <v>0.8102</v>
      </c>
      <c r="E333" s="1740">
        <v>0.8102</v>
      </c>
      <c r="F333" s="1740">
        <v>0.8102</v>
      </c>
      <c r="G333" s="1740">
        <v>0.7318</v>
      </c>
      <c r="H333" s="1740">
        <v>0.7318</v>
      </c>
      <c r="I333" s="1740">
        <v>0.6455</v>
      </c>
      <c r="J333" s="1740">
        <v>0.6455</v>
      </c>
      <c r="K333" s="1740">
        <v>0.6455</v>
      </c>
      <c r="L333" s="1740">
        <v>0.6455</v>
      </c>
      <c r="M333" s="1740">
        <v>0.6455</v>
      </c>
    </row>
    <row r="334" spans="1:13">
      <c r="A334" s="1741">
        <v>2.6</v>
      </c>
      <c r="B334" s="1740">
        <v>0.8039</v>
      </c>
      <c r="C334" s="1740">
        <v>0.8039</v>
      </c>
      <c r="D334" s="1740">
        <v>0.7971</v>
      </c>
      <c r="E334" s="1740">
        <v>0.7971</v>
      </c>
      <c r="F334" s="1740">
        <v>0.7971</v>
      </c>
      <c r="G334" s="1740">
        <v>0.7197</v>
      </c>
      <c r="H334" s="1740">
        <v>0.7197</v>
      </c>
      <c r="I334" s="1740">
        <v>0.6346</v>
      </c>
      <c r="J334" s="1740">
        <v>0.6346</v>
      </c>
      <c r="K334" s="1740">
        <v>0.6346</v>
      </c>
      <c r="L334" s="1740">
        <v>0.6346</v>
      </c>
      <c r="M334" s="1740">
        <v>0.6346</v>
      </c>
    </row>
    <row r="335" spans="1:13">
      <c r="A335" s="1741">
        <v>2.7</v>
      </c>
      <c r="B335" s="1740">
        <v>0.7925</v>
      </c>
      <c r="C335" s="1740">
        <v>0.7925</v>
      </c>
      <c r="D335" s="1740">
        <v>0.7849</v>
      </c>
      <c r="E335" s="1740">
        <v>0.7849</v>
      </c>
      <c r="F335" s="1740">
        <v>0.7849</v>
      </c>
      <c r="G335" s="1740">
        <v>0.7084</v>
      </c>
      <c r="H335" s="1740">
        <v>0.7084</v>
      </c>
      <c r="I335" s="1740">
        <v>0.6244</v>
      </c>
      <c r="J335" s="1740">
        <v>0.6244</v>
      </c>
      <c r="K335" s="1740">
        <v>0.6244</v>
      </c>
      <c r="L335" s="1740">
        <v>0.6244</v>
      </c>
      <c r="M335" s="1740">
        <v>0.6244</v>
      </c>
    </row>
    <row r="336" spans="1:13">
      <c r="A336" s="1741">
        <v>2.8</v>
      </c>
      <c r="B336" s="1740">
        <v>0.7819</v>
      </c>
      <c r="C336" s="1740">
        <v>0.7819</v>
      </c>
      <c r="D336" s="1740">
        <v>0.7736</v>
      </c>
      <c r="E336" s="1740">
        <v>0.7736</v>
      </c>
      <c r="F336" s="1740">
        <v>0.7736</v>
      </c>
      <c r="G336" s="1740">
        <v>0.6979</v>
      </c>
      <c r="H336" s="1740">
        <v>0.6979</v>
      </c>
      <c r="I336" s="1740">
        <v>0.6148</v>
      </c>
      <c r="J336" s="1740">
        <v>0.6148</v>
      </c>
      <c r="K336" s="1740">
        <v>0.6148</v>
      </c>
      <c r="L336" s="1740">
        <v>0.6148</v>
      </c>
      <c r="M336" s="1740">
        <v>0.6148</v>
      </c>
    </row>
    <row r="337" spans="1:13">
      <c r="A337" s="1741">
        <v>2.9</v>
      </c>
      <c r="B337" s="1740">
        <v>0.7721</v>
      </c>
      <c r="C337" s="1740">
        <v>0.7721</v>
      </c>
      <c r="D337" s="1740">
        <v>0.763</v>
      </c>
      <c r="E337" s="1740">
        <v>0.763</v>
      </c>
      <c r="F337" s="1740">
        <v>0.763</v>
      </c>
      <c r="G337" s="1740">
        <v>0.688</v>
      </c>
      <c r="H337" s="1740">
        <v>0.688</v>
      </c>
      <c r="I337" s="1740">
        <v>0.6059</v>
      </c>
      <c r="J337" s="1740">
        <v>0.6059</v>
      </c>
      <c r="K337" s="1740">
        <v>0.6059</v>
      </c>
      <c r="L337" s="1740">
        <v>0.6059</v>
      </c>
      <c r="M337" s="1740">
        <v>0.6059</v>
      </c>
    </row>
    <row r="338" spans="1:13">
      <c r="A338" s="1741">
        <v>3</v>
      </c>
      <c r="B338" s="1740">
        <v>0.7631</v>
      </c>
      <c r="C338" s="1740">
        <v>0.7631</v>
      </c>
      <c r="D338" s="1740">
        <v>0.7531</v>
      </c>
      <c r="E338" s="1740">
        <v>0.7531</v>
      </c>
      <c r="F338" s="1740">
        <v>0.7531</v>
      </c>
      <c r="G338" s="1740">
        <v>0.6788</v>
      </c>
      <c r="H338" s="1740">
        <v>0.6788</v>
      </c>
      <c r="I338" s="1740">
        <v>0.5975</v>
      </c>
      <c r="J338" s="1740">
        <v>0.5975</v>
      </c>
      <c r="K338" s="1740">
        <v>0.5975</v>
      </c>
      <c r="L338" s="1740">
        <v>0.5975</v>
      </c>
      <c r="M338" s="1740">
        <v>0.5975</v>
      </c>
    </row>
    <row r="339" spans="1:13">
      <c r="A339" s="1741">
        <v>3.1</v>
      </c>
      <c r="B339" s="1740">
        <v>0.7547</v>
      </c>
      <c r="C339" s="1740">
        <v>0.7547</v>
      </c>
      <c r="D339" s="1740">
        <v>0.744</v>
      </c>
      <c r="E339" s="1740">
        <v>0.744</v>
      </c>
      <c r="F339" s="1740">
        <v>0.744</v>
      </c>
      <c r="G339" s="1740">
        <v>0.6702</v>
      </c>
      <c r="H339" s="1740">
        <v>0.6702</v>
      </c>
      <c r="I339" s="1740">
        <v>0.5897</v>
      </c>
      <c r="J339" s="1740">
        <v>0.5897</v>
      </c>
      <c r="K339" s="1740">
        <v>0.5897</v>
      </c>
      <c r="L339" s="1740">
        <v>0.5897</v>
      </c>
      <c r="M339" s="1740">
        <v>0.5897</v>
      </c>
    </row>
    <row r="340" spans="1:13">
      <c r="A340" s="1741">
        <v>3.2</v>
      </c>
      <c r="B340" s="1740">
        <v>0.747</v>
      </c>
      <c r="C340" s="1740">
        <v>0.747</v>
      </c>
      <c r="D340" s="1740">
        <v>0.7354</v>
      </c>
      <c r="E340" s="1740">
        <v>0.7354</v>
      </c>
      <c r="F340" s="1740">
        <v>0.7354</v>
      </c>
      <c r="G340" s="1740">
        <v>0.6622</v>
      </c>
      <c r="H340" s="1740">
        <v>0.6622</v>
      </c>
      <c r="I340" s="1740">
        <v>0.5823</v>
      </c>
      <c r="J340" s="1740">
        <v>0.5823</v>
      </c>
      <c r="K340" s="1740">
        <v>0.5823</v>
      </c>
      <c r="L340" s="1740">
        <v>0.5823</v>
      </c>
      <c r="M340" s="1740">
        <v>0.5823</v>
      </c>
    </row>
    <row r="341" spans="1:13">
      <c r="A341" s="1741">
        <v>3.3</v>
      </c>
      <c r="B341" s="1740">
        <v>0.7399</v>
      </c>
      <c r="C341" s="1740">
        <v>0.7399</v>
      </c>
      <c r="D341" s="1740">
        <v>0.7275</v>
      </c>
      <c r="E341" s="1740">
        <v>0.7275</v>
      </c>
      <c r="F341" s="1740">
        <v>0.7275</v>
      </c>
      <c r="G341" s="1740">
        <v>0.6548</v>
      </c>
      <c r="H341" s="1740">
        <v>0.6548</v>
      </c>
      <c r="I341" s="1740">
        <v>0.5754</v>
      </c>
      <c r="J341" s="1740">
        <v>0.5754</v>
      </c>
      <c r="K341" s="1740">
        <v>0.5754</v>
      </c>
      <c r="L341" s="1740">
        <v>0.5754</v>
      </c>
      <c r="M341" s="1740">
        <v>0.5754</v>
      </c>
    </row>
    <row r="342" spans="1:13">
      <c r="A342" s="1741">
        <v>3.4</v>
      </c>
      <c r="B342" s="1740">
        <v>0.7334</v>
      </c>
      <c r="C342" s="1740">
        <v>0.7334</v>
      </c>
      <c r="D342" s="1740">
        <v>0.7201</v>
      </c>
      <c r="E342" s="1740">
        <v>0.7201</v>
      </c>
      <c r="F342" s="1740">
        <v>0.7201</v>
      </c>
      <c r="G342" s="1740">
        <v>0.6478</v>
      </c>
      <c r="H342" s="1740">
        <v>0.6478</v>
      </c>
      <c r="I342" s="1740">
        <v>0.569</v>
      </c>
      <c r="J342" s="1740">
        <v>0.569</v>
      </c>
      <c r="K342" s="1740">
        <v>0.569</v>
      </c>
      <c r="L342" s="1740">
        <v>0.569</v>
      </c>
      <c r="M342" s="1740">
        <v>0.569</v>
      </c>
    </row>
    <row r="343" spans="1:13">
      <c r="A343" s="1741">
        <v>3.5</v>
      </c>
      <c r="B343" s="1740">
        <v>0.7274</v>
      </c>
      <c r="C343" s="1740">
        <v>0.7274</v>
      </c>
      <c r="D343" s="1740">
        <v>0.7133</v>
      </c>
      <c r="E343" s="1740">
        <v>0.7133</v>
      </c>
      <c r="F343" s="1740">
        <v>0.7133</v>
      </c>
      <c r="G343" s="1740">
        <v>0.6413</v>
      </c>
      <c r="H343" s="1740">
        <v>0.6413</v>
      </c>
      <c r="I343" s="1740">
        <v>0.5631</v>
      </c>
      <c r="J343" s="1740">
        <v>0.5631</v>
      </c>
      <c r="K343" s="1740">
        <v>0.5631</v>
      </c>
      <c r="L343" s="1740">
        <v>0.5631</v>
      </c>
      <c r="M343" s="1740">
        <v>0.5631</v>
      </c>
    </row>
    <row r="344" spans="1:13">
      <c r="A344" s="1741">
        <v>3.6</v>
      </c>
      <c r="B344" s="1740">
        <v>0.7219</v>
      </c>
      <c r="C344" s="1740">
        <v>0.7219</v>
      </c>
      <c r="D344" s="1740">
        <v>0.707</v>
      </c>
      <c r="E344" s="1740">
        <v>0.707</v>
      </c>
      <c r="F344" s="1740">
        <v>0.707</v>
      </c>
      <c r="G344" s="1740">
        <v>0.6353</v>
      </c>
      <c r="H344" s="1740">
        <v>0.6353</v>
      </c>
      <c r="I344" s="1740">
        <v>0.5575</v>
      </c>
      <c r="J344" s="1740">
        <v>0.5575</v>
      </c>
      <c r="K344" s="1740">
        <v>0.5575</v>
      </c>
      <c r="L344" s="1740">
        <v>0.5575</v>
      </c>
      <c r="M344" s="1740">
        <v>0.5575</v>
      </c>
    </row>
    <row r="345" spans="1:13">
      <c r="A345" s="1741">
        <v>3.7</v>
      </c>
      <c r="B345" s="1740">
        <v>0.7168</v>
      </c>
      <c r="C345" s="1740">
        <v>0.7168</v>
      </c>
      <c r="D345" s="1740">
        <v>0.7011</v>
      </c>
      <c r="E345" s="1740">
        <v>0.7011</v>
      </c>
      <c r="F345" s="1740">
        <v>0.7011</v>
      </c>
      <c r="G345" s="1740">
        <v>0.6297</v>
      </c>
      <c r="H345" s="1740">
        <v>0.6297</v>
      </c>
      <c r="I345" s="1740">
        <v>0.5523</v>
      </c>
      <c r="J345" s="1740">
        <v>0.5523</v>
      </c>
      <c r="K345" s="1740">
        <v>0.5523</v>
      </c>
      <c r="L345" s="1740">
        <v>0.5523</v>
      </c>
      <c r="M345" s="1740">
        <v>0.5523</v>
      </c>
    </row>
    <row r="346" spans="1:13">
      <c r="A346" s="1741">
        <v>3.8</v>
      </c>
      <c r="B346" s="1740">
        <v>0.7122</v>
      </c>
      <c r="C346" s="1740">
        <v>0.7122</v>
      </c>
      <c r="D346" s="1740">
        <v>0.6956</v>
      </c>
      <c r="E346" s="1740">
        <v>0.6956</v>
      </c>
      <c r="F346" s="1740">
        <v>0.6956</v>
      </c>
      <c r="G346" s="1740">
        <v>0.6244</v>
      </c>
      <c r="H346" s="1740">
        <v>0.6244</v>
      </c>
      <c r="I346" s="1740">
        <v>0.5474</v>
      </c>
      <c r="J346" s="1740">
        <v>0.5474</v>
      </c>
      <c r="K346" s="1740">
        <v>0.5474</v>
      </c>
      <c r="L346" s="1740">
        <v>0.5474</v>
      </c>
      <c r="M346" s="1740">
        <v>0.5474</v>
      </c>
    </row>
    <row r="347" spans="1:13">
      <c r="A347" s="1741">
        <v>3.9</v>
      </c>
      <c r="B347" s="1740">
        <v>0.708</v>
      </c>
      <c r="C347" s="1740">
        <v>0.708</v>
      </c>
      <c r="D347" s="1740">
        <v>0.6906</v>
      </c>
      <c r="E347" s="1740">
        <v>0.6906</v>
      </c>
      <c r="F347" s="1740">
        <v>0.6906</v>
      </c>
      <c r="G347" s="1740">
        <v>0.6195</v>
      </c>
      <c r="H347" s="1740">
        <v>0.6195</v>
      </c>
      <c r="I347" s="1740">
        <v>0.5428</v>
      </c>
      <c r="J347" s="1740">
        <v>0.5428</v>
      </c>
      <c r="K347" s="1740">
        <v>0.5428</v>
      </c>
      <c r="L347" s="1740">
        <v>0.5428</v>
      </c>
      <c r="M347" s="1740">
        <v>0.5428</v>
      </c>
    </row>
    <row r="348" spans="1:13">
      <c r="A348" s="1741">
        <v>4</v>
      </c>
      <c r="B348" s="1740">
        <v>0.7041</v>
      </c>
      <c r="C348" s="1740">
        <v>0.7041</v>
      </c>
      <c r="D348" s="1740">
        <v>0.6859</v>
      </c>
      <c r="E348" s="1740">
        <v>0.6859</v>
      </c>
      <c r="F348" s="1740">
        <v>0.6859</v>
      </c>
      <c r="G348" s="1740">
        <v>0.615</v>
      </c>
      <c r="H348" s="1740">
        <v>0.615</v>
      </c>
      <c r="I348" s="1740">
        <v>0.5386</v>
      </c>
      <c r="J348" s="1740">
        <v>0.5386</v>
      </c>
      <c r="K348" s="1740">
        <v>0.5386</v>
      </c>
      <c r="L348" s="1740">
        <v>0.5386</v>
      </c>
      <c r="M348" s="1740">
        <v>0.5386</v>
      </c>
    </row>
    <row r="349" spans="1:13">
      <c r="A349" s="1741">
        <v>4.1</v>
      </c>
      <c r="B349" s="1740">
        <v>0.7006</v>
      </c>
      <c r="C349" s="1740">
        <v>0.7006</v>
      </c>
      <c r="D349" s="1740">
        <v>0.6816</v>
      </c>
      <c r="E349" s="1740">
        <v>0.6816</v>
      </c>
      <c r="F349" s="1740">
        <v>0.6816</v>
      </c>
      <c r="G349" s="1740">
        <v>0.6108</v>
      </c>
      <c r="H349" s="1740">
        <v>0.6108</v>
      </c>
      <c r="I349" s="1740">
        <v>0.5346</v>
      </c>
      <c r="J349" s="1740">
        <v>0.5346</v>
      </c>
      <c r="K349" s="1740">
        <v>0.5346</v>
      </c>
      <c r="L349" s="1740">
        <v>0.5346</v>
      </c>
      <c r="M349" s="1740">
        <v>0.5346</v>
      </c>
    </row>
    <row r="350" spans="1:13">
      <c r="A350" s="1741">
        <v>4.2</v>
      </c>
      <c r="B350" s="1740">
        <v>0.6974</v>
      </c>
      <c r="C350" s="1740">
        <v>0.6974</v>
      </c>
      <c r="D350" s="1740">
        <v>0.6776</v>
      </c>
      <c r="E350" s="1740">
        <v>0.6776</v>
      </c>
      <c r="F350" s="1740">
        <v>0.6776</v>
      </c>
      <c r="G350" s="1740">
        <v>0.607</v>
      </c>
      <c r="H350" s="1740">
        <v>0.607</v>
      </c>
      <c r="I350" s="1740">
        <v>0.5309</v>
      </c>
      <c r="J350" s="1740">
        <v>0.5309</v>
      </c>
      <c r="K350" s="1740">
        <v>0.5309</v>
      </c>
      <c r="L350" s="1740">
        <v>0.5309</v>
      </c>
      <c r="M350" s="1740">
        <v>0.5309</v>
      </c>
    </row>
    <row r="351" spans="1:13">
      <c r="A351" s="1741">
        <v>4.3</v>
      </c>
      <c r="B351" s="1740">
        <v>0.6945</v>
      </c>
      <c r="C351" s="1740">
        <v>0.6945</v>
      </c>
      <c r="D351" s="1740">
        <v>0.6739</v>
      </c>
      <c r="E351" s="1740">
        <v>0.6739</v>
      </c>
      <c r="F351" s="1740">
        <v>0.6739</v>
      </c>
      <c r="G351" s="1740">
        <v>0.6033</v>
      </c>
      <c r="H351" s="1740">
        <v>0.6033</v>
      </c>
      <c r="I351" s="1740">
        <v>0.5274</v>
      </c>
      <c r="J351" s="1740">
        <v>0.5274</v>
      </c>
      <c r="K351" s="1740">
        <v>0.5274</v>
      </c>
      <c r="L351" s="1740">
        <v>0.5274</v>
      </c>
      <c r="M351" s="1740">
        <v>0.5274</v>
      </c>
    </row>
    <row r="352" spans="1:13">
      <c r="A352" s="1741">
        <v>4.4</v>
      </c>
      <c r="B352" s="1740">
        <v>0.6918</v>
      </c>
      <c r="C352" s="1740">
        <v>0.6918</v>
      </c>
      <c r="D352" s="1740">
        <v>0.6705</v>
      </c>
      <c r="E352" s="1740">
        <v>0.6705</v>
      </c>
      <c r="F352" s="1740">
        <v>0.6705</v>
      </c>
      <c r="G352" s="1740">
        <v>0.5999</v>
      </c>
      <c r="H352" s="1740">
        <v>0.5999</v>
      </c>
      <c r="I352" s="1740">
        <v>0.5242</v>
      </c>
      <c r="J352" s="1740">
        <v>0.5242</v>
      </c>
      <c r="K352" s="1740">
        <v>0.5242</v>
      </c>
      <c r="L352" s="1740">
        <v>0.5242</v>
      </c>
      <c r="M352" s="1740">
        <v>0.5242</v>
      </c>
    </row>
    <row r="353" spans="1:13">
      <c r="A353" s="1741">
        <v>4.5</v>
      </c>
      <c r="B353" s="1740">
        <v>0.6894</v>
      </c>
      <c r="C353" s="1740">
        <v>0.6894</v>
      </c>
      <c r="D353" s="1740">
        <v>0.6673</v>
      </c>
      <c r="E353" s="1740">
        <v>0.6673</v>
      </c>
      <c r="F353" s="1740">
        <v>0.6673</v>
      </c>
      <c r="G353" s="1740">
        <v>0.5967</v>
      </c>
      <c r="H353" s="1740">
        <v>0.5967</v>
      </c>
      <c r="I353" s="1740">
        <v>0.5211</v>
      </c>
      <c r="J353" s="1740">
        <v>0.5211</v>
      </c>
      <c r="K353" s="1740">
        <v>0.5211</v>
      </c>
      <c r="L353" s="1740">
        <v>0.5211</v>
      </c>
      <c r="M353" s="1740">
        <v>0.5211</v>
      </c>
    </row>
    <row r="354" spans="1:13">
      <c r="A354" s="1741">
        <v>4.6</v>
      </c>
      <c r="B354" s="1740">
        <v>0.6872</v>
      </c>
      <c r="C354" s="1740">
        <v>0.6872</v>
      </c>
      <c r="D354" s="1740">
        <v>0.6643</v>
      </c>
      <c r="E354" s="1740">
        <v>0.6643</v>
      </c>
      <c r="F354" s="1740">
        <v>0.6643</v>
      </c>
      <c r="G354" s="1740">
        <v>0.5938</v>
      </c>
      <c r="H354" s="1740">
        <v>0.5938</v>
      </c>
      <c r="I354" s="1740">
        <v>0.5182</v>
      </c>
      <c r="J354" s="1740">
        <v>0.5182</v>
      </c>
      <c r="K354" s="1740">
        <v>0.5182</v>
      </c>
      <c r="L354" s="1740">
        <v>0.5182</v>
      </c>
      <c r="M354" s="1740">
        <v>0.5182</v>
      </c>
    </row>
    <row r="355" spans="1:13">
      <c r="A355" s="1741">
        <v>4.7</v>
      </c>
      <c r="B355" s="1740">
        <v>0.6852</v>
      </c>
      <c r="C355" s="1740">
        <v>0.6852</v>
      </c>
      <c r="D355" s="1740">
        <v>0.6615</v>
      </c>
      <c r="E355" s="1740">
        <v>0.6615</v>
      </c>
      <c r="F355" s="1740">
        <v>0.6615</v>
      </c>
      <c r="G355" s="1740">
        <v>0.5911</v>
      </c>
      <c r="H355" s="1740">
        <v>0.5911</v>
      </c>
      <c r="I355" s="1740">
        <v>0.5156</v>
      </c>
      <c r="J355" s="1740">
        <v>0.5156</v>
      </c>
      <c r="K355" s="1740">
        <v>0.5156</v>
      </c>
      <c r="L355" s="1740">
        <v>0.5156</v>
      </c>
      <c r="M355" s="1740">
        <v>0.5156</v>
      </c>
    </row>
    <row r="356" spans="1:13">
      <c r="A356" s="1741">
        <v>4.8</v>
      </c>
      <c r="B356" s="1740">
        <v>0.6834</v>
      </c>
      <c r="C356" s="1740">
        <v>0.6834</v>
      </c>
      <c r="D356" s="1740">
        <v>0.659</v>
      </c>
      <c r="E356" s="1740">
        <v>0.659</v>
      </c>
      <c r="F356" s="1740">
        <v>0.659</v>
      </c>
      <c r="G356" s="1740">
        <v>0.5885</v>
      </c>
      <c r="H356" s="1740">
        <v>0.5885</v>
      </c>
      <c r="I356" s="1740">
        <v>0.513</v>
      </c>
      <c r="J356" s="1740">
        <v>0.513</v>
      </c>
      <c r="K356" s="1740">
        <v>0.513</v>
      </c>
      <c r="L356" s="1740">
        <v>0.513</v>
      </c>
      <c r="M356" s="1740">
        <v>0.513</v>
      </c>
    </row>
    <row r="357" spans="1:13">
      <c r="A357" s="1741">
        <v>4.9</v>
      </c>
      <c r="B357" s="1740">
        <v>0.6818</v>
      </c>
      <c r="C357" s="1740">
        <v>0.6818</v>
      </c>
      <c r="D357" s="1740">
        <v>0.6566</v>
      </c>
      <c r="E357" s="1740">
        <v>0.6566</v>
      </c>
      <c r="F357" s="1740">
        <v>0.6566</v>
      </c>
      <c r="G357" s="1740">
        <v>0.586</v>
      </c>
      <c r="H357" s="1740">
        <v>0.586</v>
      </c>
      <c r="I357" s="1740">
        <v>0.5106</v>
      </c>
      <c r="J357" s="1740">
        <v>0.5106</v>
      </c>
      <c r="K357" s="1740">
        <v>0.5106</v>
      </c>
      <c r="L357" s="1740">
        <v>0.5106</v>
      </c>
      <c r="M357" s="1740">
        <v>0.5106</v>
      </c>
    </row>
    <row r="358" spans="1:13">
      <c r="A358" s="1741">
        <v>5</v>
      </c>
      <c r="B358" s="1740">
        <v>0.6803</v>
      </c>
      <c r="C358" s="1740">
        <v>0.6803</v>
      </c>
      <c r="D358" s="1740">
        <v>0.6544</v>
      </c>
      <c r="E358" s="1740">
        <v>0.6544</v>
      </c>
      <c r="F358" s="1740">
        <v>0.6544</v>
      </c>
      <c r="G358" s="1740">
        <v>0.5838</v>
      </c>
      <c r="H358" s="1740">
        <v>0.5838</v>
      </c>
      <c r="I358" s="1740">
        <v>0.5084</v>
      </c>
      <c r="J358" s="1740">
        <v>0.5084</v>
      </c>
      <c r="K358" s="1740">
        <v>0.5084</v>
      </c>
      <c r="L358" s="1740">
        <v>0.5084</v>
      </c>
      <c r="M358" s="1740">
        <v>0.5084</v>
      </c>
    </row>
    <row r="359" spans="1:13">
      <c r="A359" s="1737">
        <v>5.1</v>
      </c>
      <c r="B359" s="1740">
        <v>0.6789</v>
      </c>
      <c r="C359" s="1740">
        <v>0.6789</v>
      </c>
      <c r="D359" s="1740">
        <v>0.6523</v>
      </c>
      <c r="E359" s="1740">
        <v>0.6523</v>
      </c>
      <c r="F359" s="1740">
        <v>0.6523</v>
      </c>
      <c r="G359" s="1740">
        <v>0.5816</v>
      </c>
      <c r="H359" s="1740">
        <v>0.5816</v>
      </c>
      <c r="I359" s="1740">
        <v>0.5063</v>
      </c>
      <c r="J359" s="1740">
        <v>0.5063</v>
      </c>
      <c r="K359" s="1740">
        <v>0.5063</v>
      </c>
      <c r="L359" s="1740">
        <v>0.5063</v>
      </c>
      <c r="M359" s="1740">
        <v>0.5063</v>
      </c>
    </row>
    <row r="360" spans="1:13">
      <c r="A360" s="1737">
        <v>5.2</v>
      </c>
      <c r="B360" s="1740">
        <v>0.6775</v>
      </c>
      <c r="C360" s="1740">
        <v>0.6775</v>
      </c>
      <c r="D360" s="1740">
        <v>0.6503</v>
      </c>
      <c r="E360" s="1740">
        <v>0.6503</v>
      </c>
      <c r="F360" s="1740">
        <v>0.6503</v>
      </c>
      <c r="G360" s="1740">
        <v>0.5795</v>
      </c>
      <c r="H360" s="1740">
        <v>0.5795</v>
      </c>
      <c r="I360" s="1740">
        <v>0.5042</v>
      </c>
      <c r="J360" s="1740">
        <v>0.5042</v>
      </c>
      <c r="K360" s="1740">
        <v>0.5042</v>
      </c>
      <c r="L360" s="1740">
        <v>0.5042</v>
      </c>
      <c r="M360" s="1740">
        <v>0.5042</v>
      </c>
    </row>
    <row r="361" spans="1:13">
      <c r="A361" s="1737">
        <v>5.3</v>
      </c>
      <c r="B361" s="1740">
        <v>0.6762</v>
      </c>
      <c r="C361" s="1740">
        <v>0.6762</v>
      </c>
      <c r="D361" s="1740">
        <v>0.6484</v>
      </c>
      <c r="E361" s="1740">
        <v>0.6484</v>
      </c>
      <c r="F361" s="1740">
        <v>0.6484</v>
      </c>
      <c r="G361" s="1740">
        <v>0.5776</v>
      </c>
      <c r="H361" s="1740">
        <v>0.5776</v>
      </c>
      <c r="I361" s="1740">
        <v>0.5023</v>
      </c>
      <c r="J361" s="1740">
        <v>0.5023</v>
      </c>
      <c r="K361" s="1740">
        <v>0.5023</v>
      </c>
      <c r="L361" s="1740">
        <v>0.5023</v>
      </c>
      <c r="M361" s="1740">
        <v>0.5023</v>
      </c>
    </row>
    <row r="362" spans="1:13">
      <c r="A362" s="1737">
        <v>5.4</v>
      </c>
      <c r="B362" s="1740">
        <v>0.675</v>
      </c>
      <c r="C362" s="1740">
        <v>0.675</v>
      </c>
      <c r="D362" s="1740">
        <v>0.6467</v>
      </c>
      <c r="E362" s="1740">
        <v>0.6467</v>
      </c>
      <c r="F362" s="1740">
        <v>0.6467</v>
      </c>
      <c r="G362" s="1740">
        <v>0.5758</v>
      </c>
      <c r="H362" s="1740">
        <v>0.5758</v>
      </c>
      <c r="I362" s="1740">
        <v>0.5004</v>
      </c>
      <c r="J362" s="1740">
        <v>0.5004</v>
      </c>
      <c r="K362" s="1740">
        <v>0.5004</v>
      </c>
      <c r="L362" s="1740">
        <v>0.5004</v>
      </c>
      <c r="M362" s="1740">
        <v>0.5004</v>
      </c>
    </row>
    <row r="363" spans="1:13">
      <c r="A363" s="1737">
        <v>5.5</v>
      </c>
      <c r="B363" s="1740">
        <v>0.6738</v>
      </c>
      <c r="C363" s="1740">
        <v>0.6738</v>
      </c>
      <c r="D363" s="1740">
        <v>0.645</v>
      </c>
      <c r="E363" s="1740">
        <v>0.645</v>
      </c>
      <c r="F363" s="1740">
        <v>0.645</v>
      </c>
      <c r="G363" s="1740">
        <v>0.574</v>
      </c>
      <c r="H363" s="1740">
        <v>0.574</v>
      </c>
      <c r="I363" s="1740">
        <v>0.4987</v>
      </c>
      <c r="J363" s="1740">
        <v>0.4987</v>
      </c>
      <c r="K363" s="1740">
        <v>0.4987</v>
      </c>
      <c r="L363" s="1740">
        <v>0.4987</v>
      </c>
      <c r="M363" s="1740">
        <v>0.4987</v>
      </c>
    </row>
    <row r="364" spans="1:13">
      <c r="A364" s="1737">
        <v>5.6</v>
      </c>
      <c r="B364" s="1740">
        <v>0.6726</v>
      </c>
      <c r="C364" s="1740">
        <v>0.6726</v>
      </c>
      <c r="D364" s="1740">
        <v>0.6434</v>
      </c>
      <c r="E364" s="1740">
        <v>0.6434</v>
      </c>
      <c r="F364" s="1740">
        <v>0.6434</v>
      </c>
      <c r="G364" s="1740">
        <v>0.5724</v>
      </c>
      <c r="H364" s="1740">
        <v>0.5724</v>
      </c>
      <c r="I364" s="1740">
        <v>0.4969</v>
      </c>
      <c r="J364" s="1740">
        <v>0.4969</v>
      </c>
      <c r="K364" s="1740">
        <v>0.4969</v>
      </c>
      <c r="L364" s="1740">
        <v>0.4969</v>
      </c>
      <c r="M364" s="1740">
        <v>0.4969</v>
      </c>
    </row>
    <row r="365" spans="1:13">
      <c r="A365" s="1741">
        <v>5.7</v>
      </c>
      <c r="B365" s="1740">
        <v>0.6714</v>
      </c>
      <c r="C365" s="1740">
        <v>0.6714</v>
      </c>
      <c r="D365" s="1740">
        <v>0.6419</v>
      </c>
      <c r="E365" s="1740">
        <v>0.6419</v>
      </c>
      <c r="F365" s="1740">
        <v>0.6419</v>
      </c>
      <c r="G365" s="1740">
        <v>0.5707</v>
      </c>
      <c r="H365" s="1740">
        <v>0.5707</v>
      </c>
      <c r="I365" s="1740">
        <v>0.4952</v>
      </c>
      <c r="J365" s="1740">
        <v>0.4952</v>
      </c>
      <c r="K365" s="1740">
        <v>0.4952</v>
      </c>
      <c r="L365" s="1740">
        <v>0.4952</v>
      </c>
      <c r="M365" s="1740">
        <v>0.4952</v>
      </c>
    </row>
    <row r="366" spans="1:13">
      <c r="A366" s="1737">
        <v>5.8</v>
      </c>
      <c r="B366" s="1740">
        <v>0.6702</v>
      </c>
      <c r="C366" s="1740">
        <v>0.6702</v>
      </c>
      <c r="D366" s="1740">
        <v>0.6404</v>
      </c>
      <c r="E366" s="1740">
        <v>0.6404</v>
      </c>
      <c r="F366" s="1740">
        <v>0.6404</v>
      </c>
      <c r="G366" s="1740">
        <v>0.5691</v>
      </c>
      <c r="H366" s="1740">
        <v>0.5691</v>
      </c>
      <c r="I366" s="1740">
        <v>0.4936</v>
      </c>
      <c r="J366" s="1740">
        <v>0.4936</v>
      </c>
      <c r="K366" s="1740">
        <v>0.4936</v>
      </c>
      <c r="L366" s="1740">
        <v>0.4936</v>
      </c>
      <c r="M366" s="1740">
        <v>0.4936</v>
      </c>
    </row>
    <row r="367" spans="1:13">
      <c r="A367" s="1737">
        <v>5.9</v>
      </c>
      <c r="B367" s="1740">
        <v>0.6691</v>
      </c>
      <c r="C367" s="1740">
        <v>0.6691</v>
      </c>
      <c r="D367" s="1740">
        <v>0.6389</v>
      </c>
      <c r="E367" s="1740">
        <v>0.6389</v>
      </c>
      <c r="F367" s="1740">
        <v>0.6389</v>
      </c>
      <c r="G367" s="1740">
        <v>0.5675</v>
      </c>
      <c r="H367" s="1740">
        <v>0.5675</v>
      </c>
      <c r="I367" s="1740">
        <v>0.4919</v>
      </c>
      <c r="J367" s="1740">
        <v>0.4919</v>
      </c>
      <c r="K367" s="1740">
        <v>0.4919</v>
      </c>
      <c r="L367" s="1740">
        <v>0.4919</v>
      </c>
      <c r="M367" s="1740">
        <v>0.4919</v>
      </c>
    </row>
    <row r="368" spans="1:13">
      <c r="A368" s="1737">
        <v>6</v>
      </c>
      <c r="B368" s="1740">
        <v>0.668</v>
      </c>
      <c r="C368" s="1740">
        <v>0.668</v>
      </c>
      <c r="D368" s="1740">
        <v>0.6374</v>
      </c>
      <c r="E368" s="1740">
        <v>0.6374</v>
      </c>
      <c r="F368" s="1740">
        <v>0.6374</v>
      </c>
      <c r="G368" s="1740">
        <v>0.5659</v>
      </c>
      <c r="H368" s="1740">
        <v>0.5659</v>
      </c>
      <c r="I368" s="1740">
        <v>0.4902</v>
      </c>
      <c r="J368" s="1740">
        <v>0.4902</v>
      </c>
      <c r="K368" s="1740">
        <v>0.4902</v>
      </c>
      <c r="L368" s="1740">
        <v>0.4902</v>
      </c>
      <c r="M368" s="1740">
        <v>0.4902</v>
      </c>
    </row>
    <row r="369" spans="1:13">
      <c r="A369" s="1737">
        <v>6.1</v>
      </c>
      <c r="B369" s="1740">
        <v>0.6669</v>
      </c>
      <c r="C369" s="1740">
        <v>0.6669</v>
      </c>
      <c r="D369" s="1740">
        <v>0.6359</v>
      </c>
      <c r="E369" s="1740">
        <v>0.6359</v>
      </c>
      <c r="F369" s="1740">
        <v>0.6359</v>
      </c>
      <c r="G369" s="1740">
        <v>0.5644</v>
      </c>
      <c r="H369" s="1740">
        <v>0.5644</v>
      </c>
      <c r="I369" s="1740">
        <v>0.4885</v>
      </c>
      <c r="J369" s="1740">
        <v>0.4885</v>
      </c>
      <c r="K369" s="1740">
        <v>0.4885</v>
      </c>
      <c r="L369" s="1740">
        <v>0.4885</v>
      </c>
      <c r="M369" s="1740">
        <v>0.4885</v>
      </c>
    </row>
    <row r="370" spans="1:13">
      <c r="A370" s="1737">
        <v>6.2</v>
      </c>
      <c r="B370" s="1740">
        <v>0.6658</v>
      </c>
      <c r="C370" s="1740">
        <v>0.6658</v>
      </c>
      <c r="D370" s="1740">
        <v>0.6344</v>
      </c>
      <c r="E370" s="1740">
        <v>0.6344</v>
      </c>
      <c r="F370" s="1740">
        <v>0.6344</v>
      </c>
      <c r="G370" s="1740">
        <v>0.5629</v>
      </c>
      <c r="H370" s="1740">
        <v>0.5629</v>
      </c>
      <c r="I370" s="1740">
        <v>0.4868</v>
      </c>
      <c r="J370" s="1740">
        <v>0.4868</v>
      </c>
      <c r="K370" s="1740">
        <v>0.4868</v>
      </c>
      <c r="L370" s="1740">
        <v>0.4868</v>
      </c>
      <c r="M370" s="1740">
        <v>0.4868</v>
      </c>
    </row>
    <row r="371" spans="1:13">
      <c r="A371" s="1737">
        <v>6.3</v>
      </c>
      <c r="B371" s="1740">
        <v>0.6647</v>
      </c>
      <c r="C371" s="1740">
        <v>0.6647</v>
      </c>
      <c r="D371" s="1740">
        <v>0.6329</v>
      </c>
      <c r="E371" s="1740">
        <v>0.6329</v>
      </c>
      <c r="F371" s="1740">
        <v>0.6329</v>
      </c>
      <c r="G371" s="1740">
        <v>0.5613</v>
      </c>
      <c r="H371" s="1740">
        <v>0.5613</v>
      </c>
      <c r="I371" s="1740">
        <v>0.4851</v>
      </c>
      <c r="J371" s="1740">
        <v>0.4851</v>
      </c>
      <c r="K371" s="1740">
        <v>0.4851</v>
      </c>
      <c r="L371" s="1740">
        <v>0.4851</v>
      </c>
      <c r="M371" s="1740">
        <v>0.4851</v>
      </c>
    </row>
    <row r="372" spans="1:13">
      <c r="A372" s="1737">
        <v>6.4</v>
      </c>
      <c r="B372" s="1740">
        <v>0.6636</v>
      </c>
      <c r="C372" s="1740">
        <v>0.6636</v>
      </c>
      <c r="D372" s="1740">
        <v>0.6314</v>
      </c>
      <c r="E372" s="1740">
        <v>0.6314</v>
      </c>
      <c r="F372" s="1740">
        <v>0.6314</v>
      </c>
      <c r="G372" s="1740">
        <v>0.5598</v>
      </c>
      <c r="H372" s="1740">
        <v>0.5598</v>
      </c>
      <c r="I372" s="1740">
        <v>0.4835</v>
      </c>
      <c r="J372" s="1740">
        <v>0.4835</v>
      </c>
      <c r="K372" s="1740">
        <v>0.4835</v>
      </c>
      <c r="L372" s="1740">
        <v>0.4835</v>
      </c>
      <c r="M372" s="1740">
        <v>0.4835</v>
      </c>
    </row>
    <row r="373" spans="1:13">
      <c r="A373" s="1737">
        <v>6.5</v>
      </c>
      <c r="B373" s="1740">
        <v>0.6625</v>
      </c>
      <c r="C373" s="1740">
        <v>0.6625</v>
      </c>
      <c r="D373" s="1740">
        <v>0.63</v>
      </c>
      <c r="E373" s="1740">
        <v>0.63</v>
      </c>
      <c r="F373" s="1740">
        <v>0.63</v>
      </c>
      <c r="G373" s="1740">
        <v>0.5582</v>
      </c>
      <c r="H373" s="1740">
        <v>0.5582</v>
      </c>
      <c r="I373" s="1740">
        <v>0.4819</v>
      </c>
      <c r="J373" s="1740">
        <v>0.4819</v>
      </c>
      <c r="K373" s="1740">
        <v>0.4819</v>
      </c>
      <c r="L373" s="1740">
        <v>0.4819</v>
      </c>
      <c r="M373" s="1740">
        <v>0.4819</v>
      </c>
    </row>
    <row r="374" spans="1:13">
      <c r="A374" s="1737">
        <v>6.6</v>
      </c>
      <c r="B374" s="1740">
        <v>0.6615</v>
      </c>
      <c r="C374" s="1740">
        <v>0.6615</v>
      </c>
      <c r="D374" s="1740">
        <v>0.6286</v>
      </c>
      <c r="E374" s="1740">
        <v>0.6286</v>
      </c>
      <c r="F374" s="1740">
        <v>0.6286</v>
      </c>
      <c r="G374" s="1740">
        <v>0.5567</v>
      </c>
      <c r="H374" s="1740">
        <v>0.5567</v>
      </c>
      <c r="I374" s="1740">
        <v>0.4803</v>
      </c>
      <c r="J374" s="1740">
        <v>0.4803</v>
      </c>
      <c r="K374" s="1740">
        <v>0.4803</v>
      </c>
      <c r="L374" s="1740">
        <v>0.4803</v>
      </c>
      <c r="M374" s="1740">
        <v>0.4803</v>
      </c>
    </row>
    <row r="375" spans="1:13">
      <c r="A375" s="1737">
        <v>6.7</v>
      </c>
      <c r="B375" s="1740">
        <v>0.6605</v>
      </c>
      <c r="C375" s="1740">
        <v>0.6605</v>
      </c>
      <c r="D375" s="1740">
        <v>0.6272</v>
      </c>
      <c r="E375" s="1740">
        <v>0.6272</v>
      </c>
      <c r="F375" s="1740">
        <v>0.6272</v>
      </c>
      <c r="G375" s="1740">
        <v>0.5552</v>
      </c>
      <c r="H375" s="1740">
        <v>0.5552</v>
      </c>
      <c r="I375" s="1740">
        <v>0.4787</v>
      </c>
      <c r="J375" s="1740">
        <v>0.4787</v>
      </c>
      <c r="K375" s="1740">
        <v>0.4787</v>
      </c>
      <c r="L375" s="1740">
        <v>0.4787</v>
      </c>
      <c r="M375" s="1740">
        <v>0.4787</v>
      </c>
    </row>
    <row r="376" spans="1:13">
      <c r="A376" s="1737">
        <v>6.8</v>
      </c>
      <c r="B376" s="1740">
        <v>0.6595</v>
      </c>
      <c r="C376" s="1740">
        <v>0.6595</v>
      </c>
      <c r="D376" s="1740">
        <v>0.6258</v>
      </c>
      <c r="E376" s="1740">
        <v>0.6258</v>
      </c>
      <c r="F376" s="1740">
        <v>0.6258</v>
      </c>
      <c r="G376" s="1740">
        <v>0.5536</v>
      </c>
      <c r="H376" s="1740">
        <v>0.5536</v>
      </c>
      <c r="I376" s="1740">
        <v>0.4771</v>
      </c>
      <c r="J376" s="1740">
        <v>0.4771</v>
      </c>
      <c r="K376" s="1740">
        <v>0.4771</v>
      </c>
      <c r="L376" s="1740">
        <v>0.4771</v>
      </c>
      <c r="M376" s="1740">
        <v>0.4771</v>
      </c>
    </row>
    <row r="377" spans="1:13">
      <c r="A377" s="1737">
        <v>6.9</v>
      </c>
      <c r="B377" s="1740">
        <v>0.6585</v>
      </c>
      <c r="C377" s="1740">
        <v>0.6585</v>
      </c>
      <c r="D377" s="1740">
        <v>0.6244</v>
      </c>
      <c r="E377" s="1740">
        <v>0.6244</v>
      </c>
      <c r="F377" s="1740">
        <v>0.6244</v>
      </c>
      <c r="G377" s="1740">
        <v>0.5522</v>
      </c>
      <c r="H377" s="1740">
        <v>0.5522</v>
      </c>
      <c r="I377" s="1740">
        <v>0.4755</v>
      </c>
      <c r="J377" s="1740">
        <v>0.4755</v>
      </c>
      <c r="K377" s="1740">
        <v>0.4755</v>
      </c>
      <c r="L377" s="1740">
        <v>0.4755</v>
      </c>
      <c r="M377" s="1740">
        <v>0.4755</v>
      </c>
    </row>
    <row r="378" spans="1:13">
      <c r="A378" s="1737">
        <v>7</v>
      </c>
      <c r="B378" s="1740">
        <v>0.6575</v>
      </c>
      <c r="C378" s="1740">
        <v>0.6575</v>
      </c>
      <c r="D378" s="1740">
        <v>0.623</v>
      </c>
      <c r="E378" s="1740">
        <v>0.623</v>
      </c>
      <c r="F378" s="1740">
        <v>0.623</v>
      </c>
      <c r="G378" s="1740">
        <v>0.5507</v>
      </c>
      <c r="H378" s="1740">
        <v>0.5507</v>
      </c>
      <c r="I378" s="1740">
        <v>0.4739</v>
      </c>
      <c r="J378" s="1740">
        <v>0.4739</v>
      </c>
      <c r="K378" s="1740">
        <v>0.4739</v>
      </c>
      <c r="L378" s="1740">
        <v>0.4739</v>
      </c>
      <c r="M378" s="1740">
        <v>0.4739</v>
      </c>
    </row>
    <row r="379" spans="1:13">
      <c r="A379" s="1737">
        <v>7.1</v>
      </c>
      <c r="B379" s="1740">
        <v>0.6565</v>
      </c>
      <c r="C379" s="1740">
        <v>0.6565</v>
      </c>
      <c r="D379" s="1740">
        <v>0.6216</v>
      </c>
      <c r="E379" s="1740">
        <v>0.6216</v>
      </c>
      <c r="F379" s="1740">
        <v>0.6216</v>
      </c>
      <c r="G379" s="1740">
        <v>0.5493</v>
      </c>
      <c r="H379" s="1740">
        <v>0.5493</v>
      </c>
      <c r="I379" s="1740">
        <v>0.4724</v>
      </c>
      <c r="J379" s="1740">
        <v>0.4724</v>
      </c>
      <c r="K379" s="1740">
        <v>0.4724</v>
      </c>
      <c r="L379" s="1740">
        <v>0.4724</v>
      </c>
      <c r="M379" s="1740">
        <v>0.4724</v>
      </c>
    </row>
    <row r="380" spans="1:13">
      <c r="A380" s="1737">
        <v>7.2</v>
      </c>
      <c r="B380" s="1740">
        <v>0.6555</v>
      </c>
      <c r="C380" s="1740">
        <v>0.6555</v>
      </c>
      <c r="D380" s="1740">
        <v>0.6202</v>
      </c>
      <c r="E380" s="1740">
        <v>0.6202</v>
      </c>
      <c r="F380" s="1740">
        <v>0.6202</v>
      </c>
      <c r="G380" s="1740">
        <v>0.5478</v>
      </c>
      <c r="H380" s="1740">
        <v>0.5478</v>
      </c>
      <c r="I380" s="1740">
        <v>0.4709</v>
      </c>
      <c r="J380" s="1740">
        <v>0.4709</v>
      </c>
      <c r="K380" s="1740">
        <v>0.4709</v>
      </c>
      <c r="L380" s="1740">
        <v>0.4709</v>
      </c>
      <c r="M380" s="1740">
        <v>0.4709</v>
      </c>
    </row>
    <row r="381" spans="1:13">
      <c r="A381" s="1737">
        <v>7.3</v>
      </c>
      <c r="B381" s="1740">
        <v>0.6545</v>
      </c>
      <c r="C381" s="1740">
        <v>0.6545</v>
      </c>
      <c r="D381" s="1740">
        <v>0.6188</v>
      </c>
      <c r="E381" s="1740">
        <v>0.6188</v>
      </c>
      <c r="F381" s="1740">
        <v>0.6188</v>
      </c>
      <c r="G381" s="1740">
        <v>0.5464</v>
      </c>
      <c r="H381" s="1740">
        <v>0.5464</v>
      </c>
      <c r="I381" s="1740">
        <v>0.4694</v>
      </c>
      <c r="J381" s="1740">
        <v>0.4694</v>
      </c>
      <c r="K381" s="1740">
        <v>0.4694</v>
      </c>
      <c r="L381" s="1740">
        <v>0.4694</v>
      </c>
      <c r="M381" s="1740">
        <v>0.4694</v>
      </c>
    </row>
    <row r="382" spans="1:13">
      <c r="A382" s="1737">
        <v>7.4</v>
      </c>
      <c r="B382" s="1740">
        <v>0.6535</v>
      </c>
      <c r="C382" s="1740">
        <v>0.6535</v>
      </c>
      <c r="D382" s="1740">
        <v>0.6175</v>
      </c>
      <c r="E382" s="1740">
        <v>0.6175</v>
      </c>
      <c r="F382" s="1740">
        <v>0.6175</v>
      </c>
      <c r="G382" s="1740">
        <v>0.5449</v>
      </c>
      <c r="H382" s="1740">
        <v>0.5449</v>
      </c>
      <c r="I382" s="1740">
        <v>0.4678</v>
      </c>
      <c r="J382" s="1740">
        <v>0.4678</v>
      </c>
      <c r="K382" s="1740">
        <v>0.4678</v>
      </c>
      <c r="L382" s="1740">
        <v>0.4678</v>
      </c>
      <c r="M382" s="1740">
        <v>0.4678</v>
      </c>
    </row>
    <row r="383" spans="1:13">
      <c r="A383" s="1737">
        <v>7.5</v>
      </c>
      <c r="B383" s="1740">
        <v>0.6525</v>
      </c>
      <c r="C383" s="1740">
        <v>0.6525</v>
      </c>
      <c r="D383" s="1740">
        <v>0.6162</v>
      </c>
      <c r="E383" s="1740">
        <v>0.6162</v>
      </c>
      <c r="F383" s="1740">
        <v>0.6162</v>
      </c>
      <c r="G383" s="1740">
        <v>0.5435</v>
      </c>
      <c r="H383" s="1740">
        <v>0.5435</v>
      </c>
      <c r="I383" s="1740">
        <v>0.4663</v>
      </c>
      <c r="J383" s="1740">
        <v>0.4663</v>
      </c>
      <c r="K383" s="1740">
        <v>0.4663</v>
      </c>
      <c r="L383" s="1740">
        <v>0.4663</v>
      </c>
      <c r="M383" s="1740">
        <v>0.4663</v>
      </c>
    </row>
    <row r="384" spans="1:13">
      <c r="A384" s="1737">
        <v>7.6</v>
      </c>
      <c r="B384" s="1740">
        <v>0.6515</v>
      </c>
      <c r="C384" s="1740">
        <v>0.6515</v>
      </c>
      <c r="D384" s="1740">
        <v>0.6149</v>
      </c>
      <c r="E384" s="1740">
        <v>0.6149</v>
      </c>
      <c r="F384" s="1740">
        <v>0.6149</v>
      </c>
      <c r="G384" s="1740">
        <v>0.542</v>
      </c>
      <c r="H384" s="1740">
        <v>0.542</v>
      </c>
      <c r="I384" s="1740">
        <v>0.4648</v>
      </c>
      <c r="J384" s="1740">
        <v>0.4648</v>
      </c>
      <c r="K384" s="1740">
        <v>0.4648</v>
      </c>
      <c r="L384" s="1740">
        <v>0.4648</v>
      </c>
      <c r="M384" s="1740">
        <v>0.4648</v>
      </c>
    </row>
    <row r="385" spans="1:13">
      <c r="A385" s="1737">
        <v>7.7</v>
      </c>
      <c r="B385" s="1740">
        <v>0.6505</v>
      </c>
      <c r="C385" s="1740">
        <v>0.6505</v>
      </c>
      <c r="D385" s="1740">
        <v>0.6136</v>
      </c>
      <c r="E385" s="1740">
        <v>0.6136</v>
      </c>
      <c r="F385" s="1740">
        <v>0.6136</v>
      </c>
      <c r="G385" s="1740">
        <v>0.5406</v>
      </c>
      <c r="H385" s="1740">
        <v>0.5406</v>
      </c>
      <c r="I385" s="1740">
        <v>0.4633</v>
      </c>
      <c r="J385" s="1740">
        <v>0.4633</v>
      </c>
      <c r="K385" s="1740">
        <v>0.4633</v>
      </c>
      <c r="L385" s="1740">
        <v>0.4633</v>
      </c>
      <c r="M385" s="1740">
        <v>0.4633</v>
      </c>
    </row>
    <row r="386" spans="1:13">
      <c r="A386" s="1737">
        <v>7.8</v>
      </c>
      <c r="B386" s="1740">
        <v>0.6495</v>
      </c>
      <c r="C386" s="1740">
        <v>0.6495</v>
      </c>
      <c r="D386" s="1740">
        <v>0.6123</v>
      </c>
      <c r="E386" s="1740">
        <v>0.6123</v>
      </c>
      <c r="F386" s="1740">
        <v>0.6123</v>
      </c>
      <c r="G386" s="1740">
        <v>0.5391</v>
      </c>
      <c r="H386" s="1740">
        <v>0.5391</v>
      </c>
      <c r="I386" s="1740">
        <v>0.4617</v>
      </c>
      <c r="J386" s="1740">
        <v>0.4617</v>
      </c>
      <c r="K386" s="1740">
        <v>0.4617</v>
      </c>
      <c r="L386" s="1740">
        <v>0.4617</v>
      </c>
      <c r="M386" s="1740">
        <v>0.4617</v>
      </c>
    </row>
    <row r="387" spans="1:13">
      <c r="A387" s="1737">
        <v>7.9</v>
      </c>
      <c r="B387" s="1740">
        <v>0.6485</v>
      </c>
      <c r="C387" s="1740">
        <v>0.6485</v>
      </c>
      <c r="D387" s="1740">
        <v>0.611</v>
      </c>
      <c r="E387" s="1740">
        <v>0.611</v>
      </c>
      <c r="F387" s="1740">
        <v>0.611</v>
      </c>
      <c r="G387" s="1740">
        <v>0.5377</v>
      </c>
      <c r="H387" s="1740">
        <v>0.5377</v>
      </c>
      <c r="I387" s="1740">
        <v>0.4602</v>
      </c>
      <c r="J387" s="1740">
        <v>0.4602</v>
      </c>
      <c r="K387" s="1740">
        <v>0.4602</v>
      </c>
      <c r="L387" s="1740">
        <v>0.4602</v>
      </c>
      <c r="M387" s="1740">
        <v>0.4602</v>
      </c>
    </row>
    <row r="388" spans="1:13">
      <c r="A388" s="1737">
        <v>8</v>
      </c>
      <c r="B388" s="1740">
        <v>0.6475</v>
      </c>
      <c r="C388" s="1740">
        <v>0.6475</v>
      </c>
      <c r="D388" s="1740">
        <v>0.6097</v>
      </c>
      <c r="E388" s="1740">
        <v>0.6097</v>
      </c>
      <c r="F388" s="1740">
        <v>0.6097</v>
      </c>
      <c r="G388" s="1740">
        <v>0.5362</v>
      </c>
      <c r="H388" s="1740">
        <v>0.5362</v>
      </c>
      <c r="I388" s="1740">
        <v>0.4587</v>
      </c>
      <c r="J388" s="1740">
        <v>0.4587</v>
      </c>
      <c r="K388" s="1740">
        <v>0.4587</v>
      </c>
      <c r="L388" s="1740">
        <v>0.4587</v>
      </c>
      <c r="M388" s="1740">
        <v>0.4587</v>
      </c>
    </row>
    <row r="389" spans="1:13">
      <c r="A389" s="1737">
        <v>8.1</v>
      </c>
      <c r="B389" s="1740">
        <v>0.6465</v>
      </c>
      <c r="C389" s="1740">
        <v>0.6465</v>
      </c>
      <c r="D389" s="1740">
        <v>0.6084</v>
      </c>
      <c r="E389" s="1740">
        <v>0.6084</v>
      </c>
      <c r="F389" s="1740">
        <v>0.6084</v>
      </c>
      <c r="G389" s="1740">
        <v>0.5348</v>
      </c>
      <c r="H389" s="1740">
        <v>0.5348</v>
      </c>
      <c r="I389" s="1740">
        <v>0.4572</v>
      </c>
      <c r="J389" s="1740">
        <v>0.4572</v>
      </c>
      <c r="K389" s="1740">
        <v>0.4572</v>
      </c>
      <c r="L389" s="1740">
        <v>0.4572</v>
      </c>
      <c r="M389" s="1740">
        <v>0.4572</v>
      </c>
    </row>
    <row r="390" spans="1:13">
      <c r="A390" s="1737">
        <v>8.2</v>
      </c>
      <c r="B390" s="1740">
        <v>0.6455</v>
      </c>
      <c r="C390" s="1740">
        <v>0.6455</v>
      </c>
      <c r="D390" s="1740">
        <v>0.6071</v>
      </c>
      <c r="E390" s="1740">
        <v>0.6071</v>
      </c>
      <c r="F390" s="1740">
        <v>0.6071</v>
      </c>
      <c r="G390" s="1740">
        <v>0.5333</v>
      </c>
      <c r="H390" s="1740">
        <v>0.5333</v>
      </c>
      <c r="I390" s="1740">
        <v>0.4557</v>
      </c>
      <c r="J390" s="1740">
        <v>0.4557</v>
      </c>
      <c r="K390" s="1740">
        <v>0.4557</v>
      </c>
      <c r="L390" s="1740">
        <v>0.4557</v>
      </c>
      <c r="M390" s="1740">
        <v>0.4557</v>
      </c>
    </row>
    <row r="391" spans="1:13">
      <c r="A391" s="1737">
        <v>8.3</v>
      </c>
      <c r="B391" s="1740">
        <v>0.6445</v>
      </c>
      <c r="C391" s="1740">
        <v>0.6445</v>
      </c>
      <c r="D391" s="1740">
        <v>0.6058</v>
      </c>
      <c r="E391" s="1740">
        <v>0.6058</v>
      </c>
      <c r="F391" s="1740">
        <v>0.6058</v>
      </c>
      <c r="G391" s="1740">
        <v>0.5319</v>
      </c>
      <c r="H391" s="1740">
        <v>0.5319</v>
      </c>
      <c r="I391" s="1740">
        <v>0.4543</v>
      </c>
      <c r="J391" s="1740">
        <v>0.4543</v>
      </c>
      <c r="K391" s="1740">
        <v>0.4543</v>
      </c>
      <c r="L391" s="1740">
        <v>0.4543</v>
      </c>
      <c r="M391" s="1740">
        <v>0.4543</v>
      </c>
    </row>
    <row r="392" spans="1:13">
      <c r="A392" s="1737">
        <v>8.4</v>
      </c>
      <c r="B392" s="1740">
        <v>0.6435</v>
      </c>
      <c r="C392" s="1740">
        <v>0.6435</v>
      </c>
      <c r="D392" s="1740">
        <v>0.6045</v>
      </c>
      <c r="E392" s="1740">
        <v>0.6045</v>
      </c>
      <c r="F392" s="1740">
        <v>0.6045</v>
      </c>
      <c r="G392" s="1740">
        <v>0.5304</v>
      </c>
      <c r="H392" s="1740">
        <v>0.5304</v>
      </c>
      <c r="I392" s="1740">
        <v>0.4529</v>
      </c>
      <c r="J392" s="1740">
        <v>0.4529</v>
      </c>
      <c r="K392" s="1740">
        <v>0.4529</v>
      </c>
      <c r="L392" s="1740">
        <v>0.4529</v>
      </c>
      <c r="M392" s="1740">
        <v>0.4529</v>
      </c>
    </row>
    <row r="393" spans="1:13">
      <c r="A393" s="1737">
        <v>8.5</v>
      </c>
      <c r="B393" s="1740">
        <v>0.6425</v>
      </c>
      <c r="C393" s="1740">
        <v>0.6425</v>
      </c>
      <c r="D393" s="1740">
        <v>0.6032</v>
      </c>
      <c r="E393" s="1740">
        <v>0.6032</v>
      </c>
      <c r="F393" s="1740">
        <v>0.6032</v>
      </c>
      <c r="G393" s="1740">
        <v>0.529</v>
      </c>
      <c r="H393" s="1740">
        <v>0.529</v>
      </c>
      <c r="I393" s="1740">
        <v>0.4514</v>
      </c>
      <c r="J393" s="1740">
        <v>0.4514</v>
      </c>
      <c r="K393" s="1740">
        <v>0.4514</v>
      </c>
      <c r="L393" s="1740">
        <v>0.4514</v>
      </c>
      <c r="M393" s="1740">
        <v>0.4514</v>
      </c>
    </row>
    <row r="394" spans="1:13">
      <c r="A394" s="1737">
        <v>8.6</v>
      </c>
      <c r="B394" s="1740">
        <v>0.6415</v>
      </c>
      <c r="C394" s="1740">
        <v>0.6415</v>
      </c>
      <c r="D394" s="1740">
        <v>0.6019</v>
      </c>
      <c r="E394" s="1740">
        <v>0.6019</v>
      </c>
      <c r="F394" s="1740">
        <v>0.6019</v>
      </c>
      <c r="G394" s="1740">
        <v>0.5275</v>
      </c>
      <c r="H394" s="1740">
        <v>0.5275</v>
      </c>
      <c r="I394" s="1740">
        <v>0.45</v>
      </c>
      <c r="J394" s="1740">
        <v>0.45</v>
      </c>
      <c r="K394" s="1740">
        <v>0.45</v>
      </c>
      <c r="L394" s="1740">
        <v>0.45</v>
      </c>
      <c r="M394" s="1740">
        <v>0.45</v>
      </c>
    </row>
    <row r="395" spans="1:13">
      <c r="A395" s="1737">
        <v>8.7</v>
      </c>
      <c r="B395" s="1740">
        <v>0.6405</v>
      </c>
      <c r="C395" s="1740">
        <v>0.6405</v>
      </c>
      <c r="D395" s="1740">
        <v>0.6006</v>
      </c>
      <c r="E395" s="1740">
        <v>0.6006</v>
      </c>
      <c r="F395" s="1740">
        <v>0.6006</v>
      </c>
      <c r="G395" s="1740">
        <v>0.5261</v>
      </c>
      <c r="H395" s="1740">
        <v>0.5261</v>
      </c>
      <c r="I395" s="1740">
        <v>0.4485</v>
      </c>
      <c r="J395" s="1740">
        <v>0.4485</v>
      </c>
      <c r="K395" s="1740">
        <v>0.4485</v>
      </c>
      <c r="L395" s="1740">
        <v>0.4485</v>
      </c>
      <c r="M395" s="1740">
        <v>0.4485</v>
      </c>
    </row>
    <row r="396" spans="1:13">
      <c r="A396" s="1737">
        <v>8.8</v>
      </c>
      <c r="B396" s="1740">
        <v>0.6395</v>
      </c>
      <c r="C396" s="1740">
        <v>0.6395</v>
      </c>
      <c r="D396" s="1740">
        <v>0.5993</v>
      </c>
      <c r="E396" s="1740">
        <v>0.5993</v>
      </c>
      <c r="F396" s="1740">
        <v>0.5993</v>
      </c>
      <c r="G396" s="1740">
        <v>0.5246</v>
      </c>
      <c r="H396" s="1740">
        <v>0.5246</v>
      </c>
      <c r="I396" s="1740">
        <v>0.4471</v>
      </c>
      <c r="J396" s="1740">
        <v>0.4471</v>
      </c>
      <c r="K396" s="1740">
        <v>0.4471</v>
      </c>
      <c r="L396" s="1740">
        <v>0.4471</v>
      </c>
      <c r="M396" s="1740">
        <v>0.4471</v>
      </c>
    </row>
    <row r="397" spans="1:13">
      <c r="A397" s="1737">
        <v>8.9</v>
      </c>
      <c r="B397" s="1740">
        <v>0.6385</v>
      </c>
      <c r="C397" s="1740">
        <v>0.6385</v>
      </c>
      <c r="D397" s="1740">
        <v>0.598</v>
      </c>
      <c r="E397" s="1740">
        <v>0.598</v>
      </c>
      <c r="F397" s="1740">
        <v>0.598</v>
      </c>
      <c r="G397" s="1740">
        <v>0.5232</v>
      </c>
      <c r="H397" s="1740">
        <v>0.5232</v>
      </c>
      <c r="I397" s="1740">
        <v>0.4456</v>
      </c>
      <c r="J397" s="1740">
        <v>0.4456</v>
      </c>
      <c r="K397" s="1740">
        <v>0.4456</v>
      </c>
      <c r="L397" s="1740">
        <v>0.4456</v>
      </c>
      <c r="M397" s="1740">
        <v>0.4456</v>
      </c>
    </row>
    <row r="398" spans="1:13">
      <c r="A398" s="1741">
        <v>9</v>
      </c>
      <c r="B398" s="1740">
        <v>0.6375</v>
      </c>
      <c r="C398" s="1740">
        <v>0.6375</v>
      </c>
      <c r="D398" s="1740">
        <v>0.5967</v>
      </c>
      <c r="E398" s="1740">
        <v>0.5967</v>
      </c>
      <c r="F398" s="1740">
        <v>0.5967</v>
      </c>
      <c r="G398" s="1740">
        <v>0.5217</v>
      </c>
      <c r="H398" s="1740">
        <v>0.5217</v>
      </c>
      <c r="I398" s="1740">
        <v>0.4443</v>
      </c>
      <c r="J398" s="1740">
        <v>0.4443</v>
      </c>
      <c r="K398" s="1740">
        <v>0.4443</v>
      </c>
      <c r="L398" s="1740">
        <v>0.4443</v>
      </c>
      <c r="M398" s="1740">
        <v>0.4443</v>
      </c>
    </row>
    <row r="399" spans="1:13">
      <c r="A399" s="1741">
        <v>9.1</v>
      </c>
      <c r="B399" s="1740">
        <v>0.6365</v>
      </c>
      <c r="C399" s="1740">
        <v>0.6365</v>
      </c>
      <c r="D399" s="1740">
        <v>0.5954</v>
      </c>
      <c r="E399" s="1740">
        <v>0.5954</v>
      </c>
      <c r="F399" s="1740">
        <v>0.5954</v>
      </c>
      <c r="G399" s="1740">
        <v>0.5203</v>
      </c>
      <c r="H399" s="1740">
        <v>0.5203</v>
      </c>
      <c r="I399" s="1740">
        <v>0.4429</v>
      </c>
      <c r="J399" s="1740">
        <v>0.4429</v>
      </c>
      <c r="K399" s="1740">
        <v>0.4429</v>
      </c>
      <c r="L399" s="1740">
        <v>0.4429</v>
      </c>
      <c r="M399" s="1740">
        <v>0.4429</v>
      </c>
    </row>
    <row r="400" spans="1:13">
      <c r="A400" s="1741">
        <v>9.2</v>
      </c>
      <c r="B400" s="1740">
        <v>0.6355</v>
      </c>
      <c r="C400" s="1740">
        <v>0.6355</v>
      </c>
      <c r="D400" s="1740">
        <v>0.5941</v>
      </c>
      <c r="E400" s="1740">
        <v>0.5941</v>
      </c>
      <c r="F400" s="1740">
        <v>0.5941</v>
      </c>
      <c r="G400" s="1740">
        <v>0.5188</v>
      </c>
      <c r="H400" s="1740">
        <v>0.5188</v>
      </c>
      <c r="I400" s="1740">
        <v>0.4416</v>
      </c>
      <c r="J400" s="1740">
        <v>0.4416</v>
      </c>
      <c r="K400" s="1740">
        <v>0.4416</v>
      </c>
      <c r="L400" s="1740">
        <v>0.4416</v>
      </c>
      <c r="M400" s="1740">
        <v>0.4416</v>
      </c>
    </row>
    <row r="401" spans="1:13">
      <c r="A401" s="1741">
        <v>9.3</v>
      </c>
      <c r="B401" s="1740">
        <v>0.6345</v>
      </c>
      <c r="C401" s="1740">
        <v>0.6345</v>
      </c>
      <c r="D401" s="1740">
        <v>0.5928</v>
      </c>
      <c r="E401" s="1740">
        <v>0.5928</v>
      </c>
      <c r="F401" s="1740">
        <v>0.5928</v>
      </c>
      <c r="G401" s="1740">
        <v>0.5174</v>
      </c>
      <c r="H401" s="1740">
        <v>0.5174</v>
      </c>
      <c r="I401" s="1740">
        <v>0.4402</v>
      </c>
      <c r="J401" s="1740">
        <v>0.4402</v>
      </c>
      <c r="K401" s="1740">
        <v>0.4402</v>
      </c>
      <c r="L401" s="1740">
        <v>0.4402</v>
      </c>
      <c r="M401" s="1740">
        <v>0.4402</v>
      </c>
    </row>
    <row r="402" spans="1:13">
      <c r="A402" s="1741">
        <v>9.4</v>
      </c>
      <c r="B402" s="1740">
        <v>0.6335</v>
      </c>
      <c r="C402" s="1740">
        <v>0.6335</v>
      </c>
      <c r="D402" s="1740">
        <v>0.5915</v>
      </c>
      <c r="E402" s="1740">
        <v>0.5915</v>
      </c>
      <c r="F402" s="1740">
        <v>0.5915</v>
      </c>
      <c r="G402" s="1740">
        <v>0.516</v>
      </c>
      <c r="H402" s="1740">
        <v>0.516</v>
      </c>
      <c r="I402" s="1740">
        <v>0.4388</v>
      </c>
      <c r="J402" s="1740">
        <v>0.4388</v>
      </c>
      <c r="K402" s="1740">
        <v>0.4388</v>
      </c>
      <c r="L402" s="1740">
        <v>0.4388</v>
      </c>
      <c r="M402" s="1740">
        <v>0.4388</v>
      </c>
    </row>
    <row r="403" spans="1:13">
      <c r="A403" s="1741">
        <v>9.5</v>
      </c>
      <c r="B403" s="1740">
        <v>0.6325</v>
      </c>
      <c r="C403" s="1740">
        <v>0.6325</v>
      </c>
      <c r="D403" s="1740">
        <v>0.5903</v>
      </c>
      <c r="E403" s="1740">
        <v>0.5903</v>
      </c>
      <c r="F403" s="1740">
        <v>0.5903</v>
      </c>
      <c r="G403" s="1740">
        <v>0.5147</v>
      </c>
      <c r="H403" s="1740">
        <v>0.5147</v>
      </c>
      <c r="I403" s="1740">
        <v>0.4375</v>
      </c>
      <c r="J403" s="1740">
        <v>0.4375</v>
      </c>
      <c r="K403" s="1740">
        <v>0.4375</v>
      </c>
      <c r="L403" s="1740">
        <v>0.4375</v>
      </c>
      <c r="M403" s="1740">
        <v>0.4375</v>
      </c>
    </row>
    <row r="404" spans="1:13">
      <c r="A404" s="1741">
        <v>9.6</v>
      </c>
      <c r="B404" s="1740">
        <v>0.6315</v>
      </c>
      <c r="C404" s="1740">
        <v>0.6315</v>
      </c>
      <c r="D404" s="1740">
        <v>0.5891</v>
      </c>
      <c r="E404" s="1740">
        <v>0.5891</v>
      </c>
      <c r="F404" s="1740">
        <v>0.5891</v>
      </c>
      <c r="G404" s="1740">
        <v>0.5133</v>
      </c>
      <c r="H404" s="1740">
        <v>0.5133</v>
      </c>
      <c r="I404" s="1740">
        <v>0.4361</v>
      </c>
      <c r="J404" s="1740">
        <v>0.4361</v>
      </c>
      <c r="K404" s="1740">
        <v>0.4361</v>
      </c>
      <c r="L404" s="1740">
        <v>0.4361</v>
      </c>
      <c r="M404" s="1740">
        <v>0.4361</v>
      </c>
    </row>
    <row r="405" spans="1:13">
      <c r="A405" s="1741">
        <v>9.7</v>
      </c>
      <c r="B405" s="1740">
        <v>0.6305</v>
      </c>
      <c r="C405" s="1740">
        <v>0.6305</v>
      </c>
      <c r="D405" s="1740">
        <v>0.5879</v>
      </c>
      <c r="E405" s="1740">
        <v>0.5879</v>
      </c>
      <c r="F405" s="1740">
        <v>0.5879</v>
      </c>
      <c r="G405" s="1740">
        <v>0.512</v>
      </c>
      <c r="H405" s="1740">
        <v>0.512</v>
      </c>
      <c r="I405" s="1740">
        <v>0.4348</v>
      </c>
      <c r="J405" s="1740">
        <v>0.4348</v>
      </c>
      <c r="K405" s="1740">
        <v>0.4348</v>
      </c>
      <c r="L405" s="1740">
        <v>0.4348</v>
      </c>
      <c r="M405" s="1740">
        <v>0.4348</v>
      </c>
    </row>
    <row r="406" spans="1:13">
      <c r="A406" s="1741">
        <v>9.8</v>
      </c>
      <c r="B406" s="1740">
        <v>0.6295</v>
      </c>
      <c r="C406" s="1740">
        <v>0.6295</v>
      </c>
      <c r="D406" s="1740">
        <v>0.5867</v>
      </c>
      <c r="E406" s="1740">
        <v>0.5867</v>
      </c>
      <c r="F406" s="1740">
        <v>0.5867</v>
      </c>
      <c r="G406" s="1740">
        <v>0.5106</v>
      </c>
      <c r="H406" s="1740">
        <v>0.5106</v>
      </c>
      <c r="I406" s="1740">
        <v>0.4334</v>
      </c>
      <c r="J406" s="1740">
        <v>0.4334</v>
      </c>
      <c r="K406" s="1740">
        <v>0.4334</v>
      </c>
      <c r="L406" s="1740">
        <v>0.4334</v>
      </c>
      <c r="M406" s="1740">
        <v>0.4334</v>
      </c>
    </row>
    <row r="407" spans="1:13">
      <c r="A407" s="1741">
        <v>9.9</v>
      </c>
      <c r="B407" s="1740">
        <v>0.6285</v>
      </c>
      <c r="C407" s="1740">
        <v>0.6285</v>
      </c>
      <c r="D407" s="1740">
        <v>0.5855</v>
      </c>
      <c r="E407" s="1740">
        <v>0.5855</v>
      </c>
      <c r="F407" s="1740">
        <v>0.5855</v>
      </c>
      <c r="G407" s="1740">
        <v>0.5092</v>
      </c>
      <c r="H407" s="1740">
        <v>0.5092</v>
      </c>
      <c r="I407" s="1740">
        <v>0.432</v>
      </c>
      <c r="J407" s="1740">
        <v>0.432</v>
      </c>
      <c r="K407" s="1740">
        <v>0.432</v>
      </c>
      <c r="L407" s="1740">
        <v>0.432</v>
      </c>
      <c r="M407" s="1740">
        <v>0.432</v>
      </c>
    </row>
    <row r="408" spans="1:13">
      <c r="A408" s="1741">
        <v>10</v>
      </c>
      <c r="B408" s="1740">
        <v>0.6275</v>
      </c>
      <c r="C408" s="1740">
        <v>0.6275</v>
      </c>
      <c r="D408" s="1740">
        <v>0.5843</v>
      </c>
      <c r="E408" s="1740">
        <v>0.5843</v>
      </c>
      <c r="F408" s="1740">
        <v>0.5843</v>
      </c>
      <c r="G408" s="1740">
        <v>0.5079</v>
      </c>
      <c r="H408" s="1740">
        <v>0.5079</v>
      </c>
      <c r="I408" s="1740">
        <v>0.4307</v>
      </c>
      <c r="J408" s="1740">
        <v>0.4307</v>
      </c>
      <c r="K408" s="1740">
        <v>0.4307</v>
      </c>
      <c r="L408" s="1740">
        <v>0.4307</v>
      </c>
      <c r="M408" s="1740">
        <v>0.4307</v>
      </c>
    </row>
  </sheetData>
  <sheetProtection password="C66D" sheet="1" formatCells="0" formatColumns="0" formatRows="0" objects="1" scenarios="1"/>
  <pageMargins left="0.7" right="0.7" top="0.75" bottom="0.75" header="0.3" footer="0.3"/>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344"/>
  <sheetViews>
    <sheetView workbookViewId="0">
      <selection activeCell="G23" sqref="G23"/>
    </sheetView>
  </sheetViews>
  <sheetFormatPr defaultColWidth="9" defaultRowHeight="13.5" outlineLevelCol="5"/>
  <cols>
    <col min="1" max="1" width="12.6333333333333" style="1702" customWidth="1"/>
    <col min="2" max="2" width="10.2666666666667" style="1703" customWidth="1"/>
  </cols>
  <sheetData>
    <row r="1" spans="1:2">
      <c r="A1" s="1704" t="s">
        <v>1803</v>
      </c>
      <c r="B1" s="1704"/>
    </row>
    <row r="2" ht="14.25" spans="1:2">
      <c r="A2" s="1704"/>
      <c r="B2" s="1704"/>
    </row>
    <row r="3" ht="14.25" spans="1:6">
      <c r="A3" s="1704"/>
      <c r="B3" s="1704"/>
      <c r="C3" s="1705" t="s">
        <v>378</v>
      </c>
      <c r="D3" s="1705" t="s">
        <v>379</v>
      </c>
      <c r="E3" s="1705" t="s">
        <v>377</v>
      </c>
      <c r="F3" s="1705" t="s">
        <v>164</v>
      </c>
    </row>
    <row r="4" ht="14.25" spans="1:6">
      <c r="A4" s="1706" t="s">
        <v>1469</v>
      </c>
      <c r="B4" s="1707" t="s">
        <v>425</v>
      </c>
      <c r="C4" s="1705"/>
      <c r="D4" s="1705"/>
      <c r="E4" s="1705"/>
      <c r="F4" s="1705"/>
    </row>
    <row r="5" ht="14.25" spans="1:6">
      <c r="A5" s="1708" t="s">
        <v>240</v>
      </c>
      <c r="B5" s="1709" t="s">
        <v>1457</v>
      </c>
      <c r="C5" s="1710">
        <v>0.089</v>
      </c>
      <c r="D5" s="1710">
        <v>0.074</v>
      </c>
      <c r="E5" s="1710">
        <v>0.075</v>
      </c>
      <c r="F5" s="1711">
        <v>0.1</v>
      </c>
    </row>
    <row r="6" ht="14.25" spans="1:6">
      <c r="A6" s="1708" t="s">
        <v>240</v>
      </c>
      <c r="B6" s="1712" t="s">
        <v>1470</v>
      </c>
      <c r="C6" s="1713">
        <v>0.1</v>
      </c>
      <c r="D6" s="1713">
        <v>0.091</v>
      </c>
      <c r="E6" s="1713">
        <v>0.091</v>
      </c>
      <c r="F6" s="1714">
        <v>0.1</v>
      </c>
    </row>
    <row r="7" ht="14.25" spans="1:6">
      <c r="A7" s="1708" t="s">
        <v>240</v>
      </c>
      <c r="B7" s="1715" t="s">
        <v>1483</v>
      </c>
      <c r="C7" s="1713">
        <v>0.086</v>
      </c>
      <c r="D7" s="1713">
        <v>0.096</v>
      </c>
      <c r="E7" s="1713">
        <v>0.076</v>
      </c>
      <c r="F7" s="1714">
        <v>0.1</v>
      </c>
    </row>
    <row r="8" ht="14.25" spans="1:6">
      <c r="A8" s="1708" t="s">
        <v>240</v>
      </c>
      <c r="B8" s="1712" t="s">
        <v>1495</v>
      </c>
      <c r="C8" s="1713">
        <v>0.099</v>
      </c>
      <c r="D8" s="1713">
        <v>0.098</v>
      </c>
      <c r="E8" s="1713">
        <v>0.098</v>
      </c>
      <c r="F8" s="1714">
        <v>0.1</v>
      </c>
    </row>
    <row r="9" ht="14.25" spans="1:6">
      <c r="A9" s="1716" t="s">
        <v>240</v>
      </c>
      <c r="B9" s="1717" t="s">
        <v>1507</v>
      </c>
      <c r="C9" s="1718">
        <v>0.05</v>
      </c>
      <c r="D9" s="1719"/>
      <c r="E9" s="1719"/>
      <c r="F9" s="1720"/>
    </row>
    <row r="10" ht="14.25" spans="1:6">
      <c r="A10" s="1708" t="s">
        <v>253</v>
      </c>
      <c r="B10" s="1709" t="s">
        <v>1458</v>
      </c>
      <c r="C10" s="1710">
        <v>0.089</v>
      </c>
      <c r="D10" s="1710">
        <v>0.073</v>
      </c>
      <c r="E10" s="1710">
        <v>0.082</v>
      </c>
      <c r="F10" s="1711">
        <v>0.1</v>
      </c>
    </row>
    <row r="11" ht="14.25" spans="1:6">
      <c r="A11" s="1708" t="s">
        <v>253</v>
      </c>
      <c r="B11" s="1715" t="s">
        <v>1471</v>
      </c>
      <c r="C11" s="1713">
        <v>0.089</v>
      </c>
      <c r="D11" s="1713">
        <v>0.073</v>
      </c>
      <c r="E11" s="1713">
        <v>0.082</v>
      </c>
      <c r="F11" s="1714">
        <v>0.1</v>
      </c>
    </row>
    <row r="12" ht="14.25" spans="1:6">
      <c r="A12" s="1708" t="s">
        <v>253</v>
      </c>
      <c r="B12" s="1715" t="s">
        <v>1484</v>
      </c>
      <c r="C12" s="1713">
        <v>0.061</v>
      </c>
      <c r="D12" s="1713">
        <v>0.071</v>
      </c>
      <c r="E12" s="1713">
        <v>0.096</v>
      </c>
      <c r="F12" s="1714">
        <v>0.1</v>
      </c>
    </row>
    <row r="13" ht="14.25" spans="1:6">
      <c r="A13" s="1708" t="s">
        <v>253</v>
      </c>
      <c r="B13" s="1715" t="s">
        <v>1496</v>
      </c>
      <c r="C13" s="1713">
        <v>0.069</v>
      </c>
      <c r="D13" s="1713">
        <v>0.065</v>
      </c>
      <c r="E13" s="1713">
        <v>0.066</v>
      </c>
      <c r="F13" s="1714">
        <v>0.1</v>
      </c>
    </row>
    <row r="14" ht="14.25" spans="1:6">
      <c r="A14" s="1708" t="s">
        <v>253</v>
      </c>
      <c r="B14" s="1715" t="s">
        <v>1508</v>
      </c>
      <c r="C14" s="1713">
        <v>0.1</v>
      </c>
      <c r="D14" s="1713">
        <v>0.065</v>
      </c>
      <c r="E14" s="1713">
        <v>0.07</v>
      </c>
      <c r="F14" s="1714">
        <v>0.1</v>
      </c>
    </row>
    <row r="15" ht="14.25" spans="1:6">
      <c r="A15" s="1708" t="s">
        <v>253</v>
      </c>
      <c r="B15" s="1715" t="s">
        <v>1519</v>
      </c>
      <c r="C15" s="1713">
        <v>0.098</v>
      </c>
      <c r="D15" s="1713">
        <v>0.089</v>
      </c>
      <c r="E15" s="1713">
        <v>0.089</v>
      </c>
      <c r="F15" s="1714">
        <v>0.1</v>
      </c>
    </row>
    <row r="16" ht="14.25" spans="1:6">
      <c r="A16" s="1708" t="s">
        <v>253</v>
      </c>
      <c r="B16" s="1715" t="s">
        <v>1530</v>
      </c>
      <c r="C16" s="1713">
        <v>0.07</v>
      </c>
      <c r="D16" s="1713">
        <v>0.093</v>
      </c>
      <c r="E16" s="1713">
        <v>0.096</v>
      </c>
      <c r="F16" s="1714">
        <v>0.1</v>
      </c>
    </row>
    <row r="17" ht="14.25" spans="1:6">
      <c r="A17" s="1708" t="s">
        <v>253</v>
      </c>
      <c r="B17" s="1715" t="s">
        <v>1541</v>
      </c>
      <c r="C17" s="1713">
        <v>0.095</v>
      </c>
      <c r="D17" s="1713">
        <v>0.1</v>
      </c>
      <c r="E17" s="1713">
        <v>0.1</v>
      </c>
      <c r="F17" s="1721"/>
    </row>
    <row r="18" ht="14.25" spans="1:6">
      <c r="A18" s="1708" t="s">
        <v>253</v>
      </c>
      <c r="B18" s="1715" t="s">
        <v>1551</v>
      </c>
      <c r="C18" s="1713">
        <v>0.074</v>
      </c>
      <c r="D18" s="1713">
        <v>0.099</v>
      </c>
      <c r="E18" s="1713">
        <v>0.1</v>
      </c>
      <c r="F18" s="1721"/>
    </row>
    <row r="19" ht="14.25" spans="1:6">
      <c r="A19" s="1708" t="s">
        <v>253</v>
      </c>
      <c r="B19" s="1715" t="s">
        <v>1561</v>
      </c>
      <c r="C19" s="1713">
        <v>0.099</v>
      </c>
      <c r="D19" s="1713">
        <v>0.076</v>
      </c>
      <c r="E19" s="1713">
        <v>0.087</v>
      </c>
      <c r="F19" s="1721"/>
    </row>
    <row r="20" ht="14.25" spans="1:6">
      <c r="A20" s="1708" t="s">
        <v>253</v>
      </c>
      <c r="B20" s="1715" t="s">
        <v>1571</v>
      </c>
      <c r="C20" s="1713">
        <v>0.098</v>
      </c>
      <c r="D20" s="1713">
        <v>0.085</v>
      </c>
      <c r="E20" s="1713">
        <v>0.082</v>
      </c>
      <c r="F20" s="1721"/>
    </row>
    <row r="21" ht="14.25" spans="1:6">
      <c r="A21" s="1708" t="s">
        <v>253</v>
      </c>
      <c r="B21" s="1715" t="s">
        <v>1581</v>
      </c>
      <c r="C21" s="1713">
        <v>0.066</v>
      </c>
      <c r="D21" s="1713">
        <v>0.064</v>
      </c>
      <c r="E21" s="1713">
        <v>0.065</v>
      </c>
      <c r="F21" s="1721"/>
    </row>
    <row r="22" ht="14.25" spans="1:6">
      <c r="A22" s="1708" t="s">
        <v>253</v>
      </c>
      <c r="B22" s="1715" t="s">
        <v>1591</v>
      </c>
      <c r="C22" s="1713">
        <v>0.08</v>
      </c>
      <c r="D22" s="1713">
        <v>0.098</v>
      </c>
      <c r="E22" s="1713">
        <v>0.098</v>
      </c>
      <c r="F22" s="1721"/>
    </row>
    <row r="23" ht="14.25" spans="1:6">
      <c r="A23" s="1708" t="s">
        <v>253</v>
      </c>
      <c r="B23" s="1715" t="s">
        <v>1601</v>
      </c>
      <c r="C23" s="1713">
        <v>0.099</v>
      </c>
      <c r="D23" s="1713">
        <v>0.098</v>
      </c>
      <c r="E23" s="1713">
        <v>0.091</v>
      </c>
      <c r="F23" s="1721"/>
    </row>
    <row r="24" ht="14.25" spans="1:6">
      <c r="A24" s="1708" t="s">
        <v>253</v>
      </c>
      <c r="B24" s="1715" t="s">
        <v>1611</v>
      </c>
      <c r="C24" s="1713">
        <v>0.089</v>
      </c>
      <c r="D24" s="1713">
        <v>0.097</v>
      </c>
      <c r="E24" s="1713">
        <v>0.07</v>
      </c>
      <c r="F24" s="1721"/>
    </row>
    <row r="25" ht="14.25" spans="1:6">
      <c r="A25" s="1708" t="s">
        <v>253</v>
      </c>
      <c r="B25" s="1715" t="s">
        <v>1621</v>
      </c>
      <c r="C25" s="1713">
        <v>0.089</v>
      </c>
      <c r="D25" s="1713">
        <v>0.1</v>
      </c>
      <c r="E25" s="1713">
        <v>0.081</v>
      </c>
      <c r="F25" s="1721"/>
    </row>
    <row r="26" ht="14.25" spans="1:6">
      <c r="A26" s="1708" t="s">
        <v>253</v>
      </c>
      <c r="B26" s="1715" t="s">
        <v>1631</v>
      </c>
      <c r="C26" s="1722"/>
      <c r="D26" s="1713">
        <v>0.096</v>
      </c>
      <c r="E26" s="1713">
        <v>0.093</v>
      </c>
      <c r="F26" s="1721"/>
    </row>
    <row r="27" ht="14.25" spans="1:6">
      <c r="A27" s="1708" t="s">
        <v>253</v>
      </c>
      <c r="B27" s="1715" t="s">
        <v>1641</v>
      </c>
      <c r="C27" s="1722"/>
      <c r="D27" s="1713">
        <v>0.076</v>
      </c>
      <c r="E27" s="1713">
        <v>0.092</v>
      </c>
      <c r="F27" s="1721"/>
    </row>
    <row r="28" ht="14.25" spans="1:6">
      <c r="A28" s="1716" t="s">
        <v>253</v>
      </c>
      <c r="B28" s="1717" t="s">
        <v>1651</v>
      </c>
      <c r="C28" s="1719"/>
      <c r="D28" s="1718">
        <v>0.076</v>
      </c>
      <c r="E28" s="1718">
        <v>0.092</v>
      </c>
      <c r="F28" s="1720"/>
    </row>
    <row r="29" ht="14.25" spans="1:6">
      <c r="A29" s="1708" t="s">
        <v>265</v>
      </c>
      <c r="B29" s="1709" t="s">
        <v>1459</v>
      </c>
      <c r="C29" s="1710">
        <v>0.064</v>
      </c>
      <c r="D29" s="1710">
        <v>0.065</v>
      </c>
      <c r="E29" s="1710">
        <v>0.069</v>
      </c>
      <c r="F29" s="1711">
        <v>0.1</v>
      </c>
    </row>
    <row r="30" ht="14.25" spans="1:6">
      <c r="A30" s="1708" t="s">
        <v>265</v>
      </c>
      <c r="B30" s="1715" t="s">
        <v>1472</v>
      </c>
      <c r="C30" s="1713">
        <v>0.064</v>
      </c>
      <c r="D30" s="1713">
        <v>0.099</v>
      </c>
      <c r="E30" s="1713">
        <v>0.1</v>
      </c>
      <c r="F30" s="1714">
        <v>0.1</v>
      </c>
    </row>
    <row r="31" ht="14.25" spans="1:6">
      <c r="A31" s="1708" t="s">
        <v>265</v>
      </c>
      <c r="B31" s="1715" t="s">
        <v>1485</v>
      </c>
      <c r="C31" s="1713">
        <v>0.1</v>
      </c>
      <c r="D31" s="1713">
        <v>0.095</v>
      </c>
      <c r="E31" s="1713">
        <v>0.089</v>
      </c>
      <c r="F31" s="1714">
        <v>0.1</v>
      </c>
    </row>
    <row r="32" ht="14.25" spans="1:6">
      <c r="A32" s="1708" t="s">
        <v>265</v>
      </c>
      <c r="B32" s="1715" t="s">
        <v>1497</v>
      </c>
      <c r="C32" s="1713">
        <v>0.05</v>
      </c>
      <c r="D32" s="1713">
        <v>0.05</v>
      </c>
      <c r="E32" s="1713">
        <v>0.088</v>
      </c>
      <c r="F32" s="1714">
        <v>0.1</v>
      </c>
    </row>
    <row r="33" ht="14.25" spans="1:6">
      <c r="A33" s="1708" t="s">
        <v>265</v>
      </c>
      <c r="B33" s="1715" t="s">
        <v>1509</v>
      </c>
      <c r="C33" s="1713">
        <v>0.075</v>
      </c>
      <c r="D33" s="1713">
        <v>0.094</v>
      </c>
      <c r="E33" s="1713">
        <v>0.097</v>
      </c>
      <c r="F33" s="1714">
        <v>0.1</v>
      </c>
    </row>
    <row r="34" ht="14.25" spans="1:6">
      <c r="A34" s="1708" t="s">
        <v>265</v>
      </c>
      <c r="B34" s="1715" t="s">
        <v>1520</v>
      </c>
      <c r="C34" s="1713">
        <v>0.098</v>
      </c>
      <c r="D34" s="1713">
        <v>0.086</v>
      </c>
      <c r="E34" s="1713">
        <v>0.097</v>
      </c>
      <c r="F34" s="1714">
        <v>0.1</v>
      </c>
    </row>
    <row r="35" ht="14.25" spans="1:6">
      <c r="A35" s="1708" t="s">
        <v>265</v>
      </c>
      <c r="B35" s="1715" t="s">
        <v>1531</v>
      </c>
      <c r="C35" s="1713">
        <v>0.059</v>
      </c>
      <c r="D35" s="1713">
        <v>0.065</v>
      </c>
      <c r="E35" s="1713">
        <v>0.07</v>
      </c>
      <c r="F35" s="1714">
        <v>0.1</v>
      </c>
    </row>
    <row r="36" ht="14.25" spans="1:6">
      <c r="A36" s="1708" t="s">
        <v>265</v>
      </c>
      <c r="B36" s="1715" t="s">
        <v>1542</v>
      </c>
      <c r="C36" s="1713">
        <v>0.063</v>
      </c>
      <c r="D36" s="1713">
        <v>0.1</v>
      </c>
      <c r="E36" s="1713">
        <v>0.1</v>
      </c>
      <c r="F36" s="1714">
        <v>0.1</v>
      </c>
    </row>
    <row r="37" ht="14.25" spans="1:6">
      <c r="A37" s="1708" t="s">
        <v>265</v>
      </c>
      <c r="B37" s="1715" t="s">
        <v>1552</v>
      </c>
      <c r="C37" s="1713">
        <v>0.074</v>
      </c>
      <c r="D37" s="1713">
        <v>0.1</v>
      </c>
      <c r="E37" s="1713">
        <v>0.1</v>
      </c>
      <c r="F37" s="1714">
        <v>0.1</v>
      </c>
    </row>
    <row r="38" ht="14.25" spans="1:6">
      <c r="A38" s="1708" t="s">
        <v>265</v>
      </c>
      <c r="B38" s="1715" t="s">
        <v>1562</v>
      </c>
      <c r="C38" s="1713">
        <v>0.1</v>
      </c>
      <c r="D38" s="1713">
        <v>0.096</v>
      </c>
      <c r="E38" s="1713">
        <v>0.096</v>
      </c>
      <c r="F38" s="1721"/>
    </row>
    <row r="39" ht="14.25" spans="1:6">
      <c r="A39" s="1708" t="s">
        <v>265</v>
      </c>
      <c r="B39" s="1715" t="s">
        <v>1572</v>
      </c>
      <c r="C39" s="1713">
        <v>0.1</v>
      </c>
      <c r="D39" s="1713">
        <v>0.096</v>
      </c>
      <c r="E39" s="1713">
        <v>0.096</v>
      </c>
      <c r="F39" s="1721"/>
    </row>
    <row r="40" ht="14.25" spans="1:6">
      <c r="A40" s="1708" t="s">
        <v>265</v>
      </c>
      <c r="B40" s="1715" t="s">
        <v>1582</v>
      </c>
      <c r="C40" s="1713">
        <v>0.096</v>
      </c>
      <c r="D40" s="1713">
        <v>0.1</v>
      </c>
      <c r="E40" s="1713">
        <v>0.099</v>
      </c>
      <c r="F40" s="1721"/>
    </row>
    <row r="41" ht="14.25" spans="1:6">
      <c r="A41" s="1708" t="s">
        <v>265</v>
      </c>
      <c r="B41" s="1715" t="s">
        <v>1592</v>
      </c>
      <c r="C41" s="1713">
        <v>0.096</v>
      </c>
      <c r="D41" s="1713">
        <v>0.098</v>
      </c>
      <c r="E41" s="1713">
        <v>0.098</v>
      </c>
      <c r="F41" s="1721"/>
    </row>
    <row r="42" ht="14.25" spans="1:6">
      <c r="A42" s="1708" t="s">
        <v>265</v>
      </c>
      <c r="B42" s="1715" t="s">
        <v>1602</v>
      </c>
      <c r="C42" s="1713">
        <v>0.1</v>
      </c>
      <c r="D42" s="1713">
        <v>0.088</v>
      </c>
      <c r="E42" s="1713">
        <v>0.1</v>
      </c>
      <c r="F42" s="1721"/>
    </row>
    <row r="43" ht="14.25" spans="1:6">
      <c r="A43" s="1708" t="s">
        <v>265</v>
      </c>
      <c r="B43" s="1715" t="s">
        <v>1612</v>
      </c>
      <c r="C43" s="1713">
        <v>0.098</v>
      </c>
      <c r="D43" s="1713">
        <v>0.097</v>
      </c>
      <c r="E43" s="1713">
        <v>0.096</v>
      </c>
      <c r="F43" s="1721"/>
    </row>
    <row r="44" ht="14.25" spans="1:6">
      <c r="A44" s="1708" t="s">
        <v>265</v>
      </c>
      <c r="B44" s="1715" t="s">
        <v>1622</v>
      </c>
      <c r="C44" s="1713">
        <v>0.086</v>
      </c>
      <c r="D44" s="1713">
        <v>0.079</v>
      </c>
      <c r="E44" s="1713">
        <v>0.071</v>
      </c>
      <c r="F44" s="1721"/>
    </row>
    <row r="45" ht="14.25" spans="1:6">
      <c r="A45" s="1708" t="s">
        <v>265</v>
      </c>
      <c r="B45" s="1715" t="s">
        <v>1632</v>
      </c>
      <c r="C45" s="1713">
        <v>0.098</v>
      </c>
      <c r="D45" s="1713">
        <v>0.096</v>
      </c>
      <c r="E45" s="1713">
        <v>0.096</v>
      </c>
      <c r="F45" s="1721"/>
    </row>
    <row r="46" ht="14.25" spans="1:6">
      <c r="A46" s="1708" t="s">
        <v>265</v>
      </c>
      <c r="B46" s="1715" t="s">
        <v>1642</v>
      </c>
      <c r="C46" s="1713">
        <v>0.086</v>
      </c>
      <c r="D46" s="1713">
        <v>0.098</v>
      </c>
      <c r="E46" s="1713">
        <v>0.088</v>
      </c>
      <c r="F46" s="1721"/>
    </row>
    <row r="47" ht="14.25" spans="1:6">
      <c r="A47" s="1708" t="s">
        <v>265</v>
      </c>
      <c r="B47" s="1715" t="s">
        <v>1652</v>
      </c>
      <c r="C47" s="1713">
        <v>0.096</v>
      </c>
      <c r="D47" s="1722"/>
      <c r="E47" s="1713">
        <v>0.069</v>
      </c>
      <c r="F47" s="1721"/>
    </row>
    <row r="48" ht="14.25" spans="1:6">
      <c r="A48" s="1716" t="s">
        <v>265</v>
      </c>
      <c r="B48" s="1717" t="s">
        <v>1661</v>
      </c>
      <c r="C48" s="1718">
        <v>0.098</v>
      </c>
      <c r="D48" s="1719"/>
      <c r="E48" s="1718">
        <v>0.095</v>
      </c>
      <c r="F48" s="1720"/>
    </row>
    <row r="49" ht="14.25" spans="1:6">
      <c r="A49" s="1708" t="s">
        <v>275</v>
      </c>
      <c r="B49" s="1709" t="s">
        <v>1460</v>
      </c>
      <c r="C49" s="1710">
        <v>0.097</v>
      </c>
      <c r="D49" s="1710">
        <v>0.095</v>
      </c>
      <c r="E49" s="1710">
        <v>0.097</v>
      </c>
      <c r="F49" s="1711">
        <v>0.1</v>
      </c>
    </row>
    <row r="50" ht="14.25" spans="1:6">
      <c r="A50" s="1708" t="s">
        <v>275</v>
      </c>
      <c r="B50" s="1712" t="s">
        <v>1473</v>
      </c>
      <c r="C50" s="1713">
        <v>0.075</v>
      </c>
      <c r="D50" s="1713">
        <v>0.095</v>
      </c>
      <c r="E50" s="1713">
        <v>0.1</v>
      </c>
      <c r="F50" s="1714">
        <v>0.1</v>
      </c>
    </row>
    <row r="51" ht="14.25" spans="1:6">
      <c r="A51" s="1708" t="s">
        <v>275</v>
      </c>
      <c r="B51" s="1712" t="s">
        <v>1486</v>
      </c>
      <c r="C51" s="1713">
        <v>0.098</v>
      </c>
      <c r="D51" s="1713">
        <v>0.089</v>
      </c>
      <c r="E51" s="1713">
        <v>0.1</v>
      </c>
      <c r="F51" s="1714">
        <v>0.1</v>
      </c>
    </row>
    <row r="52" ht="14.25" spans="1:6">
      <c r="A52" s="1708" t="s">
        <v>275</v>
      </c>
      <c r="B52" s="1712" t="s">
        <v>1498</v>
      </c>
      <c r="C52" s="1713">
        <v>0.098</v>
      </c>
      <c r="D52" s="1713">
        <v>0.097</v>
      </c>
      <c r="E52" s="1713">
        <v>0.081</v>
      </c>
      <c r="F52" s="1714">
        <v>0.1</v>
      </c>
    </row>
    <row r="53" ht="14.25" spans="1:6">
      <c r="A53" s="1708" t="s">
        <v>275</v>
      </c>
      <c r="B53" s="1712" t="s">
        <v>1510</v>
      </c>
      <c r="C53" s="1713">
        <v>0.097</v>
      </c>
      <c r="D53" s="1713">
        <v>0.076</v>
      </c>
      <c r="E53" s="1713">
        <v>0.071</v>
      </c>
      <c r="F53" s="1714">
        <v>0.1</v>
      </c>
    </row>
    <row r="54" ht="14.25" spans="1:6">
      <c r="A54" s="1708" t="s">
        <v>275</v>
      </c>
      <c r="B54" s="1712" t="s">
        <v>1521</v>
      </c>
      <c r="C54" s="1713">
        <v>0.076</v>
      </c>
      <c r="D54" s="1713">
        <v>0.1</v>
      </c>
      <c r="E54" s="1713">
        <v>0.099</v>
      </c>
      <c r="F54" s="1714">
        <v>0.1</v>
      </c>
    </row>
    <row r="55" ht="14.25" spans="1:6">
      <c r="A55" s="1708" t="s">
        <v>275</v>
      </c>
      <c r="B55" s="1712" t="s">
        <v>1532</v>
      </c>
      <c r="C55" s="1713">
        <v>0.1</v>
      </c>
      <c r="D55" s="1713">
        <v>0.1</v>
      </c>
      <c r="E55" s="1713">
        <v>0.096</v>
      </c>
      <c r="F55" s="1714">
        <v>0.1</v>
      </c>
    </row>
    <row r="56" ht="14.25" spans="1:6">
      <c r="A56" s="1708" t="s">
        <v>275</v>
      </c>
      <c r="B56" s="1712" t="s">
        <v>1543</v>
      </c>
      <c r="C56" s="1713">
        <v>0.1</v>
      </c>
      <c r="D56" s="1713">
        <v>0.096</v>
      </c>
      <c r="E56" s="1713">
        <v>0.052</v>
      </c>
      <c r="F56" s="1714">
        <v>0.1</v>
      </c>
    </row>
    <row r="57" ht="14.25" spans="1:6">
      <c r="A57" s="1708" t="s">
        <v>275</v>
      </c>
      <c r="B57" s="1712" t="s">
        <v>1553</v>
      </c>
      <c r="C57" s="1713">
        <v>0.097</v>
      </c>
      <c r="D57" s="1713">
        <v>0.096</v>
      </c>
      <c r="E57" s="1713">
        <v>0.096</v>
      </c>
      <c r="F57" s="1714">
        <v>0.1</v>
      </c>
    </row>
    <row r="58" ht="14.25" spans="1:6">
      <c r="A58" s="1708" t="s">
        <v>275</v>
      </c>
      <c r="B58" s="1712" t="s">
        <v>1563</v>
      </c>
      <c r="C58" s="1713">
        <v>0.096</v>
      </c>
      <c r="D58" s="1713">
        <v>0.099</v>
      </c>
      <c r="E58" s="1713">
        <v>0.096</v>
      </c>
      <c r="F58" s="1714">
        <v>0.1</v>
      </c>
    </row>
    <row r="59" ht="14.25" spans="1:6">
      <c r="A59" s="1708" t="s">
        <v>275</v>
      </c>
      <c r="B59" s="1712" t="s">
        <v>1573</v>
      </c>
      <c r="C59" s="1713">
        <v>0.072</v>
      </c>
      <c r="D59" s="1713">
        <v>0.096</v>
      </c>
      <c r="E59" s="1713">
        <v>0.071</v>
      </c>
      <c r="F59" s="1714">
        <v>0.1</v>
      </c>
    </row>
    <row r="60" ht="14.25" spans="1:6">
      <c r="A60" s="1708" t="s">
        <v>275</v>
      </c>
      <c r="B60" s="1712" t="s">
        <v>1583</v>
      </c>
      <c r="C60" s="1713">
        <v>0.096</v>
      </c>
      <c r="D60" s="1713">
        <v>0.089</v>
      </c>
      <c r="E60" s="1713">
        <v>0.096</v>
      </c>
      <c r="F60" s="1714">
        <v>0.1</v>
      </c>
    </row>
    <row r="61" ht="14.25" spans="1:6">
      <c r="A61" s="1708" t="s">
        <v>275</v>
      </c>
      <c r="B61" s="1712" t="s">
        <v>1593</v>
      </c>
      <c r="C61" s="1713">
        <v>0.089</v>
      </c>
      <c r="D61" s="1713">
        <v>0.098</v>
      </c>
      <c r="E61" s="1713">
        <v>0.088</v>
      </c>
      <c r="F61" s="1721"/>
    </row>
    <row r="62" ht="14.25" spans="1:6">
      <c r="A62" s="1708" t="s">
        <v>275</v>
      </c>
      <c r="B62" s="1712" t="s">
        <v>1603</v>
      </c>
      <c r="C62" s="1713">
        <v>0.098</v>
      </c>
      <c r="D62" s="1713">
        <v>0.093</v>
      </c>
      <c r="E62" s="1713">
        <v>0.097</v>
      </c>
      <c r="F62" s="1721"/>
    </row>
    <row r="63" ht="14.25" spans="1:6">
      <c r="A63" s="1708" t="s">
        <v>275</v>
      </c>
      <c r="B63" s="1712" t="s">
        <v>1613</v>
      </c>
      <c r="C63" s="1713">
        <v>0.096</v>
      </c>
      <c r="D63" s="1713">
        <v>0.098</v>
      </c>
      <c r="E63" s="1713">
        <v>0.09</v>
      </c>
      <c r="F63" s="1721"/>
    </row>
    <row r="64" ht="14.25" spans="1:6">
      <c r="A64" s="1708" t="s">
        <v>275</v>
      </c>
      <c r="B64" s="1712" t="s">
        <v>1623</v>
      </c>
      <c r="C64" s="1713">
        <v>0.099</v>
      </c>
      <c r="D64" s="1713">
        <v>0.097</v>
      </c>
      <c r="E64" s="1713">
        <v>0.099</v>
      </c>
      <c r="F64" s="1721"/>
    </row>
    <row r="65" ht="14.25" spans="1:6">
      <c r="A65" s="1708" t="s">
        <v>275</v>
      </c>
      <c r="B65" s="1712" t="s">
        <v>1633</v>
      </c>
      <c r="C65" s="1713">
        <v>0.098</v>
      </c>
      <c r="D65" s="1713">
        <v>0.096</v>
      </c>
      <c r="E65" s="1713">
        <v>0.096</v>
      </c>
      <c r="F65" s="1721"/>
    </row>
    <row r="66" ht="14.25" spans="1:6">
      <c r="A66" s="1708" t="s">
        <v>275</v>
      </c>
      <c r="B66" s="1712" t="s">
        <v>1643</v>
      </c>
      <c r="C66" s="1713">
        <v>0.096</v>
      </c>
      <c r="D66" s="1713">
        <v>0.092</v>
      </c>
      <c r="E66" s="1713">
        <v>0.096</v>
      </c>
      <c r="F66" s="1721"/>
    </row>
    <row r="67" ht="14.25" spans="1:6">
      <c r="A67" s="1708" t="s">
        <v>275</v>
      </c>
      <c r="B67" s="1712" t="s">
        <v>1653</v>
      </c>
      <c r="C67" s="1713">
        <v>0.094</v>
      </c>
      <c r="D67" s="1713">
        <v>0.1</v>
      </c>
      <c r="E67" s="1713">
        <v>0.088</v>
      </c>
      <c r="F67" s="1721"/>
    </row>
    <row r="68" ht="14.25" spans="1:6">
      <c r="A68" s="1708" t="s">
        <v>275</v>
      </c>
      <c r="B68" s="1712" t="s">
        <v>1662</v>
      </c>
      <c r="C68" s="1713">
        <v>0.1</v>
      </c>
      <c r="D68" s="1713">
        <v>0.088</v>
      </c>
      <c r="E68" s="1713">
        <v>0.097</v>
      </c>
      <c r="F68" s="1721"/>
    </row>
    <row r="69" ht="14.25" spans="1:6">
      <c r="A69" s="1708" t="s">
        <v>275</v>
      </c>
      <c r="B69" s="1712" t="s">
        <v>1670</v>
      </c>
      <c r="C69" s="1713">
        <v>0.064</v>
      </c>
      <c r="D69" s="1713">
        <v>0.1</v>
      </c>
      <c r="E69" s="1713">
        <v>0.1</v>
      </c>
      <c r="F69" s="1721"/>
    </row>
    <row r="70" ht="14.25" spans="1:6">
      <c r="A70" s="1708" t="s">
        <v>275</v>
      </c>
      <c r="B70" s="1712" t="s">
        <v>1678</v>
      </c>
      <c r="C70" s="1713">
        <v>0.091</v>
      </c>
      <c r="D70" s="1722"/>
      <c r="E70" s="1722"/>
      <c r="F70" s="1721"/>
    </row>
    <row r="71" ht="14.25" spans="1:6">
      <c r="A71" s="1708" t="s">
        <v>275</v>
      </c>
      <c r="B71" s="1712" t="s">
        <v>1685</v>
      </c>
      <c r="C71" s="1713">
        <v>0.1</v>
      </c>
      <c r="D71" s="1722"/>
      <c r="E71" s="1722"/>
      <c r="F71" s="1721"/>
    </row>
    <row r="72" ht="14.25" spans="1:6">
      <c r="A72" s="1708" t="s">
        <v>275</v>
      </c>
      <c r="B72" s="1712" t="s">
        <v>1692</v>
      </c>
      <c r="C72" s="1722"/>
      <c r="D72" s="1722"/>
      <c r="E72" s="1722"/>
      <c r="F72" s="1714">
        <v>0.05</v>
      </c>
    </row>
    <row r="73" ht="14.25" spans="1:6">
      <c r="A73" s="1708" t="s">
        <v>275</v>
      </c>
      <c r="B73" s="1712" t="s">
        <v>1699</v>
      </c>
      <c r="C73" s="1722"/>
      <c r="D73" s="1722"/>
      <c r="E73" s="1722"/>
      <c r="F73" s="1714">
        <v>0.05</v>
      </c>
    </row>
    <row r="74" ht="14.25" spans="1:6">
      <c r="A74" s="1708" t="s">
        <v>275</v>
      </c>
      <c r="B74" s="1712" t="s">
        <v>1706</v>
      </c>
      <c r="C74" s="1722"/>
      <c r="D74" s="1722"/>
      <c r="E74" s="1722"/>
      <c r="F74" s="1714">
        <v>0.05</v>
      </c>
    </row>
    <row r="75" ht="14.25" spans="1:6">
      <c r="A75" s="1716" t="s">
        <v>275</v>
      </c>
      <c r="B75" s="1723" t="s">
        <v>1713</v>
      </c>
      <c r="C75" s="1719"/>
      <c r="D75" s="1719"/>
      <c r="E75" s="1719"/>
      <c r="F75" s="1724">
        <v>0.05</v>
      </c>
    </row>
    <row r="76" ht="14.25" spans="1:6">
      <c r="A76" s="1708" t="s">
        <v>284</v>
      </c>
      <c r="B76" s="1709" t="s">
        <v>1461</v>
      </c>
      <c r="C76" s="1710">
        <v>0.1</v>
      </c>
      <c r="D76" s="1710">
        <v>0.1</v>
      </c>
      <c r="E76" s="1710">
        <v>0.1</v>
      </c>
      <c r="F76" s="1711">
        <v>0.1</v>
      </c>
    </row>
    <row r="77" ht="14.25" spans="1:6">
      <c r="A77" s="1708" t="s">
        <v>284</v>
      </c>
      <c r="B77" s="1712" t="s">
        <v>1474</v>
      </c>
      <c r="C77" s="1713">
        <v>0.088</v>
      </c>
      <c r="D77" s="1713">
        <v>0.087</v>
      </c>
      <c r="E77" s="1713">
        <v>0.079</v>
      </c>
      <c r="F77" s="1714">
        <v>0.1</v>
      </c>
    </row>
    <row r="78" ht="14.25" spans="1:6">
      <c r="A78" s="1708" t="s">
        <v>284</v>
      </c>
      <c r="B78" s="1712" t="s">
        <v>1487</v>
      </c>
      <c r="C78" s="1713">
        <v>0.087</v>
      </c>
      <c r="D78" s="1713">
        <v>0.084</v>
      </c>
      <c r="E78" s="1713">
        <v>0.096</v>
      </c>
      <c r="F78" s="1714">
        <v>0.1</v>
      </c>
    </row>
    <row r="79" ht="14.25" spans="1:6">
      <c r="A79" s="1708" t="s">
        <v>284</v>
      </c>
      <c r="B79" s="1712" t="s">
        <v>1499</v>
      </c>
      <c r="C79" s="1713">
        <v>0.098</v>
      </c>
      <c r="D79" s="1713">
        <v>0.098</v>
      </c>
      <c r="E79" s="1713">
        <v>0.091</v>
      </c>
      <c r="F79" s="1714">
        <v>0.1</v>
      </c>
    </row>
    <row r="80" ht="14.25" spans="1:6">
      <c r="A80" s="1708" t="s">
        <v>284</v>
      </c>
      <c r="B80" s="1712" t="s">
        <v>1511</v>
      </c>
      <c r="C80" s="1713">
        <v>0.096</v>
      </c>
      <c r="D80" s="1713">
        <v>0.096</v>
      </c>
      <c r="E80" s="1713">
        <v>0.1</v>
      </c>
      <c r="F80" s="1714">
        <v>0.1</v>
      </c>
    </row>
    <row r="81" ht="14.25" spans="1:6">
      <c r="A81" s="1708" t="s">
        <v>284</v>
      </c>
      <c r="B81" s="1712" t="s">
        <v>1522</v>
      </c>
      <c r="C81" s="1713">
        <v>0.099</v>
      </c>
      <c r="D81" s="1713">
        <v>0.099</v>
      </c>
      <c r="E81" s="1713">
        <v>0.098</v>
      </c>
      <c r="F81" s="1714">
        <v>0.1</v>
      </c>
    </row>
    <row r="82" ht="14.25" spans="1:6">
      <c r="A82" s="1708" t="s">
        <v>284</v>
      </c>
      <c r="B82" s="1712" t="s">
        <v>1533</v>
      </c>
      <c r="C82" s="1713">
        <v>0.099</v>
      </c>
      <c r="D82" s="1713">
        <v>0.099</v>
      </c>
      <c r="E82" s="1713">
        <v>0.097</v>
      </c>
      <c r="F82" s="1714">
        <v>0.1</v>
      </c>
    </row>
    <row r="83" ht="14.25" spans="1:6">
      <c r="A83" s="1708" t="s">
        <v>284</v>
      </c>
      <c r="B83" s="1712" t="s">
        <v>1544</v>
      </c>
      <c r="C83" s="1713">
        <v>0.098</v>
      </c>
      <c r="D83" s="1713">
        <v>0.098</v>
      </c>
      <c r="E83" s="1713">
        <v>0.098</v>
      </c>
      <c r="F83" s="1714">
        <v>0.1</v>
      </c>
    </row>
    <row r="84" ht="14.25" spans="1:6">
      <c r="A84" s="1708" t="s">
        <v>284</v>
      </c>
      <c r="B84" s="1712" t="s">
        <v>1554</v>
      </c>
      <c r="C84" s="1713">
        <v>0.099</v>
      </c>
      <c r="D84" s="1713">
        <v>0.099</v>
      </c>
      <c r="E84" s="1713">
        <v>0.099</v>
      </c>
      <c r="F84" s="1714">
        <v>0.1</v>
      </c>
    </row>
    <row r="85" ht="14.25" spans="1:6">
      <c r="A85" s="1708" t="s">
        <v>284</v>
      </c>
      <c r="B85" s="1712" t="s">
        <v>1564</v>
      </c>
      <c r="C85" s="1713">
        <v>0.099</v>
      </c>
      <c r="D85" s="1713">
        <v>0.099</v>
      </c>
      <c r="E85" s="1713">
        <v>0.099</v>
      </c>
      <c r="F85" s="1714">
        <v>0.1</v>
      </c>
    </row>
    <row r="86" ht="14.25" spans="1:6">
      <c r="A86" s="1708" t="s">
        <v>284</v>
      </c>
      <c r="B86" s="1712" t="s">
        <v>1574</v>
      </c>
      <c r="C86" s="1713">
        <v>0.1</v>
      </c>
      <c r="D86" s="1713">
        <v>0.1</v>
      </c>
      <c r="E86" s="1713">
        <v>0.077</v>
      </c>
      <c r="F86" s="1714">
        <v>0.1</v>
      </c>
    </row>
    <row r="87" ht="14.25" spans="1:6">
      <c r="A87" s="1708" t="s">
        <v>284</v>
      </c>
      <c r="B87" s="1712" t="s">
        <v>1584</v>
      </c>
      <c r="C87" s="1713">
        <v>0.1</v>
      </c>
      <c r="D87" s="1713">
        <v>0.1</v>
      </c>
      <c r="E87" s="1713">
        <v>0.098</v>
      </c>
      <c r="F87" s="1721"/>
    </row>
    <row r="88" ht="14.25" spans="1:6">
      <c r="A88" s="1708" t="s">
        <v>284</v>
      </c>
      <c r="B88" s="1712" t="s">
        <v>1594</v>
      </c>
      <c r="C88" s="1713">
        <v>0.092</v>
      </c>
      <c r="D88" s="1713">
        <v>0.085</v>
      </c>
      <c r="E88" s="1713">
        <v>0.096</v>
      </c>
      <c r="F88" s="1721"/>
    </row>
    <row r="89" ht="14.25" spans="1:6">
      <c r="A89" s="1708" t="s">
        <v>284</v>
      </c>
      <c r="B89" s="1712" t="s">
        <v>1604</v>
      </c>
      <c r="C89" s="1713">
        <v>0.1</v>
      </c>
      <c r="D89" s="1713">
        <v>0.1</v>
      </c>
      <c r="E89" s="1713">
        <v>0.097</v>
      </c>
      <c r="F89" s="1721"/>
    </row>
    <row r="90" ht="14.25" spans="1:6">
      <c r="A90" s="1708" t="s">
        <v>284</v>
      </c>
      <c r="B90" s="1712" t="s">
        <v>1614</v>
      </c>
      <c r="C90" s="1713">
        <v>0.098</v>
      </c>
      <c r="D90" s="1713">
        <v>0.098</v>
      </c>
      <c r="E90" s="1713">
        <v>0.088</v>
      </c>
      <c r="F90" s="1721"/>
    </row>
    <row r="91" ht="14.25" spans="1:6">
      <c r="A91" s="1708" t="s">
        <v>284</v>
      </c>
      <c r="B91" s="1712" t="s">
        <v>1624</v>
      </c>
      <c r="C91" s="1713">
        <v>0.099</v>
      </c>
      <c r="D91" s="1713">
        <v>0.099</v>
      </c>
      <c r="E91" s="1713">
        <v>0.091</v>
      </c>
      <c r="F91" s="1721"/>
    </row>
    <row r="92" ht="14.25" spans="1:6">
      <c r="A92" s="1708" t="s">
        <v>284</v>
      </c>
      <c r="B92" s="1712" t="s">
        <v>1634</v>
      </c>
      <c r="C92" s="1713">
        <v>0.096</v>
      </c>
      <c r="D92" s="1713">
        <v>0.096</v>
      </c>
      <c r="E92" s="1713">
        <v>0.073</v>
      </c>
      <c r="F92" s="1721"/>
    </row>
    <row r="93" ht="14.25" spans="1:6">
      <c r="A93" s="1708" t="s">
        <v>284</v>
      </c>
      <c r="B93" s="1712" t="s">
        <v>1644</v>
      </c>
      <c r="C93" s="1713">
        <v>0.096</v>
      </c>
      <c r="D93" s="1713">
        <v>0.096</v>
      </c>
      <c r="E93" s="1713">
        <v>0.099</v>
      </c>
      <c r="F93" s="1721"/>
    </row>
    <row r="94" ht="14.25" spans="1:6">
      <c r="A94" s="1708" t="s">
        <v>284</v>
      </c>
      <c r="B94" s="1712" t="s">
        <v>1654</v>
      </c>
      <c r="C94" s="1713">
        <v>0.076</v>
      </c>
      <c r="D94" s="1713">
        <v>0.074</v>
      </c>
      <c r="E94" s="1713">
        <v>0.097</v>
      </c>
      <c r="F94" s="1721"/>
    </row>
    <row r="95" ht="14.25" spans="1:6">
      <c r="A95" s="1708" t="s">
        <v>284</v>
      </c>
      <c r="B95" s="1712" t="s">
        <v>1663</v>
      </c>
      <c r="C95" s="1713">
        <v>0.099</v>
      </c>
      <c r="D95" s="1713">
        <v>0.094</v>
      </c>
      <c r="E95" s="1713">
        <v>0.096</v>
      </c>
      <c r="F95" s="1721"/>
    </row>
    <row r="96" ht="14.25" spans="1:6">
      <c r="A96" s="1708" t="s">
        <v>284</v>
      </c>
      <c r="B96" s="1712" t="s">
        <v>1671</v>
      </c>
      <c r="C96" s="1713">
        <v>0.099</v>
      </c>
      <c r="D96" s="1713">
        <v>0.099</v>
      </c>
      <c r="E96" s="1713">
        <v>0.099</v>
      </c>
      <c r="F96" s="1721"/>
    </row>
    <row r="97" ht="14.25" spans="1:6">
      <c r="A97" s="1708" t="s">
        <v>284</v>
      </c>
      <c r="B97" s="1712" t="s">
        <v>1679</v>
      </c>
      <c r="C97" s="1713">
        <v>0.098</v>
      </c>
      <c r="D97" s="1713">
        <v>0.098</v>
      </c>
      <c r="E97" s="1713">
        <v>0.097</v>
      </c>
      <c r="F97" s="1721"/>
    </row>
    <row r="98" ht="14.25" spans="1:6">
      <c r="A98" s="1708" t="s">
        <v>284</v>
      </c>
      <c r="B98" s="1712" t="s">
        <v>1686</v>
      </c>
      <c r="C98" s="1713">
        <v>0.1</v>
      </c>
      <c r="D98" s="1713">
        <v>0.1</v>
      </c>
      <c r="E98" s="1713">
        <v>0.097</v>
      </c>
      <c r="F98" s="1721"/>
    </row>
    <row r="99" ht="14.25" spans="1:6">
      <c r="A99" s="1708" t="s">
        <v>284</v>
      </c>
      <c r="B99" s="1712" t="s">
        <v>1693</v>
      </c>
      <c r="C99" s="1713">
        <v>0.1</v>
      </c>
      <c r="D99" s="1713">
        <v>0.1</v>
      </c>
      <c r="E99" s="1722"/>
      <c r="F99" s="1721"/>
    </row>
    <row r="100" ht="14.25" spans="1:6">
      <c r="A100" s="1708" t="s">
        <v>284</v>
      </c>
      <c r="B100" s="1712" t="s">
        <v>1700</v>
      </c>
      <c r="C100" s="1713">
        <v>0.09</v>
      </c>
      <c r="D100" s="1713">
        <v>0.089</v>
      </c>
      <c r="E100" s="1722"/>
      <c r="F100" s="1721"/>
    </row>
    <row r="101" ht="14.25" spans="1:6">
      <c r="A101" s="1708" t="s">
        <v>284</v>
      </c>
      <c r="B101" s="1712" t="s">
        <v>1707</v>
      </c>
      <c r="C101" s="1713">
        <v>0.098</v>
      </c>
      <c r="D101" s="1713">
        <v>0.097</v>
      </c>
      <c r="E101" s="1722"/>
      <c r="F101" s="1721"/>
    </row>
    <row r="102" ht="14.25" spans="1:6">
      <c r="A102" s="1708" t="s">
        <v>284</v>
      </c>
      <c r="B102" s="1712" t="s">
        <v>1714</v>
      </c>
      <c r="C102" s="1722"/>
      <c r="D102" s="1722"/>
      <c r="E102" s="1722"/>
      <c r="F102" s="1714">
        <v>0.05</v>
      </c>
    </row>
    <row r="103" ht="24.75" spans="1:6">
      <c r="A103" s="1708" t="s">
        <v>284</v>
      </c>
      <c r="B103" s="1712" t="s">
        <v>1719</v>
      </c>
      <c r="C103" s="1722"/>
      <c r="D103" s="1722"/>
      <c r="E103" s="1722"/>
      <c r="F103" s="1714">
        <v>0.05</v>
      </c>
    </row>
    <row r="104" ht="14.25" spans="1:6">
      <c r="A104" s="1708" t="s">
        <v>284</v>
      </c>
      <c r="B104" s="1712" t="s">
        <v>1724</v>
      </c>
      <c r="C104" s="1722"/>
      <c r="D104" s="1722"/>
      <c r="E104" s="1722"/>
      <c r="F104" s="1714">
        <v>0.05</v>
      </c>
    </row>
    <row r="105" ht="14.25" spans="1:6">
      <c r="A105" s="1708" t="s">
        <v>284</v>
      </c>
      <c r="B105" s="1712" t="s">
        <v>1729</v>
      </c>
      <c r="C105" s="1722"/>
      <c r="D105" s="1722"/>
      <c r="E105" s="1722"/>
      <c r="F105" s="1714">
        <v>0.05</v>
      </c>
    </row>
    <row r="106" ht="14.25" spans="1:6">
      <c r="A106" s="1708" t="s">
        <v>284</v>
      </c>
      <c r="B106" s="1712" t="s">
        <v>1734</v>
      </c>
      <c r="C106" s="1722"/>
      <c r="D106" s="1722"/>
      <c r="E106" s="1722"/>
      <c r="F106" s="1714">
        <v>0.05</v>
      </c>
    </row>
    <row r="107" ht="24.75" spans="1:6">
      <c r="A107" s="1708" t="s">
        <v>284</v>
      </c>
      <c r="B107" s="1712" t="s">
        <v>1739</v>
      </c>
      <c r="C107" s="1722"/>
      <c r="D107" s="1722"/>
      <c r="E107" s="1722"/>
      <c r="F107" s="1714">
        <v>0.05</v>
      </c>
    </row>
    <row r="108" ht="24.75" spans="1:6">
      <c r="A108" s="1708" t="s">
        <v>284</v>
      </c>
      <c r="B108" s="1712" t="s">
        <v>1744</v>
      </c>
      <c r="C108" s="1722"/>
      <c r="D108" s="1722"/>
      <c r="E108" s="1722"/>
      <c r="F108" s="1714">
        <v>0.05</v>
      </c>
    </row>
    <row r="109" ht="24.75" spans="1:6">
      <c r="A109" s="1716" t="s">
        <v>284</v>
      </c>
      <c r="B109" s="1723" t="s">
        <v>1749</v>
      </c>
      <c r="C109" s="1719"/>
      <c r="D109" s="1719"/>
      <c r="E109" s="1719"/>
      <c r="F109" s="1724">
        <v>0.05</v>
      </c>
    </row>
    <row r="110" ht="14.25" spans="1:6">
      <c r="A110" s="1708" t="s">
        <v>292</v>
      </c>
      <c r="B110" s="1709" t="s">
        <v>1462</v>
      </c>
      <c r="C110" s="1710">
        <v>0.129</v>
      </c>
      <c r="D110" s="1710">
        <v>0.129</v>
      </c>
      <c r="E110" s="1710">
        <v>0.126</v>
      </c>
      <c r="F110" s="1711">
        <v>0.13</v>
      </c>
    </row>
    <row r="111" ht="14.25" spans="1:6">
      <c r="A111" s="1708" t="s">
        <v>292</v>
      </c>
      <c r="B111" s="1712" t="s">
        <v>1475</v>
      </c>
      <c r="C111" s="1713">
        <v>0.11</v>
      </c>
      <c r="D111" s="1713">
        <v>0.11</v>
      </c>
      <c r="E111" s="1713">
        <v>0.099</v>
      </c>
      <c r="F111" s="1714">
        <v>0.128</v>
      </c>
    </row>
    <row r="112" ht="14.25" spans="1:6">
      <c r="A112" s="1708" t="s">
        <v>292</v>
      </c>
      <c r="B112" s="1712" t="s">
        <v>1488</v>
      </c>
      <c r="C112" s="1713">
        <v>0.125</v>
      </c>
      <c r="D112" s="1713">
        <v>0.125</v>
      </c>
      <c r="E112" s="1713">
        <v>0.12</v>
      </c>
      <c r="F112" s="1714">
        <v>0.125</v>
      </c>
    </row>
    <row r="113" ht="14.25" spans="1:6">
      <c r="A113" s="1708" t="s">
        <v>292</v>
      </c>
      <c r="B113" s="1712" t="s">
        <v>1500</v>
      </c>
      <c r="C113" s="1713">
        <v>0.13</v>
      </c>
      <c r="D113" s="1713">
        <v>0.13</v>
      </c>
      <c r="E113" s="1713">
        <v>0.13</v>
      </c>
      <c r="F113" s="1714">
        <v>0.13</v>
      </c>
    </row>
    <row r="114" ht="14.25" spans="1:6">
      <c r="A114" s="1708" t="s">
        <v>292</v>
      </c>
      <c r="B114" s="1712" t="s">
        <v>1512</v>
      </c>
      <c r="C114" s="1713">
        <v>0.123</v>
      </c>
      <c r="D114" s="1713">
        <v>0.123</v>
      </c>
      <c r="E114" s="1713">
        <v>0.12</v>
      </c>
      <c r="F114" s="1714">
        <v>0.13</v>
      </c>
    </row>
    <row r="115" ht="14.25" spans="1:6">
      <c r="A115" s="1708" t="s">
        <v>292</v>
      </c>
      <c r="B115" s="1712" t="s">
        <v>1523</v>
      </c>
      <c r="C115" s="1713">
        <v>0.125</v>
      </c>
      <c r="D115" s="1713">
        <v>0.125</v>
      </c>
      <c r="E115" s="1713">
        <v>0.117</v>
      </c>
      <c r="F115" s="1714">
        <v>0.13</v>
      </c>
    </row>
    <row r="116" ht="14.25" spans="1:6">
      <c r="A116" s="1708" t="s">
        <v>292</v>
      </c>
      <c r="B116" s="1712" t="s">
        <v>1534</v>
      </c>
      <c r="C116" s="1713">
        <v>0.117</v>
      </c>
      <c r="D116" s="1713">
        <v>0.117</v>
      </c>
      <c r="E116" s="1713">
        <v>0.088</v>
      </c>
      <c r="F116" s="1714">
        <v>0.13</v>
      </c>
    </row>
    <row r="117" ht="14.25" spans="1:6">
      <c r="A117" s="1708" t="s">
        <v>292</v>
      </c>
      <c r="B117" s="1712" t="s">
        <v>1545</v>
      </c>
      <c r="C117" s="1713">
        <v>0.13</v>
      </c>
      <c r="D117" s="1713">
        <v>0.13</v>
      </c>
      <c r="E117" s="1713">
        <v>0.129</v>
      </c>
      <c r="F117" s="1714">
        <v>0.13</v>
      </c>
    </row>
    <row r="118" ht="14.25" spans="1:6">
      <c r="A118" s="1708" t="s">
        <v>292</v>
      </c>
      <c r="B118" s="1712" t="s">
        <v>1555</v>
      </c>
      <c r="C118" s="1713">
        <v>0.123</v>
      </c>
      <c r="D118" s="1713">
        <v>0.123</v>
      </c>
      <c r="E118" s="1713">
        <v>0.116</v>
      </c>
      <c r="F118" s="1714">
        <v>0.13</v>
      </c>
    </row>
    <row r="119" ht="14.25" spans="1:6">
      <c r="A119" s="1708" t="s">
        <v>292</v>
      </c>
      <c r="B119" s="1712" t="s">
        <v>1565</v>
      </c>
      <c r="C119" s="1713">
        <v>0.127</v>
      </c>
      <c r="D119" s="1713">
        <v>0.127</v>
      </c>
      <c r="E119" s="1713">
        <v>0.124</v>
      </c>
      <c r="F119" s="1714">
        <v>0.13</v>
      </c>
    </row>
    <row r="120" ht="14.25" spans="1:6">
      <c r="A120" s="1708" t="s">
        <v>292</v>
      </c>
      <c r="B120" s="1712" t="s">
        <v>1575</v>
      </c>
      <c r="C120" s="1713">
        <v>0.125</v>
      </c>
      <c r="D120" s="1713">
        <v>0.125</v>
      </c>
      <c r="E120" s="1713">
        <v>0.122</v>
      </c>
      <c r="F120" s="1714">
        <v>0.13</v>
      </c>
    </row>
    <row r="121" ht="14.25" spans="1:6">
      <c r="A121" s="1708" t="s">
        <v>292</v>
      </c>
      <c r="B121" s="1712" t="s">
        <v>1585</v>
      </c>
      <c r="C121" s="1713">
        <v>0.13</v>
      </c>
      <c r="D121" s="1713">
        <v>0.13</v>
      </c>
      <c r="E121" s="1713">
        <v>0.13</v>
      </c>
      <c r="F121" s="1714">
        <v>0.13</v>
      </c>
    </row>
    <row r="122" ht="14.25" spans="1:6">
      <c r="A122" s="1708" t="s">
        <v>292</v>
      </c>
      <c r="B122" s="1712" t="s">
        <v>1595</v>
      </c>
      <c r="C122" s="1713">
        <v>0.13</v>
      </c>
      <c r="D122" s="1713">
        <v>0.13</v>
      </c>
      <c r="E122" s="1713">
        <v>0.125</v>
      </c>
      <c r="F122" s="1714">
        <v>0.13</v>
      </c>
    </row>
    <row r="123" ht="14.25" spans="1:6">
      <c r="A123" s="1708" t="s">
        <v>292</v>
      </c>
      <c r="B123" s="1712" t="s">
        <v>1605</v>
      </c>
      <c r="C123" s="1713">
        <v>0.129</v>
      </c>
      <c r="D123" s="1713">
        <v>0.129</v>
      </c>
      <c r="E123" s="1713">
        <v>0.123</v>
      </c>
      <c r="F123" s="1714">
        <v>0.13</v>
      </c>
    </row>
    <row r="124" ht="14.25" spans="1:6">
      <c r="A124" s="1708" t="s">
        <v>292</v>
      </c>
      <c r="B124" s="1712" t="s">
        <v>1615</v>
      </c>
      <c r="C124" s="1713">
        <v>0.102</v>
      </c>
      <c r="D124" s="1713">
        <v>0.101</v>
      </c>
      <c r="E124" s="1713">
        <v>0.08</v>
      </c>
      <c r="F124" s="1721"/>
    </row>
    <row r="125" ht="14.25" spans="1:6">
      <c r="A125" s="1708" t="s">
        <v>292</v>
      </c>
      <c r="B125" s="1712" t="s">
        <v>1625</v>
      </c>
      <c r="C125" s="1713">
        <v>0.13</v>
      </c>
      <c r="D125" s="1713">
        <v>0.13</v>
      </c>
      <c r="E125" s="1713">
        <v>0.129</v>
      </c>
      <c r="F125" s="1721"/>
    </row>
    <row r="126" ht="14.25" spans="1:6">
      <c r="A126" s="1708" t="s">
        <v>292</v>
      </c>
      <c r="B126" s="1712" t="s">
        <v>1635</v>
      </c>
      <c r="C126" s="1713">
        <v>0.13</v>
      </c>
      <c r="D126" s="1713">
        <v>0.13</v>
      </c>
      <c r="E126" s="1713">
        <v>0.126</v>
      </c>
      <c r="F126" s="1721"/>
    </row>
    <row r="127" ht="14.25" spans="1:6">
      <c r="A127" s="1708" t="s">
        <v>292</v>
      </c>
      <c r="B127" s="1712" t="s">
        <v>1645</v>
      </c>
      <c r="C127" s="1713">
        <v>0.125</v>
      </c>
      <c r="D127" s="1713">
        <v>0.125</v>
      </c>
      <c r="E127" s="1713">
        <v>0.121</v>
      </c>
      <c r="F127" s="1721"/>
    </row>
    <row r="128" ht="14.25" spans="1:6">
      <c r="A128" s="1708" t="s">
        <v>292</v>
      </c>
      <c r="B128" s="1712" t="s">
        <v>1655</v>
      </c>
      <c r="C128" s="1713">
        <v>0.12</v>
      </c>
      <c r="D128" s="1713">
        <v>0.12</v>
      </c>
      <c r="E128" s="1713">
        <v>0.105</v>
      </c>
      <c r="F128" s="1721"/>
    </row>
    <row r="129" ht="14.25" spans="1:6">
      <c r="A129" s="1708" t="s">
        <v>292</v>
      </c>
      <c r="B129" s="1712" t="s">
        <v>1664</v>
      </c>
      <c r="C129" s="1713">
        <v>0.13</v>
      </c>
      <c r="D129" s="1713">
        <v>0.13</v>
      </c>
      <c r="E129" s="1713">
        <v>0.126</v>
      </c>
      <c r="F129" s="1721"/>
    </row>
    <row r="130" ht="14.25" spans="1:6">
      <c r="A130" s="1708" t="s">
        <v>292</v>
      </c>
      <c r="B130" s="1712" t="s">
        <v>1672</v>
      </c>
      <c r="C130" s="1713">
        <v>0.125</v>
      </c>
      <c r="D130" s="1713">
        <v>0.125</v>
      </c>
      <c r="E130" s="1713">
        <v>0.122</v>
      </c>
      <c r="F130" s="1721"/>
    </row>
    <row r="131" ht="14.25" spans="1:6">
      <c r="A131" s="1708" t="s">
        <v>292</v>
      </c>
      <c r="B131" s="1712" t="s">
        <v>1680</v>
      </c>
      <c r="C131" s="1713">
        <v>0.127</v>
      </c>
      <c r="D131" s="1713">
        <v>0.126</v>
      </c>
      <c r="E131" s="1713">
        <v>0.123</v>
      </c>
      <c r="F131" s="1721"/>
    </row>
    <row r="132" ht="14.25" spans="1:6">
      <c r="A132" s="1708" t="s">
        <v>292</v>
      </c>
      <c r="B132" s="1712" t="s">
        <v>1687</v>
      </c>
      <c r="C132" s="1713">
        <v>0.091</v>
      </c>
      <c r="D132" s="1713">
        <v>0.121</v>
      </c>
      <c r="E132" s="1713">
        <v>0.099</v>
      </c>
      <c r="F132" s="1721"/>
    </row>
    <row r="133" ht="14.25" spans="1:6">
      <c r="A133" s="1708" t="s">
        <v>292</v>
      </c>
      <c r="B133" s="1712" t="s">
        <v>1694</v>
      </c>
      <c r="C133" s="1713">
        <v>0.13</v>
      </c>
      <c r="D133" s="1713">
        <v>0.13</v>
      </c>
      <c r="E133" s="1713">
        <v>0.129</v>
      </c>
      <c r="F133" s="1721"/>
    </row>
    <row r="134" ht="14.25" spans="1:6">
      <c r="A134" s="1708" t="s">
        <v>292</v>
      </c>
      <c r="B134" s="1712" t="s">
        <v>1701</v>
      </c>
      <c r="C134" s="1713">
        <v>0.068</v>
      </c>
      <c r="D134" s="1713">
        <v>0.065</v>
      </c>
      <c r="E134" s="1713">
        <v>0.065</v>
      </c>
      <c r="F134" s="1714">
        <v>0.13</v>
      </c>
    </row>
    <row r="135" ht="14.25" spans="1:6">
      <c r="A135" s="1708" t="s">
        <v>292</v>
      </c>
      <c r="B135" s="1712" t="s">
        <v>1708</v>
      </c>
      <c r="C135" s="1713">
        <v>0.123</v>
      </c>
      <c r="D135" s="1713">
        <v>0.123</v>
      </c>
      <c r="E135" s="1713">
        <v>0.11</v>
      </c>
      <c r="F135" s="1721"/>
    </row>
    <row r="136" ht="14.25" spans="1:6">
      <c r="A136" s="1708" t="s">
        <v>292</v>
      </c>
      <c r="B136" s="1712" t="s">
        <v>1715</v>
      </c>
      <c r="C136" s="1713">
        <v>0.13</v>
      </c>
      <c r="D136" s="1713">
        <v>0.13</v>
      </c>
      <c r="E136" s="1713">
        <v>0.125</v>
      </c>
      <c r="F136" s="1721"/>
    </row>
    <row r="137" ht="14.25" spans="1:6">
      <c r="A137" s="1708" t="s">
        <v>292</v>
      </c>
      <c r="B137" s="1712" t="s">
        <v>1720</v>
      </c>
      <c r="C137" s="1713">
        <v>0.121</v>
      </c>
      <c r="D137" s="1713">
        <v>0.122</v>
      </c>
      <c r="E137" s="1713">
        <v>0.115</v>
      </c>
      <c r="F137" s="1721"/>
    </row>
    <row r="138" ht="14.25" spans="1:6">
      <c r="A138" s="1708" t="s">
        <v>292</v>
      </c>
      <c r="B138" s="1712" t="s">
        <v>1725</v>
      </c>
      <c r="C138" s="1713">
        <v>0.105</v>
      </c>
      <c r="D138" s="1713">
        <v>0.125</v>
      </c>
      <c r="E138" s="1713">
        <v>0.112</v>
      </c>
      <c r="F138" s="1721"/>
    </row>
    <row r="139" ht="14.25" spans="1:6">
      <c r="A139" s="1708" t="s">
        <v>292</v>
      </c>
      <c r="B139" s="1712" t="s">
        <v>1730</v>
      </c>
      <c r="C139" s="1713">
        <v>0.127</v>
      </c>
      <c r="D139" s="1713">
        <v>0.127</v>
      </c>
      <c r="E139" s="1713">
        <v>0.122</v>
      </c>
      <c r="F139" s="1714">
        <v>0.13</v>
      </c>
    </row>
    <row r="140" ht="14.25" spans="1:6">
      <c r="A140" s="1708" t="s">
        <v>292</v>
      </c>
      <c r="B140" s="1712" t="s">
        <v>1735</v>
      </c>
      <c r="C140" s="1713">
        <v>0.125</v>
      </c>
      <c r="D140" s="1713">
        <v>0.125</v>
      </c>
      <c r="E140" s="1713">
        <v>0.119</v>
      </c>
      <c r="F140" s="1714">
        <v>0.13</v>
      </c>
    </row>
    <row r="141" ht="14.25" spans="1:6">
      <c r="A141" s="1708" t="s">
        <v>292</v>
      </c>
      <c r="B141" s="1712" t="s">
        <v>1740</v>
      </c>
      <c r="C141" s="1713">
        <v>0.125</v>
      </c>
      <c r="D141" s="1713">
        <v>0.125</v>
      </c>
      <c r="E141" s="1713">
        <v>0.117</v>
      </c>
      <c r="F141" s="1721"/>
    </row>
    <row r="142" ht="14.25" spans="1:6">
      <c r="A142" s="1708" t="s">
        <v>292</v>
      </c>
      <c r="B142" s="1712" t="s">
        <v>1745</v>
      </c>
      <c r="C142" s="1713">
        <v>0.125</v>
      </c>
      <c r="D142" s="1713">
        <v>0.125</v>
      </c>
      <c r="E142" s="1713">
        <v>0.115</v>
      </c>
      <c r="F142" s="1721"/>
    </row>
    <row r="143" ht="14.25" spans="1:6">
      <c r="A143" s="1708" t="s">
        <v>292</v>
      </c>
      <c r="B143" s="1712" t="s">
        <v>1750</v>
      </c>
      <c r="C143" s="1713">
        <v>0.121</v>
      </c>
      <c r="D143" s="1713">
        <v>0.121</v>
      </c>
      <c r="E143" s="1713">
        <v>0.108</v>
      </c>
      <c r="F143" s="1721"/>
    </row>
    <row r="144" ht="14.25" spans="1:6">
      <c r="A144" s="1708" t="s">
        <v>292</v>
      </c>
      <c r="B144" s="1725" t="s">
        <v>1754</v>
      </c>
      <c r="C144" s="1726">
        <v>0.126</v>
      </c>
      <c r="D144" s="1726">
        <v>0.126</v>
      </c>
      <c r="E144" s="1726">
        <v>0.121</v>
      </c>
      <c r="F144" s="1721"/>
    </row>
    <row r="145" ht="14.25" spans="1:6">
      <c r="A145" s="1716" t="s">
        <v>292</v>
      </c>
      <c r="B145" s="1727" t="s">
        <v>1758</v>
      </c>
      <c r="C145" s="1728"/>
      <c r="D145" s="1728"/>
      <c r="E145" s="1728"/>
      <c r="F145" s="1729">
        <v>0.05</v>
      </c>
    </row>
    <row r="146" ht="24.75" spans="1:6">
      <c r="A146" s="1730" t="s">
        <v>292</v>
      </c>
      <c r="B146" s="1715" t="s">
        <v>1762</v>
      </c>
      <c r="C146" s="1722"/>
      <c r="D146" s="1722"/>
      <c r="E146" s="1722"/>
      <c r="F146" s="1731">
        <v>0.05</v>
      </c>
    </row>
    <row r="147" ht="24.75" spans="1:6">
      <c r="A147" s="1708" t="s">
        <v>292</v>
      </c>
      <c r="B147" s="1712" t="s">
        <v>1766</v>
      </c>
      <c r="C147" s="1722"/>
      <c r="D147" s="1722"/>
      <c r="E147" s="1722"/>
      <c r="F147" s="1714">
        <v>0.05</v>
      </c>
    </row>
    <row r="148" ht="24.75" spans="1:6">
      <c r="A148" s="1708" t="s">
        <v>292</v>
      </c>
      <c r="B148" s="1712" t="s">
        <v>1770</v>
      </c>
      <c r="C148" s="1722"/>
      <c r="D148" s="1722"/>
      <c r="E148" s="1722"/>
      <c r="F148" s="1714">
        <v>0.05</v>
      </c>
    </row>
    <row r="149" ht="24.75" spans="1:6">
      <c r="A149" s="1708" t="s">
        <v>292</v>
      </c>
      <c r="B149" s="1712" t="s">
        <v>1774</v>
      </c>
      <c r="C149" s="1722"/>
      <c r="D149" s="1722"/>
      <c r="E149" s="1722"/>
      <c r="F149" s="1714">
        <v>0.05</v>
      </c>
    </row>
    <row r="150" ht="24.75" spans="1:6">
      <c r="A150" s="1708" t="s">
        <v>292</v>
      </c>
      <c r="B150" s="1712" t="s">
        <v>1777</v>
      </c>
      <c r="C150" s="1722"/>
      <c r="D150" s="1722"/>
      <c r="E150" s="1722"/>
      <c r="F150" s="1714">
        <v>0.05</v>
      </c>
    </row>
    <row r="151" ht="24.75" spans="1:6">
      <c r="A151" s="1708" t="s">
        <v>292</v>
      </c>
      <c r="B151" s="1712" t="s">
        <v>1780</v>
      </c>
      <c r="C151" s="1722"/>
      <c r="D151" s="1722"/>
      <c r="E151" s="1722"/>
      <c r="F151" s="1714">
        <v>0.05</v>
      </c>
    </row>
    <row r="152" ht="24.75" spans="1:6">
      <c r="A152" s="1708" t="s">
        <v>292</v>
      </c>
      <c r="B152" s="1712" t="s">
        <v>1783</v>
      </c>
      <c r="C152" s="1722"/>
      <c r="D152" s="1722"/>
      <c r="E152" s="1722"/>
      <c r="F152" s="1714">
        <v>0.05</v>
      </c>
    </row>
    <row r="153" ht="14.25" spans="1:6">
      <c r="A153" s="1708" t="s">
        <v>292</v>
      </c>
      <c r="B153" s="1712" t="s">
        <v>1786</v>
      </c>
      <c r="C153" s="1722"/>
      <c r="D153" s="1722"/>
      <c r="E153" s="1722"/>
      <c r="F153" s="1714">
        <v>0.05</v>
      </c>
    </row>
    <row r="154" ht="14.25" spans="1:6">
      <c r="A154" s="1708" t="s">
        <v>292</v>
      </c>
      <c r="B154" s="1712" t="s">
        <v>1789</v>
      </c>
      <c r="C154" s="1722"/>
      <c r="D154" s="1722"/>
      <c r="E154" s="1722"/>
      <c r="F154" s="1714">
        <v>0.05</v>
      </c>
    </row>
    <row r="155" ht="24.75" spans="1:6">
      <c r="A155" s="1708" t="s">
        <v>292</v>
      </c>
      <c r="B155" s="1712" t="s">
        <v>1792</v>
      </c>
      <c r="C155" s="1722"/>
      <c r="D155" s="1722"/>
      <c r="E155" s="1722"/>
      <c r="F155" s="1714">
        <v>0.05</v>
      </c>
    </row>
    <row r="156" ht="24.75" spans="1:6">
      <c r="A156" s="1708" t="s">
        <v>292</v>
      </c>
      <c r="B156" s="1712" t="s">
        <v>1794</v>
      </c>
      <c r="C156" s="1722"/>
      <c r="D156" s="1722"/>
      <c r="E156" s="1722"/>
      <c r="F156" s="1714">
        <v>0.05</v>
      </c>
    </row>
    <row r="157" ht="14.25" spans="1:6">
      <c r="A157" s="1716" t="s">
        <v>292</v>
      </c>
      <c r="B157" s="1723" t="s">
        <v>1796</v>
      </c>
      <c r="C157" s="1719"/>
      <c r="D157" s="1719"/>
      <c r="E157" s="1719"/>
      <c r="F157" s="1724">
        <v>0.05</v>
      </c>
    </row>
    <row r="158" ht="14.25" spans="1:6">
      <c r="A158" s="1708" t="s">
        <v>297</v>
      </c>
      <c r="B158" s="1709" t="s">
        <v>1463</v>
      </c>
      <c r="C158" s="1710">
        <v>0.13</v>
      </c>
      <c r="D158" s="1710">
        <v>0.13</v>
      </c>
      <c r="E158" s="1710">
        <v>0.13</v>
      </c>
      <c r="F158" s="1711">
        <v>0.13</v>
      </c>
    </row>
    <row r="159" ht="14.25" spans="1:6">
      <c r="A159" s="1708" t="s">
        <v>297</v>
      </c>
      <c r="B159" s="1712" t="s">
        <v>1476</v>
      </c>
      <c r="C159" s="1713">
        <v>0.13</v>
      </c>
      <c r="D159" s="1713">
        <v>0.13</v>
      </c>
      <c r="E159" s="1713">
        <v>0.13</v>
      </c>
      <c r="F159" s="1714">
        <v>0.13</v>
      </c>
    </row>
    <row r="160" ht="14.25" spans="1:6">
      <c r="A160" s="1708" t="s">
        <v>297</v>
      </c>
      <c r="B160" s="1712" t="s">
        <v>1489</v>
      </c>
      <c r="C160" s="1713">
        <v>0.13</v>
      </c>
      <c r="D160" s="1713">
        <v>0.13</v>
      </c>
      <c r="E160" s="1713">
        <v>0.129</v>
      </c>
      <c r="F160" s="1714">
        <v>0.13</v>
      </c>
    </row>
    <row r="161" ht="14.25" spans="1:6">
      <c r="A161" s="1708" t="s">
        <v>297</v>
      </c>
      <c r="B161" s="1712" t="s">
        <v>1501</v>
      </c>
      <c r="C161" s="1713">
        <v>0.128</v>
      </c>
      <c r="D161" s="1713">
        <v>0.128</v>
      </c>
      <c r="E161" s="1713">
        <v>0.125</v>
      </c>
      <c r="F161" s="1714">
        <v>0.13</v>
      </c>
    </row>
    <row r="162" ht="14.25" spans="1:6">
      <c r="A162" s="1708" t="s">
        <v>297</v>
      </c>
      <c r="B162" s="1712" t="s">
        <v>1513</v>
      </c>
      <c r="C162" s="1713">
        <v>0.122</v>
      </c>
      <c r="D162" s="1713">
        <v>0.122</v>
      </c>
      <c r="E162" s="1713">
        <v>0.126</v>
      </c>
      <c r="F162" s="1714">
        <v>0.122</v>
      </c>
    </row>
    <row r="163" ht="14.25" spans="1:6">
      <c r="A163" s="1708" t="s">
        <v>297</v>
      </c>
      <c r="B163" s="1712" t="s">
        <v>1524</v>
      </c>
      <c r="C163" s="1713">
        <v>0.13</v>
      </c>
      <c r="D163" s="1713">
        <v>0.13</v>
      </c>
      <c r="E163" s="1713">
        <v>0.125</v>
      </c>
      <c r="F163" s="1714">
        <v>0.13</v>
      </c>
    </row>
    <row r="164" ht="14.25" spans="1:6">
      <c r="A164" s="1708" t="s">
        <v>297</v>
      </c>
      <c r="B164" s="1712" t="s">
        <v>1535</v>
      </c>
      <c r="C164" s="1713">
        <v>0.13</v>
      </c>
      <c r="D164" s="1713">
        <v>0.13</v>
      </c>
      <c r="E164" s="1713">
        <v>0.13</v>
      </c>
      <c r="F164" s="1714">
        <v>0.13</v>
      </c>
    </row>
    <row r="165" ht="14.25" spans="1:6">
      <c r="A165" s="1708" t="s">
        <v>297</v>
      </c>
      <c r="B165" s="1712" t="s">
        <v>1546</v>
      </c>
      <c r="C165" s="1713">
        <v>0.13</v>
      </c>
      <c r="D165" s="1713">
        <v>0.13</v>
      </c>
      <c r="E165" s="1713">
        <v>0.124</v>
      </c>
      <c r="F165" s="1714">
        <v>0.13</v>
      </c>
    </row>
    <row r="166" ht="14.25" spans="1:6">
      <c r="A166" s="1708" t="s">
        <v>297</v>
      </c>
      <c r="B166" s="1712" t="s">
        <v>1556</v>
      </c>
      <c r="C166" s="1713">
        <v>0.13</v>
      </c>
      <c r="D166" s="1713">
        <v>0.13</v>
      </c>
      <c r="E166" s="1713">
        <v>0.13</v>
      </c>
      <c r="F166" s="1714">
        <v>0.13</v>
      </c>
    </row>
    <row r="167" ht="14.25" spans="1:6">
      <c r="A167" s="1708" t="s">
        <v>297</v>
      </c>
      <c r="B167" s="1712" t="s">
        <v>1566</v>
      </c>
      <c r="C167" s="1713">
        <v>0.125</v>
      </c>
      <c r="D167" s="1713">
        <v>0.125</v>
      </c>
      <c r="E167" s="1713">
        <v>0.121</v>
      </c>
      <c r="F167" s="1721"/>
    </row>
    <row r="168" ht="14.25" spans="1:6">
      <c r="A168" s="1708" t="s">
        <v>297</v>
      </c>
      <c r="B168" s="1712" t="s">
        <v>1576</v>
      </c>
      <c r="C168" s="1713">
        <v>0.13</v>
      </c>
      <c r="D168" s="1713">
        <v>0.13</v>
      </c>
      <c r="E168" s="1713">
        <v>0.126</v>
      </c>
      <c r="F168" s="1721"/>
    </row>
    <row r="169" ht="14.25" spans="1:6">
      <c r="A169" s="1708" t="s">
        <v>297</v>
      </c>
      <c r="B169" s="1712" t="s">
        <v>1586</v>
      </c>
      <c r="C169" s="1713">
        <v>0.128</v>
      </c>
      <c r="D169" s="1713">
        <v>0.129</v>
      </c>
      <c r="E169" s="1713">
        <v>0.13</v>
      </c>
      <c r="F169" s="1721"/>
    </row>
    <row r="170" ht="14.25" spans="1:6">
      <c r="A170" s="1708" t="s">
        <v>297</v>
      </c>
      <c r="B170" s="1712" t="s">
        <v>1596</v>
      </c>
      <c r="C170" s="1713">
        <v>0.141</v>
      </c>
      <c r="D170" s="1713">
        <v>0.13</v>
      </c>
      <c r="E170" s="1713">
        <v>0.125</v>
      </c>
      <c r="F170" s="1721"/>
    </row>
    <row r="171" ht="14.25" spans="1:6">
      <c r="A171" s="1708" t="s">
        <v>297</v>
      </c>
      <c r="B171" s="1712" t="s">
        <v>1606</v>
      </c>
      <c r="C171" s="1713">
        <v>0.127</v>
      </c>
      <c r="D171" s="1713">
        <v>0.126</v>
      </c>
      <c r="E171" s="1713">
        <v>0.126</v>
      </c>
      <c r="F171" s="1714">
        <v>0.118</v>
      </c>
    </row>
    <row r="172" ht="14.25" spans="1:6">
      <c r="A172" s="1708" t="s">
        <v>297</v>
      </c>
      <c r="B172" s="1712" t="s">
        <v>1616</v>
      </c>
      <c r="C172" s="1713">
        <v>0.13</v>
      </c>
      <c r="D172" s="1713">
        <v>0.13</v>
      </c>
      <c r="E172" s="1713">
        <v>0.13</v>
      </c>
      <c r="F172" s="1721"/>
    </row>
    <row r="173" ht="14.25" spans="1:6">
      <c r="A173" s="1708" t="s">
        <v>297</v>
      </c>
      <c r="B173" s="1712" t="s">
        <v>1626</v>
      </c>
      <c r="C173" s="1713">
        <v>0.13</v>
      </c>
      <c r="D173" s="1713">
        <v>0.13</v>
      </c>
      <c r="E173" s="1713">
        <v>0.13</v>
      </c>
      <c r="F173" s="1721"/>
    </row>
    <row r="174" ht="14.25" spans="1:6">
      <c r="A174" s="1708" t="s">
        <v>297</v>
      </c>
      <c r="B174" s="1712" t="s">
        <v>1636</v>
      </c>
      <c r="C174" s="1713">
        <v>0.13</v>
      </c>
      <c r="D174" s="1713">
        <v>0.13</v>
      </c>
      <c r="E174" s="1713">
        <v>0.13</v>
      </c>
      <c r="F174" s="1714">
        <v>0.13</v>
      </c>
    </row>
    <row r="175" ht="14.25" spans="1:6">
      <c r="A175" s="1708" t="s">
        <v>297</v>
      </c>
      <c r="B175" s="1712" t="s">
        <v>1646</v>
      </c>
      <c r="C175" s="1713">
        <v>0.13</v>
      </c>
      <c r="D175" s="1713">
        <v>0.13</v>
      </c>
      <c r="E175" s="1713">
        <v>0.13</v>
      </c>
      <c r="F175" s="1714">
        <v>0.13</v>
      </c>
    </row>
    <row r="176" ht="14.25" spans="1:6">
      <c r="A176" s="1708" t="s">
        <v>297</v>
      </c>
      <c r="B176" s="1712" t="s">
        <v>1656</v>
      </c>
      <c r="C176" s="1713">
        <v>0.13</v>
      </c>
      <c r="D176" s="1713">
        <v>0.13</v>
      </c>
      <c r="E176" s="1713">
        <v>0.13</v>
      </c>
      <c r="F176" s="1714">
        <v>0.13</v>
      </c>
    </row>
    <row r="177" ht="14.25" spans="1:6">
      <c r="A177" s="1708" t="s">
        <v>297</v>
      </c>
      <c r="B177" s="1712" t="s">
        <v>1665</v>
      </c>
      <c r="C177" s="1713">
        <v>0.13</v>
      </c>
      <c r="D177" s="1713">
        <v>0.13</v>
      </c>
      <c r="E177" s="1713">
        <v>0.13</v>
      </c>
      <c r="F177" s="1714">
        <v>0.13</v>
      </c>
    </row>
    <row r="178" ht="14.25" spans="1:6">
      <c r="A178" s="1708" t="s">
        <v>297</v>
      </c>
      <c r="B178" s="1712" t="s">
        <v>1673</v>
      </c>
      <c r="C178" s="1713">
        <v>0.13</v>
      </c>
      <c r="D178" s="1713">
        <v>0.13</v>
      </c>
      <c r="E178" s="1713">
        <v>0.13</v>
      </c>
      <c r="F178" s="1714">
        <v>0.127</v>
      </c>
    </row>
    <row r="179" ht="14.25" spans="1:6">
      <c r="A179" s="1708" t="s">
        <v>297</v>
      </c>
      <c r="B179" s="1712" t="s">
        <v>1681</v>
      </c>
      <c r="C179" s="1713">
        <v>0.13</v>
      </c>
      <c r="D179" s="1713">
        <v>0.13</v>
      </c>
      <c r="E179" s="1713">
        <v>0.13</v>
      </c>
      <c r="F179" s="1721"/>
    </row>
    <row r="180" ht="14.25" spans="1:6">
      <c r="A180" s="1708" t="s">
        <v>297</v>
      </c>
      <c r="B180" s="1712" t="s">
        <v>1688</v>
      </c>
      <c r="C180" s="1713">
        <v>0.13</v>
      </c>
      <c r="D180" s="1713">
        <v>0.13</v>
      </c>
      <c r="E180" s="1713">
        <v>0.125</v>
      </c>
      <c r="F180" s="1714">
        <v>0.13</v>
      </c>
    </row>
    <row r="181" ht="14.25" spans="1:6">
      <c r="A181" s="1708" t="s">
        <v>297</v>
      </c>
      <c r="B181" s="1712" t="s">
        <v>1695</v>
      </c>
      <c r="C181" s="1713">
        <v>0.122</v>
      </c>
      <c r="D181" s="1713">
        <v>0.123</v>
      </c>
      <c r="E181" s="1713">
        <v>0.126</v>
      </c>
      <c r="F181" s="1714">
        <v>0.121</v>
      </c>
    </row>
    <row r="182" ht="14.25" spans="1:6">
      <c r="A182" s="1708" t="s">
        <v>297</v>
      </c>
      <c r="B182" s="1712" t="s">
        <v>1702</v>
      </c>
      <c r="C182" s="1713">
        <v>0.125</v>
      </c>
      <c r="D182" s="1713">
        <v>0.125</v>
      </c>
      <c r="E182" s="1713">
        <v>0.117</v>
      </c>
      <c r="F182" s="1714">
        <v>0.13</v>
      </c>
    </row>
    <row r="183" ht="14.25" spans="1:6">
      <c r="A183" s="1708" t="s">
        <v>297</v>
      </c>
      <c r="B183" s="1712" t="s">
        <v>1709</v>
      </c>
      <c r="C183" s="1713">
        <v>0.127</v>
      </c>
      <c r="D183" s="1713">
        <v>0.127</v>
      </c>
      <c r="E183" s="1713">
        <v>0.128</v>
      </c>
      <c r="F183" s="1721"/>
    </row>
    <row r="184" ht="14.25" spans="1:6">
      <c r="A184" s="1708" t="s">
        <v>297</v>
      </c>
      <c r="B184" s="1712" t="s">
        <v>1716</v>
      </c>
      <c r="C184" s="1713">
        <v>0.125</v>
      </c>
      <c r="D184" s="1713">
        <v>0.125</v>
      </c>
      <c r="E184" s="1713">
        <v>0.127</v>
      </c>
      <c r="F184" s="1721"/>
    </row>
    <row r="185" ht="14.25" spans="1:6">
      <c r="A185" s="1708" t="s">
        <v>297</v>
      </c>
      <c r="B185" s="1712" t="s">
        <v>1721</v>
      </c>
      <c r="C185" s="1713">
        <v>0.127</v>
      </c>
      <c r="D185" s="1713">
        <v>0.127</v>
      </c>
      <c r="E185" s="1713">
        <v>0.128</v>
      </c>
      <c r="F185" s="1714">
        <v>0.13</v>
      </c>
    </row>
    <row r="186" ht="24.75" spans="1:6">
      <c r="A186" s="1708" t="s">
        <v>297</v>
      </c>
      <c r="B186" s="1712" t="s">
        <v>1726</v>
      </c>
      <c r="C186" s="1722"/>
      <c r="D186" s="1722"/>
      <c r="E186" s="1722"/>
      <c r="F186" s="1714">
        <v>0.05</v>
      </c>
    </row>
    <row r="187" ht="14.25" spans="1:6">
      <c r="A187" s="1708" t="s">
        <v>297</v>
      </c>
      <c r="B187" s="1712" t="s">
        <v>1731</v>
      </c>
      <c r="C187" s="1722"/>
      <c r="D187" s="1722"/>
      <c r="E187" s="1722"/>
      <c r="F187" s="1714">
        <v>0.05</v>
      </c>
    </row>
    <row r="188" ht="14.25" spans="1:6">
      <c r="A188" s="1708" t="s">
        <v>297</v>
      </c>
      <c r="B188" s="1712" t="s">
        <v>1736</v>
      </c>
      <c r="C188" s="1722"/>
      <c r="D188" s="1722"/>
      <c r="E188" s="1722"/>
      <c r="F188" s="1714">
        <v>0.05</v>
      </c>
    </row>
    <row r="189" ht="24.75" spans="1:6">
      <c r="A189" s="1708" t="s">
        <v>297</v>
      </c>
      <c r="B189" s="1712" t="s">
        <v>1741</v>
      </c>
      <c r="C189" s="1722"/>
      <c r="D189" s="1722"/>
      <c r="E189" s="1722"/>
      <c r="F189" s="1714">
        <v>0.05</v>
      </c>
    </row>
    <row r="190" ht="24.75" spans="1:6">
      <c r="A190" s="1708" t="s">
        <v>297</v>
      </c>
      <c r="B190" s="1712" t="s">
        <v>1746</v>
      </c>
      <c r="C190" s="1722"/>
      <c r="D190" s="1722"/>
      <c r="E190" s="1722"/>
      <c r="F190" s="1714">
        <v>0.05</v>
      </c>
    </row>
    <row r="191" ht="24.75" spans="1:6">
      <c r="A191" s="1708" t="s">
        <v>297</v>
      </c>
      <c r="B191" s="1712" t="s">
        <v>1751</v>
      </c>
      <c r="C191" s="1722"/>
      <c r="D191" s="1722"/>
      <c r="E191" s="1722"/>
      <c r="F191" s="1714">
        <v>0.05</v>
      </c>
    </row>
    <row r="192" ht="24.75" spans="1:6">
      <c r="A192" s="1708" t="s">
        <v>297</v>
      </c>
      <c r="B192" s="1712" t="s">
        <v>1755</v>
      </c>
      <c r="C192" s="1722"/>
      <c r="D192" s="1722"/>
      <c r="E192" s="1722"/>
      <c r="F192" s="1714">
        <v>0.05</v>
      </c>
    </row>
    <row r="193" ht="24.75" spans="1:6">
      <c r="A193" s="1708" t="s">
        <v>297</v>
      </c>
      <c r="B193" s="1712" t="s">
        <v>1759</v>
      </c>
      <c r="C193" s="1722"/>
      <c r="D193" s="1722"/>
      <c r="E193" s="1722"/>
      <c r="F193" s="1714">
        <v>0.05</v>
      </c>
    </row>
    <row r="194" ht="24.75" spans="1:6">
      <c r="A194" s="1708" t="s">
        <v>297</v>
      </c>
      <c r="B194" s="1712" t="s">
        <v>1763</v>
      </c>
      <c r="C194" s="1722"/>
      <c r="D194" s="1722"/>
      <c r="E194" s="1722"/>
      <c r="F194" s="1714">
        <v>0.05</v>
      </c>
    </row>
    <row r="195" ht="14.25" spans="1:6">
      <c r="A195" s="1708" t="s">
        <v>297</v>
      </c>
      <c r="B195" s="1712" t="s">
        <v>1767</v>
      </c>
      <c r="C195" s="1722"/>
      <c r="D195" s="1722"/>
      <c r="E195" s="1722"/>
      <c r="F195" s="1714">
        <v>0.05</v>
      </c>
    </row>
    <row r="196" ht="24.75" spans="1:6">
      <c r="A196" s="1708" t="s">
        <v>297</v>
      </c>
      <c r="B196" s="1712" t="s">
        <v>1771</v>
      </c>
      <c r="C196" s="1722"/>
      <c r="D196" s="1722"/>
      <c r="E196" s="1722"/>
      <c r="F196" s="1714">
        <v>0.05</v>
      </c>
    </row>
    <row r="197" ht="24.75" spans="1:6">
      <c r="A197" s="1708" t="s">
        <v>297</v>
      </c>
      <c r="B197" s="1712" t="s">
        <v>1775</v>
      </c>
      <c r="C197" s="1722"/>
      <c r="D197" s="1722"/>
      <c r="E197" s="1722"/>
      <c r="F197" s="1714">
        <v>0.05</v>
      </c>
    </row>
    <row r="198" ht="24.75" spans="1:6">
      <c r="A198" s="1708" t="s">
        <v>297</v>
      </c>
      <c r="B198" s="1712" t="s">
        <v>1778</v>
      </c>
      <c r="C198" s="1722"/>
      <c r="D198" s="1722"/>
      <c r="E198" s="1722"/>
      <c r="F198" s="1714">
        <v>0.05</v>
      </c>
    </row>
    <row r="199" ht="24.75" spans="1:6">
      <c r="A199" s="1708" t="s">
        <v>297</v>
      </c>
      <c r="B199" s="1712" t="s">
        <v>1781</v>
      </c>
      <c r="C199" s="1722"/>
      <c r="D199" s="1722"/>
      <c r="E199" s="1722"/>
      <c r="F199" s="1714">
        <v>0.05</v>
      </c>
    </row>
    <row r="200" ht="24.75" spans="1:6">
      <c r="A200" s="1708" t="s">
        <v>297</v>
      </c>
      <c r="B200" s="1712" t="s">
        <v>1784</v>
      </c>
      <c r="C200" s="1722"/>
      <c r="D200" s="1722"/>
      <c r="E200" s="1722"/>
      <c r="F200" s="1714">
        <v>0.05</v>
      </c>
    </row>
    <row r="201" ht="24.75" spans="1:6">
      <c r="A201" s="1708" t="s">
        <v>297</v>
      </c>
      <c r="B201" s="1712" t="s">
        <v>1787</v>
      </c>
      <c r="C201" s="1722"/>
      <c r="D201" s="1722"/>
      <c r="E201" s="1722"/>
      <c r="F201" s="1714">
        <v>0.05</v>
      </c>
    </row>
    <row r="202" ht="24.75" spans="1:6">
      <c r="A202" s="1708" t="s">
        <v>297</v>
      </c>
      <c r="B202" s="1712" t="s">
        <v>1790</v>
      </c>
      <c r="C202" s="1722"/>
      <c r="D202" s="1722"/>
      <c r="E202" s="1722"/>
      <c r="F202" s="1714">
        <v>0.05</v>
      </c>
    </row>
    <row r="203" ht="24.75" spans="1:6">
      <c r="A203" s="1708" t="s">
        <v>297</v>
      </c>
      <c r="B203" s="1712" t="s">
        <v>1793</v>
      </c>
      <c r="C203" s="1722"/>
      <c r="D203" s="1722"/>
      <c r="E203" s="1722"/>
      <c r="F203" s="1714">
        <v>0.05</v>
      </c>
    </row>
    <row r="204" ht="14.25" spans="1:6">
      <c r="A204" s="1708" t="s">
        <v>297</v>
      </c>
      <c r="B204" s="1712" t="s">
        <v>1795</v>
      </c>
      <c r="C204" s="1722"/>
      <c r="D204" s="1722"/>
      <c r="E204" s="1722"/>
      <c r="F204" s="1714">
        <v>0.05</v>
      </c>
    </row>
    <row r="205" ht="14.25" spans="1:6">
      <c r="A205" s="1716" t="s">
        <v>297</v>
      </c>
      <c r="B205" s="1723" t="s">
        <v>1797</v>
      </c>
      <c r="C205" s="1719"/>
      <c r="D205" s="1719"/>
      <c r="E205" s="1719"/>
      <c r="F205" s="1724">
        <v>0.05</v>
      </c>
    </row>
    <row r="206" ht="14.25" spans="1:6">
      <c r="A206" s="1708" t="s">
        <v>302</v>
      </c>
      <c r="B206" s="1709" t="s">
        <v>1464</v>
      </c>
      <c r="C206" s="1710">
        <v>0.15</v>
      </c>
      <c r="D206" s="1710">
        <v>0.15</v>
      </c>
      <c r="E206" s="1710">
        <v>0.15</v>
      </c>
      <c r="F206" s="1711">
        <v>0.15</v>
      </c>
    </row>
    <row r="207" ht="14.25" spans="1:6">
      <c r="A207" s="1708" t="s">
        <v>302</v>
      </c>
      <c r="B207" s="1712" t="s">
        <v>1477</v>
      </c>
      <c r="C207" s="1713">
        <v>0.15</v>
      </c>
      <c r="D207" s="1713">
        <v>0.15</v>
      </c>
      <c r="E207" s="1713">
        <v>0.15</v>
      </c>
      <c r="F207" s="1714">
        <v>0.144</v>
      </c>
    </row>
    <row r="208" ht="14.25" spans="1:6">
      <c r="A208" s="1708" t="s">
        <v>302</v>
      </c>
      <c r="B208" s="1712" t="s">
        <v>1490</v>
      </c>
      <c r="C208" s="1713">
        <v>0.15</v>
      </c>
      <c r="D208" s="1713">
        <v>0.15</v>
      </c>
      <c r="E208" s="1713">
        <v>0.15</v>
      </c>
      <c r="F208" s="1714">
        <v>0.15</v>
      </c>
    </row>
    <row r="209" ht="14.25" spans="1:6">
      <c r="A209" s="1708" t="s">
        <v>302</v>
      </c>
      <c r="B209" s="1712" t="s">
        <v>1502</v>
      </c>
      <c r="C209" s="1713">
        <v>0.137</v>
      </c>
      <c r="D209" s="1713">
        <v>0.137</v>
      </c>
      <c r="E209" s="1713">
        <v>0.14</v>
      </c>
      <c r="F209" s="1714">
        <v>0.117</v>
      </c>
    </row>
    <row r="210" ht="14.25" spans="1:6">
      <c r="A210" s="1708" t="s">
        <v>302</v>
      </c>
      <c r="B210" s="1712" t="s">
        <v>1514</v>
      </c>
      <c r="C210" s="1713">
        <v>0.15</v>
      </c>
      <c r="D210" s="1713">
        <v>0.15</v>
      </c>
      <c r="E210" s="1713">
        <v>0.15</v>
      </c>
      <c r="F210" s="1714">
        <v>0.138</v>
      </c>
    </row>
    <row r="211" ht="14.25" spans="1:6">
      <c r="A211" s="1708" t="s">
        <v>302</v>
      </c>
      <c r="B211" s="1712" t="s">
        <v>1525</v>
      </c>
      <c r="C211" s="1713">
        <v>0.137</v>
      </c>
      <c r="D211" s="1713">
        <v>0.135</v>
      </c>
      <c r="E211" s="1713">
        <v>0.136</v>
      </c>
      <c r="F211" s="1714">
        <v>0.1</v>
      </c>
    </row>
    <row r="212" ht="14.25" spans="1:6">
      <c r="A212" s="1708" t="s">
        <v>302</v>
      </c>
      <c r="B212" s="1712" t="s">
        <v>1536</v>
      </c>
      <c r="C212" s="1713">
        <v>0.15</v>
      </c>
      <c r="D212" s="1713">
        <v>0.15</v>
      </c>
      <c r="E212" s="1713">
        <v>0.148</v>
      </c>
      <c r="F212" s="1714">
        <v>0.136</v>
      </c>
    </row>
    <row r="213" ht="14.25" spans="1:6">
      <c r="A213" s="1708" t="s">
        <v>302</v>
      </c>
      <c r="B213" s="1712" t="s">
        <v>1547</v>
      </c>
      <c r="C213" s="1713">
        <v>0.15</v>
      </c>
      <c r="D213" s="1713">
        <v>0.15</v>
      </c>
      <c r="E213" s="1713">
        <v>0.15</v>
      </c>
      <c r="F213" s="1714">
        <v>0.138</v>
      </c>
    </row>
    <row r="214" ht="14.25" spans="1:6">
      <c r="A214" s="1708" t="s">
        <v>302</v>
      </c>
      <c r="B214" s="1712" t="s">
        <v>1557</v>
      </c>
      <c r="C214" s="1713">
        <v>0.091</v>
      </c>
      <c r="D214" s="1713">
        <v>0.09</v>
      </c>
      <c r="E214" s="1713">
        <v>0.092</v>
      </c>
      <c r="F214" s="1721"/>
    </row>
    <row r="215" ht="14.25" spans="1:6">
      <c r="A215" s="1708" t="s">
        <v>302</v>
      </c>
      <c r="B215" s="1712" t="s">
        <v>1567</v>
      </c>
      <c r="C215" s="1713">
        <v>0.15</v>
      </c>
      <c r="D215" s="1713">
        <v>0.15</v>
      </c>
      <c r="E215" s="1713">
        <v>0.15</v>
      </c>
      <c r="F215" s="1714">
        <v>0.15</v>
      </c>
    </row>
    <row r="216" ht="14.25" spans="1:6">
      <c r="A216" s="1708" t="s">
        <v>302</v>
      </c>
      <c r="B216" s="1712" t="s">
        <v>1577</v>
      </c>
      <c r="C216" s="1713">
        <v>0.147</v>
      </c>
      <c r="D216" s="1713">
        <v>0.147</v>
      </c>
      <c r="E216" s="1713">
        <v>0.15</v>
      </c>
      <c r="F216" s="1714">
        <v>0.14</v>
      </c>
    </row>
    <row r="217" ht="14.25" spans="1:6">
      <c r="A217" s="1708" t="s">
        <v>302</v>
      </c>
      <c r="B217" s="1712" t="s">
        <v>1587</v>
      </c>
      <c r="C217" s="1713">
        <v>0.15</v>
      </c>
      <c r="D217" s="1713">
        <v>0.15</v>
      </c>
      <c r="E217" s="1713">
        <v>0.15</v>
      </c>
      <c r="F217" s="1714">
        <v>0.15</v>
      </c>
    </row>
    <row r="218" ht="14.25" spans="1:6">
      <c r="A218" s="1708" t="s">
        <v>302</v>
      </c>
      <c r="B218" s="1712" t="s">
        <v>1597</v>
      </c>
      <c r="C218" s="1713">
        <v>0.15</v>
      </c>
      <c r="D218" s="1713">
        <v>0.15</v>
      </c>
      <c r="E218" s="1713">
        <v>0.15</v>
      </c>
      <c r="F218" s="1714">
        <v>0.15</v>
      </c>
    </row>
    <row r="219" ht="14.25" spans="1:6">
      <c r="A219" s="1708" t="s">
        <v>302</v>
      </c>
      <c r="B219" s="1712" t="s">
        <v>1607</v>
      </c>
      <c r="C219" s="1713">
        <v>0.15</v>
      </c>
      <c r="D219" s="1713">
        <v>0.15</v>
      </c>
      <c r="E219" s="1713">
        <v>0.15</v>
      </c>
      <c r="F219" s="1714">
        <v>0.148</v>
      </c>
    </row>
    <row r="220" ht="14.25" spans="1:6">
      <c r="A220" s="1708" t="s">
        <v>302</v>
      </c>
      <c r="B220" s="1712" t="s">
        <v>1617</v>
      </c>
      <c r="C220" s="1713">
        <v>0.15</v>
      </c>
      <c r="D220" s="1713">
        <v>0.15</v>
      </c>
      <c r="E220" s="1713">
        <v>0.15</v>
      </c>
      <c r="F220" s="1714">
        <v>0.15</v>
      </c>
    </row>
    <row r="221" ht="14.25" spans="1:6">
      <c r="A221" s="1708" t="s">
        <v>302</v>
      </c>
      <c r="B221" s="1712" t="s">
        <v>1627</v>
      </c>
      <c r="C221" s="1713"/>
      <c r="D221" s="1722"/>
      <c r="E221" s="1722"/>
      <c r="F221" s="1714">
        <v>0.148</v>
      </c>
    </row>
    <row r="222" ht="14.25" spans="1:6">
      <c r="A222" s="1708" t="s">
        <v>302</v>
      </c>
      <c r="B222" s="1712" t="s">
        <v>1637</v>
      </c>
      <c r="C222" s="1713"/>
      <c r="D222" s="1722"/>
      <c r="E222" s="1722"/>
      <c r="F222" s="1714">
        <v>0.1</v>
      </c>
    </row>
    <row r="223" ht="14.25" spans="1:6">
      <c r="A223" s="1708" t="s">
        <v>302</v>
      </c>
      <c r="B223" s="1712" t="s">
        <v>1647</v>
      </c>
      <c r="C223" s="1713"/>
      <c r="D223" s="1722"/>
      <c r="E223" s="1722"/>
      <c r="F223" s="1714">
        <v>0.15</v>
      </c>
    </row>
    <row r="224" ht="14.25" spans="1:6">
      <c r="A224" s="1708" t="s">
        <v>302</v>
      </c>
      <c r="B224" s="1712" t="s">
        <v>1657</v>
      </c>
      <c r="C224" s="1713"/>
      <c r="D224" s="1722"/>
      <c r="E224" s="1722"/>
      <c r="F224" s="1714">
        <v>0.15</v>
      </c>
    </row>
    <row r="225" ht="14.25" spans="1:6">
      <c r="A225" s="1708" t="s">
        <v>302</v>
      </c>
      <c r="B225" s="1712" t="s">
        <v>1666</v>
      </c>
      <c r="C225" s="1713">
        <v>0.15</v>
      </c>
      <c r="D225" s="1713">
        <v>0.15</v>
      </c>
      <c r="E225" s="1713">
        <v>0.15</v>
      </c>
      <c r="F225" s="1714">
        <v>0.15</v>
      </c>
    </row>
    <row r="226" ht="14.25" spans="1:6">
      <c r="A226" s="1708" t="s">
        <v>302</v>
      </c>
      <c r="B226" s="1712" t="s">
        <v>1674</v>
      </c>
      <c r="C226" s="1713">
        <v>0.15</v>
      </c>
      <c r="D226" s="1713">
        <v>0.15</v>
      </c>
      <c r="E226" s="1713">
        <v>0.15</v>
      </c>
      <c r="F226" s="1714">
        <v>0.148</v>
      </c>
    </row>
    <row r="227" ht="14.25" spans="1:6">
      <c r="A227" s="1708" t="s">
        <v>302</v>
      </c>
      <c r="B227" s="1712" t="s">
        <v>1682</v>
      </c>
      <c r="C227" s="1713">
        <v>0.15</v>
      </c>
      <c r="D227" s="1713">
        <v>0.15</v>
      </c>
      <c r="E227" s="1713">
        <v>0.15</v>
      </c>
      <c r="F227" s="1714">
        <v>0.15</v>
      </c>
    </row>
    <row r="228" ht="14.25" spans="1:6">
      <c r="A228" s="1708" t="s">
        <v>302</v>
      </c>
      <c r="B228" s="1712" t="s">
        <v>1689</v>
      </c>
      <c r="C228" s="1713">
        <v>0.15</v>
      </c>
      <c r="D228" s="1713">
        <v>0.15</v>
      </c>
      <c r="E228" s="1713">
        <v>0.15</v>
      </c>
      <c r="F228" s="1714">
        <v>0.15</v>
      </c>
    </row>
    <row r="229" ht="14.25" spans="1:6">
      <c r="A229" s="1708" t="s">
        <v>302</v>
      </c>
      <c r="B229" s="1712" t="s">
        <v>1696</v>
      </c>
      <c r="C229" s="1713">
        <v>0.15</v>
      </c>
      <c r="D229" s="1713">
        <v>0.15</v>
      </c>
      <c r="E229" s="1713">
        <v>0.15</v>
      </c>
      <c r="F229" s="1721"/>
    </row>
    <row r="230" ht="14.25" spans="1:6">
      <c r="A230" s="1708" t="s">
        <v>302</v>
      </c>
      <c r="B230" s="1712" t="s">
        <v>1703</v>
      </c>
      <c r="C230" s="1713">
        <v>0.145</v>
      </c>
      <c r="D230" s="1713">
        <v>0.145</v>
      </c>
      <c r="E230" s="1713">
        <v>0.144</v>
      </c>
      <c r="F230" s="1721"/>
    </row>
    <row r="231" ht="14.25" spans="1:6">
      <c r="A231" s="1708" t="s">
        <v>302</v>
      </c>
      <c r="B231" s="1712" t="s">
        <v>1710</v>
      </c>
      <c r="C231" s="1713">
        <v>0.128</v>
      </c>
      <c r="D231" s="1713">
        <v>0.125</v>
      </c>
      <c r="E231" s="1713">
        <v>0.132</v>
      </c>
      <c r="F231" s="1721"/>
    </row>
    <row r="232" ht="14.25" spans="1:6">
      <c r="A232" s="1708" t="s">
        <v>302</v>
      </c>
      <c r="B232" s="1712" t="s">
        <v>1717</v>
      </c>
      <c r="C232" s="1713">
        <v>0.145</v>
      </c>
      <c r="D232" s="1713">
        <v>0.144</v>
      </c>
      <c r="E232" s="1713">
        <v>0.146</v>
      </c>
      <c r="F232" s="1714">
        <v>0.138</v>
      </c>
    </row>
    <row r="233" ht="14.25" spans="1:6">
      <c r="A233" s="1708" t="s">
        <v>302</v>
      </c>
      <c r="B233" s="1712" t="s">
        <v>1722</v>
      </c>
      <c r="C233" s="1713">
        <v>0.145</v>
      </c>
      <c r="D233" s="1713">
        <v>0.143</v>
      </c>
      <c r="E233" s="1713">
        <v>0.142</v>
      </c>
      <c r="F233" s="1721"/>
    </row>
    <row r="234" ht="14.25" spans="1:6">
      <c r="A234" s="1708" t="s">
        <v>302</v>
      </c>
      <c r="B234" s="1712" t="s">
        <v>1804</v>
      </c>
      <c r="C234" s="1713">
        <v>0.14</v>
      </c>
      <c r="D234" s="1713">
        <v>0.14</v>
      </c>
      <c r="E234" s="1713">
        <v>0.144</v>
      </c>
      <c r="F234" s="1721"/>
    </row>
    <row r="235" ht="14.25" spans="1:6">
      <c r="A235" s="1708" t="s">
        <v>302</v>
      </c>
      <c r="B235" s="1712" t="s">
        <v>1732</v>
      </c>
      <c r="C235" s="1713">
        <v>0.141</v>
      </c>
      <c r="D235" s="1713">
        <v>0.142</v>
      </c>
      <c r="E235" s="1713">
        <v>0.145</v>
      </c>
      <c r="F235" s="1714">
        <v>0.15</v>
      </c>
    </row>
    <row r="236" ht="14.25" spans="1:6">
      <c r="A236" s="1708" t="s">
        <v>302</v>
      </c>
      <c r="B236" s="1712" t="s">
        <v>1737</v>
      </c>
      <c r="C236" s="1722"/>
      <c r="D236" s="1722"/>
      <c r="E236" s="1722"/>
      <c r="F236" s="1714">
        <v>0.143</v>
      </c>
    </row>
    <row r="237" ht="24.75" spans="1:6">
      <c r="A237" s="1708" t="s">
        <v>302</v>
      </c>
      <c r="B237" s="1712" t="s">
        <v>1742</v>
      </c>
      <c r="C237" s="1722"/>
      <c r="D237" s="1722"/>
      <c r="E237" s="1722"/>
      <c r="F237" s="1714">
        <v>0.05</v>
      </c>
    </row>
    <row r="238" ht="24.75" spans="1:6">
      <c r="A238" s="1708" t="s">
        <v>302</v>
      </c>
      <c r="B238" s="1712" t="s">
        <v>1747</v>
      </c>
      <c r="C238" s="1722"/>
      <c r="D238" s="1722"/>
      <c r="E238" s="1722"/>
      <c r="F238" s="1714">
        <v>0.05</v>
      </c>
    </row>
    <row r="239" ht="24.75" spans="1:6">
      <c r="A239" s="1708" t="s">
        <v>302</v>
      </c>
      <c r="B239" s="1712" t="s">
        <v>1752</v>
      </c>
      <c r="C239" s="1722"/>
      <c r="D239" s="1722"/>
      <c r="E239" s="1722"/>
      <c r="F239" s="1714">
        <v>0.05</v>
      </c>
    </row>
    <row r="240" ht="24.75" spans="1:6">
      <c r="A240" s="1708" t="s">
        <v>302</v>
      </c>
      <c r="B240" s="1712" t="s">
        <v>1756</v>
      </c>
      <c r="C240" s="1722"/>
      <c r="D240" s="1722"/>
      <c r="E240" s="1722"/>
      <c r="F240" s="1714">
        <v>0.05</v>
      </c>
    </row>
    <row r="241" ht="24.75" spans="1:6">
      <c r="A241" s="1708" t="s">
        <v>302</v>
      </c>
      <c r="B241" s="1712" t="s">
        <v>1760</v>
      </c>
      <c r="C241" s="1722"/>
      <c r="D241" s="1722"/>
      <c r="E241" s="1722"/>
      <c r="F241" s="1714">
        <v>0.05</v>
      </c>
    </row>
    <row r="242" ht="24.75" spans="1:6">
      <c r="A242" s="1708" t="s">
        <v>302</v>
      </c>
      <c r="B242" s="1712" t="s">
        <v>1764</v>
      </c>
      <c r="C242" s="1722"/>
      <c r="D242" s="1722"/>
      <c r="E242" s="1722"/>
      <c r="F242" s="1714">
        <v>0.05</v>
      </c>
    </row>
    <row r="243" ht="24.75" spans="1:6">
      <c r="A243" s="1708" t="s">
        <v>302</v>
      </c>
      <c r="B243" s="1712" t="s">
        <v>1768</v>
      </c>
      <c r="C243" s="1722"/>
      <c r="D243" s="1722"/>
      <c r="E243" s="1722"/>
      <c r="F243" s="1714">
        <v>0.05</v>
      </c>
    </row>
    <row r="244" ht="24.75" spans="1:6">
      <c r="A244" s="1716" t="s">
        <v>302</v>
      </c>
      <c r="B244" s="1723" t="s">
        <v>1772</v>
      </c>
      <c r="C244" s="1719"/>
      <c r="D244" s="1719"/>
      <c r="E244" s="1719"/>
      <c r="F244" s="1724">
        <v>0.05</v>
      </c>
    </row>
    <row r="245" ht="14.25" spans="1:6">
      <c r="A245" s="1708" t="s">
        <v>305</v>
      </c>
      <c r="B245" s="1709" t="s">
        <v>1465</v>
      </c>
      <c r="C245" s="1710">
        <v>0.15</v>
      </c>
      <c r="D245" s="1710">
        <v>0.15</v>
      </c>
      <c r="E245" s="1710">
        <v>0.15</v>
      </c>
      <c r="F245" s="1711">
        <v>0.143</v>
      </c>
    </row>
    <row r="246" ht="14.25" spans="1:6">
      <c r="A246" s="1708" t="s">
        <v>305</v>
      </c>
      <c r="B246" s="1712" t="s">
        <v>1478</v>
      </c>
      <c r="C246" s="1713">
        <v>0.15</v>
      </c>
      <c r="D246" s="1713">
        <v>0.15</v>
      </c>
      <c r="E246" s="1713">
        <v>0.15</v>
      </c>
      <c r="F246" s="1714">
        <v>0.114</v>
      </c>
    </row>
    <row r="247" ht="14.25" spans="1:6">
      <c r="A247" s="1708" t="s">
        <v>305</v>
      </c>
      <c r="B247" s="1712" t="s">
        <v>1491</v>
      </c>
      <c r="C247" s="1713">
        <v>0.15</v>
      </c>
      <c r="D247" s="1713">
        <v>0.15</v>
      </c>
      <c r="E247" s="1713">
        <v>0.15</v>
      </c>
      <c r="F247" s="1714">
        <v>0.15</v>
      </c>
    </row>
    <row r="248" ht="14.25" spans="1:6">
      <c r="A248" s="1708" t="s">
        <v>305</v>
      </c>
      <c r="B248" s="1712" t="s">
        <v>1503</v>
      </c>
      <c r="C248" s="1713">
        <v>0.15</v>
      </c>
      <c r="D248" s="1713">
        <v>0.15</v>
      </c>
      <c r="E248" s="1713">
        <v>0.15</v>
      </c>
      <c r="F248" s="1714">
        <v>0.14</v>
      </c>
    </row>
    <row r="249" ht="14.25" spans="1:6">
      <c r="A249" s="1708" t="s">
        <v>305</v>
      </c>
      <c r="B249" s="1712" t="s">
        <v>1515</v>
      </c>
      <c r="C249" s="1713">
        <v>0.15</v>
      </c>
      <c r="D249" s="1713">
        <v>0.149</v>
      </c>
      <c r="E249" s="1713">
        <v>0.15</v>
      </c>
      <c r="F249" s="1714">
        <v>0.1</v>
      </c>
    </row>
    <row r="250" ht="14.25" spans="1:6">
      <c r="A250" s="1708" t="s">
        <v>305</v>
      </c>
      <c r="B250" s="1712" t="s">
        <v>1526</v>
      </c>
      <c r="C250" s="1713">
        <v>0.15</v>
      </c>
      <c r="D250" s="1713">
        <v>0.15</v>
      </c>
      <c r="E250" s="1713">
        <v>0.15</v>
      </c>
      <c r="F250" s="1714">
        <v>0.144</v>
      </c>
    </row>
    <row r="251" ht="14.25" spans="1:6">
      <c r="A251" s="1708" t="s">
        <v>305</v>
      </c>
      <c r="B251" s="1712" t="s">
        <v>1537</v>
      </c>
      <c r="C251" s="1713">
        <v>0.15</v>
      </c>
      <c r="D251" s="1713">
        <v>0.15</v>
      </c>
      <c r="E251" s="1713">
        <v>0.15</v>
      </c>
      <c r="F251" s="1714">
        <v>0.143</v>
      </c>
    </row>
    <row r="252" ht="14.25" spans="1:6">
      <c r="A252" s="1708" t="s">
        <v>305</v>
      </c>
      <c r="B252" s="1712" t="s">
        <v>1548</v>
      </c>
      <c r="C252" s="1713">
        <v>0.15</v>
      </c>
      <c r="D252" s="1713">
        <v>0.15</v>
      </c>
      <c r="E252" s="1713">
        <v>0.15</v>
      </c>
      <c r="F252" s="1714">
        <v>0.1</v>
      </c>
    </row>
    <row r="253" ht="14.25" spans="1:6">
      <c r="A253" s="1708" t="s">
        <v>305</v>
      </c>
      <c r="B253" s="1712" t="s">
        <v>1558</v>
      </c>
      <c r="C253" s="1713">
        <v>0.15</v>
      </c>
      <c r="D253" s="1713">
        <v>0.15</v>
      </c>
      <c r="E253" s="1713">
        <v>0.15</v>
      </c>
      <c r="F253" s="1714">
        <v>0.1</v>
      </c>
    </row>
    <row r="254" ht="14.25" spans="1:6">
      <c r="A254" s="1708" t="s">
        <v>305</v>
      </c>
      <c r="B254" s="1712" t="s">
        <v>1568</v>
      </c>
      <c r="C254" s="1722"/>
      <c r="D254" s="1722"/>
      <c r="E254" s="1722"/>
      <c r="F254" s="1714">
        <v>0.15</v>
      </c>
    </row>
    <row r="255" ht="14.25" spans="1:6">
      <c r="A255" s="1708" t="s">
        <v>305</v>
      </c>
      <c r="B255" s="1712" t="s">
        <v>1578</v>
      </c>
      <c r="C255" s="1722"/>
      <c r="D255" s="1722"/>
      <c r="E255" s="1722"/>
      <c r="F255" s="1714">
        <v>0.143</v>
      </c>
    </row>
    <row r="256" ht="14.25" spans="1:6">
      <c r="A256" s="1708" t="s">
        <v>305</v>
      </c>
      <c r="B256" s="1712" t="s">
        <v>1588</v>
      </c>
      <c r="C256" s="1713">
        <v>0.146</v>
      </c>
      <c r="D256" s="1713">
        <v>0.147</v>
      </c>
      <c r="E256" s="1713">
        <v>0.15</v>
      </c>
      <c r="F256" s="1714">
        <v>0.132</v>
      </c>
    </row>
    <row r="257" ht="14.25" spans="1:6">
      <c r="A257" s="1708" t="s">
        <v>305</v>
      </c>
      <c r="B257" s="1712" t="s">
        <v>1598</v>
      </c>
      <c r="C257" s="1713">
        <v>0.15</v>
      </c>
      <c r="D257" s="1713">
        <v>0.15</v>
      </c>
      <c r="E257" s="1713">
        <v>0.15</v>
      </c>
      <c r="F257" s="1714">
        <v>0.139</v>
      </c>
    </row>
    <row r="258" ht="14.25" spans="1:6">
      <c r="A258" s="1708" t="s">
        <v>305</v>
      </c>
      <c r="B258" s="1712" t="s">
        <v>1608</v>
      </c>
      <c r="C258" s="1713">
        <v>0.15</v>
      </c>
      <c r="D258" s="1713">
        <v>0.15</v>
      </c>
      <c r="E258" s="1713">
        <v>0.15</v>
      </c>
      <c r="F258" s="1714">
        <v>0.13</v>
      </c>
    </row>
    <row r="259" ht="14.25" spans="1:6">
      <c r="A259" s="1708" t="s">
        <v>305</v>
      </c>
      <c r="B259" s="1712" t="s">
        <v>1618</v>
      </c>
      <c r="C259" s="1713">
        <v>0.148</v>
      </c>
      <c r="D259" s="1713">
        <v>0.149</v>
      </c>
      <c r="E259" s="1713">
        <v>0.15</v>
      </c>
      <c r="F259" s="1714">
        <v>0.137</v>
      </c>
    </row>
    <row r="260" ht="14.25" spans="1:6">
      <c r="A260" s="1708" t="s">
        <v>305</v>
      </c>
      <c r="B260" s="1712" t="s">
        <v>1628</v>
      </c>
      <c r="C260" s="1713">
        <v>0.15</v>
      </c>
      <c r="D260" s="1713">
        <v>0.15</v>
      </c>
      <c r="E260" s="1713">
        <v>0.15</v>
      </c>
      <c r="F260" s="1714">
        <v>0.142</v>
      </c>
    </row>
    <row r="261" ht="14.25" spans="1:6">
      <c r="A261" s="1708" t="s">
        <v>305</v>
      </c>
      <c r="B261" s="1712" t="s">
        <v>1638</v>
      </c>
      <c r="C261" s="1713">
        <v>0.15</v>
      </c>
      <c r="D261" s="1713">
        <v>0.15</v>
      </c>
      <c r="E261" s="1713">
        <v>0.149</v>
      </c>
      <c r="F261" s="1714">
        <v>0.148</v>
      </c>
    </row>
    <row r="262" ht="14.25" spans="1:6">
      <c r="A262" s="1708" t="s">
        <v>305</v>
      </c>
      <c r="B262" s="1712" t="s">
        <v>1648</v>
      </c>
      <c r="C262" s="1713">
        <v>0.15</v>
      </c>
      <c r="D262" s="1713">
        <v>0.15</v>
      </c>
      <c r="E262" s="1713">
        <v>0.15</v>
      </c>
      <c r="F262" s="1721"/>
    </row>
    <row r="263" ht="14.25" spans="1:6">
      <c r="A263" s="1708" t="s">
        <v>305</v>
      </c>
      <c r="B263" s="1712" t="s">
        <v>1658</v>
      </c>
      <c r="C263" s="1713">
        <v>0.149</v>
      </c>
      <c r="D263" s="1713">
        <v>0.149</v>
      </c>
      <c r="E263" s="1713">
        <v>0.15</v>
      </c>
      <c r="F263" s="1714">
        <v>0.13</v>
      </c>
    </row>
    <row r="264" ht="14.25" spans="1:6">
      <c r="A264" s="1708" t="s">
        <v>305</v>
      </c>
      <c r="B264" s="1712" t="s">
        <v>1667</v>
      </c>
      <c r="C264" s="1713">
        <v>0.148</v>
      </c>
      <c r="D264" s="1713">
        <v>0.147</v>
      </c>
      <c r="E264" s="1713">
        <v>0.15</v>
      </c>
      <c r="F264" s="1714">
        <v>0.078</v>
      </c>
    </row>
    <row r="265" ht="14.25" spans="1:6">
      <c r="A265" s="1708" t="s">
        <v>305</v>
      </c>
      <c r="B265" s="1712" t="s">
        <v>1675</v>
      </c>
      <c r="C265" s="1713">
        <v>0.15</v>
      </c>
      <c r="D265" s="1713">
        <v>0.15</v>
      </c>
      <c r="E265" s="1713">
        <v>0.15</v>
      </c>
      <c r="F265" s="1714">
        <v>0.074</v>
      </c>
    </row>
    <row r="266" ht="14.25" spans="1:6">
      <c r="A266" s="1708" t="s">
        <v>305</v>
      </c>
      <c r="B266" s="1712" t="s">
        <v>1683</v>
      </c>
      <c r="C266" s="1713">
        <v>0.147</v>
      </c>
      <c r="D266" s="1713">
        <v>0.147</v>
      </c>
      <c r="E266" s="1713">
        <v>0.15</v>
      </c>
      <c r="F266" s="1714">
        <v>0.143</v>
      </c>
    </row>
    <row r="267" ht="14.25" spans="1:6">
      <c r="A267" s="1708" t="s">
        <v>305</v>
      </c>
      <c r="B267" s="1712" t="s">
        <v>1690</v>
      </c>
      <c r="C267" s="1713">
        <v>0.142</v>
      </c>
      <c r="D267" s="1713">
        <v>0.143</v>
      </c>
      <c r="E267" s="1713">
        <v>0.15</v>
      </c>
      <c r="F267" s="1721"/>
    </row>
    <row r="268" ht="14.25" spans="1:6">
      <c r="A268" s="1708" t="s">
        <v>305</v>
      </c>
      <c r="B268" s="1712" t="s">
        <v>1697</v>
      </c>
      <c r="C268" s="1713">
        <v>0.15</v>
      </c>
      <c r="D268" s="1713">
        <v>0.15</v>
      </c>
      <c r="E268" s="1713">
        <v>0.15</v>
      </c>
      <c r="F268" s="1714">
        <v>0.13</v>
      </c>
    </row>
    <row r="269" ht="14.25" spans="1:6">
      <c r="A269" s="1708" t="s">
        <v>305</v>
      </c>
      <c r="B269" s="1712" t="s">
        <v>1704</v>
      </c>
      <c r="C269" s="1713">
        <v>0.15</v>
      </c>
      <c r="D269" s="1713">
        <v>0.15</v>
      </c>
      <c r="E269" s="1713">
        <v>0.15</v>
      </c>
      <c r="F269" s="1714">
        <v>0.143</v>
      </c>
    </row>
    <row r="270" ht="14.25" spans="1:6">
      <c r="A270" s="1708" t="s">
        <v>305</v>
      </c>
      <c r="B270" s="1712" t="s">
        <v>1711</v>
      </c>
      <c r="C270" s="1713">
        <v>0.145</v>
      </c>
      <c r="D270" s="1713">
        <v>0.145</v>
      </c>
      <c r="E270" s="1713">
        <v>0.15</v>
      </c>
      <c r="F270" s="1714">
        <v>0.147</v>
      </c>
    </row>
    <row r="271" ht="14.25" spans="1:6">
      <c r="A271" s="1708" t="s">
        <v>305</v>
      </c>
      <c r="B271" s="1712" t="s">
        <v>1718</v>
      </c>
      <c r="C271" s="1713">
        <v>0.15</v>
      </c>
      <c r="D271" s="1713">
        <v>0.15</v>
      </c>
      <c r="E271" s="1713">
        <v>0.15</v>
      </c>
      <c r="F271" s="1714">
        <v>0.138</v>
      </c>
    </row>
    <row r="272" ht="14.25" spans="1:6">
      <c r="A272" s="1708" t="s">
        <v>305</v>
      </c>
      <c r="B272" s="1712" t="s">
        <v>1723</v>
      </c>
      <c r="C272" s="1722"/>
      <c r="D272" s="1722"/>
      <c r="E272" s="1722"/>
      <c r="F272" s="1714">
        <v>0.14</v>
      </c>
    </row>
    <row r="273" ht="14.25" spans="1:6">
      <c r="A273" s="1708" t="s">
        <v>305</v>
      </c>
      <c r="B273" s="1712" t="s">
        <v>1728</v>
      </c>
      <c r="C273" s="1713">
        <v>0.142</v>
      </c>
      <c r="D273" s="1713">
        <v>0.143</v>
      </c>
      <c r="E273" s="1713">
        <v>0.15</v>
      </c>
      <c r="F273" s="1714">
        <v>0.1</v>
      </c>
    </row>
    <row r="274" ht="14.25" spans="1:6">
      <c r="A274" s="1708" t="s">
        <v>305</v>
      </c>
      <c r="B274" s="1712" t="s">
        <v>1733</v>
      </c>
      <c r="C274" s="1713">
        <v>0.148</v>
      </c>
      <c r="D274" s="1713">
        <v>0.148</v>
      </c>
      <c r="E274" s="1713">
        <v>0.15</v>
      </c>
      <c r="F274" s="1714">
        <v>0.067</v>
      </c>
    </row>
    <row r="275" ht="14.25" spans="1:6">
      <c r="A275" s="1708" t="s">
        <v>305</v>
      </c>
      <c r="B275" s="1712" t="s">
        <v>1738</v>
      </c>
      <c r="C275" s="1713">
        <v>0.15</v>
      </c>
      <c r="D275" s="1713">
        <v>0.15</v>
      </c>
      <c r="E275" s="1713">
        <v>0.15</v>
      </c>
      <c r="F275" s="1714">
        <v>0.15</v>
      </c>
    </row>
    <row r="276" ht="14.25" spans="1:6">
      <c r="A276" s="1708" t="s">
        <v>305</v>
      </c>
      <c r="B276" s="1712" t="s">
        <v>1743</v>
      </c>
      <c r="C276" s="1713">
        <v>0.145</v>
      </c>
      <c r="D276" s="1713">
        <v>0.143</v>
      </c>
      <c r="E276" s="1713">
        <v>0.15</v>
      </c>
      <c r="F276" s="1714">
        <v>0.059</v>
      </c>
    </row>
    <row r="277" ht="14.25" spans="1:6">
      <c r="A277" s="1708" t="s">
        <v>305</v>
      </c>
      <c r="B277" s="1712" t="s">
        <v>1748</v>
      </c>
      <c r="C277" s="1713">
        <v>0.15</v>
      </c>
      <c r="D277" s="1713">
        <v>0.15</v>
      </c>
      <c r="E277" s="1713">
        <v>0.15</v>
      </c>
      <c r="F277" s="1714">
        <v>0.121</v>
      </c>
    </row>
    <row r="278" ht="14.25" spans="1:6">
      <c r="A278" s="1708" t="s">
        <v>305</v>
      </c>
      <c r="B278" s="1712" t="s">
        <v>1753</v>
      </c>
      <c r="C278" s="1713">
        <v>0.15</v>
      </c>
      <c r="D278" s="1713">
        <v>0.15</v>
      </c>
      <c r="E278" s="1713">
        <v>0.15</v>
      </c>
      <c r="F278" s="1714">
        <v>0.138</v>
      </c>
    </row>
    <row r="279" ht="24.75" spans="1:6">
      <c r="A279" s="1708" t="s">
        <v>305</v>
      </c>
      <c r="B279" s="1712" t="s">
        <v>1757</v>
      </c>
      <c r="C279" s="1722"/>
      <c r="D279" s="1722"/>
      <c r="E279" s="1722"/>
      <c r="F279" s="1714">
        <v>0.05</v>
      </c>
    </row>
    <row r="280" ht="24.75" spans="1:6">
      <c r="A280" s="1708" t="s">
        <v>305</v>
      </c>
      <c r="B280" s="1712" t="s">
        <v>1761</v>
      </c>
      <c r="C280" s="1722"/>
      <c r="D280" s="1722"/>
      <c r="E280" s="1722"/>
      <c r="F280" s="1714">
        <v>0.05</v>
      </c>
    </row>
    <row r="281" ht="24.75" spans="1:6">
      <c r="A281" s="1708" t="s">
        <v>305</v>
      </c>
      <c r="B281" s="1712" t="s">
        <v>1765</v>
      </c>
      <c r="C281" s="1722"/>
      <c r="D281" s="1722"/>
      <c r="E281" s="1722"/>
      <c r="F281" s="1714">
        <v>0.05</v>
      </c>
    </row>
    <row r="282" ht="24.75" spans="1:6">
      <c r="A282" s="1708" t="s">
        <v>305</v>
      </c>
      <c r="B282" s="1712" t="s">
        <v>1769</v>
      </c>
      <c r="C282" s="1722"/>
      <c r="D282" s="1722"/>
      <c r="E282" s="1722"/>
      <c r="F282" s="1714">
        <v>0.05</v>
      </c>
    </row>
    <row r="283" ht="24.75" spans="1:6">
      <c r="A283" s="1708" t="s">
        <v>305</v>
      </c>
      <c r="B283" s="1712" t="s">
        <v>1773</v>
      </c>
      <c r="C283" s="1722"/>
      <c r="D283" s="1722"/>
      <c r="E283" s="1722"/>
      <c r="F283" s="1714">
        <v>0.05</v>
      </c>
    </row>
    <row r="284" ht="24.75" spans="1:6">
      <c r="A284" s="1708" t="s">
        <v>305</v>
      </c>
      <c r="B284" s="1712" t="s">
        <v>1776</v>
      </c>
      <c r="C284" s="1722"/>
      <c r="D284" s="1722"/>
      <c r="E284" s="1722"/>
      <c r="F284" s="1714">
        <v>0.05</v>
      </c>
    </row>
    <row r="285" ht="24.75" spans="1:6">
      <c r="A285" s="1708" t="s">
        <v>305</v>
      </c>
      <c r="B285" s="1712" t="s">
        <v>1779</v>
      </c>
      <c r="C285" s="1722"/>
      <c r="D285" s="1722"/>
      <c r="E285" s="1722"/>
      <c r="F285" s="1714">
        <v>0.05</v>
      </c>
    </row>
    <row r="286" ht="24.75" spans="1:6">
      <c r="A286" s="1708" t="s">
        <v>305</v>
      </c>
      <c r="B286" s="1712" t="s">
        <v>1782</v>
      </c>
      <c r="C286" s="1722"/>
      <c r="D286" s="1722"/>
      <c r="E286" s="1722"/>
      <c r="F286" s="1714">
        <v>0.05</v>
      </c>
    </row>
    <row r="287" ht="24.75" spans="1:6">
      <c r="A287" s="1708" t="s">
        <v>305</v>
      </c>
      <c r="B287" s="1712" t="s">
        <v>1785</v>
      </c>
      <c r="C287" s="1722"/>
      <c r="D287" s="1722"/>
      <c r="E287" s="1722"/>
      <c r="F287" s="1714">
        <v>0.05</v>
      </c>
    </row>
    <row r="288" ht="24.75" spans="1:6">
      <c r="A288" s="1708" t="s">
        <v>305</v>
      </c>
      <c r="B288" s="1712" t="s">
        <v>1788</v>
      </c>
      <c r="C288" s="1722"/>
      <c r="D288" s="1722"/>
      <c r="E288" s="1722"/>
      <c r="F288" s="1714">
        <v>0.05</v>
      </c>
    </row>
    <row r="289" ht="24.75" spans="1:6">
      <c r="A289" s="1716" t="s">
        <v>305</v>
      </c>
      <c r="B289" s="1723" t="s">
        <v>1791</v>
      </c>
      <c r="C289" s="1719"/>
      <c r="D289" s="1719"/>
      <c r="E289" s="1719"/>
      <c r="F289" s="1724">
        <v>0.05</v>
      </c>
    </row>
    <row r="290" ht="14.25" spans="1:6">
      <c r="A290" s="1708" t="s">
        <v>308</v>
      </c>
      <c r="B290" s="1709" t="s">
        <v>1466</v>
      </c>
      <c r="C290" s="1710">
        <v>0.15</v>
      </c>
      <c r="D290" s="1710">
        <v>0.15</v>
      </c>
      <c r="E290" s="1710">
        <v>0.15</v>
      </c>
      <c r="F290" s="1732"/>
    </row>
    <row r="291" ht="14.25" spans="1:6">
      <c r="A291" s="1708" t="s">
        <v>308</v>
      </c>
      <c r="B291" s="1712" t="s">
        <v>1479</v>
      </c>
      <c r="C291" s="1713">
        <v>0.15</v>
      </c>
      <c r="D291" s="1713">
        <v>0.15</v>
      </c>
      <c r="E291" s="1713">
        <v>0.15</v>
      </c>
      <c r="F291" s="1721"/>
    </row>
    <row r="292" ht="14.25" spans="1:6">
      <c r="A292" s="1708" t="s">
        <v>308</v>
      </c>
      <c r="B292" s="1712" t="s">
        <v>1492</v>
      </c>
      <c r="C292" s="1713">
        <v>0.15</v>
      </c>
      <c r="D292" s="1713">
        <v>0.15</v>
      </c>
      <c r="E292" s="1713">
        <v>0.15</v>
      </c>
      <c r="F292" s="1714">
        <v>0.147</v>
      </c>
    </row>
    <row r="293" ht="14.25" spans="1:6">
      <c r="A293" s="1708" t="s">
        <v>308</v>
      </c>
      <c r="B293" s="1712" t="s">
        <v>1798</v>
      </c>
      <c r="C293" s="1722"/>
      <c r="D293" s="1722"/>
      <c r="E293" s="1722"/>
      <c r="F293" s="1714">
        <v>0.1</v>
      </c>
    </row>
    <row r="294" ht="14.25" spans="1:6">
      <c r="A294" s="1708" t="s">
        <v>308</v>
      </c>
      <c r="B294" s="1712" t="s">
        <v>1504</v>
      </c>
      <c r="C294" s="1713">
        <v>0.15</v>
      </c>
      <c r="D294" s="1713">
        <v>0.15</v>
      </c>
      <c r="E294" s="1713">
        <v>0.15</v>
      </c>
      <c r="F294" s="1714">
        <v>0.15</v>
      </c>
    </row>
    <row r="295" ht="14.25" spans="1:6">
      <c r="A295" s="1708" t="s">
        <v>308</v>
      </c>
      <c r="B295" s="1712" t="s">
        <v>1516</v>
      </c>
      <c r="C295" s="1713">
        <v>0.15</v>
      </c>
      <c r="D295" s="1713">
        <v>0.15</v>
      </c>
      <c r="E295" s="1713">
        <v>0.15</v>
      </c>
      <c r="F295" s="1714">
        <v>0.15</v>
      </c>
    </row>
    <row r="296" ht="14.25" spans="1:6">
      <c r="A296" s="1708" t="s">
        <v>308</v>
      </c>
      <c r="B296" s="1712" t="s">
        <v>1527</v>
      </c>
      <c r="C296" s="1713">
        <v>0.15</v>
      </c>
      <c r="D296" s="1713">
        <v>0.15</v>
      </c>
      <c r="E296" s="1713">
        <v>0.15</v>
      </c>
      <c r="F296" s="1714">
        <v>0.15</v>
      </c>
    </row>
    <row r="297" ht="14.25" spans="1:6">
      <c r="A297" s="1708" t="s">
        <v>308</v>
      </c>
      <c r="B297" s="1712" t="s">
        <v>1538</v>
      </c>
      <c r="C297" s="1713">
        <v>0.148</v>
      </c>
      <c r="D297" s="1713">
        <v>0.149</v>
      </c>
      <c r="E297" s="1713">
        <v>0.15</v>
      </c>
      <c r="F297" s="1714">
        <v>0.137</v>
      </c>
    </row>
    <row r="298" ht="14.25" spans="1:6">
      <c r="A298" s="1708" t="s">
        <v>308</v>
      </c>
      <c r="B298" s="1712" t="s">
        <v>1549</v>
      </c>
      <c r="C298" s="1713">
        <v>0.134</v>
      </c>
      <c r="D298" s="1713">
        <v>0.134</v>
      </c>
      <c r="E298" s="1713">
        <v>0.145</v>
      </c>
      <c r="F298" s="1714">
        <v>0.148</v>
      </c>
    </row>
    <row r="299" ht="14.25" spans="1:6">
      <c r="A299" s="1708" t="s">
        <v>308</v>
      </c>
      <c r="B299" s="1712" t="s">
        <v>1559</v>
      </c>
      <c r="C299" s="1713">
        <v>0.15</v>
      </c>
      <c r="D299" s="1713">
        <v>0.15</v>
      </c>
      <c r="E299" s="1713">
        <v>0.15</v>
      </c>
      <c r="F299" s="1721"/>
    </row>
    <row r="300" ht="14.25" spans="1:6">
      <c r="A300" s="1708" t="s">
        <v>308</v>
      </c>
      <c r="B300" s="1712" t="s">
        <v>1569</v>
      </c>
      <c r="C300" s="1713">
        <v>0.15</v>
      </c>
      <c r="D300" s="1713">
        <v>0.15</v>
      </c>
      <c r="E300" s="1713">
        <v>0.15</v>
      </c>
      <c r="F300" s="1714">
        <v>0.15</v>
      </c>
    </row>
    <row r="301" ht="14.25" spans="1:6">
      <c r="A301" s="1708" t="s">
        <v>308</v>
      </c>
      <c r="B301" s="1712" t="s">
        <v>1579</v>
      </c>
      <c r="C301" s="1713">
        <v>0.15</v>
      </c>
      <c r="D301" s="1713">
        <v>0.15</v>
      </c>
      <c r="E301" s="1713">
        <v>0.15</v>
      </c>
      <c r="F301" s="1721"/>
    </row>
    <row r="302" ht="14.25" spans="1:6">
      <c r="A302" s="1708" t="s">
        <v>308</v>
      </c>
      <c r="B302" s="1712" t="s">
        <v>1589</v>
      </c>
      <c r="C302" s="1713">
        <v>0.15</v>
      </c>
      <c r="D302" s="1713">
        <v>0.15</v>
      </c>
      <c r="E302" s="1713">
        <v>0.15</v>
      </c>
      <c r="F302" s="1714">
        <v>0.15</v>
      </c>
    </row>
    <row r="303" ht="14.25" spans="1:6">
      <c r="A303" s="1708" t="s">
        <v>308</v>
      </c>
      <c r="B303" s="1712" t="s">
        <v>1599</v>
      </c>
      <c r="C303" s="1713">
        <v>0.15</v>
      </c>
      <c r="D303" s="1713">
        <v>0.15</v>
      </c>
      <c r="E303" s="1713">
        <v>0.15</v>
      </c>
      <c r="F303" s="1714">
        <v>0.15</v>
      </c>
    </row>
    <row r="304" ht="14.25" spans="1:6">
      <c r="A304" s="1708" t="s">
        <v>308</v>
      </c>
      <c r="B304" s="1712" t="s">
        <v>1609</v>
      </c>
      <c r="C304" s="1713">
        <v>0.15</v>
      </c>
      <c r="D304" s="1713">
        <v>0.15</v>
      </c>
      <c r="E304" s="1713">
        <v>0.15</v>
      </c>
      <c r="F304" s="1721"/>
    </row>
    <row r="305" ht="14.25" spans="1:6">
      <c r="A305" s="1708" t="s">
        <v>308</v>
      </c>
      <c r="B305" s="1712" t="s">
        <v>1619</v>
      </c>
      <c r="C305" s="1713">
        <v>0.15</v>
      </c>
      <c r="D305" s="1713">
        <v>0.15</v>
      </c>
      <c r="E305" s="1713">
        <v>0.15</v>
      </c>
      <c r="F305" s="1714">
        <v>0.14</v>
      </c>
    </row>
    <row r="306" ht="14.25" spans="1:6">
      <c r="A306" s="1708" t="s">
        <v>308</v>
      </c>
      <c r="B306" s="1712" t="s">
        <v>1629</v>
      </c>
      <c r="C306" s="1713">
        <v>0.15</v>
      </c>
      <c r="D306" s="1713">
        <v>0.15</v>
      </c>
      <c r="E306" s="1713">
        <v>0.15</v>
      </c>
      <c r="F306" s="1721"/>
    </row>
    <row r="307" ht="14.25" spans="1:6">
      <c r="A307" s="1708" t="s">
        <v>308</v>
      </c>
      <c r="B307" s="1712" t="s">
        <v>1639</v>
      </c>
      <c r="C307" s="1713">
        <v>0.15</v>
      </c>
      <c r="D307" s="1713">
        <v>0.15</v>
      </c>
      <c r="E307" s="1713">
        <v>0.15</v>
      </c>
      <c r="F307" s="1714">
        <v>0.143</v>
      </c>
    </row>
    <row r="308" ht="14.25" spans="1:6">
      <c r="A308" s="1708" t="s">
        <v>308</v>
      </c>
      <c r="B308" s="1712" t="s">
        <v>1649</v>
      </c>
      <c r="C308" s="1713">
        <v>0.15</v>
      </c>
      <c r="D308" s="1713">
        <v>0.15</v>
      </c>
      <c r="E308" s="1713">
        <v>0.15</v>
      </c>
      <c r="F308" s="1714">
        <v>0.15</v>
      </c>
    </row>
    <row r="309" ht="14.25" spans="1:6">
      <c r="A309" s="1708" t="s">
        <v>308</v>
      </c>
      <c r="B309" s="1712" t="s">
        <v>1659</v>
      </c>
      <c r="C309" s="1713">
        <v>0.15</v>
      </c>
      <c r="D309" s="1713">
        <v>0.15</v>
      </c>
      <c r="E309" s="1713">
        <v>0.15</v>
      </c>
      <c r="F309" s="1721"/>
    </row>
    <row r="310" ht="14.25" spans="1:6">
      <c r="A310" s="1708" t="s">
        <v>308</v>
      </c>
      <c r="B310" s="1712" t="s">
        <v>1668</v>
      </c>
      <c r="C310" s="1713">
        <v>0.15</v>
      </c>
      <c r="D310" s="1713">
        <v>0.15</v>
      </c>
      <c r="E310" s="1713">
        <v>0.15</v>
      </c>
      <c r="F310" s="1714">
        <v>0.137</v>
      </c>
    </row>
    <row r="311" ht="14.25" spans="1:6">
      <c r="A311" s="1708" t="s">
        <v>308</v>
      </c>
      <c r="B311" s="1712" t="s">
        <v>1676</v>
      </c>
      <c r="C311" s="1713">
        <v>0.15</v>
      </c>
      <c r="D311" s="1713">
        <v>0.15</v>
      </c>
      <c r="E311" s="1713">
        <v>0.15</v>
      </c>
      <c r="F311" s="1714">
        <v>0.15</v>
      </c>
    </row>
    <row r="312" ht="14.25" spans="1:6">
      <c r="A312" s="1708" t="s">
        <v>308</v>
      </c>
      <c r="B312" s="1712" t="s">
        <v>1684</v>
      </c>
      <c r="C312" s="1713">
        <v>0.15</v>
      </c>
      <c r="D312" s="1713">
        <v>0.15</v>
      </c>
      <c r="E312" s="1713">
        <v>0.15</v>
      </c>
      <c r="F312" s="1714">
        <v>0.1</v>
      </c>
    </row>
    <row r="313" ht="14.25" spans="1:6">
      <c r="A313" s="1708" t="s">
        <v>308</v>
      </c>
      <c r="B313" s="1712" t="s">
        <v>1691</v>
      </c>
      <c r="C313" s="1713">
        <v>0.15</v>
      </c>
      <c r="D313" s="1713">
        <v>0.15</v>
      </c>
      <c r="E313" s="1713">
        <v>0.15</v>
      </c>
      <c r="F313" s="1714">
        <v>0.15</v>
      </c>
    </row>
    <row r="314" ht="24.75" spans="1:6">
      <c r="A314" s="1708" t="s">
        <v>308</v>
      </c>
      <c r="B314" s="1712" t="s">
        <v>1698</v>
      </c>
      <c r="C314" s="1722"/>
      <c r="D314" s="1722"/>
      <c r="E314" s="1722"/>
      <c r="F314" s="1714">
        <v>0.05</v>
      </c>
    </row>
    <row r="315" ht="24.75" spans="1:6">
      <c r="A315" s="1708" t="s">
        <v>308</v>
      </c>
      <c r="B315" s="1712" t="s">
        <v>1705</v>
      </c>
      <c r="C315" s="1722"/>
      <c r="D315" s="1722"/>
      <c r="E315" s="1722"/>
      <c r="F315" s="1714">
        <v>0.05</v>
      </c>
    </row>
    <row r="316" ht="24.75" spans="1:6">
      <c r="A316" s="1716" t="s">
        <v>308</v>
      </c>
      <c r="B316" s="1723" t="s">
        <v>1712</v>
      </c>
      <c r="C316" s="1719"/>
      <c r="D316" s="1719"/>
      <c r="E316" s="1719"/>
      <c r="F316" s="1724">
        <v>0.05</v>
      </c>
    </row>
    <row r="317" ht="14.25" spans="1:6">
      <c r="A317" s="1708" t="s">
        <v>311</v>
      </c>
      <c r="B317" s="1709" t="s">
        <v>1467</v>
      </c>
      <c r="C317" s="1710">
        <v>0.15</v>
      </c>
      <c r="D317" s="1710">
        <v>0.15</v>
      </c>
      <c r="E317" s="1710">
        <v>0.15</v>
      </c>
      <c r="F317" s="1711">
        <v>0.15</v>
      </c>
    </row>
    <row r="318" ht="14.25" spans="1:6">
      <c r="A318" s="1708" t="s">
        <v>311</v>
      </c>
      <c r="B318" s="1712" t="s">
        <v>1480</v>
      </c>
      <c r="C318" s="1713">
        <v>0.107</v>
      </c>
      <c r="D318" s="1713">
        <v>0.11</v>
      </c>
      <c r="E318" s="1713">
        <v>0.112</v>
      </c>
      <c r="F318" s="1721"/>
    </row>
    <row r="319" ht="14.25" spans="1:6">
      <c r="A319" s="1708" t="s">
        <v>311</v>
      </c>
      <c r="B319" s="1712" t="s">
        <v>1493</v>
      </c>
      <c r="C319" s="1713">
        <v>0.15</v>
      </c>
      <c r="D319" s="1713">
        <v>0.15</v>
      </c>
      <c r="E319" s="1713">
        <v>0.15</v>
      </c>
      <c r="F319" s="1714">
        <v>0.15</v>
      </c>
    </row>
    <row r="320" ht="14.25" spans="1:6">
      <c r="A320" s="1708" t="s">
        <v>311</v>
      </c>
      <c r="B320" s="1712" t="s">
        <v>1505</v>
      </c>
      <c r="C320" s="1713">
        <v>0.15</v>
      </c>
      <c r="D320" s="1713">
        <v>0.15</v>
      </c>
      <c r="E320" s="1713">
        <v>0.15</v>
      </c>
      <c r="F320" s="1721"/>
    </row>
    <row r="321" ht="14.25" spans="1:6">
      <c r="A321" s="1708" t="s">
        <v>311</v>
      </c>
      <c r="B321" s="1712" t="s">
        <v>1517</v>
      </c>
      <c r="C321" s="1713">
        <v>0.15</v>
      </c>
      <c r="D321" s="1713">
        <v>0.15</v>
      </c>
      <c r="E321" s="1713">
        <v>0.15</v>
      </c>
      <c r="F321" s="1721"/>
    </row>
    <row r="322" ht="14.25" spans="1:6">
      <c r="A322" s="1708" t="s">
        <v>311</v>
      </c>
      <c r="B322" s="1712" t="s">
        <v>1528</v>
      </c>
      <c r="C322" s="1713">
        <v>0.15</v>
      </c>
      <c r="D322" s="1713">
        <v>0.15</v>
      </c>
      <c r="E322" s="1713">
        <v>0.15</v>
      </c>
      <c r="F322" s="1714">
        <v>0.15</v>
      </c>
    </row>
    <row r="323" ht="14.25" spans="1:6">
      <c r="A323" s="1708" t="s">
        <v>311</v>
      </c>
      <c r="B323" s="1712" t="s">
        <v>1539</v>
      </c>
      <c r="C323" s="1713">
        <v>0.15</v>
      </c>
      <c r="D323" s="1713">
        <v>0.15</v>
      </c>
      <c r="E323" s="1713">
        <v>0.15</v>
      </c>
      <c r="F323" s="1721"/>
    </row>
    <row r="324" ht="14.25" spans="1:6">
      <c r="A324" s="1708" t="s">
        <v>311</v>
      </c>
      <c r="B324" s="1712" t="s">
        <v>1550</v>
      </c>
      <c r="C324" s="1713">
        <v>0.15</v>
      </c>
      <c r="D324" s="1713">
        <v>0.15</v>
      </c>
      <c r="E324" s="1713">
        <v>0.15</v>
      </c>
      <c r="F324" s="1721"/>
    </row>
    <row r="325" ht="14.25" spans="1:6">
      <c r="A325" s="1708" t="s">
        <v>311</v>
      </c>
      <c r="B325" s="1712" t="s">
        <v>1560</v>
      </c>
      <c r="C325" s="1713">
        <v>0.15</v>
      </c>
      <c r="D325" s="1713">
        <v>0.15</v>
      </c>
      <c r="E325" s="1713">
        <v>0.15</v>
      </c>
      <c r="F325" s="1714">
        <v>0.147</v>
      </c>
    </row>
    <row r="326" ht="14.25" spans="1:6">
      <c r="A326" s="1708" t="s">
        <v>311</v>
      </c>
      <c r="B326" s="1712" t="s">
        <v>1570</v>
      </c>
      <c r="C326" s="1713">
        <v>0.15</v>
      </c>
      <c r="D326" s="1713">
        <v>0.15</v>
      </c>
      <c r="E326" s="1713">
        <v>0.15</v>
      </c>
      <c r="F326" s="1721"/>
    </row>
    <row r="327" ht="14.25" spans="1:6">
      <c r="A327" s="1708" t="s">
        <v>311</v>
      </c>
      <c r="B327" s="1712" t="s">
        <v>1580</v>
      </c>
      <c r="C327" s="1713">
        <v>0.15</v>
      </c>
      <c r="D327" s="1713">
        <v>0.15</v>
      </c>
      <c r="E327" s="1713">
        <v>0.15</v>
      </c>
      <c r="F327" s="1714">
        <v>0.15</v>
      </c>
    </row>
    <row r="328" ht="14.25" spans="1:6">
      <c r="A328" s="1708" t="s">
        <v>311</v>
      </c>
      <c r="B328" s="1712" t="s">
        <v>1590</v>
      </c>
      <c r="C328" s="1713">
        <v>0.15</v>
      </c>
      <c r="D328" s="1713">
        <v>0.15</v>
      </c>
      <c r="E328" s="1713">
        <v>0.15</v>
      </c>
      <c r="F328" s="1714">
        <v>0.141</v>
      </c>
    </row>
    <row r="329" ht="14.25" spans="1:6">
      <c r="A329" s="1708" t="s">
        <v>311</v>
      </c>
      <c r="B329" s="1712" t="s">
        <v>1600</v>
      </c>
      <c r="C329" s="1713">
        <v>0.15</v>
      </c>
      <c r="D329" s="1713">
        <v>0.15</v>
      </c>
      <c r="E329" s="1713">
        <v>0.15</v>
      </c>
      <c r="F329" s="1714">
        <v>0.15</v>
      </c>
    </row>
    <row r="330" ht="14.25" spans="1:6">
      <c r="A330" s="1708" t="s">
        <v>311</v>
      </c>
      <c r="B330" s="1712" t="s">
        <v>1610</v>
      </c>
      <c r="C330" s="1713">
        <v>0.15</v>
      </c>
      <c r="D330" s="1713">
        <v>0.15</v>
      </c>
      <c r="E330" s="1713">
        <v>0.15</v>
      </c>
      <c r="F330" s="1721"/>
    </row>
    <row r="331" ht="14.25" spans="1:6">
      <c r="A331" s="1708" t="s">
        <v>311</v>
      </c>
      <c r="B331" s="1712" t="s">
        <v>1620</v>
      </c>
      <c r="C331" s="1713">
        <v>0.15</v>
      </c>
      <c r="D331" s="1713">
        <v>0.15</v>
      </c>
      <c r="E331" s="1713">
        <v>0.15</v>
      </c>
      <c r="F331" s="1714">
        <v>0.15</v>
      </c>
    </row>
    <row r="332" ht="14.25" spans="1:6">
      <c r="A332" s="1708" t="s">
        <v>311</v>
      </c>
      <c r="B332" s="1712" t="s">
        <v>1630</v>
      </c>
      <c r="C332" s="1713">
        <v>0.15</v>
      </c>
      <c r="D332" s="1713">
        <v>0.15</v>
      </c>
      <c r="E332" s="1713">
        <v>0.15</v>
      </c>
      <c r="F332" s="1714">
        <v>0.15</v>
      </c>
    </row>
    <row r="333" ht="14.25" spans="1:6">
      <c r="A333" s="1708" t="s">
        <v>311</v>
      </c>
      <c r="B333" s="1712" t="s">
        <v>1640</v>
      </c>
      <c r="C333" s="1713">
        <v>0.15</v>
      </c>
      <c r="D333" s="1713">
        <v>0.15</v>
      </c>
      <c r="E333" s="1713">
        <v>0.15</v>
      </c>
      <c r="F333" s="1714">
        <v>0.141</v>
      </c>
    </row>
    <row r="334" ht="14.25" spans="1:6">
      <c r="A334" s="1708" t="s">
        <v>311</v>
      </c>
      <c r="B334" s="1712" t="s">
        <v>1650</v>
      </c>
      <c r="C334" s="1713">
        <v>0.15</v>
      </c>
      <c r="D334" s="1713">
        <v>0.15</v>
      </c>
      <c r="E334" s="1713">
        <v>0.15</v>
      </c>
      <c r="F334" s="1714">
        <v>0.15</v>
      </c>
    </row>
    <row r="335" ht="14.25" spans="1:6">
      <c r="A335" s="1708" t="s">
        <v>311</v>
      </c>
      <c r="B335" s="1712" t="s">
        <v>1660</v>
      </c>
      <c r="C335" s="1713">
        <v>0.15</v>
      </c>
      <c r="D335" s="1713">
        <v>0.15</v>
      </c>
      <c r="E335" s="1713">
        <v>0.15</v>
      </c>
      <c r="F335" s="1721"/>
    </row>
    <row r="336" ht="14.25" spans="1:6">
      <c r="A336" s="1708" t="s">
        <v>311</v>
      </c>
      <c r="B336" s="1712" t="s">
        <v>1669</v>
      </c>
      <c r="C336" s="1713">
        <v>0.15</v>
      </c>
      <c r="D336" s="1713">
        <v>0.15</v>
      </c>
      <c r="E336" s="1713">
        <v>0.15</v>
      </c>
      <c r="F336" s="1714">
        <v>0.118</v>
      </c>
    </row>
    <row r="337" ht="14.25" spans="1:6">
      <c r="A337" s="1716" t="s">
        <v>311</v>
      </c>
      <c r="B337" s="1723" t="s">
        <v>1677</v>
      </c>
      <c r="C337" s="1719"/>
      <c r="D337" s="1719"/>
      <c r="E337" s="1719"/>
      <c r="F337" s="1724">
        <v>0.143</v>
      </c>
    </row>
    <row r="338" ht="14.25" spans="1:6">
      <c r="A338" s="1708" t="s">
        <v>314</v>
      </c>
      <c r="B338" s="1709" t="s">
        <v>1468</v>
      </c>
      <c r="C338" s="1710">
        <v>0.15</v>
      </c>
      <c r="D338" s="1710">
        <v>0.15</v>
      </c>
      <c r="E338" s="1710">
        <v>0.15</v>
      </c>
      <c r="F338" s="1732"/>
    </row>
    <row r="339" ht="14.25" spans="1:6">
      <c r="A339" s="1708" t="s">
        <v>314</v>
      </c>
      <c r="B339" s="1712" t="s">
        <v>1481</v>
      </c>
      <c r="C339" s="1713">
        <v>0.15</v>
      </c>
      <c r="D339" s="1713">
        <v>0.15</v>
      </c>
      <c r="E339" s="1713">
        <v>0.15</v>
      </c>
      <c r="F339" s="1721"/>
    </row>
    <row r="340" ht="14.25" spans="1:6">
      <c r="A340" s="1708" t="s">
        <v>314</v>
      </c>
      <c r="B340" s="1712" t="s">
        <v>1494</v>
      </c>
      <c r="C340" s="1713">
        <v>0.15</v>
      </c>
      <c r="D340" s="1713">
        <v>0.15</v>
      </c>
      <c r="E340" s="1713">
        <v>0.15</v>
      </c>
      <c r="F340" s="1721"/>
    </row>
    <row r="341" ht="14.25" spans="1:6">
      <c r="A341" s="1708" t="s">
        <v>314</v>
      </c>
      <c r="B341" s="1712" t="s">
        <v>1506</v>
      </c>
      <c r="C341" s="1713">
        <v>0.15</v>
      </c>
      <c r="D341" s="1713">
        <v>0.15</v>
      </c>
      <c r="E341" s="1713">
        <v>0.15</v>
      </c>
      <c r="F341" s="1714">
        <v>0.15</v>
      </c>
    </row>
    <row r="342" ht="14.25" spans="1:6">
      <c r="A342" s="1708" t="s">
        <v>314</v>
      </c>
      <c r="B342" s="1712" t="s">
        <v>1518</v>
      </c>
      <c r="C342" s="1713">
        <v>0.15</v>
      </c>
      <c r="D342" s="1713">
        <v>0.15</v>
      </c>
      <c r="E342" s="1713">
        <v>0.15</v>
      </c>
      <c r="F342" s="1714">
        <v>0.15</v>
      </c>
    </row>
    <row r="343" ht="14.25" spans="1:6">
      <c r="A343" s="1708" t="s">
        <v>314</v>
      </c>
      <c r="B343" s="1712" t="s">
        <v>1529</v>
      </c>
      <c r="C343" s="1713">
        <v>0.15</v>
      </c>
      <c r="D343" s="1713">
        <v>0.15</v>
      </c>
      <c r="E343" s="1713">
        <v>0.15</v>
      </c>
      <c r="F343" s="1714">
        <v>0.15</v>
      </c>
    </row>
    <row r="344" ht="14.25" spans="1:6">
      <c r="A344" s="1716" t="s">
        <v>314</v>
      </c>
      <c r="B344" s="1723" t="s">
        <v>1540</v>
      </c>
      <c r="C344" s="1718">
        <v>0.15</v>
      </c>
      <c r="D344" s="1718">
        <v>0.15</v>
      </c>
      <c r="E344" s="1718">
        <v>0.15</v>
      </c>
      <c r="F344" s="1724">
        <v>0.15</v>
      </c>
    </row>
  </sheetData>
  <sheetProtection password="C66D" sheet="1" objects="1" scenarios="1"/>
  <mergeCells count="1">
    <mergeCell ref="A1:B1"/>
  </mergeCells>
  <pageMargins left="0.7" right="0.7" top="0.75" bottom="0.75" header="0.3" footer="0.3"/>
  <headerFooter/>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H120"/>
  <sheetViews>
    <sheetView zoomScale="80" zoomScaleNormal="80" workbookViewId="0">
      <selection activeCell="C19" sqref="C19"/>
    </sheetView>
  </sheetViews>
  <sheetFormatPr defaultColWidth="9" defaultRowHeight="12.75"/>
  <cols>
    <col min="1" max="1" width="9" style="1578"/>
    <col min="2" max="6" width="9" style="1578" customWidth="1"/>
    <col min="7" max="7" width="9" style="1579" customWidth="1"/>
    <col min="8" max="12" width="9" style="1578" customWidth="1"/>
    <col min="13" max="13" width="2.26666666666667" style="1578" customWidth="1"/>
    <col min="14" max="14" width="9" style="1579" customWidth="1"/>
    <col min="15" max="17" width="9" style="1578" customWidth="1"/>
    <col min="18" max="18" width="2.36666666666667" style="1578" customWidth="1"/>
    <col min="19" max="19" width="7.09166666666667" style="1579" customWidth="1"/>
    <col min="20" max="22" width="7.09166666666667" style="1578" customWidth="1"/>
    <col min="23" max="23" width="24" style="1578" customWidth="1"/>
    <col min="24" max="25" width="9" style="1578"/>
    <col min="26" max="27" width="11.6333333333333" style="1578" customWidth="1"/>
    <col min="28" max="28" width="9" style="1578"/>
    <col min="29" max="29" width="2" style="1578" customWidth="1"/>
    <col min="30" max="16384" width="9" style="1578"/>
  </cols>
  <sheetData>
    <row r="1" s="1570" customFormat="1" spans="2:30">
      <c r="B1" s="1580" t="s">
        <v>1805</v>
      </c>
      <c r="C1" s="1580"/>
      <c r="D1" s="1580"/>
      <c r="E1" s="1580"/>
      <c r="F1" s="1580"/>
      <c r="G1" s="1570" t="s">
        <v>1806</v>
      </c>
      <c r="N1" s="1570" t="s">
        <v>1807</v>
      </c>
      <c r="S1" s="1570" t="s">
        <v>1808</v>
      </c>
      <c r="X1" s="1654" t="s">
        <v>1809</v>
      </c>
      <c r="AD1" s="1654" t="s">
        <v>1810</v>
      </c>
    </row>
    <row r="2" s="1571" customFormat="1" ht="14.25" spans="2:34">
      <c r="B2" s="1581" t="s">
        <v>1202</v>
      </c>
      <c r="C2" s="1581" t="s">
        <v>1811</v>
      </c>
      <c r="D2" s="1582" t="s">
        <v>379</v>
      </c>
      <c r="E2" s="1582" t="s">
        <v>377</v>
      </c>
      <c r="F2" s="1581" t="s">
        <v>1812</v>
      </c>
      <c r="G2" s="1583"/>
      <c r="I2" s="1581" t="s">
        <v>1202</v>
      </c>
      <c r="J2" s="1582" t="s">
        <v>1813</v>
      </c>
      <c r="K2" s="1582" t="s">
        <v>377</v>
      </c>
      <c r="L2" s="1581" t="s">
        <v>1812</v>
      </c>
      <c r="N2" s="1581" t="s">
        <v>1202</v>
      </c>
      <c r="O2" s="1582" t="s">
        <v>1813</v>
      </c>
      <c r="P2" s="1582" t="s">
        <v>377</v>
      </c>
      <c r="Q2" s="1581" t="s">
        <v>1812</v>
      </c>
      <c r="S2" s="1581" t="s">
        <v>1202</v>
      </c>
      <c r="T2" s="1582" t="s">
        <v>1813</v>
      </c>
      <c r="U2" s="1582" t="s">
        <v>377</v>
      </c>
      <c r="V2" s="1581" t="s">
        <v>1812</v>
      </c>
      <c r="X2" s="1581" t="s">
        <v>1202</v>
      </c>
      <c r="Y2" s="1581" t="s">
        <v>1811</v>
      </c>
      <c r="Z2" s="1582" t="s">
        <v>379</v>
      </c>
      <c r="AA2" s="1582" t="s">
        <v>377</v>
      </c>
      <c r="AB2" s="1581" t="s">
        <v>1812</v>
      </c>
      <c r="AD2" s="1581" t="s">
        <v>1202</v>
      </c>
      <c r="AE2" s="1581" t="s">
        <v>1811</v>
      </c>
      <c r="AF2" s="1582" t="s">
        <v>379</v>
      </c>
      <c r="AG2" s="1582" t="s">
        <v>377</v>
      </c>
      <c r="AH2" s="1581" t="s">
        <v>1812</v>
      </c>
    </row>
    <row r="3" s="1572" customFormat="1" ht="14.25" spans="1:34">
      <c r="A3" s="1584" t="s">
        <v>1814</v>
      </c>
      <c r="B3" s="1585"/>
      <c r="C3" s="1585"/>
      <c r="D3" s="1586"/>
      <c r="E3" s="1586"/>
      <c r="F3" s="1585"/>
      <c r="G3" s="1587"/>
      <c r="I3" s="1626">
        <f>ROUND(AVERAGE($I4:$I37),2)</f>
        <v>1.61</v>
      </c>
      <c r="J3" s="1626">
        <f>ROUND(AVERAGE($J4:$J37),2)</f>
        <v>1.02</v>
      </c>
      <c r="K3" s="1626">
        <f>ROUND(AVERAGE($K4:$K37),2)</f>
        <v>1.77</v>
      </c>
      <c r="L3" s="1626">
        <f>ROUND(AVERAGE($L4:$L37),2)</f>
        <v>1.18</v>
      </c>
      <c r="N3" s="1587"/>
      <c r="S3" s="1587"/>
      <c r="W3" s="1655"/>
      <c r="X3" s="1656">
        <f>ROUND(SUMPRODUCT(PRODUCT(1+N3:N$36)),4)</f>
        <v>1.6416</v>
      </c>
      <c r="Y3" s="1656">
        <f>ROUND(SUMPRODUCT(PRODUCT(1+O3:O$36)),4)</f>
        <v>1.3644</v>
      </c>
      <c r="Z3" s="1656">
        <f t="shared" ref="Z3" si="0">Y3</f>
        <v>1.3644</v>
      </c>
      <c r="AA3" s="1656">
        <f>ROUND(SUMPRODUCT(PRODUCT(1+P3:P$36)),4)</f>
        <v>1.7232</v>
      </c>
      <c r="AB3" s="1656">
        <f>ROUND(SUMPRODUCT(PRODUCT(1+Q3:Q$36)),4)</f>
        <v>1.4529</v>
      </c>
      <c r="AD3" s="1671">
        <f>ROUND(AVERAGE(I3:I$37)/100,4)</f>
        <v>0.0161</v>
      </c>
      <c r="AE3" s="1671">
        <f>ROUND(AVERAGE(J3:J$37)/100,4)</f>
        <v>0.0102</v>
      </c>
      <c r="AF3" s="1671">
        <f t="shared" ref="AF3:AF35" si="1">AE3</f>
        <v>0.0102</v>
      </c>
      <c r="AG3" s="1671">
        <f>ROUND(AVERAGE(K3:K$37)/100,4)</f>
        <v>0.0177</v>
      </c>
      <c r="AH3" s="1671">
        <f>ROUND(AVERAGE(L3:L$37)/100,4)</f>
        <v>0.0118</v>
      </c>
    </row>
    <row r="4" s="1570" customFormat="1" ht="14.25" spans="2:34">
      <c r="B4" s="1588"/>
      <c r="C4" s="1588"/>
      <c r="D4" s="1589"/>
      <c r="E4" s="1589"/>
      <c r="F4" s="1588"/>
      <c r="G4" s="1590"/>
      <c r="I4" s="1627"/>
      <c r="J4" s="1627"/>
      <c r="K4" s="1627"/>
      <c r="L4" s="1627"/>
      <c r="N4" s="1590"/>
      <c r="S4" s="1590"/>
      <c r="W4" s="1657"/>
      <c r="X4" s="1578"/>
      <c r="Y4" s="1578"/>
      <c r="Z4" s="1578"/>
      <c r="AA4" s="1578"/>
      <c r="AB4" s="1578"/>
      <c r="AD4" s="1633"/>
      <c r="AE4" s="1633"/>
      <c r="AF4" s="1633"/>
      <c r="AG4" s="1633"/>
      <c r="AH4" s="1633"/>
    </row>
    <row r="5" s="1573" customFormat="1" spans="1:34">
      <c r="A5" s="1591" t="s">
        <v>1815</v>
      </c>
      <c r="B5" s="1592">
        <f t="shared" ref="B5" si="2">B6*(1+N5)</f>
        <v>504.870728096156</v>
      </c>
      <c r="C5" s="1592">
        <f t="shared" ref="C5" si="3">C6*(1+O5)</f>
        <v>351.71182348102</v>
      </c>
      <c r="D5" s="1592">
        <f t="shared" ref="D5" si="4">C5</f>
        <v>351.71182348102</v>
      </c>
      <c r="E5" s="1592">
        <f t="shared" ref="E5" si="5">E6*(1+P5)</f>
        <v>728.753508583608</v>
      </c>
      <c r="F5" s="1592">
        <f t="shared" ref="F5" si="6">F6*(1+Q5)</f>
        <v>334.045939316737</v>
      </c>
      <c r="G5" s="1590">
        <v>2022</v>
      </c>
      <c r="H5" s="1593">
        <v>1</v>
      </c>
      <c r="I5" s="1628">
        <v>0</v>
      </c>
      <c r="J5" s="1628">
        <v>0</v>
      </c>
      <c r="K5" s="1628">
        <v>0</v>
      </c>
      <c r="L5" s="1628">
        <v>0</v>
      </c>
      <c r="N5" s="1629">
        <f t="shared" ref="N5" si="7">I5/100</f>
        <v>0</v>
      </c>
      <c r="O5" s="1629">
        <f t="shared" ref="O5" si="8">J5/100</f>
        <v>0</v>
      </c>
      <c r="P5" s="1629">
        <f t="shared" ref="P5" si="9">K5/100</f>
        <v>0</v>
      </c>
      <c r="Q5" s="1629">
        <f t="shared" ref="Q5" si="10">L5/100</f>
        <v>0</v>
      </c>
      <c r="S5" s="1658"/>
      <c r="W5" s="1659" t="s">
        <v>1816</v>
      </c>
      <c r="X5" s="1660">
        <f>ROUND(SUMPRODUCT(PRODUCT(1+N5:N$37)),4)</f>
        <v>1.6904</v>
      </c>
      <c r="Y5" s="1660">
        <f>ROUND(SUMPRODUCT(PRODUCT(1+O5:O$37)),4)</f>
        <v>1.3963</v>
      </c>
      <c r="Z5" s="1660">
        <f t="shared" ref="Z5" si="11">Y5</f>
        <v>1.3963</v>
      </c>
      <c r="AA5" s="1660">
        <f>ROUND(SUMPRODUCT(PRODUCT(1+P5:P$37)),4)</f>
        <v>1.7797</v>
      </c>
      <c r="AB5" s="1660">
        <f>ROUND(SUMPRODUCT(PRODUCT(1+Q5:Q$37)),4)</f>
        <v>1.4727</v>
      </c>
      <c r="AD5" s="1672">
        <f>ROUND(AVERAGE(I5:I$37)/100,4)</f>
        <v>0.0161</v>
      </c>
      <c r="AE5" s="1672">
        <f>ROUND(AVERAGE(J5:J$37)/100,4)</f>
        <v>0.0102</v>
      </c>
      <c r="AF5" s="1672">
        <f t="shared" ref="AF5" si="12">AE5</f>
        <v>0.0102</v>
      </c>
      <c r="AG5" s="1672">
        <f>ROUND(AVERAGE(K5:K$37)/100,4)</f>
        <v>0.0177</v>
      </c>
      <c r="AH5" s="1672">
        <f>ROUND(AVERAGE(L5:L$37)/100,4)</f>
        <v>0.0118</v>
      </c>
    </row>
    <row r="6" s="1574" customFormat="1" spans="1:34">
      <c r="A6" s="1594" t="s">
        <v>1817</v>
      </c>
      <c r="B6" s="1595">
        <f t="shared" ref="B6" si="13">B7*(1+N6)</f>
        <v>504.870728096156</v>
      </c>
      <c r="C6" s="1595">
        <f t="shared" ref="C6" si="14">C7*(1+O6)</f>
        <v>351.71182348102</v>
      </c>
      <c r="D6" s="1595">
        <f t="shared" ref="D6" si="15">C6</f>
        <v>351.71182348102</v>
      </c>
      <c r="E6" s="1595">
        <f t="shared" ref="E6" si="16">E7*(1+P6)</f>
        <v>728.753508583608</v>
      </c>
      <c r="F6" s="1595">
        <f t="shared" ref="F6" si="17">F7*(1+Q6)</f>
        <v>334.045939316737</v>
      </c>
      <c r="G6" s="1590">
        <v>2021</v>
      </c>
      <c r="H6" s="1596">
        <v>4</v>
      </c>
      <c r="I6" s="1630">
        <v>0</v>
      </c>
      <c r="J6" s="1630">
        <v>0</v>
      </c>
      <c r="K6" s="1630">
        <v>0</v>
      </c>
      <c r="L6" s="1631">
        <v>0</v>
      </c>
      <c r="M6" s="1578"/>
      <c r="N6" s="1632">
        <f t="shared" ref="N6" si="18">I6/100</f>
        <v>0</v>
      </c>
      <c r="O6" s="1633">
        <f t="shared" ref="O6" si="19">J6/100</f>
        <v>0</v>
      </c>
      <c r="P6" s="1633">
        <f t="shared" ref="P6" si="20">K6/100</f>
        <v>0</v>
      </c>
      <c r="Q6" s="1633">
        <f t="shared" ref="Q6" si="21">L6/100</f>
        <v>0</v>
      </c>
      <c r="R6" s="1661"/>
      <c r="S6" s="1639"/>
      <c r="T6" s="1640"/>
      <c r="U6" s="1640"/>
      <c r="V6" s="1640"/>
      <c r="W6" s="1578"/>
      <c r="X6" s="1578">
        <f>ROUND(SUMPRODUCT(PRODUCT(1+N6:N$37)),4)</f>
        <v>1.6904</v>
      </c>
      <c r="Y6" s="1578">
        <f>ROUND(SUMPRODUCT(PRODUCT(1+O6:O$37)),4)</f>
        <v>1.3963</v>
      </c>
      <c r="Z6" s="1578">
        <f t="shared" ref="Z6" si="22">Y6</f>
        <v>1.3963</v>
      </c>
      <c r="AA6" s="1578">
        <f>ROUND(SUMPRODUCT(PRODUCT(1+P6:P$37)),4)</f>
        <v>1.7797</v>
      </c>
      <c r="AB6" s="1578">
        <f>ROUND(SUMPRODUCT(PRODUCT(1+Q6:Q$37)),4)</f>
        <v>1.4727</v>
      </c>
      <c r="AC6" s="1578"/>
      <c r="AD6" s="1633">
        <f>ROUND(AVERAGE(I6:I$37)/100,4)</f>
        <v>0.0166</v>
      </c>
      <c r="AE6" s="1633">
        <f>ROUND(AVERAGE(J6:J$37)/100,4)</f>
        <v>0.0105</v>
      </c>
      <c r="AF6" s="1633">
        <f t="shared" ref="AF6" si="23">AE6</f>
        <v>0.0105</v>
      </c>
      <c r="AG6" s="1633">
        <f>ROUND(AVERAGE(K6:K$37)/100,4)</f>
        <v>0.0183</v>
      </c>
      <c r="AH6" s="1633">
        <f>ROUND(AVERAGE(L6:L$37)/100,4)</f>
        <v>0.0122</v>
      </c>
    </row>
    <row r="7" s="1574" customFormat="1" spans="1:34">
      <c r="A7" s="1594" t="s">
        <v>1818</v>
      </c>
      <c r="B7" s="1595">
        <f t="shared" ref="B7" si="24">B8*(1+N7)</f>
        <v>504.870728096156</v>
      </c>
      <c r="C7" s="1595">
        <f t="shared" ref="C7" si="25">C8*(1+O7)</f>
        <v>351.71182348102</v>
      </c>
      <c r="D7" s="1595">
        <f t="shared" ref="D7" si="26">C7</f>
        <v>351.71182348102</v>
      </c>
      <c r="E7" s="1595">
        <f t="shared" ref="E7" si="27">E8*(1+P7)</f>
        <v>728.753508583608</v>
      </c>
      <c r="F7" s="1595">
        <f t="shared" ref="F7" si="28">F8*(1+Q7)</f>
        <v>334.045939316737</v>
      </c>
      <c r="G7" s="1590">
        <v>2021</v>
      </c>
      <c r="H7" s="1596">
        <v>3</v>
      </c>
      <c r="I7" s="1630">
        <v>0.47</v>
      </c>
      <c r="J7" s="1630">
        <v>0.41</v>
      </c>
      <c r="K7" s="1630">
        <v>0.48</v>
      </c>
      <c r="L7" s="1631">
        <v>0.48</v>
      </c>
      <c r="M7" s="1578"/>
      <c r="N7" s="1632">
        <f t="shared" ref="N7" si="29">I7/100</f>
        <v>0.0047</v>
      </c>
      <c r="O7" s="1633">
        <f t="shared" ref="O7" si="30">J7/100</f>
        <v>0.0041</v>
      </c>
      <c r="P7" s="1633">
        <f t="shared" ref="P7" si="31">K7/100</f>
        <v>0.0048</v>
      </c>
      <c r="Q7" s="1633">
        <f t="shared" ref="Q7" si="32">L7/100</f>
        <v>0.0048</v>
      </c>
      <c r="R7" s="1661"/>
      <c r="S7" s="1639"/>
      <c r="T7" s="1640"/>
      <c r="U7" s="1640"/>
      <c r="V7" s="1640"/>
      <c r="W7" s="1578"/>
      <c r="X7" s="1578">
        <f>ROUND(SUMPRODUCT(PRODUCT(1+N7:N$37)),4)</f>
        <v>1.6904</v>
      </c>
      <c r="Y7" s="1578">
        <f>ROUND(SUMPRODUCT(PRODUCT(1+O7:O$37)),4)</f>
        <v>1.3963</v>
      </c>
      <c r="Z7" s="1578">
        <f t="shared" ref="Z7" si="33">Y7</f>
        <v>1.3963</v>
      </c>
      <c r="AA7" s="1578">
        <f>ROUND(SUMPRODUCT(PRODUCT(1+P7:P$37)),4)</f>
        <v>1.7797</v>
      </c>
      <c r="AB7" s="1578">
        <f>ROUND(SUMPRODUCT(PRODUCT(1+Q7:Q$37)),4)</f>
        <v>1.4727</v>
      </c>
      <c r="AC7" s="1578"/>
      <c r="AD7" s="1633">
        <f>ROUND(AVERAGE(I7:I$37)/100,4)</f>
        <v>0.0172</v>
      </c>
      <c r="AE7" s="1633">
        <f>ROUND(AVERAGE(J7:J$37)/100,4)</f>
        <v>0.0109</v>
      </c>
      <c r="AF7" s="1633">
        <f t="shared" ref="AF7" si="34">AE7</f>
        <v>0.0109</v>
      </c>
      <c r="AG7" s="1633">
        <f>ROUND(AVERAGE(K7:K$37)/100,4)</f>
        <v>0.0189</v>
      </c>
      <c r="AH7" s="1633">
        <f>ROUND(AVERAGE(L7:L$37)/100,4)</f>
        <v>0.0126</v>
      </c>
    </row>
    <row r="8" s="1574" customFormat="1" spans="1:34">
      <c r="A8" s="1594" t="s">
        <v>1819</v>
      </c>
      <c r="B8" s="1595">
        <f t="shared" ref="B8" si="35">B9*(1+N8)</f>
        <v>502.508936096502</v>
      </c>
      <c r="C8" s="1595">
        <f t="shared" ref="C8" si="36">C9*(1+O8)</f>
        <v>350.275693139149</v>
      </c>
      <c r="D8" s="1595">
        <f t="shared" ref="D8" si="37">C8</f>
        <v>350.275693139149</v>
      </c>
      <c r="E8" s="1595">
        <f t="shared" ref="E8" si="38">E9*(1+P8)</f>
        <v>725.272202013941</v>
      </c>
      <c r="F8" s="1595">
        <f t="shared" ref="F8" si="39">F9*(1+Q8)</f>
        <v>332.450178460128</v>
      </c>
      <c r="G8" s="1590">
        <v>2021</v>
      </c>
      <c r="H8" s="1596">
        <v>2</v>
      </c>
      <c r="I8" s="1630">
        <v>0.92</v>
      </c>
      <c r="J8" s="1630">
        <v>0.72</v>
      </c>
      <c r="K8" s="1630">
        <v>0.95</v>
      </c>
      <c r="L8" s="1631">
        <v>1.01</v>
      </c>
      <c r="M8" s="1578"/>
      <c r="N8" s="1632">
        <f t="shared" ref="N8" si="40">I8/100</f>
        <v>0.0092</v>
      </c>
      <c r="O8" s="1633">
        <f t="shared" ref="O8" si="41">J8/100</f>
        <v>0.0072</v>
      </c>
      <c r="P8" s="1633">
        <f t="shared" ref="P8" si="42">K8/100</f>
        <v>0.0095</v>
      </c>
      <c r="Q8" s="1633">
        <f t="shared" ref="Q8" si="43">L8/100</f>
        <v>0.0101</v>
      </c>
      <c r="R8" s="1661"/>
      <c r="S8" s="1639"/>
      <c r="T8" s="1640"/>
      <c r="U8" s="1640"/>
      <c r="V8" s="1640"/>
      <c r="W8" s="1578"/>
      <c r="X8" s="1578">
        <f>ROUND(SUMPRODUCT(PRODUCT(1+N8:N$37)),4)</f>
        <v>1.6825</v>
      </c>
      <c r="Y8" s="1578">
        <f>ROUND(SUMPRODUCT(PRODUCT(1+O8:O$37)),4)</f>
        <v>1.3906</v>
      </c>
      <c r="Z8" s="1578">
        <f t="shared" ref="Z8" si="44">Y8</f>
        <v>1.3906</v>
      </c>
      <c r="AA8" s="1578">
        <f>ROUND(SUMPRODUCT(PRODUCT(1+P8:P$37)),4)</f>
        <v>1.7712</v>
      </c>
      <c r="AB8" s="1578">
        <f>ROUND(SUMPRODUCT(PRODUCT(1+Q8:Q$37)),4)</f>
        <v>1.4657</v>
      </c>
      <c r="AC8" s="1578"/>
      <c r="AD8" s="1633">
        <f>ROUND(AVERAGE(I8:I$37)/100,4)</f>
        <v>0.0176</v>
      </c>
      <c r="AE8" s="1633">
        <f>ROUND(AVERAGE(J8:J$37)/100,4)</f>
        <v>0.0111</v>
      </c>
      <c r="AF8" s="1633">
        <f t="shared" ref="AF8" si="45">AE8</f>
        <v>0.0111</v>
      </c>
      <c r="AG8" s="1633">
        <f>ROUND(AVERAGE(K8:K$37)/100,4)</f>
        <v>0.0194</v>
      </c>
      <c r="AH8" s="1633">
        <f>ROUND(AVERAGE(L8:L$37)/100,4)</f>
        <v>0.0128</v>
      </c>
    </row>
    <row r="9" s="1574" customFormat="1" spans="1:34">
      <c r="A9" s="1594" t="s">
        <v>1820</v>
      </c>
      <c r="B9" s="1595">
        <f t="shared" ref="B9" si="46">B10*(1+N9)</f>
        <v>497.927998510208</v>
      </c>
      <c r="C9" s="1595">
        <f t="shared" ref="C9" si="47">C10*(1+O9)</f>
        <v>347.771736635374</v>
      </c>
      <c r="D9" s="1595">
        <f t="shared" ref="D9" si="48">C9</f>
        <v>347.771736635374</v>
      </c>
      <c r="E9" s="1595">
        <f t="shared" ref="E9" si="49">E10*(1+P9)</f>
        <v>718.446955932582</v>
      </c>
      <c r="F9" s="1595">
        <f t="shared" ref="F9" si="50">F10*(1+Q9)</f>
        <v>329.126005801532</v>
      </c>
      <c r="G9" s="1590">
        <v>2021</v>
      </c>
      <c r="H9" s="1596">
        <v>1</v>
      </c>
      <c r="I9" s="1630">
        <v>0.97</v>
      </c>
      <c r="J9" s="1630">
        <v>0.16</v>
      </c>
      <c r="K9" s="1630">
        <v>1.11</v>
      </c>
      <c r="L9" s="1631">
        <v>0.36</v>
      </c>
      <c r="M9" s="1578"/>
      <c r="N9" s="1632">
        <f t="shared" ref="N9" si="51">I9/100</f>
        <v>0.0097</v>
      </c>
      <c r="O9" s="1633">
        <f t="shared" ref="O9" si="52">J9/100</f>
        <v>0.0016</v>
      </c>
      <c r="P9" s="1633">
        <f t="shared" ref="P9" si="53">K9/100</f>
        <v>0.0111</v>
      </c>
      <c r="Q9" s="1633">
        <f t="shared" ref="Q9" si="54">L9/100</f>
        <v>0.0036</v>
      </c>
      <c r="R9" s="1661"/>
      <c r="S9" s="1639">
        <f>B9/B10-1</f>
        <v>0.00970000000000004</v>
      </c>
      <c r="T9" s="1640">
        <f>C9/C10-1</f>
        <v>0.00160000000000005</v>
      </c>
      <c r="U9" s="1640">
        <f>E9/E10-1</f>
        <v>0.0111000000000001</v>
      </c>
      <c r="V9" s="1640">
        <f>F9/F10-1</f>
        <v>0.00360000000000005</v>
      </c>
      <c r="W9" s="1578"/>
      <c r="X9" s="1578">
        <f>ROUND(SUMPRODUCT(PRODUCT(1+N9:N$37)),4)</f>
        <v>1.6671</v>
      </c>
      <c r="Y9" s="1578">
        <f>ROUND(SUMPRODUCT(PRODUCT(1+O9:O$37)),4)</f>
        <v>1.3807</v>
      </c>
      <c r="Z9" s="1578">
        <f t="shared" ref="Z9" si="55">Y9</f>
        <v>1.3807</v>
      </c>
      <c r="AA9" s="1578">
        <f>ROUND(SUMPRODUCT(PRODUCT(1+P9:P$37)),4)</f>
        <v>1.7546</v>
      </c>
      <c r="AB9" s="1578">
        <f>ROUND(SUMPRODUCT(PRODUCT(1+Q9:Q$37)),4)</f>
        <v>1.451</v>
      </c>
      <c r="AC9" s="1578"/>
      <c r="AD9" s="1633">
        <f>ROUND(AVERAGE(I9:I$37)/100,4)</f>
        <v>0.0179</v>
      </c>
      <c r="AE9" s="1633">
        <f>ROUND(AVERAGE(J9:J$37)/100,4)</f>
        <v>0.0112</v>
      </c>
      <c r="AF9" s="1633">
        <f t="shared" ref="AF9" si="56">AE9</f>
        <v>0.0112</v>
      </c>
      <c r="AG9" s="1633">
        <f>ROUND(AVERAGE(K9:K$37)/100,4)</f>
        <v>0.0197</v>
      </c>
      <c r="AH9" s="1633">
        <f>ROUND(AVERAGE(L9:L$37)/100,4)</f>
        <v>0.0129</v>
      </c>
    </row>
    <row r="10" s="1574" customFormat="1" spans="1:34">
      <c r="A10" s="1594" t="s">
        <v>1821</v>
      </c>
      <c r="B10" s="1595">
        <f t="shared" ref="B10" si="57">B11*(1+N10)</f>
        <v>493.144496890372</v>
      </c>
      <c r="C10" s="1595">
        <f t="shared" ref="C10" si="58">C11*(1+O10)</f>
        <v>347.216190730206</v>
      </c>
      <c r="D10" s="1595">
        <f t="shared" ref="D10" si="59">C10</f>
        <v>347.216190730206</v>
      </c>
      <c r="E10" s="1595">
        <f t="shared" ref="E10" si="60">E11*(1+P10)</f>
        <v>710.559742787639</v>
      </c>
      <c r="F10" s="1595">
        <f t="shared" ref="F10" si="61">F11*(1+Q10)</f>
        <v>327.945402353061</v>
      </c>
      <c r="G10" s="1590">
        <v>2020</v>
      </c>
      <c r="H10" s="1596">
        <v>4</v>
      </c>
      <c r="I10" s="1630">
        <v>2.07</v>
      </c>
      <c r="J10" s="1630">
        <v>0.37</v>
      </c>
      <c r="K10" s="1630">
        <v>2.35</v>
      </c>
      <c r="L10" s="1631">
        <v>2.69</v>
      </c>
      <c r="M10" s="1578"/>
      <c r="N10" s="1632">
        <f t="shared" ref="N10" si="62">I10/100</f>
        <v>0.0207</v>
      </c>
      <c r="O10" s="1633">
        <f t="shared" ref="O10" si="63">J10/100</f>
        <v>0.0037</v>
      </c>
      <c r="P10" s="1633">
        <f t="shared" ref="P10" si="64">K10/100</f>
        <v>0.0235</v>
      </c>
      <c r="Q10" s="1633">
        <f t="shared" ref="Q10" si="65">L10/100</f>
        <v>0.0269</v>
      </c>
      <c r="R10" s="1661"/>
      <c r="S10" s="1639"/>
      <c r="T10" s="1640"/>
      <c r="U10" s="1640"/>
      <c r="V10" s="1640"/>
      <c r="W10" s="1578"/>
      <c r="X10" s="1578">
        <f>ROUND(SUMPRODUCT(PRODUCT(1+N10:N$37)),4)</f>
        <v>1.6511</v>
      </c>
      <c r="Y10" s="1578">
        <f>ROUND(SUMPRODUCT(PRODUCT(1+O10:O$37)),4)</f>
        <v>1.3785</v>
      </c>
      <c r="Z10" s="1578">
        <f t="shared" ref="Z10" si="66">Y10</f>
        <v>1.3785</v>
      </c>
      <c r="AA10" s="1578">
        <f>ROUND(SUMPRODUCT(PRODUCT(1+P10:P$37)),4)</f>
        <v>1.7353</v>
      </c>
      <c r="AB10" s="1578">
        <f>ROUND(SUMPRODUCT(PRODUCT(1+Q10:Q$37)),4)</f>
        <v>1.4458</v>
      </c>
      <c r="AC10" s="1578"/>
      <c r="AD10" s="1633">
        <f>ROUND(AVERAGE(I10:I$37)/100,4)</f>
        <v>0.0182</v>
      </c>
      <c r="AE10" s="1633">
        <f>ROUND(AVERAGE(J10:J$37)/100,4)</f>
        <v>0.0116</v>
      </c>
      <c r="AF10" s="1633">
        <f t="shared" ref="AF10" si="67">AE10</f>
        <v>0.0116</v>
      </c>
      <c r="AG10" s="1633">
        <f>ROUND(AVERAGE(K10:K$37)/100,4)</f>
        <v>0.02</v>
      </c>
      <c r="AH10" s="1633">
        <f>ROUND(AVERAGE(L10:L$37)/100,4)</f>
        <v>0.0133</v>
      </c>
    </row>
    <row r="11" s="1574" customFormat="1" spans="1:34">
      <c r="A11" s="1594" t="s">
        <v>1822</v>
      </c>
      <c r="B11" s="1595">
        <f t="shared" ref="B11" si="68">B12*(1+N11)</f>
        <v>483.143427932176</v>
      </c>
      <c r="C11" s="1595">
        <f t="shared" ref="C11" si="69">C12*(1+O11)</f>
        <v>345.936226691448</v>
      </c>
      <c r="D11" s="1595">
        <f t="shared" ref="D11" si="70">C11</f>
        <v>345.936226691448</v>
      </c>
      <c r="E11" s="1595">
        <f t="shared" ref="E11" si="71">E12*(1+P11)</f>
        <v>694.244985625441</v>
      </c>
      <c r="F11" s="1595">
        <f t="shared" ref="F11" si="72">F12*(1+Q11)</f>
        <v>319.354759327161</v>
      </c>
      <c r="G11" s="1590">
        <v>2020</v>
      </c>
      <c r="H11" s="1596">
        <v>3</v>
      </c>
      <c r="I11" s="1630">
        <v>0.36</v>
      </c>
      <c r="J11" s="1630">
        <v>-0.39</v>
      </c>
      <c r="K11" s="1630">
        <v>0.49</v>
      </c>
      <c r="L11" s="1631">
        <v>0.07</v>
      </c>
      <c r="M11" s="1578"/>
      <c r="N11" s="1632">
        <f t="shared" ref="N11" si="73">I11/100</f>
        <v>0.0036</v>
      </c>
      <c r="O11" s="1633">
        <f t="shared" ref="O11" si="74">J11/100</f>
        <v>-0.0039</v>
      </c>
      <c r="P11" s="1633">
        <f t="shared" ref="P11" si="75">K11/100</f>
        <v>0.0049</v>
      </c>
      <c r="Q11" s="1633">
        <f t="shared" ref="Q11" si="76">L11/100</f>
        <v>0.0007</v>
      </c>
      <c r="R11" s="1661"/>
      <c r="S11" s="1639"/>
      <c r="T11" s="1640"/>
      <c r="U11" s="1640"/>
      <c r="V11" s="1640"/>
      <c r="W11" s="1578"/>
      <c r="X11" s="1578">
        <f>ROUND(SUMPRODUCT(PRODUCT(1+N11:N$37)),4)</f>
        <v>1.6176</v>
      </c>
      <c r="Y11" s="1578">
        <f>ROUND(SUMPRODUCT(PRODUCT(1+O11:O$37)),4)</f>
        <v>1.3734</v>
      </c>
      <c r="Z11" s="1578">
        <f t="shared" ref="Z11" si="77">Y11</f>
        <v>1.3734</v>
      </c>
      <c r="AA11" s="1578">
        <f>ROUND(SUMPRODUCT(PRODUCT(1+P11:P$37)),4)</f>
        <v>1.6955</v>
      </c>
      <c r="AB11" s="1578">
        <f>ROUND(SUMPRODUCT(PRODUCT(1+Q11:Q$37)),4)</f>
        <v>1.4079</v>
      </c>
      <c r="AC11" s="1578"/>
      <c r="AD11" s="1633">
        <f>ROUND(AVERAGE(I11:I$37)/100,4)</f>
        <v>0.0181</v>
      </c>
      <c r="AE11" s="1633">
        <f>ROUND(AVERAGE(J11:J$37)/100,4)</f>
        <v>0.0119</v>
      </c>
      <c r="AF11" s="1633">
        <f t="shared" ref="AF11" si="78">AE11</f>
        <v>0.0119</v>
      </c>
      <c r="AG11" s="1633">
        <f>ROUND(AVERAGE(K11:K$37)/100,4)</f>
        <v>0.0199</v>
      </c>
      <c r="AH11" s="1633">
        <f>ROUND(AVERAGE(L11:L$37)/100,4)</f>
        <v>0.0128</v>
      </c>
    </row>
    <row r="12" s="1574" customFormat="1" spans="1:34">
      <c r="A12" s="1594" t="s">
        <v>1823</v>
      </c>
      <c r="B12" s="1595">
        <f t="shared" ref="B12" si="79">B13*(1+N12)</f>
        <v>481.410350669764</v>
      </c>
      <c r="C12" s="1595">
        <f t="shared" ref="C12" si="80">C13*(1+O12)</f>
        <v>347.290660266487</v>
      </c>
      <c r="D12" s="1595">
        <f t="shared" ref="D12" si="81">C12</f>
        <v>347.290660266487</v>
      </c>
      <c r="E12" s="1595">
        <f t="shared" ref="E12" si="82">E13*(1+P12)</f>
        <v>690.85977273902</v>
      </c>
      <c r="F12" s="1595">
        <f t="shared" ref="F12" si="83">F13*(1+Q12)</f>
        <v>319.131367370002</v>
      </c>
      <c r="G12" s="1590">
        <v>2020</v>
      </c>
      <c r="H12" s="1596">
        <v>2</v>
      </c>
      <c r="I12" s="1630">
        <v>0.31</v>
      </c>
      <c r="J12" s="1630">
        <v>-0.78</v>
      </c>
      <c r="K12" s="1630">
        <v>0.5</v>
      </c>
      <c r="L12" s="1631">
        <v>0.47</v>
      </c>
      <c r="M12" s="1578"/>
      <c r="N12" s="1632">
        <f t="shared" ref="N12" si="84">I12/100</f>
        <v>0.0031</v>
      </c>
      <c r="O12" s="1633">
        <f t="shared" ref="O12" si="85">J12/100</f>
        <v>-0.0078</v>
      </c>
      <c r="P12" s="1633">
        <f t="shared" ref="P12" si="86">K12/100</f>
        <v>0.005</v>
      </c>
      <c r="Q12" s="1633">
        <f t="shared" ref="Q12" si="87">L12/100</f>
        <v>0.0047</v>
      </c>
      <c r="R12" s="1661"/>
      <c r="S12" s="1639"/>
      <c r="T12" s="1640"/>
      <c r="U12" s="1640"/>
      <c r="V12" s="1640"/>
      <c r="W12" s="1578"/>
      <c r="X12" s="1578">
        <f>ROUND(SUMPRODUCT(PRODUCT(1+N12:N$37)),4)</f>
        <v>1.6118</v>
      </c>
      <c r="Y12" s="1578">
        <f>ROUND(SUMPRODUCT(PRODUCT(1+O12:O$37)),4)</f>
        <v>1.3788</v>
      </c>
      <c r="Z12" s="1578">
        <f t="shared" ref="Z12" si="88">Y12</f>
        <v>1.3788</v>
      </c>
      <c r="AA12" s="1578">
        <f>ROUND(SUMPRODUCT(PRODUCT(1+P12:P$37)),4)</f>
        <v>1.6872</v>
      </c>
      <c r="AB12" s="1578">
        <f>ROUND(SUMPRODUCT(PRODUCT(1+Q12:Q$37)),4)</f>
        <v>1.4069</v>
      </c>
      <c r="AC12" s="1578"/>
      <c r="AD12" s="1633">
        <f>ROUND(AVERAGE(I12:I$37)/100,4)</f>
        <v>0.0186</v>
      </c>
      <c r="AE12" s="1633">
        <f>ROUND(AVERAGE(J12:J$37)/100,4)</f>
        <v>0.0125</v>
      </c>
      <c r="AF12" s="1633">
        <f t="shared" ref="AF12" si="89">AE12</f>
        <v>0.0125</v>
      </c>
      <c r="AG12" s="1633">
        <f>ROUND(AVERAGE(K12:K$37)/100,4)</f>
        <v>0.0204</v>
      </c>
      <c r="AH12" s="1633">
        <f>ROUND(AVERAGE(L12:L$37)/100,4)</f>
        <v>0.0132</v>
      </c>
    </row>
    <row r="13" s="1574" customFormat="1" spans="1:34">
      <c r="A13" s="1594" t="s">
        <v>1824</v>
      </c>
      <c r="B13" s="1595">
        <f t="shared" ref="B13" si="90">B14*(1+N13)</f>
        <v>479.922590638784</v>
      </c>
      <c r="C13" s="1595">
        <f t="shared" ref="C13" si="91">C14*(1+O13)</f>
        <v>350.020822683418</v>
      </c>
      <c r="D13" s="1595">
        <f t="shared" ref="D13" si="92">C13</f>
        <v>350.020822683418</v>
      </c>
      <c r="E13" s="1595">
        <f t="shared" ref="E13" si="93">E14*(1+P13)</f>
        <v>687.422659441811</v>
      </c>
      <c r="F13" s="1595">
        <f t="shared" ref="F13" si="94">F14*(1+Q13)</f>
        <v>317.63846657709</v>
      </c>
      <c r="G13" s="1590">
        <v>2020</v>
      </c>
      <c r="H13" s="1596">
        <v>1</v>
      </c>
      <c r="I13" s="1630">
        <v>0.12</v>
      </c>
      <c r="J13" s="1630">
        <v>-0.4</v>
      </c>
      <c r="K13" s="1630">
        <v>0.21</v>
      </c>
      <c r="L13" s="1631">
        <v>0.27</v>
      </c>
      <c r="M13" s="1578"/>
      <c r="N13" s="1632">
        <f t="shared" ref="N13" si="95">I13/100</f>
        <v>0.0012</v>
      </c>
      <c r="O13" s="1633">
        <f t="shared" ref="O13" si="96">J13/100</f>
        <v>-0.004</v>
      </c>
      <c r="P13" s="1633">
        <f t="shared" ref="P13" si="97">K13/100</f>
        <v>0.0021</v>
      </c>
      <c r="Q13" s="1633">
        <f t="shared" ref="Q13" si="98">L13/100</f>
        <v>0.0027</v>
      </c>
      <c r="R13" s="1661"/>
      <c r="S13" s="1639">
        <f>B13/B14-1</f>
        <v>0.00120000000000009</v>
      </c>
      <c r="T13" s="1640">
        <f>C13/C14-1</f>
        <v>-0.004</v>
      </c>
      <c r="U13" s="1640">
        <f>E13/E14-1</f>
        <v>0.00209999999999999</v>
      </c>
      <c r="V13" s="1640">
        <f>F13/F14-1</f>
        <v>0.00269999999999992</v>
      </c>
      <c r="W13" s="1578"/>
      <c r="X13" s="1578">
        <f>ROUND(SUMPRODUCT(PRODUCT(1+N13:N$37)),4)</f>
        <v>1.6068</v>
      </c>
      <c r="Y13" s="1578">
        <f>ROUND(SUMPRODUCT(PRODUCT(1+O13:O$37)),4)</f>
        <v>1.3896</v>
      </c>
      <c r="Z13" s="1578">
        <f t="shared" ref="Z13:Z36" si="99">Y13</f>
        <v>1.3896</v>
      </c>
      <c r="AA13" s="1578">
        <f>ROUND(SUMPRODUCT(PRODUCT(1+P13:P$37)),4)</f>
        <v>1.6788</v>
      </c>
      <c r="AB13" s="1578">
        <f>ROUND(SUMPRODUCT(PRODUCT(1+Q13:Q$37)),4)</f>
        <v>1.4004</v>
      </c>
      <c r="AC13" s="1578"/>
      <c r="AD13" s="1633">
        <f>ROUND(AVERAGE(I13:I$37)/100,4)</f>
        <v>0.0192</v>
      </c>
      <c r="AE13" s="1633">
        <f>ROUND(AVERAGE(J13:J$37)/100,4)</f>
        <v>0.0133</v>
      </c>
      <c r="AF13" s="1633">
        <f t="shared" ref="AF13" si="100">AE13</f>
        <v>0.0133</v>
      </c>
      <c r="AG13" s="1633">
        <f>ROUND(AVERAGE(K13:K$37)/100,4)</f>
        <v>0.0211</v>
      </c>
      <c r="AH13" s="1633">
        <f>ROUND(AVERAGE(L13:L$37)/100,4)</f>
        <v>0.0136</v>
      </c>
    </row>
    <row r="14" s="1574" customFormat="1" spans="1:34">
      <c r="A14" s="1594" t="s">
        <v>1825</v>
      </c>
      <c r="B14" s="1595">
        <f t="shared" ref="B14" si="101">B15*(1+N14)</f>
        <v>479.347373790236</v>
      </c>
      <c r="C14" s="1595">
        <f t="shared" ref="C14" si="102">C15*(1+O14)</f>
        <v>351.426528798612</v>
      </c>
      <c r="D14" s="1595">
        <f t="shared" ref="D14" si="103">C14</f>
        <v>351.426528798612</v>
      </c>
      <c r="E14" s="1595">
        <f t="shared" ref="E14" si="104">E15*(1+P14)</f>
        <v>685.982097038031</v>
      </c>
      <c r="F14" s="1595">
        <f t="shared" ref="F14" si="105">F15*(1+Q14)</f>
        <v>316.78315206651</v>
      </c>
      <c r="G14" s="1590">
        <v>2019</v>
      </c>
      <c r="H14" s="1596">
        <v>4</v>
      </c>
      <c r="I14" s="1596">
        <v>0.45</v>
      </c>
      <c r="J14" s="1596">
        <v>-0.12</v>
      </c>
      <c r="K14" s="1596">
        <v>0.54</v>
      </c>
      <c r="L14" s="1634">
        <v>0.48</v>
      </c>
      <c r="M14" s="1578"/>
      <c r="N14" s="1632">
        <f t="shared" ref="N14" si="106">I14/100</f>
        <v>0.0045</v>
      </c>
      <c r="O14" s="1633">
        <f t="shared" ref="O14" si="107">J14/100</f>
        <v>-0.0012</v>
      </c>
      <c r="P14" s="1633">
        <f t="shared" ref="P14" si="108">K14/100</f>
        <v>0.0054</v>
      </c>
      <c r="Q14" s="1633">
        <f t="shared" ref="Q14" si="109">L14/100</f>
        <v>0.0048</v>
      </c>
      <c r="R14" s="1661"/>
      <c r="S14" s="1639"/>
      <c r="T14" s="1640"/>
      <c r="U14" s="1640"/>
      <c r="V14" s="1640"/>
      <c r="W14" s="1578"/>
      <c r="X14" s="1578">
        <f>ROUND(SUMPRODUCT(PRODUCT(1+N14:N$37)),4)</f>
        <v>1.6049</v>
      </c>
      <c r="Y14" s="1578">
        <f>ROUND(SUMPRODUCT(PRODUCT(1+O14:O$37)),4)</f>
        <v>1.3952</v>
      </c>
      <c r="Z14" s="1578">
        <f t="shared" si="99"/>
        <v>1.3952</v>
      </c>
      <c r="AA14" s="1578">
        <f>ROUND(SUMPRODUCT(PRODUCT(1+P14:P$37)),4)</f>
        <v>1.6753</v>
      </c>
      <c r="AB14" s="1578">
        <f>ROUND(SUMPRODUCT(PRODUCT(1+Q14:Q$37)),4)</f>
        <v>1.3966</v>
      </c>
      <c r="AC14" s="1578"/>
      <c r="AD14" s="1633">
        <f>ROUND(AVERAGE(I14:I$37)/100,4)</f>
        <v>0.02</v>
      </c>
      <c r="AE14" s="1633">
        <f>ROUND(AVERAGE(J14:J$37)/100,4)</f>
        <v>0.014</v>
      </c>
      <c r="AF14" s="1633">
        <f t="shared" ref="AF14" si="110">AE14</f>
        <v>0.014</v>
      </c>
      <c r="AG14" s="1633">
        <f>ROUND(AVERAGE(K14:K$37)/100,4)</f>
        <v>0.0219</v>
      </c>
      <c r="AH14" s="1633">
        <f>ROUND(AVERAGE(L14:L$37)/100,4)</f>
        <v>0.014</v>
      </c>
    </row>
    <row r="15" s="1574" customFormat="1" ht="13.5" spans="1:34">
      <c r="A15" s="1594" t="s">
        <v>1826</v>
      </c>
      <c r="B15" s="1595">
        <f t="shared" ref="B15" si="111">B16*(1+N15)</f>
        <v>477.199973907651</v>
      </c>
      <c r="C15" s="1595">
        <f t="shared" ref="C15" si="112">C16*(1+O15)</f>
        <v>351.848747295367</v>
      </c>
      <c r="D15" s="1595">
        <f t="shared" ref="D15" si="113">C15</f>
        <v>351.848747295367</v>
      </c>
      <c r="E15" s="1595">
        <f t="shared" ref="E15" si="114">E16*(1+P15)</f>
        <v>682.297689514652</v>
      </c>
      <c r="F15" s="1595">
        <f t="shared" ref="F15" si="115">F16*(1+Q15)</f>
        <v>315.26985675409</v>
      </c>
      <c r="G15" s="1590">
        <v>2019</v>
      </c>
      <c r="H15" s="1596">
        <v>3</v>
      </c>
      <c r="I15" s="1596">
        <v>0.61</v>
      </c>
      <c r="J15" s="1596">
        <v>0.67</v>
      </c>
      <c r="K15" s="1596">
        <v>0.6</v>
      </c>
      <c r="L15" s="1634">
        <v>1.03</v>
      </c>
      <c r="M15" s="1578"/>
      <c r="N15" s="1632">
        <f t="shared" ref="N15" si="116">I15/100</f>
        <v>0.0061</v>
      </c>
      <c r="O15" s="1633">
        <f t="shared" ref="O15" si="117">J15/100</f>
        <v>0.0067</v>
      </c>
      <c r="P15" s="1633">
        <f t="shared" ref="P15" si="118">K15/100</f>
        <v>0.006</v>
      </c>
      <c r="Q15" s="1633">
        <f t="shared" ref="Q15" si="119">L15/100</f>
        <v>0.0103</v>
      </c>
      <c r="R15" s="1661"/>
      <c r="S15" s="1639"/>
      <c r="T15" s="1640"/>
      <c r="U15" s="1640"/>
      <c r="V15" s="1640"/>
      <c r="W15" s="1578"/>
      <c r="X15" s="1578">
        <f>ROUND(SUMPRODUCT(PRODUCT(1+N15:N$37)),4)</f>
        <v>1.5977</v>
      </c>
      <c r="Y15" s="1578">
        <f>ROUND(SUMPRODUCT(PRODUCT(1+O15:O$37)),4)</f>
        <v>1.3969</v>
      </c>
      <c r="Z15" s="1578">
        <f t="shared" si="99"/>
        <v>1.3969</v>
      </c>
      <c r="AA15" s="1578">
        <f>ROUND(SUMPRODUCT(PRODUCT(1+P15:P$37)),4)</f>
        <v>1.6663</v>
      </c>
      <c r="AB15" s="1578">
        <f>ROUND(SUMPRODUCT(PRODUCT(1+Q15:Q$37)),4)</f>
        <v>1.3899</v>
      </c>
      <c r="AC15" s="1578"/>
      <c r="AD15" s="1633">
        <f>ROUND(AVERAGE(I15:I$37)/100,4)</f>
        <v>0.0207</v>
      </c>
      <c r="AE15" s="1633">
        <f>ROUND(AVERAGE(J15:J$37)/100,4)</f>
        <v>0.0147</v>
      </c>
      <c r="AF15" s="1633">
        <f t="shared" ref="AF15" si="120">AE15</f>
        <v>0.0147</v>
      </c>
      <c r="AG15" s="1633">
        <f>ROUND(AVERAGE(K15:K$37)/100,4)</f>
        <v>0.0226</v>
      </c>
      <c r="AH15" s="1633">
        <f>ROUND(AVERAGE(L15:L$37)/100,4)</f>
        <v>0.0144</v>
      </c>
    </row>
    <row r="16" s="1574" customFormat="1" spans="1:34">
      <c r="A16" s="1594" t="s">
        <v>1827</v>
      </c>
      <c r="B16" s="1595">
        <f t="shared" ref="B16:B21" si="121">B17*(1+N16)</f>
        <v>474.306703019234</v>
      </c>
      <c r="C16" s="1595">
        <f t="shared" ref="C16" si="122">C17*(1+O16)</f>
        <v>349.507050059965</v>
      </c>
      <c r="D16" s="1595">
        <f t="shared" ref="D16" si="123">C16</f>
        <v>349.507050059965</v>
      </c>
      <c r="E16" s="1595">
        <f t="shared" ref="E16" si="124">E17*(1+P16)</f>
        <v>678.22831959707</v>
      </c>
      <c r="F16" s="1595">
        <f t="shared" ref="F16" si="125">F17*(1+Q16)</f>
        <v>312.055683216956</v>
      </c>
      <c r="G16" s="1590">
        <v>2019</v>
      </c>
      <c r="H16" s="1597">
        <v>2</v>
      </c>
      <c r="I16" s="1597">
        <v>1.53</v>
      </c>
      <c r="J16" s="1597">
        <v>1.01</v>
      </c>
      <c r="K16" s="1597">
        <v>1.62</v>
      </c>
      <c r="L16" s="1635">
        <v>1.25</v>
      </c>
      <c r="M16" s="1578"/>
      <c r="N16" s="1632">
        <f t="shared" ref="N16" si="126">I16/100</f>
        <v>0.0153</v>
      </c>
      <c r="O16" s="1633">
        <f t="shared" ref="O16" si="127">J16/100</f>
        <v>0.0101</v>
      </c>
      <c r="P16" s="1633">
        <f t="shared" ref="P16" si="128">K16/100</f>
        <v>0.0162</v>
      </c>
      <c r="Q16" s="1633">
        <f t="shared" ref="Q16" si="129">L16/100</f>
        <v>0.0125</v>
      </c>
      <c r="R16" s="1661"/>
      <c r="S16" s="1639"/>
      <c r="T16" s="1640"/>
      <c r="U16" s="1640"/>
      <c r="V16" s="1640"/>
      <c r="W16" s="1578"/>
      <c r="X16" s="1578">
        <f>ROUND(SUMPRODUCT(PRODUCT(1+N16:N$37)),4)</f>
        <v>1.588</v>
      </c>
      <c r="Y16" s="1578">
        <f>ROUND(SUMPRODUCT(PRODUCT(1+O16:O$37)),4)</f>
        <v>1.3876</v>
      </c>
      <c r="Z16" s="1578">
        <f t="shared" si="99"/>
        <v>1.3876</v>
      </c>
      <c r="AA16" s="1578">
        <f>ROUND(SUMPRODUCT(PRODUCT(1+P16:P$37)),4)</f>
        <v>1.6563</v>
      </c>
      <c r="AB16" s="1578">
        <f>ROUND(SUMPRODUCT(PRODUCT(1+Q16:Q$37)),4)</f>
        <v>1.3757</v>
      </c>
      <c r="AC16" s="1578"/>
      <c r="AD16" s="1633">
        <f>ROUND(AVERAGE(I16:I$37)/100,4)</f>
        <v>0.0213</v>
      </c>
      <c r="AE16" s="1633">
        <f>ROUND(AVERAGE(J16:J$37)/100,4)</f>
        <v>0.015</v>
      </c>
      <c r="AF16" s="1633">
        <f t="shared" ref="AF16" si="130">AE16</f>
        <v>0.015</v>
      </c>
      <c r="AG16" s="1633">
        <f>ROUND(AVERAGE(K16:K$37)/100,4)</f>
        <v>0.0233</v>
      </c>
      <c r="AH16" s="1633">
        <f>ROUND(AVERAGE(L16:L$37)/100,4)</f>
        <v>0.0146</v>
      </c>
    </row>
    <row r="17" s="1574" customFormat="1" ht="13.5" spans="1:34">
      <c r="A17" s="1594" t="s">
        <v>1828</v>
      </c>
      <c r="B17" s="1595">
        <f t="shared" si="121"/>
        <v>467.159167752619</v>
      </c>
      <c r="C17" s="1595">
        <f t="shared" ref="C17" si="131">C18*(1+O17)</f>
        <v>346.012325571691</v>
      </c>
      <c r="D17" s="1595">
        <f t="shared" ref="D17" si="132">C17</f>
        <v>346.012325571691</v>
      </c>
      <c r="E17" s="1595">
        <f t="shared" ref="E17" si="133">E18*(1+P17)</f>
        <v>667.416177521226</v>
      </c>
      <c r="F17" s="1595">
        <f t="shared" ref="F17" si="134">F18*(1+Q17)</f>
        <v>308.203143917981</v>
      </c>
      <c r="G17" s="1590">
        <v>2019</v>
      </c>
      <c r="H17" s="1596">
        <v>1</v>
      </c>
      <c r="I17" s="1596">
        <v>0.6</v>
      </c>
      <c r="J17" s="1596">
        <v>0.37</v>
      </c>
      <c r="K17" s="1596">
        <v>0.63</v>
      </c>
      <c r="L17" s="1634">
        <v>1.13</v>
      </c>
      <c r="M17" s="1578"/>
      <c r="N17" s="1632">
        <f t="shared" ref="N17" si="135">I17/100</f>
        <v>0.006</v>
      </c>
      <c r="O17" s="1633">
        <f t="shared" ref="O17" si="136">J17/100</f>
        <v>0.0037</v>
      </c>
      <c r="P17" s="1633">
        <f t="shared" ref="P17" si="137">K17/100</f>
        <v>0.0063</v>
      </c>
      <c r="Q17" s="1633">
        <f t="shared" ref="Q17" si="138">L17/100</f>
        <v>0.0113</v>
      </c>
      <c r="R17" s="1661"/>
      <c r="S17" s="1639">
        <f>B17/B18-1</f>
        <v>0.00600000000000001</v>
      </c>
      <c r="T17" s="1640">
        <f>C17/C18-1</f>
        <v>0.00370000000000004</v>
      </c>
      <c r="U17" s="1640">
        <f>E17/E18-1</f>
        <v>0.00629999999999997</v>
      </c>
      <c r="V17" s="1640">
        <f>F17/F18-1</f>
        <v>0.0113000000000001</v>
      </c>
      <c r="W17" s="1578"/>
      <c r="X17" s="1578">
        <f>ROUND(SUMPRODUCT(PRODUCT(1+N17:N$37)),4)</f>
        <v>1.5641</v>
      </c>
      <c r="Y17" s="1578">
        <f>ROUND(SUMPRODUCT(PRODUCT(1+O17:O$37)),4)</f>
        <v>1.3737</v>
      </c>
      <c r="Z17" s="1578">
        <f t="shared" si="99"/>
        <v>1.3737</v>
      </c>
      <c r="AA17" s="1578">
        <f>ROUND(SUMPRODUCT(PRODUCT(1+P17:P$37)),4)</f>
        <v>1.6299</v>
      </c>
      <c r="AB17" s="1578">
        <f>ROUND(SUMPRODUCT(PRODUCT(1+Q17:Q$37)),4)</f>
        <v>1.3588</v>
      </c>
      <c r="AC17" s="1578"/>
      <c r="AD17" s="1633">
        <f>ROUND(AVERAGE(I17:I$37)/100,4)</f>
        <v>0.0216</v>
      </c>
      <c r="AE17" s="1633">
        <f>ROUND(AVERAGE(J17:J$37)/100,4)</f>
        <v>0.0153</v>
      </c>
      <c r="AF17" s="1633">
        <f t="shared" ref="AF17" si="139">AE17</f>
        <v>0.0153</v>
      </c>
      <c r="AG17" s="1633">
        <f>ROUND(AVERAGE(K17:K$37)/100,4)</f>
        <v>0.0237</v>
      </c>
      <c r="AH17" s="1633">
        <f>ROUND(AVERAGE(L17:L$37)/100,4)</f>
        <v>0.0147</v>
      </c>
    </row>
    <row r="18" s="1574" customFormat="1" spans="1:34">
      <c r="A18" s="1594" t="s">
        <v>1829</v>
      </c>
      <c r="B18" s="1598">
        <f t="shared" si="121"/>
        <v>464.372930171589</v>
      </c>
      <c r="C18" s="1598">
        <f t="shared" ref="C18" si="140">C19*(1+O18)</f>
        <v>344.73679941386</v>
      </c>
      <c r="D18" s="1598">
        <f t="shared" ref="D18" si="141">C18</f>
        <v>344.73679941386</v>
      </c>
      <c r="E18" s="1598">
        <f t="shared" ref="E18" si="142">E19*(1+P18)</f>
        <v>663.237779510311</v>
      </c>
      <c r="F18" s="1599">
        <f t="shared" ref="F18" si="143">F19*(1+Q18)</f>
        <v>304.759363114784</v>
      </c>
      <c r="G18" s="1600">
        <v>2018</v>
      </c>
      <c r="H18" s="1597">
        <v>4</v>
      </c>
      <c r="I18" s="1597">
        <v>0.96</v>
      </c>
      <c r="J18" s="1597">
        <v>1.03</v>
      </c>
      <c r="K18" s="1597">
        <v>0.92</v>
      </c>
      <c r="L18" s="1635">
        <v>1.29</v>
      </c>
      <c r="M18" s="1578"/>
      <c r="N18" s="1632">
        <f t="shared" ref="N18" si="144">I18/100</f>
        <v>0.0096</v>
      </c>
      <c r="O18" s="1633">
        <f t="shared" ref="O18" si="145">J18/100</f>
        <v>0.0103</v>
      </c>
      <c r="P18" s="1633">
        <f t="shared" ref="P18" si="146">K18/100</f>
        <v>0.0092</v>
      </c>
      <c r="Q18" s="1633">
        <f t="shared" ref="Q18" si="147">L18/100</f>
        <v>0.0129</v>
      </c>
      <c r="R18" s="1661"/>
      <c r="S18" s="1662"/>
      <c r="T18" s="1663"/>
      <c r="U18" s="1663"/>
      <c r="V18" s="1663"/>
      <c r="W18" s="1578"/>
      <c r="X18" s="1578">
        <f>ROUND(SUMPRODUCT(PRODUCT(1+N18:N$37)),4)</f>
        <v>1.5548</v>
      </c>
      <c r="Y18" s="1578">
        <f>ROUND(SUMPRODUCT(PRODUCT(1+O18:O$37)),4)</f>
        <v>1.3686</v>
      </c>
      <c r="Z18" s="1578">
        <f t="shared" si="99"/>
        <v>1.3686</v>
      </c>
      <c r="AA18" s="1578">
        <f>ROUND(SUMPRODUCT(PRODUCT(1+P18:P$37)),4)</f>
        <v>1.6197</v>
      </c>
      <c r="AB18" s="1578">
        <f>ROUND(SUMPRODUCT(PRODUCT(1+Q18:Q$37)),4)</f>
        <v>1.3436</v>
      </c>
      <c r="AC18" s="1578"/>
      <c r="AD18" s="1633">
        <f>ROUND(AVERAGE(I18:I$37)/100,4)</f>
        <v>0.0224</v>
      </c>
      <c r="AE18" s="1633">
        <f>ROUND(AVERAGE(J18:J$37)/100,4)</f>
        <v>0.0158</v>
      </c>
      <c r="AF18" s="1633">
        <f t="shared" ref="AF18" si="148">AE18</f>
        <v>0.0158</v>
      </c>
      <c r="AG18" s="1633">
        <f>ROUND(AVERAGE(K18:K$37)/100,4)</f>
        <v>0.0245</v>
      </c>
      <c r="AH18" s="1633">
        <f>ROUND(AVERAGE(L18:L$37)/100,4)</f>
        <v>0.0149</v>
      </c>
    </row>
    <row r="19" s="1574" customFormat="1" ht="14.5" customHeight="1" spans="1:34">
      <c r="A19" s="1594" t="s">
        <v>1830</v>
      </c>
      <c r="B19" s="1595">
        <f t="shared" si="121"/>
        <v>459.95733971037</v>
      </c>
      <c r="C19" s="1595">
        <f t="shared" ref="C19" si="149">C20*(1+O19)</f>
        <v>341.222210644224</v>
      </c>
      <c r="D19" s="1595">
        <f t="shared" ref="D19" si="150">C19</f>
        <v>341.222210644224</v>
      </c>
      <c r="E19" s="1595">
        <f t="shared" ref="E19" si="151">E20*(1+P19)</f>
        <v>657.191616637248</v>
      </c>
      <c r="F19" s="1595">
        <f t="shared" ref="F19" si="152">F20*(1+Q19)</f>
        <v>300.878036444648</v>
      </c>
      <c r="G19" s="1600"/>
      <c r="H19" s="1596">
        <v>3</v>
      </c>
      <c r="I19" s="1596">
        <v>1.51</v>
      </c>
      <c r="J19" s="1596">
        <v>1.41</v>
      </c>
      <c r="K19" s="1596">
        <v>1.52</v>
      </c>
      <c r="L19" s="1634">
        <v>1.74</v>
      </c>
      <c r="M19" s="1578"/>
      <c r="N19" s="1632">
        <f t="shared" ref="N19" si="153">I19/100</f>
        <v>0.0151</v>
      </c>
      <c r="O19" s="1633">
        <f t="shared" ref="O19" si="154">J19/100</f>
        <v>0.0141</v>
      </c>
      <c r="P19" s="1633">
        <f t="shared" ref="P19" si="155">K19/100</f>
        <v>0.0152</v>
      </c>
      <c r="Q19" s="1633">
        <f t="shared" ref="Q19" si="156">L19/100</f>
        <v>0.0174</v>
      </c>
      <c r="R19" s="1661"/>
      <c r="S19" s="1632"/>
      <c r="T19" s="1633"/>
      <c r="U19" s="1633"/>
      <c r="V19" s="1633"/>
      <c r="W19" s="1578"/>
      <c r="X19" s="1578">
        <f>ROUND(SUMPRODUCT(PRODUCT(1+N19:N$37)),4)</f>
        <v>1.54</v>
      </c>
      <c r="Y19" s="1578">
        <f>ROUND(SUMPRODUCT(PRODUCT(1+O19:O$37)),4)</f>
        <v>1.3547</v>
      </c>
      <c r="Z19" s="1578">
        <f t="shared" si="99"/>
        <v>1.3547</v>
      </c>
      <c r="AA19" s="1578">
        <f>ROUND(SUMPRODUCT(PRODUCT(1+P19:P$37)),4)</f>
        <v>1.605</v>
      </c>
      <c r="AB19" s="1578">
        <f>ROUND(SUMPRODUCT(PRODUCT(1+Q19:Q$37)),4)</f>
        <v>1.3265</v>
      </c>
      <c r="AC19" s="1578"/>
      <c r="AD19" s="1633">
        <f>ROUND(AVERAGE(I19:I$37)/100,4)</f>
        <v>0.0231</v>
      </c>
      <c r="AE19" s="1633">
        <f>ROUND(AVERAGE(J19:J$37)/100,4)</f>
        <v>0.0161</v>
      </c>
      <c r="AF19" s="1633">
        <f t="shared" ref="AF19" si="157">AE19</f>
        <v>0.0161</v>
      </c>
      <c r="AG19" s="1633">
        <f>ROUND(AVERAGE(K19:K$37)/100,4)</f>
        <v>0.0253</v>
      </c>
      <c r="AH19" s="1633">
        <f>ROUND(AVERAGE(L19:L$37)/100,4)</f>
        <v>0.015</v>
      </c>
    </row>
    <row r="20" s="1574" customFormat="1" ht="14.5" customHeight="1" spans="1:34">
      <c r="A20" s="1594" t="s">
        <v>1831</v>
      </c>
      <c r="B20" s="1595">
        <f t="shared" si="121"/>
        <v>453.1152987</v>
      </c>
      <c r="C20" s="1595">
        <f t="shared" ref="C20" si="158">C21*(1+O20)</f>
        <v>336.47787264</v>
      </c>
      <c r="D20" s="1595">
        <f t="shared" ref="D20" si="159">C20</f>
        <v>336.47787264</v>
      </c>
      <c r="E20" s="1595">
        <f t="shared" ref="E20" si="160">E21*(1+P20)</f>
        <v>647.35186824</v>
      </c>
      <c r="F20" s="1595">
        <f t="shared" ref="F20" si="161">F21*(1+Q20)</f>
        <v>295.73229452</v>
      </c>
      <c r="G20" s="1600"/>
      <c r="H20" s="1601">
        <v>2</v>
      </c>
      <c r="I20" s="1601">
        <v>1.49</v>
      </c>
      <c r="J20" s="1601">
        <v>0.96</v>
      </c>
      <c r="K20" s="1601">
        <v>1.58</v>
      </c>
      <c r="L20" s="1636">
        <v>2.44</v>
      </c>
      <c r="M20" s="1578"/>
      <c r="N20" s="1632">
        <f t="shared" ref="N20" si="162">I20/100</f>
        <v>0.0149</v>
      </c>
      <c r="O20" s="1633">
        <f t="shared" ref="O20" si="163">J20/100</f>
        <v>0.0096</v>
      </c>
      <c r="P20" s="1633">
        <f t="shared" ref="P20" si="164">K20/100</f>
        <v>0.0158</v>
      </c>
      <c r="Q20" s="1633">
        <f t="shared" ref="Q20" si="165">L20/100</f>
        <v>0.0244</v>
      </c>
      <c r="R20" s="1661"/>
      <c r="S20" s="1632"/>
      <c r="T20" s="1633"/>
      <c r="U20" s="1633"/>
      <c r="V20" s="1633"/>
      <c r="W20" s="1578"/>
      <c r="X20" s="1578">
        <f>ROUND(SUMPRODUCT(PRODUCT(1+N20:N$37)),4)</f>
        <v>1.5171</v>
      </c>
      <c r="Y20" s="1578">
        <f>ROUND(SUMPRODUCT(PRODUCT(1+O20:O$37)),4)</f>
        <v>1.3358</v>
      </c>
      <c r="Z20" s="1578">
        <f t="shared" si="99"/>
        <v>1.3358</v>
      </c>
      <c r="AA20" s="1578">
        <f>ROUND(SUMPRODUCT(PRODUCT(1+P20:P$37)),4)</f>
        <v>1.5809</v>
      </c>
      <c r="AB20" s="1578">
        <f>ROUND(SUMPRODUCT(PRODUCT(1+Q20:Q$37)),4)</f>
        <v>1.3038</v>
      </c>
      <c r="AC20" s="1578"/>
      <c r="AD20" s="1633">
        <f>ROUND(AVERAGE(I20:I$37)/100,4)</f>
        <v>0.0235</v>
      </c>
      <c r="AE20" s="1633">
        <f>ROUND(AVERAGE(J20:J$37)/100,4)</f>
        <v>0.0162</v>
      </c>
      <c r="AF20" s="1633">
        <f t="shared" ref="AF20" si="166">AE20</f>
        <v>0.0162</v>
      </c>
      <c r="AG20" s="1633">
        <f>ROUND(AVERAGE(K20:K$37)/100,4)</f>
        <v>0.0259</v>
      </c>
      <c r="AH20" s="1633">
        <f>ROUND(AVERAGE(L20:L$37)/100,4)</f>
        <v>0.0149</v>
      </c>
    </row>
    <row r="21" s="1574" customFormat="1" ht="15" customHeight="1" spans="1:34">
      <c r="A21" s="1594" t="s">
        <v>1832</v>
      </c>
      <c r="B21" s="1595">
        <f t="shared" si="121"/>
        <v>446.463</v>
      </c>
      <c r="C21" s="1595">
        <f t="shared" ref="C21" si="167">C22*(1+O21)</f>
        <v>333.2784</v>
      </c>
      <c r="D21" s="1595">
        <f t="shared" ref="D21:D26" si="168">C21</f>
        <v>333.2784</v>
      </c>
      <c r="E21" s="1595">
        <f t="shared" ref="E21" si="169">E22*(1+P21)</f>
        <v>637.2828</v>
      </c>
      <c r="F21" s="1595">
        <f t="shared" ref="F21" si="170">F22*(1+Q21)</f>
        <v>288.6883</v>
      </c>
      <c r="G21" s="1602"/>
      <c r="H21" s="1596">
        <v>1</v>
      </c>
      <c r="I21" s="1596">
        <v>1.7</v>
      </c>
      <c r="J21" s="1596">
        <v>1.92</v>
      </c>
      <c r="K21" s="1596">
        <v>1.64</v>
      </c>
      <c r="L21" s="1634">
        <v>2.01</v>
      </c>
      <c r="M21" s="1578"/>
      <c r="N21" s="1632">
        <f t="shared" ref="N21:N26" si="171">I21/100</f>
        <v>0.017</v>
      </c>
      <c r="O21" s="1633">
        <f t="shared" ref="O21" si="172">J21/100</f>
        <v>0.0192</v>
      </c>
      <c r="P21" s="1633">
        <f t="shared" ref="P21" si="173">K21/100</f>
        <v>0.0164</v>
      </c>
      <c r="Q21" s="1633">
        <f t="shared" ref="Q21" si="174">L21/100</f>
        <v>0.0201</v>
      </c>
      <c r="R21" s="1661"/>
      <c r="S21" s="1639">
        <f>B21/B22-1</f>
        <v>0.0169999999999999</v>
      </c>
      <c r="T21" s="1640">
        <f>C21/C22-1</f>
        <v>0.0192000000000001</v>
      </c>
      <c r="U21" s="1640">
        <f>E21/E22-1</f>
        <v>0.0164</v>
      </c>
      <c r="V21" s="1640">
        <f>F21/F22-1</f>
        <v>0.0201</v>
      </c>
      <c r="W21" s="1578"/>
      <c r="X21" s="1578">
        <f>ROUND(SUMPRODUCT(PRODUCT(1+N21:N$37)),4)</f>
        <v>1.4948</v>
      </c>
      <c r="Y21" s="1578">
        <f>ROUND(SUMPRODUCT(PRODUCT(1+O21:O$37)),4)</f>
        <v>1.3231</v>
      </c>
      <c r="Z21" s="1578">
        <f t="shared" si="99"/>
        <v>1.3231</v>
      </c>
      <c r="AA21" s="1578">
        <f>ROUND(SUMPRODUCT(PRODUCT(1+P21:P$37)),4)</f>
        <v>1.5564</v>
      </c>
      <c r="AB21" s="1578">
        <f>ROUND(SUMPRODUCT(PRODUCT(1+Q21:Q$37)),4)</f>
        <v>1.2727</v>
      </c>
      <c r="AC21" s="1578"/>
      <c r="AD21" s="1633">
        <f>ROUND(AVERAGE(I21:I$37)/100,4)</f>
        <v>0.024</v>
      </c>
      <c r="AE21" s="1633">
        <f>ROUND(AVERAGE(J21:J$37)/100,4)</f>
        <v>0.0166</v>
      </c>
      <c r="AF21" s="1633">
        <f t="shared" ref="AF21" si="175">AE21</f>
        <v>0.0166</v>
      </c>
      <c r="AG21" s="1633">
        <f>ROUND(AVERAGE(K21:K$37)/100,4)</f>
        <v>0.0265</v>
      </c>
      <c r="AH21" s="1633">
        <f>ROUND(AVERAGE(L21:L$37)/100,4)</f>
        <v>0.0143</v>
      </c>
    </row>
    <row r="22" spans="1:34">
      <c r="A22" s="1594" t="s">
        <v>1833</v>
      </c>
      <c r="B22" s="1598">
        <v>439</v>
      </c>
      <c r="C22" s="1598">
        <v>327</v>
      </c>
      <c r="D22" s="1598">
        <f t="shared" si="168"/>
        <v>327</v>
      </c>
      <c r="E22" s="1598">
        <v>627</v>
      </c>
      <c r="F22" s="1599">
        <v>283</v>
      </c>
      <c r="G22" s="1603">
        <v>2017</v>
      </c>
      <c r="H22" s="1597">
        <v>4</v>
      </c>
      <c r="I22" s="1597">
        <v>1.71</v>
      </c>
      <c r="J22" s="1597">
        <v>1.78</v>
      </c>
      <c r="K22" s="1597">
        <v>1.71</v>
      </c>
      <c r="L22" s="1635">
        <v>1.43</v>
      </c>
      <c r="N22" s="1637">
        <f t="shared" si="171"/>
        <v>0.0171</v>
      </c>
      <c r="O22" s="1638">
        <f t="shared" ref="O22" si="176">J22/100</f>
        <v>0.0178</v>
      </c>
      <c r="P22" s="1638">
        <f t="shared" ref="P22" si="177">K22/100</f>
        <v>0.0171</v>
      </c>
      <c r="Q22" s="1638">
        <f t="shared" ref="Q22" si="178">L22/100</f>
        <v>0.0143</v>
      </c>
      <c r="R22" s="1661"/>
      <c r="S22" s="1662"/>
      <c r="T22" s="1663"/>
      <c r="U22" s="1663"/>
      <c r="V22" s="1663"/>
      <c r="X22" s="1578">
        <f>ROUND(SUMPRODUCT(PRODUCT(1+N22:N$37)),4)</f>
        <v>1.4698</v>
      </c>
      <c r="Y22" s="1578">
        <f>ROUND(SUMPRODUCT(PRODUCT(1+O22:O$37)),4)</f>
        <v>1.2982</v>
      </c>
      <c r="Z22" s="1578">
        <f t="shared" si="99"/>
        <v>1.2982</v>
      </c>
      <c r="AA22" s="1578">
        <f>ROUND(SUMPRODUCT(PRODUCT(1+P22:P$37)),4)</f>
        <v>1.5312</v>
      </c>
      <c r="AB22" s="1578">
        <f>ROUND(SUMPRODUCT(PRODUCT(1+Q22:Q$37)),4)</f>
        <v>1.2476</v>
      </c>
      <c r="AD22" s="1633">
        <f>ROUND(AVERAGE(I22:I$37)/100,4)</f>
        <v>0.0245</v>
      </c>
      <c r="AE22" s="1633">
        <f>ROUND(AVERAGE(J22:J$37)/100,4)</f>
        <v>0.0165</v>
      </c>
      <c r="AF22" s="1633">
        <f t="shared" si="1"/>
        <v>0.0165</v>
      </c>
      <c r="AG22" s="1633">
        <f>ROUND(AVERAGE(K22:K$37)/100,4)</f>
        <v>0.0271</v>
      </c>
      <c r="AH22" s="1633">
        <f>ROUND(AVERAGE(L22:L$37)/100,4)</f>
        <v>0.0139</v>
      </c>
    </row>
    <row r="23" s="1574" customFormat="1" ht="14.5" customHeight="1" spans="1:34">
      <c r="A23" s="1594" t="s">
        <v>1834</v>
      </c>
      <c r="B23" s="1595">
        <f t="shared" ref="B23:C25" si="179">B24*(1+N23)</f>
        <v>431.8073081168</v>
      </c>
      <c r="C23" s="1595">
        <f t="shared" si="179"/>
        <v>320.5788051648</v>
      </c>
      <c r="D23" s="1595">
        <f t="shared" si="168"/>
        <v>320.5788051648</v>
      </c>
      <c r="E23" s="1595">
        <f t="shared" ref="E23:F25" si="180">E24*(1+P23)</f>
        <v>615.961105531968</v>
      </c>
      <c r="F23" s="1595">
        <f t="shared" si="180"/>
        <v>279.467773001088</v>
      </c>
      <c r="G23" s="1600"/>
      <c r="H23" s="1596">
        <v>3</v>
      </c>
      <c r="I23" s="1596">
        <v>2.98</v>
      </c>
      <c r="J23" s="1596">
        <v>2.11</v>
      </c>
      <c r="K23" s="1596">
        <v>3.24</v>
      </c>
      <c r="L23" s="1634">
        <v>1.72</v>
      </c>
      <c r="M23" s="1578"/>
      <c r="N23" s="1632">
        <f t="shared" si="171"/>
        <v>0.0298</v>
      </c>
      <c r="O23" s="1633">
        <f t="shared" ref="O23:O24" si="181">J23/100</f>
        <v>0.0211</v>
      </c>
      <c r="P23" s="1633">
        <f t="shared" ref="P23:P24" si="182">K23/100</f>
        <v>0.0324</v>
      </c>
      <c r="Q23" s="1633">
        <f t="shared" ref="Q23:Q24" si="183">L23/100</f>
        <v>0.0172</v>
      </c>
      <c r="R23" s="1661"/>
      <c r="S23" s="1632"/>
      <c r="T23" s="1633"/>
      <c r="U23" s="1633"/>
      <c r="V23" s="1633"/>
      <c r="W23" s="1578"/>
      <c r="X23" s="1578">
        <f>ROUND(SUMPRODUCT(PRODUCT(1+N23:N$37)),4)</f>
        <v>1.4451</v>
      </c>
      <c r="Y23" s="1578">
        <f>ROUND(SUMPRODUCT(PRODUCT(1+O23:O$37)),4)</f>
        <v>1.2755</v>
      </c>
      <c r="Z23" s="1578">
        <f t="shared" si="99"/>
        <v>1.2755</v>
      </c>
      <c r="AA23" s="1578">
        <f>ROUND(SUMPRODUCT(PRODUCT(1+P23:P$37)),4)</f>
        <v>1.5055</v>
      </c>
      <c r="AB23" s="1578">
        <f>ROUND(SUMPRODUCT(PRODUCT(1+Q23:Q$37)),4)</f>
        <v>1.2301</v>
      </c>
      <c r="AC23" s="1578"/>
      <c r="AD23" s="1633">
        <f>ROUND(AVERAGE(I23:I$37)/100,4)</f>
        <v>0.0249</v>
      </c>
      <c r="AE23" s="1633">
        <f>ROUND(AVERAGE(J23:J$37)/100,4)</f>
        <v>0.0164</v>
      </c>
      <c r="AF23" s="1633">
        <f t="shared" si="1"/>
        <v>0.0164</v>
      </c>
      <c r="AG23" s="1633">
        <f>ROUND(AVERAGE(K23:K$37)/100,4)</f>
        <v>0.0278</v>
      </c>
      <c r="AH23" s="1633">
        <f>ROUND(AVERAGE(L23:L$37)/100,4)</f>
        <v>0.0139</v>
      </c>
    </row>
    <row r="24" s="1570" customFormat="1" ht="14.5" customHeight="1" spans="1:34">
      <c r="A24" s="1594" t="s">
        <v>1835</v>
      </c>
      <c r="B24" s="1595">
        <f t="shared" si="179"/>
        <v>419.311816</v>
      </c>
      <c r="C24" s="1595">
        <f t="shared" si="179"/>
        <v>313.954368</v>
      </c>
      <c r="D24" s="1595">
        <f t="shared" si="168"/>
        <v>313.954368</v>
      </c>
      <c r="E24" s="1595">
        <f t="shared" si="180"/>
        <v>596.63028432</v>
      </c>
      <c r="F24" s="1595">
        <f t="shared" si="180"/>
        <v>274.74220704</v>
      </c>
      <c r="G24" s="1600"/>
      <c r="H24" s="1601">
        <v>2</v>
      </c>
      <c r="I24" s="1601">
        <v>3.4</v>
      </c>
      <c r="J24" s="1601">
        <v>2</v>
      </c>
      <c r="K24" s="1601">
        <v>3.82</v>
      </c>
      <c r="L24" s="1636">
        <v>1.68</v>
      </c>
      <c r="N24" s="1632">
        <f t="shared" si="171"/>
        <v>0.034</v>
      </c>
      <c r="O24" s="1633">
        <f t="shared" si="181"/>
        <v>0.02</v>
      </c>
      <c r="P24" s="1633">
        <f t="shared" si="182"/>
        <v>0.0382</v>
      </c>
      <c r="Q24" s="1633">
        <f t="shared" si="183"/>
        <v>0.0168</v>
      </c>
      <c r="S24" s="1632"/>
      <c r="T24" s="1633"/>
      <c r="U24" s="1633"/>
      <c r="V24" s="1633"/>
      <c r="X24" s="1578">
        <f>ROUND(SUMPRODUCT(PRODUCT(1+N24:N$37)),4)</f>
        <v>1.4033</v>
      </c>
      <c r="Y24" s="1578">
        <f>ROUND(SUMPRODUCT(PRODUCT(1+O24:O$37)),4)</f>
        <v>1.2491</v>
      </c>
      <c r="Z24" s="1578">
        <f t="shared" si="99"/>
        <v>1.2491</v>
      </c>
      <c r="AA24" s="1578">
        <f>ROUND(SUMPRODUCT(PRODUCT(1+P24:P$37)),4)</f>
        <v>1.4582</v>
      </c>
      <c r="AB24" s="1578">
        <f>ROUND(SUMPRODUCT(PRODUCT(1+Q24:Q$37)),4)</f>
        <v>1.2093</v>
      </c>
      <c r="AD24" s="1633">
        <f>ROUND(AVERAGE(I24:I$37)/100,4)</f>
        <v>0.0246</v>
      </c>
      <c r="AE24" s="1633">
        <f>ROUND(AVERAGE(J24:J$37)/100,4)</f>
        <v>0.016</v>
      </c>
      <c r="AF24" s="1633">
        <f t="shared" si="1"/>
        <v>0.016</v>
      </c>
      <c r="AG24" s="1633">
        <f>ROUND(AVERAGE(K24:K$37)/100,4)</f>
        <v>0.0275</v>
      </c>
      <c r="AH24" s="1633">
        <f>ROUND(AVERAGE(L24:L$37)/100,4)</f>
        <v>0.0137</v>
      </c>
    </row>
    <row r="25" s="1574" customFormat="1" ht="15" customHeight="1" spans="1:34">
      <c r="A25" s="1594" t="s">
        <v>1836</v>
      </c>
      <c r="B25" s="1595">
        <f t="shared" si="179"/>
        <v>405.524</v>
      </c>
      <c r="C25" s="1595">
        <f t="shared" si="179"/>
        <v>307.7984</v>
      </c>
      <c r="D25" s="1595">
        <f t="shared" si="168"/>
        <v>307.7984</v>
      </c>
      <c r="E25" s="1595">
        <f t="shared" si="180"/>
        <v>574.6776</v>
      </c>
      <c r="F25" s="1595">
        <f t="shared" si="180"/>
        <v>270.2028</v>
      </c>
      <c r="G25" s="1602"/>
      <c r="H25" s="1596">
        <v>1</v>
      </c>
      <c r="I25" s="1596">
        <v>3.45</v>
      </c>
      <c r="J25" s="1596">
        <v>1.92</v>
      </c>
      <c r="K25" s="1596">
        <v>3.92</v>
      </c>
      <c r="L25" s="1634">
        <v>1.58</v>
      </c>
      <c r="M25" s="1578"/>
      <c r="N25" s="1639">
        <f t="shared" si="171"/>
        <v>0.0345</v>
      </c>
      <c r="O25" s="1640">
        <f t="shared" ref="O25" si="184">J25/100</f>
        <v>0.0192</v>
      </c>
      <c r="P25" s="1640">
        <f t="shared" ref="P25" si="185">K25/100</f>
        <v>0.0392</v>
      </c>
      <c r="Q25" s="1640">
        <f t="shared" ref="Q25" si="186">L25/100</f>
        <v>0.0158</v>
      </c>
      <c r="R25" s="1661"/>
      <c r="S25" s="1639">
        <f>B25/B26-1</f>
        <v>0.0345</v>
      </c>
      <c r="T25" s="1640">
        <f>C25/C26-1</f>
        <v>0.0192000000000001</v>
      </c>
      <c r="U25" s="1640">
        <f>E25/E26-1</f>
        <v>0.0391999999999999</v>
      </c>
      <c r="V25" s="1640">
        <f>F25/F26-1</f>
        <v>0.0158</v>
      </c>
      <c r="W25" s="1578"/>
      <c r="X25" s="1578">
        <f>ROUND(SUMPRODUCT(PRODUCT(1+N25:N$37)),4)</f>
        <v>1.3571</v>
      </c>
      <c r="Y25" s="1578">
        <f>ROUND(SUMPRODUCT(PRODUCT(1+O25:O$37)),4)</f>
        <v>1.2246</v>
      </c>
      <c r="Z25" s="1578">
        <f t="shared" si="99"/>
        <v>1.2246</v>
      </c>
      <c r="AA25" s="1578">
        <f>ROUND(SUMPRODUCT(PRODUCT(1+P25:P$37)),4)</f>
        <v>1.4046</v>
      </c>
      <c r="AB25" s="1578">
        <f>ROUND(SUMPRODUCT(PRODUCT(1+Q25:Q$37)),4)</f>
        <v>1.1893</v>
      </c>
      <c r="AC25" s="1578"/>
      <c r="AD25" s="1633">
        <f>ROUND(AVERAGE(I25:I$37)/100,4)</f>
        <v>0.0239</v>
      </c>
      <c r="AE25" s="1633">
        <f>ROUND(AVERAGE(J25:J$37)/100,4)</f>
        <v>0.0157</v>
      </c>
      <c r="AF25" s="1633">
        <f t="shared" si="1"/>
        <v>0.0157</v>
      </c>
      <c r="AG25" s="1633">
        <f>ROUND(AVERAGE(K25:K$37)/100,4)</f>
        <v>0.0266</v>
      </c>
      <c r="AH25" s="1633">
        <f>ROUND(AVERAGE(L25:L$37)/100,4)</f>
        <v>0.0134</v>
      </c>
    </row>
    <row r="26" spans="1:34">
      <c r="A26" s="1594" t="s">
        <v>1837</v>
      </c>
      <c r="B26" s="1604">
        <v>392</v>
      </c>
      <c r="C26" s="1604">
        <v>302</v>
      </c>
      <c r="D26" s="1604">
        <f t="shared" si="168"/>
        <v>302</v>
      </c>
      <c r="E26" s="1604">
        <v>553</v>
      </c>
      <c r="F26" s="1605">
        <v>266</v>
      </c>
      <c r="G26" s="1603">
        <v>2016</v>
      </c>
      <c r="H26" s="1597">
        <v>4</v>
      </c>
      <c r="I26" s="1597">
        <v>4.56</v>
      </c>
      <c r="J26" s="1597">
        <v>2.15</v>
      </c>
      <c r="K26" s="1597">
        <v>5.32</v>
      </c>
      <c r="L26" s="1635">
        <v>1.57</v>
      </c>
      <c r="N26" s="1632">
        <f t="shared" si="171"/>
        <v>0.0456</v>
      </c>
      <c r="O26" s="1633">
        <f t="shared" ref="O26:Q41" si="187">J26/100</f>
        <v>0.0215</v>
      </c>
      <c r="P26" s="1633">
        <f t="shared" si="187"/>
        <v>0.0532</v>
      </c>
      <c r="Q26" s="1633">
        <f t="shared" si="187"/>
        <v>0.0157</v>
      </c>
      <c r="R26" s="1661"/>
      <c r="S26" s="1662"/>
      <c r="T26" s="1663"/>
      <c r="U26" s="1663"/>
      <c r="V26" s="1663"/>
      <c r="X26" s="1578">
        <f>ROUND(SUMPRODUCT(PRODUCT(1+N26:N$37)),4)</f>
        <v>1.3119</v>
      </c>
      <c r="Y26" s="1578">
        <f>ROUND(SUMPRODUCT(PRODUCT(1+O26:O$37)),4)</f>
        <v>1.2016</v>
      </c>
      <c r="Z26" s="1578">
        <f t="shared" si="99"/>
        <v>1.2016</v>
      </c>
      <c r="AA26" s="1578">
        <f>ROUND(SUMPRODUCT(PRODUCT(1+P26:P$37)),4)</f>
        <v>1.3516</v>
      </c>
      <c r="AB26" s="1578">
        <f>ROUND(SUMPRODUCT(PRODUCT(1+Q26:Q$37)),4)</f>
        <v>1.1708</v>
      </c>
      <c r="AD26" s="1633">
        <f>ROUND(AVERAGE(I26:I$37)/100,4)</f>
        <v>0.023</v>
      </c>
      <c r="AE26" s="1633">
        <f>ROUND(AVERAGE(J26:J$37)/100,4)</f>
        <v>0.0155</v>
      </c>
      <c r="AF26" s="1633">
        <f t="shared" si="1"/>
        <v>0.0155</v>
      </c>
      <c r="AG26" s="1633">
        <f>ROUND(AVERAGE(K26:K$37)/100,4)</f>
        <v>0.0256</v>
      </c>
      <c r="AH26" s="1633">
        <f>ROUND(AVERAGE(L26:L$37)/100,4)</f>
        <v>0.0132</v>
      </c>
    </row>
    <row r="27" spans="1:34">
      <c r="A27" s="1594" t="s">
        <v>1838</v>
      </c>
      <c r="B27" s="1595">
        <f t="shared" ref="B27:C29" si="188">B26/(1+N26)</f>
        <v>374.904361132364</v>
      </c>
      <c r="C27" s="1595">
        <f t="shared" si="188"/>
        <v>295.643661282428</v>
      </c>
      <c r="D27" s="1595">
        <f t="shared" ref="D27:D86" si="189">C27</f>
        <v>295.643661282428</v>
      </c>
      <c r="E27" s="1595">
        <f t="shared" ref="E27:F29" si="190">E26/(1+P26)</f>
        <v>525.066464109381</v>
      </c>
      <c r="F27" s="1595">
        <f t="shared" si="190"/>
        <v>261.888352860096</v>
      </c>
      <c r="G27" s="1600"/>
      <c r="H27" s="1596">
        <v>3</v>
      </c>
      <c r="I27" s="1596">
        <v>4.12</v>
      </c>
      <c r="J27" s="1596">
        <v>2</v>
      </c>
      <c r="K27" s="1596">
        <v>4.79</v>
      </c>
      <c r="L27" s="1634">
        <v>1.97</v>
      </c>
      <c r="N27" s="1632">
        <f t="shared" ref="N27:Q61" si="191">I27/100</f>
        <v>0.0412</v>
      </c>
      <c r="O27" s="1633">
        <f t="shared" si="187"/>
        <v>0.02</v>
      </c>
      <c r="P27" s="1633">
        <f t="shared" si="187"/>
        <v>0.0479</v>
      </c>
      <c r="Q27" s="1633">
        <f t="shared" si="187"/>
        <v>0.0197</v>
      </c>
      <c r="R27" s="1661"/>
      <c r="S27" s="1632"/>
      <c r="T27" s="1633"/>
      <c r="U27" s="1633"/>
      <c r="V27" s="1633"/>
      <c r="X27" s="1578">
        <f>ROUND(SUMPRODUCT(PRODUCT(1+N27:N$37)),4)</f>
        <v>1.2547</v>
      </c>
      <c r="Y27" s="1578">
        <f>ROUND(SUMPRODUCT(PRODUCT(1+O27:O$37)),4)</f>
        <v>1.1763</v>
      </c>
      <c r="Z27" s="1578">
        <f t="shared" si="99"/>
        <v>1.1763</v>
      </c>
      <c r="AA27" s="1578">
        <f>ROUND(SUMPRODUCT(PRODUCT(1+P27:P$37)),4)</f>
        <v>1.2833</v>
      </c>
      <c r="AB27" s="1578">
        <f>ROUND(SUMPRODUCT(PRODUCT(1+Q27:Q$37)),4)</f>
        <v>1.1527</v>
      </c>
      <c r="AD27" s="1633">
        <f>ROUND(AVERAGE(I27:I$37)/100,4)</f>
        <v>0.0209</v>
      </c>
      <c r="AE27" s="1633">
        <f>ROUND(AVERAGE(J27:J$37)/100,4)</f>
        <v>0.0149</v>
      </c>
      <c r="AF27" s="1633">
        <f t="shared" si="1"/>
        <v>0.0149</v>
      </c>
      <c r="AG27" s="1633">
        <f>ROUND(AVERAGE(K27:K$37)/100,4)</f>
        <v>0.0231</v>
      </c>
      <c r="AH27" s="1633">
        <f>ROUND(AVERAGE(L27:L$37)/100,4)</f>
        <v>0.013</v>
      </c>
    </row>
    <row r="28" spans="1:34">
      <c r="A28" s="1594" t="s">
        <v>1839</v>
      </c>
      <c r="B28" s="1595">
        <f t="shared" si="188"/>
        <v>360.069497822094</v>
      </c>
      <c r="C28" s="1595">
        <f t="shared" si="188"/>
        <v>289.846726747478</v>
      </c>
      <c r="D28" s="1595">
        <f t="shared" si="189"/>
        <v>289.846726747478</v>
      </c>
      <c r="E28" s="1595">
        <f t="shared" si="190"/>
        <v>501.065430011815</v>
      </c>
      <c r="F28" s="1595">
        <f t="shared" si="190"/>
        <v>256.82882500745</v>
      </c>
      <c r="G28" s="1600"/>
      <c r="H28" s="1601">
        <v>2</v>
      </c>
      <c r="I28" s="1601">
        <v>3.85</v>
      </c>
      <c r="J28" s="1601">
        <v>1.95</v>
      </c>
      <c r="K28" s="1601">
        <v>4.48</v>
      </c>
      <c r="L28" s="1636">
        <v>1.41</v>
      </c>
      <c r="N28" s="1632">
        <f t="shared" si="191"/>
        <v>0.0385</v>
      </c>
      <c r="O28" s="1633">
        <f t="shared" si="187"/>
        <v>0.0195</v>
      </c>
      <c r="P28" s="1633">
        <f t="shared" si="187"/>
        <v>0.0448</v>
      </c>
      <c r="Q28" s="1633">
        <f t="shared" si="187"/>
        <v>0.0141</v>
      </c>
      <c r="R28" s="1661"/>
      <c r="S28" s="1632"/>
      <c r="T28" s="1633"/>
      <c r="U28" s="1633"/>
      <c r="V28" s="1633"/>
      <c r="X28" s="1578">
        <f>ROUND(SUMPRODUCT(PRODUCT(1+N28:N$37)),4)</f>
        <v>1.205</v>
      </c>
      <c r="Y28" s="1578">
        <f>ROUND(SUMPRODUCT(PRODUCT(1+O28:O$37)),4)</f>
        <v>1.1532</v>
      </c>
      <c r="Z28" s="1578">
        <f t="shared" si="99"/>
        <v>1.1532</v>
      </c>
      <c r="AA28" s="1578">
        <f>ROUND(SUMPRODUCT(PRODUCT(1+P28:P$37)),4)</f>
        <v>1.2247</v>
      </c>
      <c r="AB28" s="1578">
        <f>ROUND(SUMPRODUCT(PRODUCT(1+Q28:Q$37)),4)</f>
        <v>1.1304</v>
      </c>
      <c r="AD28" s="1633">
        <f>ROUND(AVERAGE(I28:I$37)/100,4)</f>
        <v>0.0189</v>
      </c>
      <c r="AE28" s="1633">
        <f>ROUND(AVERAGE(J28:J$37)/100,4)</f>
        <v>0.0144</v>
      </c>
      <c r="AF28" s="1633">
        <f t="shared" si="1"/>
        <v>0.0144</v>
      </c>
      <c r="AG28" s="1633">
        <f>ROUND(AVERAGE(K28:K$37)/100,4)</f>
        <v>0.0206</v>
      </c>
      <c r="AH28" s="1633">
        <f>ROUND(AVERAGE(L28:L$37)/100,4)</f>
        <v>0.0123</v>
      </c>
    </row>
    <row r="29" ht="13.5" spans="1:34">
      <c r="A29" s="1594" t="s">
        <v>1840</v>
      </c>
      <c r="B29" s="1595">
        <f t="shared" si="188"/>
        <v>346.720748986128</v>
      </c>
      <c r="C29" s="1595">
        <f t="shared" si="188"/>
        <v>284.302821723863</v>
      </c>
      <c r="D29" s="1595">
        <f t="shared" si="189"/>
        <v>284.302821723863</v>
      </c>
      <c r="E29" s="1595">
        <f t="shared" si="190"/>
        <v>479.580235463069</v>
      </c>
      <c r="F29" s="1595">
        <f t="shared" si="190"/>
        <v>253.257888775712</v>
      </c>
      <c r="G29" s="1606"/>
      <c r="H29" s="1596">
        <v>1</v>
      </c>
      <c r="I29" s="1596">
        <v>4.09</v>
      </c>
      <c r="J29" s="1596">
        <v>2.93</v>
      </c>
      <c r="K29" s="1596">
        <v>4.54</v>
      </c>
      <c r="L29" s="1634">
        <v>1.48</v>
      </c>
      <c r="N29" s="1632">
        <f t="shared" si="191"/>
        <v>0.0409</v>
      </c>
      <c r="O29" s="1633">
        <f t="shared" si="187"/>
        <v>0.0293</v>
      </c>
      <c r="P29" s="1633">
        <f t="shared" si="187"/>
        <v>0.0454</v>
      </c>
      <c r="Q29" s="1633">
        <f t="shared" si="187"/>
        <v>0.0148</v>
      </c>
      <c r="R29" s="1661"/>
      <c r="S29" s="1639">
        <f>B29/B30-1</f>
        <v>0.0412034504087928</v>
      </c>
      <c r="T29" s="1640">
        <f>C29/C30-1</f>
        <v>0.0263639773424651</v>
      </c>
      <c r="U29" s="1640">
        <f>E29/E30-1</f>
        <v>0.0448371142986264</v>
      </c>
      <c r="V29" s="1640">
        <f>F29/F30-1</f>
        <v>0.0170999549225386</v>
      </c>
      <c r="X29" s="1578">
        <f>ROUND(SUMPRODUCT(PRODUCT(1+N29:N$37)),4)</f>
        <v>1.1604</v>
      </c>
      <c r="Y29" s="1578">
        <f>ROUND(SUMPRODUCT(PRODUCT(1+O29:O$37)),4)</f>
        <v>1.1312</v>
      </c>
      <c r="Z29" s="1578">
        <f t="shared" si="99"/>
        <v>1.1312</v>
      </c>
      <c r="AA29" s="1578">
        <f>ROUND(SUMPRODUCT(PRODUCT(1+P29:P$37)),4)</f>
        <v>1.1722</v>
      </c>
      <c r="AB29" s="1578">
        <f>ROUND(SUMPRODUCT(PRODUCT(1+Q29:Q$37)),4)</f>
        <v>1.1147</v>
      </c>
      <c r="AD29" s="1633">
        <f>ROUND(AVERAGE(I29:I$37)/100,4)</f>
        <v>0.0167</v>
      </c>
      <c r="AE29" s="1633">
        <f>ROUND(AVERAGE(J29:J$37)/100,4)</f>
        <v>0.0138</v>
      </c>
      <c r="AF29" s="1633">
        <f t="shared" si="1"/>
        <v>0.0138</v>
      </c>
      <c r="AG29" s="1633">
        <f>ROUND(AVERAGE(K29:K$37)/100,4)</f>
        <v>0.0179</v>
      </c>
      <c r="AH29" s="1633">
        <f>ROUND(AVERAGE(L29:L$37)/100,4)</f>
        <v>0.0121</v>
      </c>
    </row>
    <row r="30" ht="13.5" spans="1:34">
      <c r="A30" s="1594" t="s">
        <v>1841</v>
      </c>
      <c r="B30" s="1604">
        <v>333</v>
      </c>
      <c r="C30" s="1604">
        <v>277</v>
      </c>
      <c r="D30" s="1604">
        <f t="shared" si="189"/>
        <v>277</v>
      </c>
      <c r="E30" s="1604">
        <v>459</v>
      </c>
      <c r="F30" s="1605">
        <v>249</v>
      </c>
      <c r="G30" s="1607">
        <v>2015</v>
      </c>
      <c r="H30" s="1608">
        <v>4</v>
      </c>
      <c r="I30" s="1608">
        <v>1.63</v>
      </c>
      <c r="J30" s="1608">
        <v>1.11</v>
      </c>
      <c r="K30" s="1608">
        <v>1.77</v>
      </c>
      <c r="L30" s="1641">
        <v>1.89</v>
      </c>
      <c r="N30" s="1637">
        <f t="shared" si="191"/>
        <v>0.0163</v>
      </c>
      <c r="O30" s="1638">
        <f t="shared" si="187"/>
        <v>0.0111</v>
      </c>
      <c r="P30" s="1638">
        <f t="shared" si="187"/>
        <v>0.0177</v>
      </c>
      <c r="Q30" s="1638">
        <f t="shared" si="187"/>
        <v>0.0189</v>
      </c>
      <c r="R30" s="1661"/>
      <c r="X30" s="1578">
        <f>ROUND(SUMPRODUCT(PRODUCT(1+N30:N$37)),4)</f>
        <v>1.1148</v>
      </c>
      <c r="Y30" s="1578">
        <f>ROUND(SUMPRODUCT(PRODUCT(1+O30:O$37)),4)</f>
        <v>1.099</v>
      </c>
      <c r="Z30" s="1578">
        <f t="shared" si="99"/>
        <v>1.099</v>
      </c>
      <c r="AA30" s="1578">
        <f>ROUND(SUMPRODUCT(PRODUCT(1+P30:P$37)),4)</f>
        <v>1.1213</v>
      </c>
      <c r="AB30" s="1578">
        <f>ROUND(SUMPRODUCT(PRODUCT(1+Q30:Q$37)),4)</f>
        <v>1.0984</v>
      </c>
      <c r="AD30" s="1633">
        <f>ROUND(AVERAGE(I30:I$37)/100,4)</f>
        <v>0.0137</v>
      </c>
      <c r="AE30" s="1633">
        <f>ROUND(AVERAGE(J30:J$37)/100,4)</f>
        <v>0.0119</v>
      </c>
      <c r="AF30" s="1633">
        <f t="shared" si="1"/>
        <v>0.0119</v>
      </c>
      <c r="AG30" s="1633">
        <f>ROUND(AVERAGE(K30:K$37)/100,4)</f>
        <v>0.0145</v>
      </c>
      <c r="AH30" s="1633">
        <f>ROUND(AVERAGE(L30:L$37)/100,4)</f>
        <v>0.0118</v>
      </c>
    </row>
    <row r="31" spans="1:34">
      <c r="A31" s="1594" t="s">
        <v>1842</v>
      </c>
      <c r="B31" s="1595">
        <f t="shared" ref="B31:C33" si="192">B30/(1+N30)</f>
        <v>327.659155761094</v>
      </c>
      <c r="C31" s="1595">
        <f t="shared" si="192"/>
        <v>273.959054495104</v>
      </c>
      <c r="D31" s="1595">
        <f t="shared" si="189"/>
        <v>273.959054495104</v>
      </c>
      <c r="E31" s="1595">
        <f t="shared" ref="E31:F33" si="193">E30/(1+P30)</f>
        <v>451.016999115653</v>
      </c>
      <c r="F31" s="1595">
        <f t="shared" si="193"/>
        <v>244.381195406811</v>
      </c>
      <c r="G31" s="1600"/>
      <c r="H31" s="1609">
        <v>3</v>
      </c>
      <c r="I31" s="1609">
        <v>1.65</v>
      </c>
      <c r="J31" s="1609">
        <v>0.92</v>
      </c>
      <c r="K31" s="1609">
        <v>1.88</v>
      </c>
      <c r="L31" s="1642">
        <v>1.26</v>
      </c>
      <c r="N31" s="1632">
        <f t="shared" si="191"/>
        <v>0.0165</v>
      </c>
      <c r="O31" s="1633">
        <f t="shared" si="187"/>
        <v>0.0092</v>
      </c>
      <c r="P31" s="1633">
        <f t="shared" si="187"/>
        <v>0.0188</v>
      </c>
      <c r="Q31" s="1633">
        <f t="shared" si="187"/>
        <v>0.0126</v>
      </c>
      <c r="R31" s="1661"/>
      <c r="S31" s="1632"/>
      <c r="T31" s="1633"/>
      <c r="U31" s="1633"/>
      <c r="V31" s="1633"/>
      <c r="X31" s="1578">
        <f>ROUND(SUMPRODUCT(PRODUCT(1+N31:N$37)),4)</f>
        <v>1.0969</v>
      </c>
      <c r="Y31" s="1578">
        <f>ROUND(SUMPRODUCT(PRODUCT(1+O31:O$37)),4)</f>
        <v>1.0869</v>
      </c>
      <c r="Z31" s="1578">
        <f t="shared" si="99"/>
        <v>1.0869</v>
      </c>
      <c r="AA31" s="1578">
        <f>ROUND(SUMPRODUCT(PRODUCT(1+P31:P$37)),4)</f>
        <v>1.1018</v>
      </c>
      <c r="AB31" s="1578">
        <f>ROUND(SUMPRODUCT(PRODUCT(1+Q31:Q$37)),4)</f>
        <v>1.0781</v>
      </c>
      <c r="AD31" s="1633">
        <f>ROUND(AVERAGE(I31:I$37)/100,4)</f>
        <v>0.0133</v>
      </c>
      <c r="AE31" s="1633">
        <f>ROUND(AVERAGE(J31:J$37)/100,4)</f>
        <v>0.012</v>
      </c>
      <c r="AF31" s="1633">
        <f t="shared" si="1"/>
        <v>0.012</v>
      </c>
      <c r="AG31" s="1633">
        <f>ROUND(AVERAGE(K31:K$37)/100,4)</f>
        <v>0.014</v>
      </c>
      <c r="AH31" s="1633">
        <f>ROUND(AVERAGE(L31:L$37)/100,4)</f>
        <v>0.0108</v>
      </c>
    </row>
    <row r="32" spans="1:34">
      <c r="A32" s="1594" t="s">
        <v>1843</v>
      </c>
      <c r="B32" s="1595">
        <f t="shared" si="192"/>
        <v>322.340536902208</v>
      </c>
      <c r="C32" s="1595">
        <f t="shared" si="192"/>
        <v>271.461607704225</v>
      </c>
      <c r="D32" s="1595">
        <f t="shared" si="189"/>
        <v>271.461607704225</v>
      </c>
      <c r="E32" s="1595">
        <f t="shared" si="193"/>
        <v>442.694345421725</v>
      </c>
      <c r="F32" s="1595">
        <f t="shared" si="193"/>
        <v>241.340307531909</v>
      </c>
      <c r="G32" s="1600"/>
      <c r="H32" s="1601">
        <v>2</v>
      </c>
      <c r="I32" s="1601">
        <v>0.77</v>
      </c>
      <c r="J32" s="1601">
        <v>0.69</v>
      </c>
      <c r="K32" s="1601">
        <v>0.8</v>
      </c>
      <c r="L32" s="1636">
        <v>0.88</v>
      </c>
      <c r="N32" s="1632">
        <f t="shared" si="191"/>
        <v>0.0077</v>
      </c>
      <c r="O32" s="1633">
        <f t="shared" si="187"/>
        <v>0.0069</v>
      </c>
      <c r="P32" s="1633">
        <f t="shared" si="187"/>
        <v>0.008</v>
      </c>
      <c r="Q32" s="1633">
        <f t="shared" si="187"/>
        <v>0.0088</v>
      </c>
      <c r="R32" s="1661"/>
      <c r="S32" s="1632"/>
      <c r="T32" s="1633"/>
      <c r="U32" s="1633"/>
      <c r="V32" s="1633"/>
      <c r="X32" s="1578">
        <f>ROUND(SUMPRODUCT(PRODUCT(1+N32:N$37)),4)</f>
        <v>1.0791</v>
      </c>
      <c r="Y32" s="1578">
        <f>ROUND(SUMPRODUCT(PRODUCT(1+O32:O$37)),4)</f>
        <v>1.077</v>
      </c>
      <c r="Z32" s="1578">
        <f t="shared" si="99"/>
        <v>1.077</v>
      </c>
      <c r="AA32" s="1578">
        <f>ROUND(SUMPRODUCT(PRODUCT(1+P32:P$37)),4)</f>
        <v>1.0814</v>
      </c>
      <c r="AB32" s="1578">
        <f>ROUND(SUMPRODUCT(PRODUCT(1+Q32:Q$37)),4)</f>
        <v>1.0647</v>
      </c>
      <c r="AD32" s="1633">
        <f>ROUND(AVERAGE(I32:I$37)/100,4)</f>
        <v>0.0128</v>
      </c>
      <c r="AE32" s="1633">
        <f>ROUND(AVERAGE(J32:J$37)/100,4)</f>
        <v>0.0125</v>
      </c>
      <c r="AF32" s="1633">
        <f t="shared" si="1"/>
        <v>0.0125</v>
      </c>
      <c r="AG32" s="1633">
        <f>ROUND(AVERAGE(K32:K$37)/100,4)</f>
        <v>0.0132</v>
      </c>
      <c r="AH32" s="1633">
        <f>ROUND(AVERAGE(L32:L$37)/100,4)</f>
        <v>0.0105</v>
      </c>
    </row>
    <row r="33" spans="1:34">
      <c r="A33" s="1594" t="s">
        <v>1844</v>
      </c>
      <c r="B33" s="1595">
        <f t="shared" si="192"/>
        <v>319.877480303868</v>
      </c>
      <c r="C33" s="1595">
        <f t="shared" si="192"/>
        <v>269.601358331736</v>
      </c>
      <c r="D33" s="1595">
        <f t="shared" si="189"/>
        <v>269.601358331736</v>
      </c>
      <c r="E33" s="1595">
        <f t="shared" si="193"/>
        <v>439.180898235838</v>
      </c>
      <c r="F33" s="1595">
        <f t="shared" si="193"/>
        <v>239.235039187063</v>
      </c>
      <c r="G33" s="1606"/>
      <c r="H33" s="1596">
        <v>1</v>
      </c>
      <c r="I33" s="1596">
        <v>0.51</v>
      </c>
      <c r="J33" s="1596">
        <v>0.54</v>
      </c>
      <c r="K33" s="1596">
        <v>0.48</v>
      </c>
      <c r="L33" s="1634">
        <v>0.93</v>
      </c>
      <c r="N33" s="1639">
        <f t="shared" si="191"/>
        <v>0.0051</v>
      </c>
      <c r="O33" s="1640">
        <f t="shared" si="187"/>
        <v>0.0054</v>
      </c>
      <c r="P33" s="1640">
        <f t="shared" si="187"/>
        <v>0.0048</v>
      </c>
      <c r="Q33" s="1640">
        <f t="shared" si="187"/>
        <v>0.0093</v>
      </c>
      <c r="R33" s="1661"/>
      <c r="S33" s="1639">
        <f>B33/B34-1</f>
        <v>0.00590402611279228</v>
      </c>
      <c r="T33" s="1640">
        <f>C33/C34-1</f>
        <v>0.00597521765573328</v>
      </c>
      <c r="U33" s="1640">
        <f>E33/E34-1</f>
        <v>0.00499061381198596</v>
      </c>
      <c r="V33" s="1640">
        <f>F33/F34-1</f>
        <v>0.00943054509309338</v>
      </c>
      <c r="X33" s="1578">
        <f>ROUND(SUMPRODUCT(PRODUCT(1+N33:N$37)),4)</f>
        <v>1.0708</v>
      </c>
      <c r="Y33" s="1578">
        <f>ROUND(SUMPRODUCT(PRODUCT(1+O33:O$37)),4)</f>
        <v>1.0696</v>
      </c>
      <c r="Z33" s="1578">
        <f t="shared" si="99"/>
        <v>1.0696</v>
      </c>
      <c r="AA33" s="1578">
        <f>ROUND(SUMPRODUCT(PRODUCT(1+P33:P$37)),4)</f>
        <v>1.0728</v>
      </c>
      <c r="AB33" s="1578">
        <f>ROUND(SUMPRODUCT(PRODUCT(1+Q33:Q$37)),4)</f>
        <v>1.0554</v>
      </c>
      <c r="AD33" s="1633">
        <f>ROUND(AVERAGE(I33:I$37)/100,4)</f>
        <v>0.0138</v>
      </c>
      <c r="AE33" s="1633">
        <f>ROUND(AVERAGE(J33:J$37)/100,4)</f>
        <v>0.0136</v>
      </c>
      <c r="AF33" s="1633">
        <f t="shared" si="1"/>
        <v>0.0136</v>
      </c>
      <c r="AG33" s="1633">
        <f>ROUND(AVERAGE(K33:K$37)/100,4)</f>
        <v>0.0142</v>
      </c>
      <c r="AH33" s="1633">
        <f>ROUND(AVERAGE(L33:L$37)/100,4)</f>
        <v>0.0108</v>
      </c>
    </row>
    <row r="34" ht="13.5" spans="1:34">
      <c r="A34" s="1594" t="s">
        <v>1845</v>
      </c>
      <c r="B34" s="1610">
        <v>318</v>
      </c>
      <c r="C34" s="1610">
        <v>268</v>
      </c>
      <c r="D34" s="1610">
        <f t="shared" si="189"/>
        <v>268</v>
      </c>
      <c r="E34" s="1610">
        <v>437</v>
      </c>
      <c r="F34" s="1611">
        <v>237</v>
      </c>
      <c r="G34" s="1607">
        <v>2014</v>
      </c>
      <c r="H34" s="1608">
        <v>4</v>
      </c>
      <c r="I34" s="1608">
        <v>0.21</v>
      </c>
      <c r="J34" s="1608">
        <v>0.41</v>
      </c>
      <c r="K34" s="1608">
        <v>0.12</v>
      </c>
      <c r="L34" s="1641">
        <v>0.89</v>
      </c>
      <c r="N34" s="1632">
        <f t="shared" si="191"/>
        <v>0.0021</v>
      </c>
      <c r="O34" s="1633">
        <f t="shared" si="187"/>
        <v>0.0041</v>
      </c>
      <c r="P34" s="1633">
        <f t="shared" si="187"/>
        <v>0.0012</v>
      </c>
      <c r="Q34" s="1633">
        <f t="shared" si="187"/>
        <v>0.0089</v>
      </c>
      <c r="R34" s="1661"/>
      <c r="S34" s="1662"/>
      <c r="T34" s="1663"/>
      <c r="U34" s="1663"/>
      <c r="V34" s="1663"/>
      <c r="X34" s="1578">
        <f>ROUND(SUMPRODUCT(PRODUCT(1+N34:N$37)),4)</f>
        <v>1.0654</v>
      </c>
      <c r="Y34" s="1578">
        <f>ROUND(SUMPRODUCT(PRODUCT(1+O34:O$37)),4)</f>
        <v>1.0639</v>
      </c>
      <c r="Z34" s="1578">
        <f t="shared" si="99"/>
        <v>1.0639</v>
      </c>
      <c r="AA34" s="1578">
        <f>ROUND(SUMPRODUCT(PRODUCT(1+P34:P$37)),4)</f>
        <v>1.0677</v>
      </c>
      <c r="AB34" s="1578">
        <f>ROUND(SUMPRODUCT(PRODUCT(1+Q34:Q$37)),4)</f>
        <v>1.0456</v>
      </c>
      <c r="AD34" s="1633">
        <f>ROUND(AVERAGE(I34:I$37)/100,4)</f>
        <v>0.016</v>
      </c>
      <c r="AE34" s="1633">
        <f>ROUND(AVERAGE(J34:J$37)/100,4)</f>
        <v>0.0156</v>
      </c>
      <c r="AF34" s="1633">
        <f t="shared" si="1"/>
        <v>0.0156</v>
      </c>
      <c r="AG34" s="1633">
        <f>ROUND(AVERAGE(K34:K$37)/100,4)</f>
        <v>0.0166</v>
      </c>
      <c r="AH34" s="1633">
        <f>ROUND(AVERAGE(L34:L$37)/100,4)</f>
        <v>0.0112</v>
      </c>
    </row>
    <row r="35" spans="1:34">
      <c r="A35" s="1594" t="s">
        <v>1846</v>
      </c>
      <c r="B35" s="1595">
        <f t="shared" ref="B35:C37" si="194">B34/(1+N34)</f>
        <v>317.333599441174</v>
      </c>
      <c r="C35" s="1595">
        <f t="shared" si="194"/>
        <v>266.905686684593</v>
      </c>
      <c r="D35" s="1595">
        <f t="shared" si="189"/>
        <v>266.905686684593</v>
      </c>
      <c r="E35" s="1595">
        <f t="shared" ref="E35:F37" si="195">E34/(1+P34)</f>
        <v>436.476228525769</v>
      </c>
      <c r="F35" s="1595">
        <f t="shared" si="195"/>
        <v>234.909307166221</v>
      </c>
      <c r="G35" s="1600"/>
      <c r="H35" s="1612">
        <v>3</v>
      </c>
      <c r="I35" s="1612">
        <v>0.83</v>
      </c>
      <c r="J35" s="1612">
        <v>1.47</v>
      </c>
      <c r="K35" s="1612">
        <v>0.65</v>
      </c>
      <c r="L35" s="1643">
        <v>0.72</v>
      </c>
      <c r="N35" s="1632">
        <f t="shared" si="191"/>
        <v>0.0083</v>
      </c>
      <c r="O35" s="1633">
        <f t="shared" si="187"/>
        <v>0.0147</v>
      </c>
      <c r="P35" s="1633">
        <f t="shared" si="187"/>
        <v>0.0065</v>
      </c>
      <c r="Q35" s="1633">
        <f t="shared" si="187"/>
        <v>0.0072</v>
      </c>
      <c r="R35" s="1661"/>
      <c r="S35" s="1632"/>
      <c r="T35" s="1633"/>
      <c r="U35" s="1633"/>
      <c r="V35" s="1633"/>
      <c r="X35" s="1578">
        <f>ROUND(SUMPRODUCT(PRODUCT(1+N35:N$37)),4)</f>
        <v>1.0632</v>
      </c>
      <c r="Y35" s="1578">
        <f>ROUND(SUMPRODUCT(PRODUCT(1+O35:O$37)),4)</f>
        <v>1.0595</v>
      </c>
      <c r="Z35" s="1578">
        <f t="shared" si="99"/>
        <v>1.0595</v>
      </c>
      <c r="AA35" s="1578">
        <f>ROUND(SUMPRODUCT(PRODUCT(1+P35:P$37)),4)</f>
        <v>1.0664</v>
      </c>
      <c r="AB35" s="1578">
        <f>ROUND(SUMPRODUCT(PRODUCT(1+Q35:Q$37)),4)</f>
        <v>1.0364</v>
      </c>
      <c r="AD35" s="1633">
        <f>ROUND(AVERAGE(I35:I$37)/100,4)</f>
        <v>0.0207</v>
      </c>
      <c r="AE35" s="1633">
        <f>ROUND(AVERAGE(J35:J$37)/100,4)</f>
        <v>0.0195</v>
      </c>
      <c r="AF35" s="1633">
        <f t="shared" si="1"/>
        <v>0.0195</v>
      </c>
      <c r="AG35" s="1633">
        <f>ROUND(AVERAGE(K35:K$37)/100,4)</f>
        <v>0.0217</v>
      </c>
      <c r="AH35" s="1633">
        <f>ROUND(AVERAGE(L35:L$37)/100,4)</f>
        <v>0.012</v>
      </c>
    </row>
    <row r="36" ht="13.5" spans="1:34">
      <c r="A36" s="1594" t="s">
        <v>1847</v>
      </c>
      <c r="B36" s="1595">
        <f t="shared" si="194"/>
        <v>314.721411723865</v>
      </c>
      <c r="C36" s="1595">
        <f t="shared" si="194"/>
        <v>263.03901319069</v>
      </c>
      <c r="D36" s="1595">
        <f t="shared" si="189"/>
        <v>263.03901319069</v>
      </c>
      <c r="E36" s="1595">
        <f t="shared" si="195"/>
        <v>433.657455067828</v>
      </c>
      <c r="F36" s="1595">
        <f t="shared" si="195"/>
        <v>233.230050800457</v>
      </c>
      <c r="G36" s="1600"/>
      <c r="H36" s="1608">
        <v>2</v>
      </c>
      <c r="I36" s="1608">
        <v>2.4</v>
      </c>
      <c r="J36" s="1608">
        <v>2.03</v>
      </c>
      <c r="K36" s="1608">
        <v>2.59</v>
      </c>
      <c r="L36" s="1641">
        <v>1.52</v>
      </c>
      <c r="N36" s="1632">
        <f t="shared" si="191"/>
        <v>0.024</v>
      </c>
      <c r="O36" s="1633">
        <f t="shared" si="187"/>
        <v>0.0203</v>
      </c>
      <c r="P36" s="1633">
        <f t="shared" si="187"/>
        <v>0.0259</v>
      </c>
      <c r="Q36" s="1633">
        <f t="shared" si="187"/>
        <v>0.0152</v>
      </c>
      <c r="R36" s="1661"/>
      <c r="S36" s="1632"/>
      <c r="T36" s="1633"/>
      <c r="U36" s="1633"/>
      <c r="V36" s="1633"/>
      <c r="X36" s="1578">
        <f>ROUND(SUMPRODUCT(PRODUCT(1+N36:N$37)),4)</f>
        <v>1.0544</v>
      </c>
      <c r="Y36" s="1578">
        <f>ROUND(SUMPRODUCT(PRODUCT(1+O36:O$37)),4)</f>
        <v>1.0442</v>
      </c>
      <c r="Z36" s="1578">
        <f t="shared" si="99"/>
        <v>1.0442</v>
      </c>
      <c r="AA36" s="1578">
        <f>ROUND(SUMPRODUCT(PRODUCT(1+P36:P$37)),4)</f>
        <v>1.0595</v>
      </c>
      <c r="AB36" s="1578">
        <f>ROUND(SUMPRODUCT(PRODUCT(1+Q36:Q$37)),4)</f>
        <v>1.029</v>
      </c>
      <c r="AD36" s="1633">
        <f>ROUND(AVERAGE(I36:I$37)/100,4)</f>
        <v>0.0269</v>
      </c>
      <c r="AE36" s="1633">
        <f>ROUND(AVERAGE(J36:J$37)/100,4)</f>
        <v>0.0219</v>
      </c>
      <c r="AF36" s="1633">
        <f t="shared" ref="AF36:AF37" si="196">AE36</f>
        <v>0.0219</v>
      </c>
      <c r="AG36" s="1633">
        <f>ROUND(AVERAGE(K36:K$37)/100,4)</f>
        <v>0.0294</v>
      </c>
      <c r="AH36" s="1633">
        <f>ROUND(AVERAGE(L36:L$37)/100,4)</f>
        <v>0.0144</v>
      </c>
    </row>
    <row r="37" s="1575" customFormat="1" ht="13.5" spans="1:34">
      <c r="A37" s="1613" t="s">
        <v>1848</v>
      </c>
      <c r="B37" s="1614">
        <f t="shared" si="194"/>
        <v>307.345128636587</v>
      </c>
      <c r="C37" s="1614">
        <f t="shared" si="194"/>
        <v>257.80556031627</v>
      </c>
      <c r="D37" s="1614">
        <f t="shared" si="189"/>
        <v>257.80556031627</v>
      </c>
      <c r="E37" s="1614">
        <f t="shared" si="195"/>
        <v>422.709284596772</v>
      </c>
      <c r="F37" s="1614">
        <f t="shared" si="195"/>
        <v>229.738032703366</v>
      </c>
      <c r="G37" s="1606"/>
      <c r="H37" s="1615">
        <v>1</v>
      </c>
      <c r="I37" s="1615">
        <v>2.97</v>
      </c>
      <c r="J37" s="1615">
        <v>2.34</v>
      </c>
      <c r="K37" s="1615">
        <v>3.28</v>
      </c>
      <c r="L37" s="1644">
        <v>1.36</v>
      </c>
      <c r="N37" s="1645">
        <f t="shared" si="191"/>
        <v>0.0297</v>
      </c>
      <c r="O37" s="1646">
        <f t="shared" si="187"/>
        <v>0.0234</v>
      </c>
      <c r="P37" s="1646">
        <f t="shared" si="187"/>
        <v>0.0328</v>
      </c>
      <c r="Q37" s="1646">
        <f t="shared" si="187"/>
        <v>0.0136</v>
      </c>
      <c r="R37" s="1664"/>
      <c r="S37" s="1665">
        <f>B37/B38-1</f>
        <v>0.0279101292193555</v>
      </c>
      <c r="T37" s="1666">
        <f>C37/C38-1</f>
        <v>0.0230379377629752</v>
      </c>
      <c r="U37" s="1666">
        <f>E37/E38-1</f>
        <v>0.0335190332439408</v>
      </c>
      <c r="V37" s="1666">
        <f>F37/F38-1</f>
        <v>0.0120618180765029</v>
      </c>
      <c r="W37" s="1667" t="s">
        <v>1849</v>
      </c>
      <c r="X37" s="1575">
        <v>1</v>
      </c>
      <c r="Y37" s="1575">
        <v>1</v>
      </c>
      <c r="Z37" s="1575">
        <v>1</v>
      </c>
      <c r="AA37" s="1575">
        <v>1</v>
      </c>
      <c r="AB37" s="1575">
        <v>1</v>
      </c>
      <c r="AD37" s="1646">
        <f>I37/100</f>
        <v>0.0297</v>
      </c>
      <c r="AE37" s="1646">
        <f>J37/100</f>
        <v>0.0234</v>
      </c>
      <c r="AF37" s="1646">
        <f t="shared" si="196"/>
        <v>0.0234</v>
      </c>
      <c r="AG37" s="1646">
        <f>K37/100</f>
        <v>0.0328</v>
      </c>
      <c r="AH37" s="1646">
        <f>L37/100</f>
        <v>0.0136</v>
      </c>
    </row>
    <row r="38" ht="13.5" spans="1:26">
      <c r="A38" s="1594" t="s">
        <v>1850</v>
      </c>
      <c r="B38" s="1604">
        <v>299</v>
      </c>
      <c r="C38" s="1604">
        <v>252</v>
      </c>
      <c r="D38" s="1604">
        <f t="shared" si="189"/>
        <v>252</v>
      </c>
      <c r="E38" s="1604">
        <v>409</v>
      </c>
      <c r="F38" s="1605">
        <v>227</v>
      </c>
      <c r="G38" s="1616">
        <v>2013</v>
      </c>
      <c r="H38" s="1617">
        <v>4</v>
      </c>
      <c r="I38" s="1617">
        <v>1.83</v>
      </c>
      <c r="J38" s="1617">
        <v>1.68</v>
      </c>
      <c r="K38" s="1617">
        <v>1.97</v>
      </c>
      <c r="L38" s="1647">
        <v>0.87</v>
      </c>
      <c r="N38" s="1637">
        <f t="shared" si="191"/>
        <v>0.0183</v>
      </c>
      <c r="O38" s="1638">
        <f t="shared" si="187"/>
        <v>0.0168</v>
      </c>
      <c r="P38" s="1638">
        <f t="shared" si="187"/>
        <v>0.0197</v>
      </c>
      <c r="Q38" s="1638">
        <f t="shared" si="187"/>
        <v>0.0087</v>
      </c>
      <c r="R38" s="1661"/>
      <c r="S38" s="1662"/>
      <c r="T38" s="1663"/>
      <c r="U38" s="1663"/>
      <c r="V38" s="1663"/>
      <c r="X38" s="1663"/>
      <c r="Y38" s="1663"/>
      <c r="Z38" s="1663"/>
    </row>
    <row r="39" spans="1:22">
      <c r="A39" s="1594" t="s">
        <v>1851</v>
      </c>
      <c r="B39" s="1595">
        <f t="shared" ref="B39:C41" si="197">B38/(1+N38)</f>
        <v>293.626632622999</v>
      </c>
      <c r="C39" s="1595">
        <f t="shared" si="197"/>
        <v>247.836349331235</v>
      </c>
      <c r="D39" s="1595">
        <f t="shared" si="189"/>
        <v>247.836349331235</v>
      </c>
      <c r="E39" s="1595">
        <f t="shared" ref="E39:F41" si="198">E38/(1+P38)</f>
        <v>401.098362263411</v>
      </c>
      <c r="F39" s="1595">
        <f t="shared" si="198"/>
        <v>225.04213343908</v>
      </c>
      <c r="G39" s="1618"/>
      <c r="H39" s="1609">
        <v>3</v>
      </c>
      <c r="I39" s="1609">
        <v>1.86</v>
      </c>
      <c r="J39" s="1609">
        <v>1.72</v>
      </c>
      <c r="K39" s="1609">
        <v>1.98</v>
      </c>
      <c r="L39" s="1642">
        <v>0.88</v>
      </c>
      <c r="N39" s="1632">
        <f t="shared" si="191"/>
        <v>0.0186</v>
      </c>
      <c r="O39" s="1633">
        <f t="shared" si="187"/>
        <v>0.0172</v>
      </c>
      <c r="P39" s="1633">
        <f t="shared" si="187"/>
        <v>0.0198</v>
      </c>
      <c r="Q39" s="1633">
        <f t="shared" si="187"/>
        <v>0.0088</v>
      </c>
      <c r="R39" s="1661"/>
      <c r="S39" s="1632"/>
      <c r="T39" s="1633"/>
      <c r="U39" s="1633"/>
      <c r="V39" s="1633"/>
    </row>
    <row r="40" spans="1:25">
      <c r="A40" s="1594" t="s">
        <v>1852</v>
      </c>
      <c r="B40" s="1595">
        <f t="shared" si="197"/>
        <v>288.264905382878</v>
      </c>
      <c r="C40" s="1595">
        <f t="shared" si="197"/>
        <v>243.645644250133</v>
      </c>
      <c r="D40" s="1595">
        <f t="shared" si="189"/>
        <v>243.645644250133</v>
      </c>
      <c r="E40" s="1595">
        <f t="shared" si="198"/>
        <v>393.310808259865</v>
      </c>
      <c r="F40" s="1595">
        <f t="shared" si="198"/>
        <v>223.079037905512</v>
      </c>
      <c r="G40" s="1618"/>
      <c r="H40" s="1601">
        <v>2</v>
      </c>
      <c r="I40" s="1601">
        <v>2.04</v>
      </c>
      <c r="J40" s="1601">
        <v>2.33</v>
      </c>
      <c r="K40" s="1601">
        <v>2.07</v>
      </c>
      <c r="L40" s="1636">
        <v>0.69</v>
      </c>
      <c r="N40" s="1632">
        <f t="shared" si="191"/>
        <v>0.0204</v>
      </c>
      <c r="O40" s="1633">
        <f t="shared" si="187"/>
        <v>0.0233</v>
      </c>
      <c r="P40" s="1633">
        <f t="shared" si="187"/>
        <v>0.0207</v>
      </c>
      <c r="Q40" s="1633">
        <f t="shared" si="187"/>
        <v>0.0069</v>
      </c>
      <c r="R40" s="1661"/>
      <c r="S40" s="1632"/>
      <c r="T40" s="1633"/>
      <c r="U40" s="1633"/>
      <c r="V40" s="1633"/>
      <c r="X40" s="1668"/>
      <c r="Y40" s="1673"/>
    </row>
    <row r="41" spans="1:26">
      <c r="A41" s="1594" t="s">
        <v>1853</v>
      </c>
      <c r="B41" s="1595">
        <f t="shared" si="197"/>
        <v>282.501867290158</v>
      </c>
      <c r="C41" s="1595">
        <f t="shared" si="197"/>
        <v>238.097961741555</v>
      </c>
      <c r="D41" s="1595">
        <f t="shared" si="189"/>
        <v>238.097961741555</v>
      </c>
      <c r="E41" s="1595">
        <f t="shared" si="198"/>
        <v>385.334386460141</v>
      </c>
      <c r="F41" s="1595">
        <f t="shared" si="198"/>
        <v>221.550340555677</v>
      </c>
      <c r="G41" s="1619"/>
      <c r="H41" s="1596">
        <v>1</v>
      </c>
      <c r="I41" s="1596">
        <v>1.67</v>
      </c>
      <c r="J41" s="1596">
        <v>1.31</v>
      </c>
      <c r="K41" s="1596">
        <v>1.85</v>
      </c>
      <c r="L41" s="1634">
        <v>0.96</v>
      </c>
      <c r="N41" s="1639">
        <f t="shared" si="191"/>
        <v>0.0167</v>
      </c>
      <c r="O41" s="1640">
        <f t="shared" si="187"/>
        <v>0.0131</v>
      </c>
      <c r="P41" s="1640">
        <f t="shared" si="187"/>
        <v>0.0185</v>
      </c>
      <c r="Q41" s="1640">
        <f t="shared" si="187"/>
        <v>0.0096</v>
      </c>
      <c r="R41" s="1661"/>
      <c r="S41" s="1639">
        <f>B41/B42-1</f>
        <v>0.0161937672307855</v>
      </c>
      <c r="T41" s="1640">
        <f>C41/C42-1</f>
        <v>0.0175126570151909</v>
      </c>
      <c r="U41" s="1640">
        <f>E41/E42-1</f>
        <v>0.016713420739157</v>
      </c>
      <c r="V41" s="1640">
        <f>F41/F42-1</f>
        <v>0.00704700252580626</v>
      </c>
      <c r="Y41" s="1633"/>
      <c r="Z41" s="1633"/>
    </row>
    <row r="42" ht="13.5" spans="1:26">
      <c r="A42" s="1594" t="s">
        <v>1854</v>
      </c>
      <c r="B42" s="1620">
        <v>278</v>
      </c>
      <c r="C42" s="1620">
        <v>234</v>
      </c>
      <c r="D42" s="1620">
        <f t="shared" si="189"/>
        <v>234</v>
      </c>
      <c r="E42" s="1620">
        <v>379</v>
      </c>
      <c r="F42" s="1621">
        <v>220</v>
      </c>
      <c r="G42" s="1607">
        <v>2012</v>
      </c>
      <c r="H42" s="1608">
        <v>4</v>
      </c>
      <c r="I42" s="1608">
        <v>0.91</v>
      </c>
      <c r="J42" s="1608">
        <v>0.68</v>
      </c>
      <c r="K42" s="1608">
        <v>0.98</v>
      </c>
      <c r="L42" s="1641">
        <v>0.9</v>
      </c>
      <c r="N42" s="1632">
        <f t="shared" si="191"/>
        <v>0.0091</v>
      </c>
      <c r="O42" s="1633">
        <f t="shared" si="191"/>
        <v>0.0068</v>
      </c>
      <c r="P42" s="1633">
        <f t="shared" si="191"/>
        <v>0.0098</v>
      </c>
      <c r="Q42" s="1633">
        <f t="shared" si="191"/>
        <v>0.009</v>
      </c>
      <c r="R42" s="1661"/>
      <c r="S42" s="1662"/>
      <c r="T42" s="1663"/>
      <c r="U42" s="1663"/>
      <c r="V42" s="1663"/>
      <c r="X42" s="1663"/>
      <c r="Y42" s="1663"/>
      <c r="Z42" s="1663"/>
    </row>
    <row r="43" spans="1:22">
      <c r="A43" s="1594" t="s">
        <v>1855</v>
      </c>
      <c r="B43" s="1595">
        <f>B42/(1+N42)</f>
        <v>275.493013576454</v>
      </c>
      <c r="C43" s="1595">
        <f>C42/(1+O42)</f>
        <v>232.419547079857</v>
      </c>
      <c r="D43" s="1595">
        <f t="shared" si="189"/>
        <v>232.419547079857</v>
      </c>
      <c r="E43" s="1595">
        <f t="shared" ref="E43:F45" si="199">E42/(1+P42)</f>
        <v>375.321845910081</v>
      </c>
      <c r="F43" s="1595">
        <f t="shared" si="199"/>
        <v>218.037661050545</v>
      </c>
      <c r="G43" s="1600"/>
      <c r="H43" s="1609">
        <v>3</v>
      </c>
      <c r="I43" s="1609">
        <v>0.09</v>
      </c>
      <c r="J43" s="1609">
        <v>0.29</v>
      </c>
      <c r="K43" s="1609">
        <v>-0.01</v>
      </c>
      <c r="L43" s="1642">
        <v>0.58</v>
      </c>
      <c r="N43" s="1632">
        <f t="shared" si="191"/>
        <v>0.0009</v>
      </c>
      <c r="O43" s="1633">
        <f t="shared" si="191"/>
        <v>0.0029</v>
      </c>
      <c r="P43" s="1633">
        <f t="shared" si="191"/>
        <v>-0.0001</v>
      </c>
      <c r="Q43" s="1633">
        <f t="shared" si="191"/>
        <v>0.0058</v>
      </c>
      <c r="R43" s="1661"/>
      <c r="S43" s="1632"/>
      <c r="T43" s="1633"/>
      <c r="U43" s="1633"/>
      <c r="V43" s="1633"/>
    </row>
    <row r="44" spans="1:22">
      <c r="A44" s="1594" t="s">
        <v>1856</v>
      </c>
      <c r="B44" s="1595">
        <f>B43/(1+N43)</f>
        <v>275.245292812923</v>
      </c>
      <c r="C44" s="1595">
        <f>C43/(1+O43)</f>
        <v>231.747479389627</v>
      </c>
      <c r="D44" s="1595">
        <f t="shared" si="189"/>
        <v>231.747479389627</v>
      </c>
      <c r="E44" s="1595">
        <f t="shared" si="199"/>
        <v>375.359381848266</v>
      </c>
      <c r="F44" s="1595">
        <f t="shared" si="199"/>
        <v>216.780335106925</v>
      </c>
      <c r="G44" s="1600"/>
      <c r="H44" s="1601">
        <v>2</v>
      </c>
      <c r="I44" s="1601">
        <v>0.02</v>
      </c>
      <c r="J44" s="1601">
        <v>0.12</v>
      </c>
      <c r="K44" s="1601">
        <v>-0.08</v>
      </c>
      <c r="L44" s="1636">
        <v>1.24</v>
      </c>
      <c r="N44" s="1632">
        <f t="shared" si="191"/>
        <v>0.0002</v>
      </c>
      <c r="O44" s="1633">
        <f t="shared" si="191"/>
        <v>0.0012</v>
      </c>
      <c r="P44" s="1633">
        <f t="shared" si="191"/>
        <v>-0.0008</v>
      </c>
      <c r="Q44" s="1633">
        <f t="shared" si="191"/>
        <v>0.0124</v>
      </c>
      <c r="R44" s="1661"/>
      <c r="S44" s="1632"/>
      <c r="T44" s="1633"/>
      <c r="U44" s="1633"/>
      <c r="V44" s="1633"/>
    </row>
    <row r="45" ht="13.5" spans="1:26">
      <c r="A45" s="1594" t="s">
        <v>1857</v>
      </c>
      <c r="B45" s="1595">
        <f>B44/(1+N44)</f>
        <v>275.19025476197</v>
      </c>
      <c r="C45" s="1622">
        <v>232</v>
      </c>
      <c r="D45" s="1622">
        <f t="shared" si="189"/>
        <v>232</v>
      </c>
      <c r="E45" s="1595">
        <f t="shared" si="199"/>
        <v>375.659909776087</v>
      </c>
      <c r="F45" s="1595">
        <f t="shared" si="199"/>
        <v>214.125182839713</v>
      </c>
      <c r="G45" s="1606"/>
      <c r="H45" s="1596">
        <v>1</v>
      </c>
      <c r="I45" s="1596">
        <v>0.02</v>
      </c>
      <c r="J45" s="1596">
        <v>0.13</v>
      </c>
      <c r="K45" s="1596">
        <v>-0.04</v>
      </c>
      <c r="L45" s="1634">
        <v>0.46</v>
      </c>
      <c r="N45" s="1632">
        <f t="shared" si="191"/>
        <v>0.0002</v>
      </c>
      <c r="O45" s="1633">
        <f t="shared" si="191"/>
        <v>0.0013</v>
      </c>
      <c r="P45" s="1633">
        <f t="shared" si="191"/>
        <v>-0.0004</v>
      </c>
      <c r="Q45" s="1633">
        <f t="shared" si="191"/>
        <v>0.0046</v>
      </c>
      <c r="R45" s="1661"/>
      <c r="S45" s="1639">
        <f>B45/B46-1</f>
        <v>0.000691835498073612</v>
      </c>
      <c r="T45" s="1640">
        <f>C45/C46-1</f>
        <v>0</v>
      </c>
      <c r="U45" s="1640">
        <f>E45/E46-1</f>
        <v>-0.000904495276364603</v>
      </c>
      <c r="V45" s="1640">
        <f>F45/F46-1</f>
        <v>0.00528254854325128</v>
      </c>
      <c r="X45" s="1633"/>
      <c r="Y45" s="1633"/>
      <c r="Z45" s="1633"/>
    </row>
    <row r="46" ht="13.5" spans="1:26">
      <c r="A46" s="1594" t="s">
        <v>1858</v>
      </c>
      <c r="B46" s="1604">
        <v>275</v>
      </c>
      <c r="C46" s="1604">
        <v>232</v>
      </c>
      <c r="D46" s="1604">
        <f t="shared" si="189"/>
        <v>232</v>
      </c>
      <c r="E46" s="1604">
        <v>376</v>
      </c>
      <c r="F46" s="1605">
        <v>213</v>
      </c>
      <c r="G46" s="1607">
        <v>2011</v>
      </c>
      <c r="H46" s="1608">
        <v>4</v>
      </c>
      <c r="I46" s="1608">
        <v>-0.2</v>
      </c>
      <c r="J46" s="1608">
        <v>0.04</v>
      </c>
      <c r="K46" s="1608">
        <v>-0.34</v>
      </c>
      <c r="L46" s="1641">
        <v>0.46</v>
      </c>
      <c r="N46" s="1637">
        <f t="shared" si="191"/>
        <v>-0.002</v>
      </c>
      <c r="O46" s="1638">
        <f t="shared" si="191"/>
        <v>0.0004</v>
      </c>
      <c r="P46" s="1638">
        <f t="shared" si="191"/>
        <v>-0.0034</v>
      </c>
      <c r="Q46" s="1638">
        <f t="shared" si="191"/>
        <v>0.0046</v>
      </c>
      <c r="R46" s="1661"/>
      <c r="S46" s="1662"/>
      <c r="T46" s="1663"/>
      <c r="U46" s="1663"/>
      <c r="V46" s="1663"/>
      <c r="X46" s="1663"/>
      <c r="Y46" s="1663"/>
      <c r="Z46" s="1663"/>
    </row>
    <row r="47" spans="1:22">
      <c r="A47" s="1594" t="s">
        <v>1859</v>
      </c>
      <c r="B47" s="1595">
        <f t="shared" ref="B47:C49" si="200">B46/(1+N46)</f>
        <v>275.551102204409</v>
      </c>
      <c r="C47" s="1595">
        <f t="shared" si="200"/>
        <v>231.907237105158</v>
      </c>
      <c r="D47" s="1595">
        <f t="shared" si="189"/>
        <v>231.907237105158</v>
      </c>
      <c r="E47" s="1595">
        <f t="shared" ref="E47:F49" si="201">E46/(1+P46)</f>
        <v>377.282761388722</v>
      </c>
      <c r="F47" s="1595">
        <f t="shared" si="201"/>
        <v>212.024686442365</v>
      </c>
      <c r="G47" s="1600">
        <v>2011</v>
      </c>
      <c r="H47" s="1609">
        <v>3</v>
      </c>
      <c r="I47" s="1609">
        <v>0.13</v>
      </c>
      <c r="J47" s="1609">
        <v>0.75</v>
      </c>
      <c r="K47" s="1609">
        <v>-0.08</v>
      </c>
      <c r="L47" s="1642">
        <v>0.53</v>
      </c>
      <c r="N47" s="1632">
        <f t="shared" si="191"/>
        <v>0.0013</v>
      </c>
      <c r="O47" s="1633">
        <f t="shared" si="191"/>
        <v>0.0075</v>
      </c>
      <c r="P47" s="1633">
        <f t="shared" si="191"/>
        <v>-0.0008</v>
      </c>
      <c r="Q47" s="1633">
        <f t="shared" si="191"/>
        <v>0.0053</v>
      </c>
      <c r="R47" s="1661"/>
      <c r="S47" s="1632"/>
      <c r="T47" s="1633"/>
      <c r="U47" s="1633"/>
      <c r="V47" s="1633"/>
    </row>
    <row r="48" spans="1:22">
      <c r="A48" s="1594" t="s">
        <v>1860</v>
      </c>
      <c r="B48" s="1595">
        <f t="shared" si="200"/>
        <v>275.193350848306</v>
      </c>
      <c r="C48" s="1595">
        <f t="shared" si="200"/>
        <v>230.180880501397</v>
      </c>
      <c r="D48" s="1595">
        <f t="shared" si="189"/>
        <v>230.180880501397</v>
      </c>
      <c r="E48" s="1595">
        <f t="shared" si="201"/>
        <v>377.584829252123</v>
      </c>
      <c r="F48" s="1595">
        <f t="shared" si="201"/>
        <v>210.906879978479</v>
      </c>
      <c r="G48" s="1600">
        <v>2011</v>
      </c>
      <c r="H48" s="1601">
        <v>2</v>
      </c>
      <c r="I48" s="1601">
        <v>-0.4</v>
      </c>
      <c r="J48" s="1601">
        <v>0.17</v>
      </c>
      <c r="K48" s="1601">
        <v>-0.58</v>
      </c>
      <c r="L48" s="1636">
        <v>-0.2</v>
      </c>
      <c r="N48" s="1632">
        <f t="shared" si="191"/>
        <v>-0.004</v>
      </c>
      <c r="O48" s="1633">
        <f t="shared" si="191"/>
        <v>0.0017</v>
      </c>
      <c r="P48" s="1633">
        <f t="shared" si="191"/>
        <v>-0.0058</v>
      </c>
      <c r="Q48" s="1633">
        <f t="shared" si="191"/>
        <v>-0.002</v>
      </c>
      <c r="R48" s="1661"/>
      <c r="S48" s="1632"/>
      <c r="T48" s="1633"/>
      <c r="U48" s="1633"/>
      <c r="V48" s="1633"/>
    </row>
    <row r="49" ht="13.5" spans="1:26">
      <c r="A49" s="1594" t="s">
        <v>1861</v>
      </c>
      <c r="B49" s="1595">
        <f t="shared" si="200"/>
        <v>276.29854502842</v>
      </c>
      <c r="C49" s="1595">
        <f t="shared" si="200"/>
        <v>229.79023709833</v>
      </c>
      <c r="D49" s="1595">
        <f t="shared" si="189"/>
        <v>229.79023709833</v>
      </c>
      <c r="E49" s="1595">
        <f t="shared" si="201"/>
        <v>379.787597316559</v>
      </c>
      <c r="F49" s="1595">
        <f t="shared" si="201"/>
        <v>211.329539056592</v>
      </c>
      <c r="G49" s="1606">
        <v>2011</v>
      </c>
      <c r="H49" s="1596">
        <v>1</v>
      </c>
      <c r="I49" s="1596">
        <v>2.65</v>
      </c>
      <c r="J49" s="1596">
        <v>3.76</v>
      </c>
      <c r="K49" s="1596">
        <v>1.89</v>
      </c>
      <c r="L49" s="1634">
        <v>7.95</v>
      </c>
      <c r="N49" s="1639">
        <f t="shared" si="191"/>
        <v>0.0265</v>
      </c>
      <c r="O49" s="1640">
        <f t="shared" si="191"/>
        <v>0.0376</v>
      </c>
      <c r="P49" s="1640">
        <f t="shared" si="191"/>
        <v>0.0189</v>
      </c>
      <c r="Q49" s="1640">
        <f t="shared" si="191"/>
        <v>0.0795</v>
      </c>
      <c r="R49" s="1661"/>
      <c r="S49" s="1639">
        <f>B49/B50-1</f>
        <v>0.0271321376521179</v>
      </c>
      <c r="T49" s="1640">
        <f>C49/C50-1</f>
        <v>0.0397748284992319</v>
      </c>
      <c r="U49" s="1640">
        <f>E49/E50-1</f>
        <v>0.0181973118406418</v>
      </c>
      <c r="V49" s="1640">
        <f>F49/F50-1</f>
        <v>0.0782119339622058</v>
      </c>
      <c r="X49" s="1633"/>
      <c r="Y49" s="1633"/>
      <c r="Z49" s="1633"/>
    </row>
    <row r="50" ht="13.5" spans="1:26">
      <c r="A50" s="1594" t="s">
        <v>1862</v>
      </c>
      <c r="B50" s="1604">
        <v>269</v>
      </c>
      <c r="C50" s="1604">
        <v>221</v>
      </c>
      <c r="D50" s="1604">
        <f t="shared" si="189"/>
        <v>221</v>
      </c>
      <c r="E50" s="1604">
        <v>373</v>
      </c>
      <c r="F50" s="1605">
        <v>196</v>
      </c>
      <c r="G50" s="1607">
        <v>2010</v>
      </c>
      <c r="H50" s="1608">
        <v>4</v>
      </c>
      <c r="I50" s="1608">
        <v>5.72</v>
      </c>
      <c r="J50" s="1608">
        <v>6.57</v>
      </c>
      <c r="K50" s="1608">
        <v>5.72</v>
      </c>
      <c r="L50" s="1641">
        <v>2.72</v>
      </c>
      <c r="N50" s="1632">
        <f t="shared" si="191"/>
        <v>0.0572</v>
      </c>
      <c r="O50" s="1633">
        <f t="shared" si="191"/>
        <v>0.0657</v>
      </c>
      <c r="P50" s="1633">
        <f t="shared" si="191"/>
        <v>0.0572</v>
      </c>
      <c r="Q50" s="1633">
        <f t="shared" si="191"/>
        <v>0.0272</v>
      </c>
      <c r="R50" s="1661"/>
      <c r="S50" s="1662"/>
      <c r="T50" s="1663"/>
      <c r="U50" s="1663"/>
      <c r="V50" s="1663"/>
      <c r="X50" s="1663"/>
      <c r="Y50" s="1663"/>
      <c r="Z50" s="1663"/>
    </row>
    <row r="51" spans="1:22">
      <c r="A51" s="1594" t="s">
        <v>1863</v>
      </c>
      <c r="B51" s="1595">
        <f t="shared" ref="B51:C53" si="202">B50/(1+N50)</f>
        <v>254.445705637533</v>
      </c>
      <c r="C51" s="1595">
        <f t="shared" si="202"/>
        <v>207.375433987051</v>
      </c>
      <c r="D51" s="1595">
        <f t="shared" si="189"/>
        <v>207.375433987051</v>
      </c>
      <c r="E51" s="1595">
        <f t="shared" ref="E51:F53" si="203">E50/(1+P50)</f>
        <v>352.818766553159</v>
      </c>
      <c r="F51" s="1595">
        <f t="shared" si="203"/>
        <v>190.809968847352</v>
      </c>
      <c r="G51" s="1600">
        <v>2010</v>
      </c>
      <c r="H51" s="1609">
        <v>3</v>
      </c>
      <c r="I51" s="1609">
        <v>4.73</v>
      </c>
      <c r="J51" s="1609">
        <v>3.9</v>
      </c>
      <c r="K51" s="1609">
        <v>5.03</v>
      </c>
      <c r="L51" s="1642">
        <v>4.21</v>
      </c>
      <c r="N51" s="1632">
        <f t="shared" si="191"/>
        <v>0.0473</v>
      </c>
      <c r="O51" s="1633">
        <f t="shared" si="191"/>
        <v>0.039</v>
      </c>
      <c r="P51" s="1633">
        <f t="shared" si="191"/>
        <v>0.0503</v>
      </c>
      <c r="Q51" s="1633">
        <f t="shared" si="191"/>
        <v>0.0421</v>
      </c>
      <c r="R51" s="1661"/>
      <c r="S51" s="1632"/>
      <c r="T51" s="1633"/>
      <c r="U51" s="1633"/>
      <c r="V51" s="1633"/>
    </row>
    <row r="52" spans="1:22">
      <c r="A52" s="1594" t="s">
        <v>1864</v>
      </c>
      <c r="B52" s="1595">
        <f t="shared" si="202"/>
        <v>242.953982275884</v>
      </c>
      <c r="C52" s="1595">
        <f t="shared" si="202"/>
        <v>199.591370536141</v>
      </c>
      <c r="D52" s="1595">
        <f t="shared" si="189"/>
        <v>199.591370536141</v>
      </c>
      <c r="E52" s="1595">
        <f t="shared" si="203"/>
        <v>335.921895223421</v>
      </c>
      <c r="F52" s="1595">
        <f t="shared" si="203"/>
        <v>183.101399911095</v>
      </c>
      <c r="G52" s="1600">
        <v>2010</v>
      </c>
      <c r="H52" s="1601">
        <v>2</v>
      </c>
      <c r="I52" s="1601">
        <v>4.69</v>
      </c>
      <c r="J52" s="1601">
        <v>3.55</v>
      </c>
      <c r="K52" s="1601">
        <v>5.07</v>
      </c>
      <c r="L52" s="1636">
        <v>4.23</v>
      </c>
      <c r="N52" s="1632">
        <f t="shared" si="191"/>
        <v>0.0469</v>
      </c>
      <c r="O52" s="1633">
        <f t="shared" si="191"/>
        <v>0.0355</v>
      </c>
      <c r="P52" s="1633">
        <f t="shared" si="191"/>
        <v>0.0507</v>
      </c>
      <c r="Q52" s="1633">
        <f t="shared" si="191"/>
        <v>0.0423</v>
      </c>
      <c r="R52" s="1661"/>
      <c r="S52" s="1632"/>
      <c r="T52" s="1633"/>
      <c r="U52" s="1633"/>
      <c r="V52" s="1633"/>
    </row>
    <row r="53" ht="13.5" spans="1:26">
      <c r="A53" s="1594" t="s">
        <v>1865</v>
      </c>
      <c r="B53" s="1595">
        <f t="shared" si="202"/>
        <v>232.069903788216</v>
      </c>
      <c r="C53" s="1595">
        <f t="shared" si="202"/>
        <v>192.748788542869</v>
      </c>
      <c r="D53" s="1595">
        <f t="shared" si="189"/>
        <v>192.748788542869</v>
      </c>
      <c r="E53" s="1595">
        <f t="shared" si="203"/>
        <v>319.71247284993</v>
      </c>
      <c r="F53" s="1595">
        <f t="shared" si="203"/>
        <v>175.670536228624</v>
      </c>
      <c r="G53" s="1606">
        <v>2010</v>
      </c>
      <c r="H53" s="1596">
        <v>1</v>
      </c>
      <c r="I53" s="1596">
        <v>5.4</v>
      </c>
      <c r="J53" s="1596">
        <v>3.2</v>
      </c>
      <c r="K53" s="1596">
        <v>6.16</v>
      </c>
      <c r="L53" s="1634">
        <v>4.51</v>
      </c>
      <c r="N53" s="1632">
        <f t="shared" si="191"/>
        <v>0.054</v>
      </c>
      <c r="O53" s="1633">
        <f t="shared" si="191"/>
        <v>0.032</v>
      </c>
      <c r="P53" s="1633">
        <f t="shared" si="191"/>
        <v>0.0616</v>
      </c>
      <c r="Q53" s="1633">
        <f t="shared" si="191"/>
        <v>0.0451</v>
      </c>
      <c r="R53" s="1661"/>
      <c r="S53" s="1639">
        <f>B53/B54-1</f>
        <v>0.0548631990373476</v>
      </c>
      <c r="T53" s="1640">
        <f>C53/C54-1</f>
        <v>0.0307421847212266</v>
      </c>
      <c r="U53" s="1640">
        <f>E53/E54-1</f>
        <v>0.0621676838868102</v>
      </c>
      <c r="V53" s="1640">
        <f>F53/F54-1</f>
        <v>0.04565795374181</v>
      </c>
      <c r="X53" s="1633"/>
      <c r="Y53" s="1633"/>
      <c r="Z53" s="1633"/>
    </row>
    <row r="54" ht="13.5" spans="1:26">
      <c r="A54" s="1594" t="s">
        <v>1866</v>
      </c>
      <c r="B54" s="1604">
        <v>220</v>
      </c>
      <c r="C54" s="1604">
        <v>187</v>
      </c>
      <c r="D54" s="1604">
        <f t="shared" si="189"/>
        <v>187</v>
      </c>
      <c r="E54" s="1604">
        <v>301</v>
      </c>
      <c r="F54" s="1605">
        <v>168</v>
      </c>
      <c r="G54" s="1607">
        <v>2009</v>
      </c>
      <c r="H54" s="1608">
        <v>4</v>
      </c>
      <c r="I54" s="1608">
        <v>2.3</v>
      </c>
      <c r="J54" s="1608">
        <v>1.04</v>
      </c>
      <c r="K54" s="1608">
        <v>2.84</v>
      </c>
      <c r="L54" s="1641">
        <v>0.67</v>
      </c>
      <c r="N54" s="1637">
        <f t="shared" si="191"/>
        <v>0.023</v>
      </c>
      <c r="O54" s="1638">
        <f t="shared" si="191"/>
        <v>0.0104</v>
      </c>
      <c r="P54" s="1638">
        <f t="shared" si="191"/>
        <v>0.0284</v>
      </c>
      <c r="Q54" s="1638">
        <f t="shared" si="191"/>
        <v>0.0067</v>
      </c>
      <c r="R54" s="1661"/>
      <c r="S54" s="1662"/>
      <c r="T54" s="1663"/>
      <c r="U54" s="1663"/>
      <c r="V54" s="1663"/>
      <c r="X54" s="1663"/>
      <c r="Y54" s="1663"/>
      <c r="Z54" s="1663"/>
    </row>
    <row r="55" spans="1:22">
      <c r="A55" s="1594" t="s">
        <v>1867</v>
      </c>
      <c r="B55" s="1595">
        <f t="shared" ref="B55:C57" si="204">B54/(1+N54)</f>
        <v>215.05376344086</v>
      </c>
      <c r="C55" s="1595">
        <f t="shared" si="204"/>
        <v>185.07521773555</v>
      </c>
      <c r="D55" s="1595">
        <f t="shared" si="189"/>
        <v>185.07521773555</v>
      </c>
      <c r="E55" s="1595">
        <f t="shared" ref="E55:F57" si="205">E54/(1+P54)</f>
        <v>292.68767016725</v>
      </c>
      <c r="F55" s="1595">
        <f t="shared" si="205"/>
        <v>166.881891328102</v>
      </c>
      <c r="G55" s="1600">
        <v>2009</v>
      </c>
      <c r="H55" s="1609">
        <v>3</v>
      </c>
      <c r="I55" s="1609">
        <v>2.1</v>
      </c>
      <c r="J55" s="1609">
        <v>1.86</v>
      </c>
      <c r="K55" s="1609">
        <v>2.29</v>
      </c>
      <c r="L55" s="1642">
        <v>0.85</v>
      </c>
      <c r="N55" s="1632">
        <f t="shared" si="191"/>
        <v>0.021</v>
      </c>
      <c r="O55" s="1633">
        <f t="shared" si="191"/>
        <v>0.0186</v>
      </c>
      <c r="P55" s="1633">
        <f t="shared" si="191"/>
        <v>0.0229</v>
      </c>
      <c r="Q55" s="1633">
        <f t="shared" si="191"/>
        <v>0.0085</v>
      </c>
      <c r="R55" s="1661"/>
      <c r="S55" s="1632"/>
      <c r="T55" s="1633"/>
      <c r="U55" s="1633"/>
      <c r="V55" s="1633"/>
    </row>
    <row r="56" spans="1:22">
      <c r="A56" s="1594" t="s">
        <v>1868</v>
      </c>
      <c r="B56" s="1595">
        <f t="shared" si="204"/>
        <v>210.630522469011</v>
      </c>
      <c r="C56" s="1595">
        <f t="shared" si="204"/>
        <v>181.695678122472</v>
      </c>
      <c r="D56" s="1595">
        <f t="shared" si="189"/>
        <v>181.695678122472</v>
      </c>
      <c r="E56" s="1595">
        <f t="shared" si="205"/>
        <v>286.135174667367</v>
      </c>
      <c r="F56" s="1595">
        <f t="shared" si="205"/>
        <v>165.475350845911</v>
      </c>
      <c r="G56" s="1600">
        <v>2009</v>
      </c>
      <c r="H56" s="1601">
        <v>2</v>
      </c>
      <c r="I56" s="1601">
        <v>0.86</v>
      </c>
      <c r="J56" s="1601">
        <v>-1.13</v>
      </c>
      <c r="K56" s="1601">
        <v>1.79</v>
      </c>
      <c r="L56" s="1636">
        <v>-2.07</v>
      </c>
      <c r="N56" s="1632">
        <f t="shared" si="191"/>
        <v>0.0086</v>
      </c>
      <c r="O56" s="1633">
        <f t="shared" si="191"/>
        <v>-0.0113</v>
      </c>
      <c r="P56" s="1633">
        <f t="shared" si="191"/>
        <v>0.0179</v>
      </c>
      <c r="Q56" s="1633">
        <f t="shared" si="191"/>
        <v>-0.0207</v>
      </c>
      <c r="R56" s="1661"/>
      <c r="S56" s="1632"/>
      <c r="T56" s="1633"/>
      <c r="U56" s="1633"/>
      <c r="V56" s="1633"/>
    </row>
    <row r="57" spans="1:26">
      <c r="A57" s="1594" t="s">
        <v>1869</v>
      </c>
      <c r="B57" s="1595">
        <f t="shared" si="204"/>
        <v>208.834545378754</v>
      </c>
      <c r="C57" s="1595">
        <f t="shared" si="204"/>
        <v>183.772305170904</v>
      </c>
      <c r="D57" s="1595">
        <f t="shared" si="189"/>
        <v>183.772305170904</v>
      </c>
      <c r="E57" s="1595">
        <f t="shared" si="205"/>
        <v>281.103423388709</v>
      </c>
      <c r="F57" s="1595">
        <f t="shared" si="205"/>
        <v>168.973093889423</v>
      </c>
      <c r="G57" s="1606">
        <v>2009</v>
      </c>
      <c r="H57" s="1596">
        <v>1</v>
      </c>
      <c r="I57" s="1596">
        <v>-2.64</v>
      </c>
      <c r="J57" s="1596">
        <v>-2.53</v>
      </c>
      <c r="K57" s="1596">
        <v>-3.02</v>
      </c>
      <c r="L57" s="1634">
        <v>1.52</v>
      </c>
      <c r="N57" s="1639">
        <f t="shared" si="191"/>
        <v>-0.0264</v>
      </c>
      <c r="O57" s="1640">
        <f t="shared" si="191"/>
        <v>-0.0253</v>
      </c>
      <c r="P57" s="1640">
        <f t="shared" si="191"/>
        <v>-0.0302</v>
      </c>
      <c r="Q57" s="1640">
        <f t="shared" si="191"/>
        <v>0.0152</v>
      </c>
      <c r="R57" s="1661"/>
      <c r="S57" s="1639">
        <f>B57/B58-1</f>
        <v>-0.0241376384170388</v>
      </c>
      <c r="T57" s="1640">
        <f>C57/C58-1</f>
        <v>-0.022487738452641</v>
      </c>
      <c r="U57" s="1640">
        <f>E57/E58-1</f>
        <v>-0.0273237945027354</v>
      </c>
      <c r="V57" s="1640">
        <f>F57/F58-1</f>
        <v>0.017910204153148</v>
      </c>
      <c r="X57" s="1633"/>
      <c r="Y57" s="1633"/>
      <c r="Z57" s="1633"/>
    </row>
    <row r="58" ht="13.5" spans="1:26">
      <c r="A58" s="1594" t="s">
        <v>1870</v>
      </c>
      <c r="B58" s="1620">
        <v>214</v>
      </c>
      <c r="C58" s="1620">
        <v>188</v>
      </c>
      <c r="D58" s="1620">
        <f t="shared" si="189"/>
        <v>188</v>
      </c>
      <c r="E58" s="1620">
        <v>289</v>
      </c>
      <c r="F58" s="1621">
        <v>166</v>
      </c>
      <c r="G58" s="1607">
        <v>2008</v>
      </c>
      <c r="H58" s="1608">
        <v>4</v>
      </c>
      <c r="I58" s="1608">
        <v>1.73</v>
      </c>
      <c r="J58" s="1608">
        <v>0.03</v>
      </c>
      <c r="K58" s="1608">
        <v>2.59</v>
      </c>
      <c r="L58" s="1641">
        <v>-1.66</v>
      </c>
      <c r="N58" s="1632">
        <f t="shared" si="191"/>
        <v>0.0173</v>
      </c>
      <c r="O58" s="1633">
        <f t="shared" si="191"/>
        <v>0.0003</v>
      </c>
      <c r="P58" s="1633">
        <f t="shared" si="191"/>
        <v>0.0259</v>
      </c>
      <c r="Q58" s="1633">
        <f t="shared" si="191"/>
        <v>-0.0166</v>
      </c>
      <c r="R58" s="1661"/>
      <c r="S58" s="1662"/>
      <c r="T58" s="1663"/>
      <c r="U58" s="1663"/>
      <c r="V58" s="1663"/>
      <c r="X58" s="1663"/>
      <c r="Y58" s="1663"/>
      <c r="Z58" s="1663"/>
    </row>
    <row r="59" spans="1:22">
      <c r="A59" s="1594" t="s">
        <v>1871</v>
      </c>
      <c r="B59" s="1595">
        <f t="shared" ref="B59:C61" si="206">B58/(1+N58)</f>
        <v>210.360758871523</v>
      </c>
      <c r="C59" s="1595">
        <f t="shared" si="206"/>
        <v>187.943616914926</v>
      </c>
      <c r="D59" s="1595">
        <f t="shared" si="189"/>
        <v>187.943616914926</v>
      </c>
      <c r="E59" s="1595">
        <f t="shared" ref="E59:F61" si="207">E58/(1+P58)</f>
        <v>281.703869772882</v>
      </c>
      <c r="F59" s="1595">
        <f t="shared" si="207"/>
        <v>168.80211511084</v>
      </c>
      <c r="G59" s="1600">
        <v>2008</v>
      </c>
      <c r="H59" s="1609">
        <v>3</v>
      </c>
      <c r="I59" s="1609">
        <v>1.96</v>
      </c>
      <c r="J59" s="1609">
        <v>2.36</v>
      </c>
      <c r="K59" s="1609">
        <v>1.82</v>
      </c>
      <c r="L59" s="1642">
        <v>2.22</v>
      </c>
      <c r="N59" s="1632">
        <f t="shared" si="191"/>
        <v>0.0196</v>
      </c>
      <c r="O59" s="1633">
        <f t="shared" si="191"/>
        <v>0.0236</v>
      </c>
      <c r="P59" s="1633">
        <f t="shared" si="191"/>
        <v>0.0182</v>
      </c>
      <c r="Q59" s="1633">
        <f t="shared" si="191"/>
        <v>0.0222</v>
      </c>
      <c r="R59" s="1661"/>
      <c r="S59" s="1632"/>
      <c r="T59" s="1633"/>
      <c r="U59" s="1633"/>
      <c r="V59" s="1633"/>
    </row>
    <row r="60" spans="1:22">
      <c r="A60" s="1594" t="s">
        <v>1872</v>
      </c>
      <c r="B60" s="1595">
        <f t="shared" si="206"/>
        <v>206.316946715891</v>
      </c>
      <c r="C60" s="1595">
        <f t="shared" si="206"/>
        <v>183.610411210361</v>
      </c>
      <c r="D60" s="1595">
        <f t="shared" si="189"/>
        <v>183.610411210361</v>
      </c>
      <c r="E60" s="1595">
        <f t="shared" si="207"/>
        <v>276.668503017956</v>
      </c>
      <c r="F60" s="1595">
        <f t="shared" si="207"/>
        <v>165.136093827861</v>
      </c>
      <c r="G60" s="1600">
        <v>2008</v>
      </c>
      <c r="H60" s="1601">
        <v>2</v>
      </c>
      <c r="I60" s="1601">
        <v>4.93</v>
      </c>
      <c r="J60" s="1601">
        <v>7.38</v>
      </c>
      <c r="K60" s="1601">
        <v>3.98</v>
      </c>
      <c r="L60" s="1636">
        <v>6.86</v>
      </c>
      <c r="N60" s="1632">
        <f t="shared" si="191"/>
        <v>0.0493</v>
      </c>
      <c r="O60" s="1633">
        <f t="shared" si="191"/>
        <v>0.0738</v>
      </c>
      <c r="P60" s="1633">
        <f t="shared" si="191"/>
        <v>0.0398</v>
      </c>
      <c r="Q60" s="1633">
        <f t="shared" si="191"/>
        <v>0.0686</v>
      </c>
      <c r="R60" s="1661"/>
      <c r="S60" s="1632"/>
      <c r="T60" s="1633"/>
      <c r="U60" s="1633"/>
      <c r="V60" s="1633"/>
    </row>
    <row r="61" s="1576" customFormat="1" ht="13.5" spans="1:26">
      <c r="A61" s="1594" t="s">
        <v>1873</v>
      </c>
      <c r="B61" s="1623">
        <f t="shared" si="206"/>
        <v>196.623412480598</v>
      </c>
      <c r="C61" s="1623">
        <f t="shared" si="206"/>
        <v>170.99125648199</v>
      </c>
      <c r="D61" s="1623">
        <f t="shared" si="189"/>
        <v>170.99125648199</v>
      </c>
      <c r="E61" s="1623">
        <f t="shared" si="207"/>
        <v>266.078575704901</v>
      </c>
      <c r="F61" s="1623">
        <f t="shared" si="207"/>
        <v>154.534993288285</v>
      </c>
      <c r="G61" s="1606">
        <v>2008</v>
      </c>
      <c r="H61" s="1624">
        <v>1</v>
      </c>
      <c r="I61" s="1624">
        <v>4.14</v>
      </c>
      <c r="J61" s="1624">
        <v>3.45</v>
      </c>
      <c r="K61" s="1624">
        <v>4.95</v>
      </c>
      <c r="L61" s="1648">
        <v>4.82</v>
      </c>
      <c r="N61" s="1649">
        <f t="shared" si="191"/>
        <v>0.0414</v>
      </c>
      <c r="O61" s="1650">
        <f t="shared" si="191"/>
        <v>0.0345</v>
      </c>
      <c r="P61" s="1650">
        <f t="shared" si="191"/>
        <v>0.0495</v>
      </c>
      <c r="Q61" s="1650">
        <f t="shared" si="191"/>
        <v>0.0482</v>
      </c>
      <c r="R61" s="1669"/>
      <c r="S61" s="1649">
        <f>B61/B62-1</f>
        <v>0.0458692153223283</v>
      </c>
      <c r="T61" s="1650">
        <f>C61/C62-1</f>
        <v>0.0363106453453947</v>
      </c>
      <c r="U61" s="1650">
        <f>E61/E62-1</f>
        <v>0.0475534476570887</v>
      </c>
      <c r="V61" s="1650">
        <f>F61/F62-1</f>
        <v>0.0441553600559801</v>
      </c>
      <c r="X61" s="1650"/>
      <c r="Y61" s="1650"/>
      <c r="Z61" s="1650"/>
    </row>
    <row r="62" ht="13.5" spans="1:26">
      <c r="A62" s="1594" t="s">
        <v>1874</v>
      </c>
      <c r="B62" s="1604">
        <v>188</v>
      </c>
      <c r="C62" s="1604">
        <v>165</v>
      </c>
      <c r="D62" s="1604">
        <f t="shared" si="189"/>
        <v>165</v>
      </c>
      <c r="E62" s="1604">
        <v>254</v>
      </c>
      <c r="F62" s="1605">
        <v>148</v>
      </c>
      <c r="G62" s="1607">
        <v>2007</v>
      </c>
      <c r="H62" s="1625">
        <v>4</v>
      </c>
      <c r="I62" s="1625">
        <v>5.51</v>
      </c>
      <c r="J62" s="1625">
        <v>4.89</v>
      </c>
      <c r="K62" s="1625">
        <v>6.43</v>
      </c>
      <c r="L62" s="1651">
        <v>5.36</v>
      </c>
      <c r="N62" s="1652">
        <f t="shared" ref="N62:O65" si="208">B62/B63-1</f>
        <v>0.0413397183652455</v>
      </c>
      <c r="O62" s="1653">
        <f t="shared" si="208"/>
        <v>0.040324492593776</v>
      </c>
      <c r="P62" s="1653">
        <f t="shared" ref="P62:Q65" si="209">E62/E63-1</f>
        <v>0.061625555347991</v>
      </c>
      <c r="Q62" s="1653">
        <f t="shared" si="209"/>
        <v>0.0467575692505906</v>
      </c>
      <c r="R62" s="1661"/>
      <c r="S62" s="1662"/>
      <c r="T62" s="1663"/>
      <c r="U62" s="1663"/>
      <c r="V62" s="1663"/>
      <c r="X62" s="1663"/>
      <c r="Y62" s="1663"/>
      <c r="Z62" s="1663"/>
    </row>
    <row r="63" spans="1:26">
      <c r="A63" s="1594" t="s">
        <v>1875</v>
      </c>
      <c r="B63" s="1595">
        <f t="shared" ref="B63:C65" si="210">B64+(B$62-B$66)*I63/SUM(I$62:I$65)</f>
        <v>180.536665109762</v>
      </c>
      <c r="C63" s="1595">
        <f t="shared" si="210"/>
        <v>158.604359673025</v>
      </c>
      <c r="D63" s="1595">
        <f t="shared" si="189"/>
        <v>158.604359673025</v>
      </c>
      <c r="E63" s="1595">
        <f t="shared" ref="E63:F65" si="211">E64+(E$62-E$66)*K63/SUM(K$62:K$65)</f>
        <v>239.255732607851</v>
      </c>
      <c r="F63" s="1595">
        <f t="shared" si="211"/>
        <v>141.3889943074</v>
      </c>
      <c r="G63" s="1600">
        <v>2007</v>
      </c>
      <c r="H63" s="1609">
        <v>3</v>
      </c>
      <c r="I63" s="1609">
        <v>8.65</v>
      </c>
      <c r="J63" s="1609">
        <v>8.06</v>
      </c>
      <c r="K63" s="1609">
        <v>9.94</v>
      </c>
      <c r="L63" s="1642">
        <v>5.8</v>
      </c>
      <c r="N63" s="1652">
        <f t="shared" si="208"/>
        <v>0.0694021757174001</v>
      </c>
      <c r="O63" s="1653">
        <f t="shared" si="208"/>
        <v>0.0711974824711534</v>
      </c>
      <c r="P63" s="1653">
        <f t="shared" si="209"/>
        <v>0.105296799225796</v>
      </c>
      <c r="Q63" s="1653">
        <f t="shared" si="209"/>
        <v>0.0532922450595121</v>
      </c>
      <c r="R63" s="1661"/>
      <c r="S63" s="1632"/>
      <c r="T63" s="1633"/>
      <c r="U63" s="1633"/>
      <c r="V63" s="1633"/>
      <c r="X63" s="1670"/>
      <c r="Y63" s="1670"/>
      <c r="Z63" s="1670"/>
    </row>
    <row r="64" spans="1:26">
      <c r="A64" s="1594" t="s">
        <v>1876</v>
      </c>
      <c r="B64" s="1595">
        <f t="shared" si="210"/>
        <v>168.820177487156</v>
      </c>
      <c r="C64" s="1595">
        <f t="shared" si="210"/>
        <v>148.062670299728</v>
      </c>
      <c r="D64" s="1595">
        <f t="shared" si="189"/>
        <v>148.062670299728</v>
      </c>
      <c r="E64" s="1595">
        <f t="shared" si="211"/>
        <v>216.462883793237</v>
      </c>
      <c r="F64" s="1595">
        <f t="shared" si="211"/>
        <v>134.235294117647</v>
      </c>
      <c r="G64" s="1600">
        <v>2007</v>
      </c>
      <c r="H64" s="1601">
        <v>2</v>
      </c>
      <c r="I64" s="1601">
        <v>3.67</v>
      </c>
      <c r="J64" s="1601">
        <v>2.32</v>
      </c>
      <c r="K64" s="1601">
        <v>5.02</v>
      </c>
      <c r="L64" s="1636">
        <v>6.71</v>
      </c>
      <c r="N64" s="1652">
        <f t="shared" si="208"/>
        <v>0.030339138143848</v>
      </c>
      <c r="O64" s="1653">
        <f t="shared" si="208"/>
        <v>0.0209223415887905</v>
      </c>
      <c r="P64" s="1653">
        <f t="shared" si="209"/>
        <v>0.056164796592717</v>
      </c>
      <c r="Q64" s="1653">
        <f t="shared" si="209"/>
        <v>0.0657045367238873</v>
      </c>
      <c r="R64" s="1661"/>
      <c r="S64" s="1632"/>
      <c r="T64" s="1633"/>
      <c r="U64" s="1633"/>
      <c r="V64" s="1633"/>
      <c r="X64" s="1670"/>
      <c r="Y64" s="1670"/>
      <c r="Z64" s="1670"/>
    </row>
    <row r="65" spans="1:26">
      <c r="A65" s="1594" t="s">
        <v>1877</v>
      </c>
      <c r="B65" s="1595">
        <f t="shared" si="210"/>
        <v>163.849135917795</v>
      </c>
      <c r="C65" s="1595">
        <f t="shared" si="210"/>
        <v>145.028337874659</v>
      </c>
      <c r="D65" s="1595">
        <f t="shared" si="189"/>
        <v>145.028337874659</v>
      </c>
      <c r="E65" s="1595">
        <f t="shared" si="211"/>
        <v>204.951807228916</v>
      </c>
      <c r="F65" s="1595">
        <f t="shared" si="211"/>
        <v>125.959203036053</v>
      </c>
      <c r="G65" s="1606">
        <v>2007</v>
      </c>
      <c r="H65" s="1596">
        <v>1</v>
      </c>
      <c r="I65" s="1596">
        <v>3.58</v>
      </c>
      <c r="J65" s="1596">
        <v>3.08</v>
      </c>
      <c r="K65" s="1596">
        <v>4.34</v>
      </c>
      <c r="L65" s="1634">
        <v>3.21</v>
      </c>
      <c r="N65" s="1686">
        <f t="shared" si="208"/>
        <v>0.0304977101748141</v>
      </c>
      <c r="O65" s="1687">
        <f t="shared" si="208"/>
        <v>0.028569772160705</v>
      </c>
      <c r="P65" s="1687">
        <f t="shared" si="209"/>
        <v>0.0510349088662343</v>
      </c>
      <c r="Q65" s="1687">
        <f t="shared" si="209"/>
        <v>0.0324524839020748</v>
      </c>
      <c r="R65" s="1661"/>
      <c r="S65" s="1639">
        <f>B65/B66-1</f>
        <v>0.0304977101748141</v>
      </c>
      <c r="T65" s="1640">
        <f>C65/C66-1</f>
        <v>0.028569772160705</v>
      </c>
      <c r="U65" s="1640">
        <f>E65/E66-1</f>
        <v>0.0510349088662343</v>
      </c>
      <c r="V65" s="1640">
        <f>F65/F66-1</f>
        <v>0.0324524839020748</v>
      </c>
      <c r="X65" s="1670"/>
      <c r="Y65" s="1670"/>
      <c r="Z65" s="1670"/>
    </row>
    <row r="66" ht="13.5" spans="1:26">
      <c r="A66" s="1594" t="s">
        <v>1878</v>
      </c>
      <c r="B66" s="1610">
        <v>159</v>
      </c>
      <c r="C66" s="1610">
        <v>141</v>
      </c>
      <c r="D66" s="1610">
        <f t="shared" si="189"/>
        <v>141</v>
      </c>
      <c r="E66" s="1610">
        <v>195</v>
      </c>
      <c r="F66" s="1611">
        <v>122</v>
      </c>
      <c r="G66" s="1607">
        <v>2006</v>
      </c>
      <c r="H66" s="1608">
        <v>4</v>
      </c>
      <c r="I66" s="1608">
        <v>3.79</v>
      </c>
      <c r="J66" s="1608">
        <v>2.21</v>
      </c>
      <c r="K66" s="1608">
        <v>5.65</v>
      </c>
      <c r="L66" s="1641">
        <v>5.41</v>
      </c>
      <c r="N66" s="1652">
        <f t="shared" ref="N66:O69" si="212">I66/SUM(I$66:I$69)*(B$66/B$70-1)</f>
        <v>0.0724546646274853</v>
      </c>
      <c r="O66" s="1653">
        <f t="shared" si="212"/>
        <v>0.0232372300380628</v>
      </c>
      <c r="P66" s="1653">
        <f t="shared" ref="P66:Q69" si="213">K66/SUM(K$66:K$69)*(E$66/E$70-1)</f>
        <v>0.161468938663237</v>
      </c>
      <c r="Q66" s="1653">
        <f t="shared" si="213"/>
        <v>0.0507552303217938</v>
      </c>
      <c r="R66" s="1661"/>
      <c r="S66" s="1662"/>
      <c r="T66" s="1663"/>
      <c r="U66" s="1663"/>
      <c r="V66" s="1663"/>
      <c r="X66" s="1670"/>
      <c r="Y66" s="1670"/>
      <c r="Z66" s="1670"/>
    </row>
    <row r="67" spans="1:26">
      <c r="A67" s="1594" t="s">
        <v>1879</v>
      </c>
      <c r="B67" s="1595">
        <f t="shared" ref="B67:C69" si="214">B68+(B$66-B$70)*I67/SUM(I$66:I$69)</f>
        <v>149.001256281407</v>
      </c>
      <c r="C67" s="1595">
        <f t="shared" si="214"/>
        <v>137.955922865014</v>
      </c>
      <c r="D67" s="1595">
        <f t="shared" si="189"/>
        <v>137.955922865014</v>
      </c>
      <c r="E67" s="1595">
        <f t="shared" ref="E67:F69" si="215">E68+(E$66-E$70)*K67/SUM(K$66:K$69)</f>
        <v>169.972314507198</v>
      </c>
      <c r="F67" s="1595">
        <f t="shared" si="215"/>
        <v>116.213903743316</v>
      </c>
      <c r="G67" s="1600">
        <v>2006</v>
      </c>
      <c r="H67" s="1609">
        <v>3</v>
      </c>
      <c r="I67" s="1609">
        <v>0.92</v>
      </c>
      <c r="J67" s="1609">
        <v>1.08</v>
      </c>
      <c r="K67" s="1609">
        <v>0.73</v>
      </c>
      <c r="L67" s="1642">
        <v>1.08</v>
      </c>
      <c r="N67" s="1652">
        <f t="shared" si="212"/>
        <v>0.0175879396984925</v>
      </c>
      <c r="O67" s="1653">
        <f t="shared" si="212"/>
        <v>0.0113557504258406</v>
      </c>
      <c r="P67" s="1653">
        <f t="shared" si="213"/>
        <v>0.0208623584467545</v>
      </c>
      <c r="Q67" s="1653">
        <f t="shared" si="213"/>
        <v>0.010132282578103</v>
      </c>
      <c r="R67" s="1661"/>
      <c r="S67" s="1632"/>
      <c r="T67" s="1633"/>
      <c r="U67" s="1633"/>
      <c r="V67" s="1633"/>
      <c r="X67" s="1670"/>
      <c r="Y67" s="1670"/>
      <c r="Z67" s="1670"/>
    </row>
    <row r="68" spans="1:26">
      <c r="A68" s="1594" t="s">
        <v>1880</v>
      </c>
      <c r="B68" s="1595">
        <f t="shared" si="214"/>
        <v>146.574120603015</v>
      </c>
      <c r="C68" s="1595">
        <f t="shared" si="214"/>
        <v>136.468319559229</v>
      </c>
      <c r="D68" s="1595">
        <f t="shared" si="189"/>
        <v>136.468319559229</v>
      </c>
      <c r="E68" s="1595">
        <f t="shared" si="215"/>
        <v>166.738648947951</v>
      </c>
      <c r="F68" s="1595">
        <f t="shared" si="215"/>
        <v>115.058823529412</v>
      </c>
      <c r="G68" s="1600">
        <v>2006</v>
      </c>
      <c r="H68" s="1601">
        <v>2</v>
      </c>
      <c r="I68" s="1601">
        <v>0.96</v>
      </c>
      <c r="J68" s="1601">
        <v>0.25</v>
      </c>
      <c r="K68" s="1601">
        <v>1.9</v>
      </c>
      <c r="L68" s="1636">
        <v>0.95</v>
      </c>
      <c r="N68" s="1652">
        <f t="shared" si="212"/>
        <v>0.0183526327288617</v>
      </c>
      <c r="O68" s="1653">
        <f t="shared" si="212"/>
        <v>0.00262864593190755</v>
      </c>
      <c r="P68" s="1653">
        <f t="shared" si="213"/>
        <v>0.0542992891079913</v>
      </c>
      <c r="Q68" s="1653">
        <f t="shared" si="213"/>
        <v>0.0089126559714795</v>
      </c>
      <c r="R68" s="1661"/>
      <c r="S68" s="1632"/>
      <c r="T68" s="1633"/>
      <c r="U68" s="1633"/>
      <c r="V68" s="1633"/>
      <c r="X68" s="1670"/>
      <c r="Y68" s="1670"/>
      <c r="Z68" s="1670"/>
    </row>
    <row r="69" spans="1:26">
      <c r="A69" s="1594" t="s">
        <v>1881</v>
      </c>
      <c r="B69" s="1595">
        <f t="shared" si="214"/>
        <v>144.041457286432</v>
      </c>
      <c r="C69" s="1595">
        <f t="shared" si="214"/>
        <v>136.123966942149</v>
      </c>
      <c r="D69" s="1595">
        <f t="shared" si="189"/>
        <v>136.123966942149</v>
      </c>
      <c r="E69" s="1595">
        <f t="shared" si="215"/>
        <v>158.322259136213</v>
      </c>
      <c r="F69" s="1595">
        <f t="shared" si="215"/>
        <v>114.042780748663</v>
      </c>
      <c r="G69" s="1606">
        <v>2006</v>
      </c>
      <c r="H69" s="1596">
        <v>1</v>
      </c>
      <c r="I69" s="1596">
        <v>2.29</v>
      </c>
      <c r="J69" s="1596">
        <v>3.72</v>
      </c>
      <c r="K69" s="1596">
        <v>0.75</v>
      </c>
      <c r="L69" s="1634">
        <v>0.04</v>
      </c>
      <c r="N69" s="1686">
        <f t="shared" si="212"/>
        <v>0.0437786759886388</v>
      </c>
      <c r="O69" s="1687">
        <f t="shared" si="212"/>
        <v>0.0391142514667844</v>
      </c>
      <c r="P69" s="1687">
        <f t="shared" si="213"/>
        <v>0.0214339299110492</v>
      </c>
      <c r="Q69" s="1687">
        <f t="shared" si="213"/>
        <v>0.000375269725114926</v>
      </c>
      <c r="R69" s="1661"/>
      <c r="S69" s="1639">
        <f>B69/B70-1</f>
        <v>0.0437786759886387</v>
      </c>
      <c r="T69" s="1640">
        <f>C69/C70-1</f>
        <v>0.0391142514667846</v>
      </c>
      <c r="U69" s="1640">
        <f>E69/E70-1</f>
        <v>0.0214339299110493</v>
      </c>
      <c r="V69" s="1640">
        <f>F69/F70-1</f>
        <v>0.000375269725114924</v>
      </c>
      <c r="X69" s="1670"/>
      <c r="Y69" s="1670"/>
      <c r="Z69" s="1670"/>
    </row>
    <row r="70" ht="13.5" spans="1:26">
      <c r="A70" s="1594" t="s">
        <v>1882</v>
      </c>
      <c r="B70" s="1610">
        <v>138</v>
      </c>
      <c r="C70" s="1610">
        <v>131</v>
      </c>
      <c r="D70" s="1610">
        <f t="shared" si="189"/>
        <v>131</v>
      </c>
      <c r="E70" s="1610">
        <v>155</v>
      </c>
      <c r="F70" s="1611">
        <v>114</v>
      </c>
      <c r="G70" s="1607">
        <v>2005</v>
      </c>
      <c r="H70" s="1608">
        <v>4</v>
      </c>
      <c r="I70" s="1608">
        <v>3.29</v>
      </c>
      <c r="J70" s="1608">
        <v>1.44</v>
      </c>
      <c r="K70" s="1608">
        <v>0.66</v>
      </c>
      <c r="L70" s="1641">
        <v>7.78</v>
      </c>
      <c r="N70" s="1652">
        <f t="shared" ref="N70:O73" si="216">I70/SUM(I$70:I$73)*(B$70/B$74-1)</f>
        <v>0.0994046032169199</v>
      </c>
      <c r="O70" s="1653">
        <f t="shared" si="216"/>
        <v>0.0476365507608616</v>
      </c>
      <c r="P70" s="1653">
        <f t="shared" ref="P70:Q73" si="217">K70/SUM(K$70:K$73)*(E$70/E$74-1)</f>
        <v>0.083756345177665</v>
      </c>
      <c r="Q70" s="1653">
        <f t="shared" si="217"/>
        <v>0.0521487666615596</v>
      </c>
      <c r="R70" s="1661"/>
      <c r="S70" s="1662"/>
      <c r="T70" s="1663"/>
      <c r="U70" s="1663"/>
      <c r="V70" s="1663"/>
      <c r="X70" s="1670"/>
      <c r="Y70" s="1670"/>
      <c r="Z70" s="1670"/>
    </row>
    <row r="71" spans="1:26">
      <c r="A71" s="1594" t="s">
        <v>1883</v>
      </c>
      <c r="B71" s="1595">
        <f t="shared" ref="B71:C73" si="218">B72+(B$70-B$74)*I71/SUM(I$70:I$73)</f>
        <v>125.972043010753</v>
      </c>
      <c r="C71" s="1595">
        <f t="shared" si="218"/>
        <v>125.188340807175</v>
      </c>
      <c r="D71" s="1595">
        <f t="shared" si="189"/>
        <v>125.188340807175</v>
      </c>
      <c r="E71" s="1595">
        <f t="shared" ref="E71:F73" si="219">E72+(E$70-E$74)*K71/SUM(K$70:K$73)</f>
        <v>144.61421319797</v>
      </c>
      <c r="F71" s="1595">
        <f t="shared" si="219"/>
        <v>108.420081967213</v>
      </c>
      <c r="G71" s="1600">
        <v>2005</v>
      </c>
      <c r="H71" s="1609">
        <v>3</v>
      </c>
      <c r="I71" s="1609">
        <v>0.46</v>
      </c>
      <c r="J71" s="1609">
        <v>0.32</v>
      </c>
      <c r="K71" s="1609">
        <v>0.42</v>
      </c>
      <c r="L71" s="1642">
        <v>0.64</v>
      </c>
      <c r="N71" s="1652">
        <f t="shared" si="216"/>
        <v>0.0138985159513019</v>
      </c>
      <c r="O71" s="1653">
        <f t="shared" si="216"/>
        <v>0.0105859001690803</v>
      </c>
      <c r="P71" s="1653">
        <f t="shared" si="217"/>
        <v>0.0532994923857868</v>
      </c>
      <c r="Q71" s="1653">
        <f t="shared" si="217"/>
        <v>0.00428987283591236</v>
      </c>
      <c r="R71" s="1661"/>
      <c r="S71" s="1632"/>
      <c r="T71" s="1633"/>
      <c r="U71" s="1633"/>
      <c r="V71" s="1633"/>
      <c r="X71" s="1670"/>
      <c r="Y71" s="1670"/>
      <c r="Z71" s="1670"/>
    </row>
    <row r="72" spans="1:26">
      <c r="A72" s="1594" t="s">
        <v>1884</v>
      </c>
      <c r="B72" s="1595">
        <f t="shared" si="218"/>
        <v>124.290322580645</v>
      </c>
      <c r="C72" s="1595">
        <f t="shared" si="218"/>
        <v>123.896860986547</v>
      </c>
      <c r="D72" s="1595">
        <f t="shared" si="189"/>
        <v>123.896860986547</v>
      </c>
      <c r="E72" s="1595">
        <f t="shared" si="219"/>
        <v>138.005076142132</v>
      </c>
      <c r="F72" s="1595">
        <f t="shared" si="219"/>
        <v>107.96106557377</v>
      </c>
      <c r="G72" s="1600">
        <v>2005</v>
      </c>
      <c r="H72" s="1601">
        <v>2</v>
      </c>
      <c r="I72" s="1601">
        <v>0.47</v>
      </c>
      <c r="J72" s="1601">
        <v>0.1</v>
      </c>
      <c r="K72" s="1601">
        <v>0.52</v>
      </c>
      <c r="L72" s="1636">
        <v>0.79</v>
      </c>
      <c r="N72" s="1652">
        <f t="shared" si="216"/>
        <v>0.0142006576024171</v>
      </c>
      <c r="O72" s="1653">
        <f t="shared" si="216"/>
        <v>0.00330809380283761</v>
      </c>
      <c r="P72" s="1653">
        <f t="shared" si="217"/>
        <v>0.065989847715736</v>
      </c>
      <c r="Q72" s="1653">
        <f t="shared" si="217"/>
        <v>0.00529531178182932</v>
      </c>
      <c r="R72" s="1661"/>
      <c r="S72" s="1632"/>
      <c r="T72" s="1633"/>
      <c r="U72" s="1633"/>
      <c r="V72" s="1633"/>
      <c r="X72" s="1670"/>
      <c r="Y72" s="1670"/>
      <c r="Z72" s="1670"/>
    </row>
    <row r="73" spans="1:26">
      <c r="A73" s="1594" t="s">
        <v>1885</v>
      </c>
      <c r="B73" s="1595">
        <f t="shared" si="218"/>
        <v>122.572043010753</v>
      </c>
      <c r="C73" s="1595">
        <f t="shared" si="218"/>
        <v>123.493273542601</v>
      </c>
      <c r="D73" s="1595">
        <f t="shared" si="189"/>
        <v>123.493273542601</v>
      </c>
      <c r="E73" s="1595">
        <f t="shared" si="219"/>
        <v>129.822335025381</v>
      </c>
      <c r="F73" s="1595">
        <f t="shared" si="219"/>
        <v>107.394467213115</v>
      </c>
      <c r="G73" s="1606">
        <v>2005</v>
      </c>
      <c r="H73" s="1596">
        <v>1</v>
      </c>
      <c r="I73" s="1596">
        <v>0.43</v>
      </c>
      <c r="J73" s="1596">
        <v>0.37</v>
      </c>
      <c r="K73" s="1596">
        <v>0.37</v>
      </c>
      <c r="L73" s="1634">
        <v>0.55</v>
      </c>
      <c r="N73" s="1686">
        <f t="shared" si="216"/>
        <v>0.0129920909979561</v>
      </c>
      <c r="O73" s="1687">
        <f t="shared" si="216"/>
        <v>0.0122399470704992</v>
      </c>
      <c r="P73" s="1687">
        <f t="shared" si="217"/>
        <v>0.0469543147208122</v>
      </c>
      <c r="Q73" s="1687">
        <f t="shared" si="217"/>
        <v>0.00368660946836218</v>
      </c>
      <c r="R73" s="1661"/>
      <c r="S73" s="1639">
        <f>B73/B74-1</f>
        <v>0.0129920909979562</v>
      </c>
      <c r="T73" s="1640">
        <f>C73/C74-1</f>
        <v>0.0122399470704992</v>
      </c>
      <c r="U73" s="1640">
        <f>E73/E74-1</f>
        <v>0.0469543147208122</v>
      </c>
      <c r="V73" s="1640">
        <f>F73/F74-1</f>
        <v>0.00368660946836208</v>
      </c>
      <c r="X73" s="1670"/>
      <c r="Y73" s="1670"/>
      <c r="Z73" s="1670"/>
    </row>
    <row r="74" ht="13.5" spans="1:26">
      <c r="A74" s="1594" t="s">
        <v>1886</v>
      </c>
      <c r="B74" s="1620">
        <v>121</v>
      </c>
      <c r="C74" s="1620">
        <v>122</v>
      </c>
      <c r="D74" s="1620">
        <f t="shared" si="189"/>
        <v>122</v>
      </c>
      <c r="E74" s="1620">
        <v>124</v>
      </c>
      <c r="F74" s="1621">
        <v>107</v>
      </c>
      <c r="G74" s="1607">
        <v>2004</v>
      </c>
      <c r="H74" s="1608">
        <v>4</v>
      </c>
      <c r="I74" s="1608">
        <v>0.33</v>
      </c>
      <c r="J74" s="1608">
        <v>0.5</v>
      </c>
      <c r="K74" s="1608">
        <v>0.5</v>
      </c>
      <c r="L74" s="1641">
        <v>0</v>
      </c>
      <c r="N74" s="1652">
        <f t="shared" ref="N74:O77" si="220">I74/SUM(I$74:I$77)*(B$74/B$78-1)</f>
        <v>0.0133917701485269</v>
      </c>
      <c r="O74" s="1653">
        <f t="shared" si="220"/>
        <v>0.0106326422115896</v>
      </c>
      <c r="P74" s="1653">
        <f t="shared" ref="P74:Q77" si="221">K74/SUM(K$74:K$77)*(E$74/E$78-1)</f>
        <v>0.0222444666889111</v>
      </c>
      <c r="Q74" s="1653">
        <f t="shared" si="221"/>
        <v>0</v>
      </c>
      <c r="R74" s="1661"/>
      <c r="S74" s="1662"/>
      <c r="T74" s="1663"/>
      <c r="U74" s="1663"/>
      <c r="V74" s="1663"/>
      <c r="X74" s="1670"/>
      <c r="Y74" s="1670"/>
      <c r="Z74" s="1670"/>
    </row>
    <row r="75" spans="1:26">
      <c r="A75" s="1594" t="s">
        <v>1887</v>
      </c>
      <c r="B75" s="1595">
        <f t="shared" ref="B75:C77" si="222">B76+(B$74-B$78)*I75/SUM(I$74:I$77)</f>
        <v>119.513513513514</v>
      </c>
      <c r="C75" s="1595">
        <f t="shared" si="222"/>
        <v>120.787878787879</v>
      </c>
      <c r="D75" s="1595">
        <f t="shared" si="189"/>
        <v>120.787878787879</v>
      </c>
      <c r="E75" s="1595">
        <f t="shared" ref="E75:F77" si="223">E76+(E$74-E$78)*K75/SUM(K$74:K$77)</f>
        <v>121.597597597598</v>
      </c>
      <c r="F75" s="1595">
        <f t="shared" si="223"/>
        <v>107</v>
      </c>
      <c r="G75" s="1600">
        <v>2004</v>
      </c>
      <c r="H75" s="1609">
        <v>3</v>
      </c>
      <c r="I75" s="1609">
        <v>0.56</v>
      </c>
      <c r="J75" s="1609">
        <v>0.8</v>
      </c>
      <c r="K75" s="1609">
        <v>0.83</v>
      </c>
      <c r="L75" s="1642">
        <v>0.06</v>
      </c>
      <c r="N75" s="1652">
        <f t="shared" si="220"/>
        <v>0.0227254281308335</v>
      </c>
      <c r="O75" s="1653">
        <f t="shared" si="220"/>
        <v>0.0170122275385433</v>
      </c>
      <c r="P75" s="1653">
        <f t="shared" si="221"/>
        <v>0.0369258147035925</v>
      </c>
      <c r="Q75" s="1653">
        <f t="shared" si="221"/>
        <v>0.0288461538461537</v>
      </c>
      <c r="R75" s="1661"/>
      <c r="S75" s="1632"/>
      <c r="T75" s="1633"/>
      <c r="U75" s="1633"/>
      <c r="V75" s="1633"/>
      <c r="X75" s="1670"/>
      <c r="Y75" s="1670"/>
      <c r="Z75" s="1670"/>
    </row>
    <row r="76" spans="1:26">
      <c r="A76" s="1594" t="s">
        <v>1888</v>
      </c>
      <c r="B76" s="1595">
        <f t="shared" si="222"/>
        <v>116.990990990991</v>
      </c>
      <c r="C76" s="1595">
        <f t="shared" si="222"/>
        <v>118.848484848485</v>
      </c>
      <c r="D76" s="1595">
        <f t="shared" si="189"/>
        <v>118.848484848485</v>
      </c>
      <c r="E76" s="1595">
        <f t="shared" si="223"/>
        <v>117.60960960961</v>
      </c>
      <c r="F76" s="1595">
        <f t="shared" si="223"/>
        <v>104</v>
      </c>
      <c r="G76" s="1600">
        <v>2004</v>
      </c>
      <c r="H76" s="1601">
        <v>2</v>
      </c>
      <c r="I76" s="1601">
        <v>1</v>
      </c>
      <c r="J76" s="1601">
        <v>1.5</v>
      </c>
      <c r="K76" s="1601">
        <v>1.5</v>
      </c>
      <c r="L76" s="1636">
        <v>0</v>
      </c>
      <c r="N76" s="1652">
        <f t="shared" si="220"/>
        <v>0.0405811216622027</v>
      </c>
      <c r="O76" s="1653">
        <f t="shared" si="220"/>
        <v>0.0318979266347687</v>
      </c>
      <c r="P76" s="1653">
        <f t="shared" si="221"/>
        <v>0.0667334000667334</v>
      </c>
      <c r="Q76" s="1653">
        <f t="shared" si="221"/>
        <v>0</v>
      </c>
      <c r="R76" s="1661"/>
      <c r="S76" s="1632"/>
      <c r="T76" s="1633"/>
      <c r="U76" s="1633"/>
      <c r="V76" s="1633"/>
      <c r="X76" s="1670"/>
      <c r="Y76" s="1670"/>
      <c r="Z76" s="1670"/>
    </row>
    <row r="77" s="1576" customFormat="1" ht="13.5" spans="1:26">
      <c r="A77" s="1594" t="s">
        <v>1889</v>
      </c>
      <c r="B77" s="1623">
        <f t="shared" si="222"/>
        <v>112.486486486486</v>
      </c>
      <c r="C77" s="1623">
        <f t="shared" si="222"/>
        <v>115.212121212121</v>
      </c>
      <c r="D77" s="1623">
        <f t="shared" si="189"/>
        <v>115.212121212121</v>
      </c>
      <c r="E77" s="1623">
        <f t="shared" si="223"/>
        <v>110.402402402402</v>
      </c>
      <c r="F77" s="1623">
        <f t="shared" si="223"/>
        <v>104</v>
      </c>
      <c r="G77" s="1606">
        <v>2004</v>
      </c>
      <c r="H77" s="1624">
        <v>1</v>
      </c>
      <c r="I77" s="1624">
        <v>0.33</v>
      </c>
      <c r="J77" s="1624">
        <v>0.5</v>
      </c>
      <c r="K77" s="1624">
        <v>0.5</v>
      </c>
      <c r="L77" s="1648">
        <v>0</v>
      </c>
      <c r="N77" s="1688">
        <f t="shared" si="220"/>
        <v>0.0133917701485269</v>
      </c>
      <c r="O77" s="1689">
        <f t="shared" si="220"/>
        <v>0.0106326422115896</v>
      </c>
      <c r="P77" s="1689">
        <f t="shared" si="221"/>
        <v>0.0222444666889111</v>
      </c>
      <c r="Q77" s="1689">
        <f t="shared" si="221"/>
        <v>0</v>
      </c>
      <c r="R77" s="1669"/>
      <c r="S77" s="1649">
        <f>B77/B78-1</f>
        <v>0.0133917701485269</v>
      </c>
      <c r="T77" s="1650">
        <f>C77/C78-1</f>
        <v>0.0106326422115897</v>
      </c>
      <c r="U77" s="1650">
        <f>E77/E78-1</f>
        <v>0.0222444666889112</v>
      </c>
      <c r="V77" s="1650">
        <f>F77/F78-1</f>
        <v>0</v>
      </c>
      <c r="X77" s="1696"/>
      <c r="Y77" s="1696"/>
      <c r="Z77" s="1696"/>
    </row>
    <row r="78" ht="13.5" spans="1:26">
      <c r="A78" s="1594" t="s">
        <v>1890</v>
      </c>
      <c r="B78" s="1674">
        <v>111</v>
      </c>
      <c r="C78" s="1674">
        <v>114</v>
      </c>
      <c r="D78" s="1674">
        <f t="shared" si="189"/>
        <v>114</v>
      </c>
      <c r="E78" s="1674">
        <v>108</v>
      </c>
      <c r="F78" s="1675">
        <v>104</v>
      </c>
      <c r="G78" s="1607">
        <v>2003</v>
      </c>
      <c r="H78" s="1625">
        <v>4</v>
      </c>
      <c r="I78" s="1690"/>
      <c r="J78" s="1690"/>
      <c r="K78" s="1690"/>
      <c r="L78" s="1690"/>
      <c r="N78" s="1691"/>
      <c r="O78" s="1690"/>
      <c r="P78" s="1690"/>
      <c r="Q78" s="1690"/>
      <c r="S78" s="1691"/>
      <c r="T78" s="1690"/>
      <c r="U78" s="1690"/>
      <c r="V78" s="1690"/>
      <c r="X78" s="1670"/>
      <c r="Y78" s="1670"/>
      <c r="Z78" s="1670"/>
    </row>
    <row r="79" spans="1:26">
      <c r="A79" s="1594" t="s">
        <v>1891</v>
      </c>
      <c r="B79" s="1676">
        <f t="shared" ref="B79:C81" si="224">B80+(B$78-B$82)/4</f>
        <v>109.75</v>
      </c>
      <c r="C79" s="1676">
        <f t="shared" si="224"/>
        <v>112.25</v>
      </c>
      <c r="D79" s="1676">
        <f t="shared" si="189"/>
        <v>112.25</v>
      </c>
      <c r="E79" s="1676">
        <f t="shared" ref="E79:F81" si="225">E80+(E$78-E$82)/4</f>
        <v>107.25</v>
      </c>
      <c r="F79" s="1676">
        <f t="shared" si="225"/>
        <v>103.5</v>
      </c>
      <c r="G79" s="1600">
        <v>2003</v>
      </c>
      <c r="H79" s="1609">
        <v>3</v>
      </c>
      <c r="I79" s="1690"/>
      <c r="J79" s="1690"/>
      <c r="K79" s="1690"/>
      <c r="L79" s="1690"/>
      <c r="X79" s="1670"/>
      <c r="Y79" s="1670"/>
      <c r="Z79" s="1670"/>
    </row>
    <row r="80" spans="1:26">
      <c r="A80" s="1594" t="s">
        <v>1892</v>
      </c>
      <c r="B80" s="1676">
        <f t="shared" si="224"/>
        <v>108.5</v>
      </c>
      <c r="C80" s="1676">
        <f t="shared" si="224"/>
        <v>110.5</v>
      </c>
      <c r="D80" s="1676">
        <f t="shared" si="189"/>
        <v>110.5</v>
      </c>
      <c r="E80" s="1676">
        <f t="shared" si="225"/>
        <v>106.5</v>
      </c>
      <c r="F80" s="1676">
        <f t="shared" si="225"/>
        <v>103</v>
      </c>
      <c r="G80" s="1600">
        <v>2003</v>
      </c>
      <c r="H80" s="1601">
        <v>2</v>
      </c>
      <c r="I80" s="1690"/>
      <c r="J80" s="1690"/>
      <c r="K80" s="1690"/>
      <c r="L80" s="1690"/>
      <c r="X80" s="1670"/>
      <c r="Y80" s="1670"/>
      <c r="Z80" s="1670"/>
    </row>
    <row r="81" ht="13.5" spans="1:26">
      <c r="A81" s="1594" t="s">
        <v>1893</v>
      </c>
      <c r="B81" s="1676">
        <f t="shared" si="224"/>
        <v>107.25</v>
      </c>
      <c r="C81" s="1676">
        <f t="shared" si="224"/>
        <v>108.75</v>
      </c>
      <c r="D81" s="1676">
        <f t="shared" si="189"/>
        <v>108.75</v>
      </c>
      <c r="E81" s="1676">
        <f t="shared" si="225"/>
        <v>105.75</v>
      </c>
      <c r="F81" s="1676">
        <f t="shared" si="225"/>
        <v>102.5</v>
      </c>
      <c r="G81" s="1606">
        <v>2003</v>
      </c>
      <c r="H81" s="1677">
        <v>1</v>
      </c>
      <c r="I81" s="1690"/>
      <c r="J81" s="1690"/>
      <c r="K81" s="1690"/>
      <c r="L81" s="1690"/>
      <c r="S81" s="1632"/>
      <c r="T81" s="1633"/>
      <c r="U81" s="1633"/>
      <c r="X81" s="1670"/>
      <c r="Y81" s="1670"/>
      <c r="Z81" s="1670"/>
    </row>
    <row r="82" ht="13.5" spans="1:26">
      <c r="A82" s="1594" t="s">
        <v>1894</v>
      </c>
      <c r="B82" s="1678">
        <v>106</v>
      </c>
      <c r="C82" s="1678">
        <v>107</v>
      </c>
      <c r="D82" s="1678">
        <f t="shared" si="189"/>
        <v>107</v>
      </c>
      <c r="E82" s="1678">
        <v>105</v>
      </c>
      <c r="F82" s="1679">
        <v>102</v>
      </c>
      <c r="G82" s="1607">
        <v>2002</v>
      </c>
      <c r="H82" s="1608">
        <v>4</v>
      </c>
      <c r="I82" s="1690"/>
      <c r="J82" s="1690"/>
      <c r="K82" s="1690"/>
      <c r="L82" s="1690"/>
      <c r="N82" s="1691"/>
      <c r="O82" s="1690"/>
      <c r="P82" s="1690"/>
      <c r="Q82" s="1690"/>
      <c r="S82" s="1691"/>
      <c r="T82" s="1690"/>
      <c r="U82" s="1690"/>
      <c r="V82" s="1690"/>
      <c r="X82" s="1670"/>
      <c r="Y82" s="1670"/>
      <c r="Z82" s="1670"/>
    </row>
    <row r="83" spans="1:26">
      <c r="A83" s="1594" t="s">
        <v>1895</v>
      </c>
      <c r="B83" s="1676">
        <f t="shared" ref="B83:C85" si="226">B84+(B$82-B$86)/4</f>
        <v>105</v>
      </c>
      <c r="C83" s="1676">
        <f t="shared" si="226"/>
        <v>106</v>
      </c>
      <c r="D83" s="1676">
        <f t="shared" si="189"/>
        <v>106</v>
      </c>
      <c r="E83" s="1676">
        <f t="shared" ref="E83:F85" si="227">E84+(E$82-E$86)/4</f>
        <v>104.5</v>
      </c>
      <c r="F83" s="1676">
        <f t="shared" si="227"/>
        <v>101.5</v>
      </c>
      <c r="G83" s="1600">
        <v>2002</v>
      </c>
      <c r="H83" s="1609">
        <v>3</v>
      </c>
      <c r="I83" s="1690"/>
      <c r="J83" s="1690"/>
      <c r="K83" s="1690"/>
      <c r="L83" s="1690"/>
      <c r="X83" s="1670"/>
      <c r="Y83" s="1670"/>
      <c r="Z83" s="1670"/>
    </row>
    <row r="84" spans="1:26">
      <c r="A84" s="1594" t="s">
        <v>1896</v>
      </c>
      <c r="B84" s="1676">
        <f t="shared" si="226"/>
        <v>104</v>
      </c>
      <c r="C84" s="1676">
        <f t="shared" si="226"/>
        <v>105</v>
      </c>
      <c r="D84" s="1676">
        <f t="shared" si="189"/>
        <v>105</v>
      </c>
      <c r="E84" s="1676">
        <f t="shared" si="227"/>
        <v>104</v>
      </c>
      <c r="F84" s="1676">
        <f t="shared" si="227"/>
        <v>101</v>
      </c>
      <c r="G84" s="1600">
        <v>2002</v>
      </c>
      <c r="H84" s="1601">
        <v>2</v>
      </c>
      <c r="I84" s="1690"/>
      <c r="J84" s="1690"/>
      <c r="K84" s="1690"/>
      <c r="L84" s="1690"/>
      <c r="X84" s="1670"/>
      <c r="Y84" s="1670"/>
      <c r="Z84" s="1670"/>
    </row>
    <row r="85" s="1575" customFormat="1" ht="13.5" spans="1:26">
      <c r="A85" s="1613" t="s">
        <v>1897</v>
      </c>
      <c r="B85" s="1664">
        <f t="shared" si="226"/>
        <v>103</v>
      </c>
      <c r="C85" s="1664">
        <f t="shared" si="226"/>
        <v>104</v>
      </c>
      <c r="D85" s="1664">
        <f t="shared" si="189"/>
        <v>104</v>
      </c>
      <c r="E85" s="1664">
        <f t="shared" si="227"/>
        <v>103.5</v>
      </c>
      <c r="F85" s="1664">
        <f t="shared" si="227"/>
        <v>100.5</v>
      </c>
      <c r="G85" s="1606">
        <v>2002</v>
      </c>
      <c r="H85" s="1680">
        <v>1</v>
      </c>
      <c r="I85" s="1692"/>
      <c r="J85" s="1692"/>
      <c r="K85" s="1692"/>
      <c r="L85" s="1692"/>
      <c r="N85" s="1693"/>
      <c r="S85" s="1693"/>
      <c r="X85" s="1697"/>
      <c r="Y85" s="1697"/>
      <c r="Z85" s="1697"/>
    </row>
    <row r="86" ht="13.5" spans="2:26">
      <c r="B86" s="1681">
        <v>102</v>
      </c>
      <c r="C86" s="1682">
        <v>103</v>
      </c>
      <c r="D86" s="1682">
        <f t="shared" si="189"/>
        <v>103</v>
      </c>
      <c r="E86" s="1682">
        <v>103</v>
      </c>
      <c r="F86" s="1683">
        <v>100</v>
      </c>
      <c r="I86" s="1690"/>
      <c r="J86" s="1690"/>
      <c r="K86" s="1690"/>
      <c r="L86" s="1690"/>
      <c r="N86" s="1691"/>
      <c r="O86" s="1690"/>
      <c r="P86" s="1690"/>
      <c r="Q86" s="1690"/>
      <c r="S86" s="1691"/>
      <c r="T86" s="1690"/>
      <c r="U86" s="1690"/>
      <c r="V86" s="1690"/>
      <c r="X86" s="1663"/>
      <c r="Y86" s="1663"/>
      <c r="Z86" s="1663"/>
    </row>
    <row r="88" s="1577" customFormat="1" spans="1:19">
      <c r="A88" s="1684" t="s">
        <v>1898</v>
      </c>
      <c r="G88" s="1685"/>
      <c r="N88" s="1685"/>
      <c r="S88" s="1685"/>
    </row>
    <row r="89" s="1577" customFormat="1" spans="1:19">
      <c r="A89" s="1577" t="s">
        <v>1899</v>
      </c>
      <c r="G89" s="1685"/>
      <c r="N89" s="1685"/>
      <c r="S89" s="1685"/>
    </row>
    <row r="90" s="1577" customFormat="1" spans="1:22">
      <c r="A90" s="1577" t="s">
        <v>1900</v>
      </c>
      <c r="G90" s="1685"/>
      <c r="I90" s="1694"/>
      <c r="J90" s="1694"/>
      <c r="K90" s="1694"/>
      <c r="L90" s="1694"/>
      <c r="N90" s="1695"/>
      <c r="O90" s="1694"/>
      <c r="P90" s="1694"/>
      <c r="Q90" s="1694"/>
      <c r="S90" s="1695"/>
      <c r="T90" s="1694"/>
      <c r="U90" s="1694"/>
      <c r="V90" s="1694"/>
    </row>
    <row r="91" s="1577" customFormat="1" spans="1:19">
      <c r="A91" s="1577" t="s">
        <v>1901</v>
      </c>
      <c r="G91" s="1685"/>
      <c r="N91" s="1685"/>
      <c r="S91" s="1685"/>
    </row>
    <row r="98" ht="13.5"/>
    <row r="99" spans="7:22">
      <c r="G99" s="1578"/>
      <c r="S99" s="1698" t="s">
        <v>1902</v>
      </c>
      <c r="T99" s="1609" t="s">
        <v>1903</v>
      </c>
      <c r="U99" s="1609" t="s">
        <v>1904</v>
      </c>
      <c r="V99" s="1609" t="s">
        <v>1905</v>
      </c>
    </row>
    <row r="100" spans="7:22">
      <c r="G100" s="1578"/>
      <c r="N100" s="1662"/>
      <c r="O100" s="1663"/>
      <c r="P100" s="1663"/>
      <c r="Q100" s="1663"/>
      <c r="S100" s="1699">
        <v>2006</v>
      </c>
      <c r="T100" s="1601">
        <v>15.1</v>
      </c>
      <c r="U100" s="1601">
        <v>7.43</v>
      </c>
      <c r="V100" s="1601">
        <v>26.26</v>
      </c>
    </row>
    <row r="101" spans="7:22">
      <c r="G101" s="1578"/>
      <c r="N101" s="1662"/>
      <c r="O101" s="1663"/>
      <c r="P101" s="1663"/>
      <c r="Q101" s="1663"/>
      <c r="S101" s="1700">
        <v>2005</v>
      </c>
      <c r="T101" s="1596">
        <v>13.9</v>
      </c>
      <c r="U101" s="1596">
        <v>7.49</v>
      </c>
      <c r="V101" s="1596">
        <v>24.92</v>
      </c>
    </row>
    <row r="102" spans="7:22">
      <c r="G102" s="1578"/>
      <c r="N102" s="1662"/>
      <c r="O102" s="1663"/>
      <c r="P102" s="1663"/>
      <c r="Q102" s="1663"/>
      <c r="S102" s="1699">
        <v>2004</v>
      </c>
      <c r="T102" s="1601">
        <v>9.48</v>
      </c>
      <c r="U102" s="1601">
        <v>7.2</v>
      </c>
      <c r="V102" s="1601">
        <v>14.68</v>
      </c>
    </row>
    <row r="103" spans="7:22">
      <c r="G103" s="1578"/>
      <c r="N103" s="1662"/>
      <c r="O103" s="1663"/>
      <c r="P103" s="1663"/>
      <c r="Q103" s="1663"/>
      <c r="S103" s="1700">
        <v>2003</v>
      </c>
      <c r="T103" s="1596">
        <v>4.5</v>
      </c>
      <c r="U103" s="1596">
        <v>6.12</v>
      </c>
      <c r="V103" s="1596">
        <v>2.34</v>
      </c>
    </row>
    <row r="104" ht="13.5" spans="7:22">
      <c r="G104" s="1578"/>
      <c r="N104" s="1662"/>
      <c r="O104" s="1663"/>
      <c r="P104" s="1663"/>
      <c r="Q104" s="1663"/>
      <c r="S104" s="1701">
        <v>2002</v>
      </c>
      <c r="T104" s="1608">
        <v>3.59</v>
      </c>
      <c r="U104" s="1608">
        <v>4.54</v>
      </c>
      <c r="V104" s="1608">
        <v>2.55</v>
      </c>
    </row>
    <row r="105" spans="7:17">
      <c r="G105" s="1578"/>
      <c r="N105" s="1662"/>
      <c r="O105" s="1663"/>
      <c r="P105" s="1663"/>
      <c r="Q105" s="1663"/>
    </row>
    <row r="106" spans="7:17">
      <c r="G106" s="1578"/>
      <c r="N106" s="1662"/>
      <c r="O106" s="1663"/>
      <c r="P106" s="1663"/>
      <c r="Q106" s="1663"/>
    </row>
    <row r="107" spans="7:17">
      <c r="G107" s="1578"/>
      <c r="N107" s="1662"/>
      <c r="O107" s="1663"/>
      <c r="P107" s="1663"/>
      <c r="Q107" s="1663"/>
    </row>
    <row r="108" spans="7:17">
      <c r="G108" s="1578"/>
      <c r="N108" s="1662"/>
      <c r="O108" s="1663"/>
      <c r="P108" s="1663"/>
      <c r="Q108" s="1663"/>
    </row>
    <row r="109" spans="7:17">
      <c r="G109" s="1578"/>
      <c r="N109" s="1662"/>
      <c r="O109" s="1663"/>
      <c r="P109" s="1663"/>
      <c r="Q109" s="1663"/>
    </row>
    <row r="110" spans="7:17">
      <c r="G110" s="1578"/>
      <c r="N110" s="1662"/>
      <c r="O110" s="1663"/>
      <c r="P110" s="1663"/>
      <c r="Q110" s="1663"/>
    </row>
    <row r="111" spans="7:17">
      <c r="G111" s="1578"/>
      <c r="N111" s="1662"/>
      <c r="O111" s="1663"/>
      <c r="P111" s="1663"/>
      <c r="Q111" s="1663"/>
    </row>
    <row r="112" spans="7:17">
      <c r="G112" s="1578"/>
      <c r="N112" s="1662"/>
      <c r="O112" s="1663"/>
      <c r="P112" s="1663"/>
      <c r="Q112" s="1663"/>
    </row>
    <row r="113" spans="7:17">
      <c r="G113" s="1578"/>
      <c r="N113" s="1662"/>
      <c r="O113" s="1663"/>
      <c r="P113" s="1663"/>
      <c r="Q113" s="1663"/>
    </row>
    <row r="114" spans="7:17">
      <c r="G114" s="1578"/>
      <c r="N114" s="1662"/>
      <c r="O114" s="1663"/>
      <c r="P114" s="1663"/>
      <c r="Q114" s="1663"/>
    </row>
    <row r="115" spans="7:19">
      <c r="G115" s="1578"/>
      <c r="N115" s="1662"/>
      <c r="O115" s="1663"/>
      <c r="P115" s="1663"/>
      <c r="Q115" s="1663"/>
      <c r="S115" s="1578"/>
    </row>
    <row r="116" spans="7:19">
      <c r="G116" s="1578"/>
      <c r="N116" s="1662"/>
      <c r="O116" s="1663"/>
      <c r="P116" s="1663"/>
      <c r="Q116" s="1663"/>
      <c r="S116" s="1578"/>
    </row>
    <row r="117" spans="7:19">
      <c r="G117" s="1578"/>
      <c r="N117" s="1662"/>
      <c r="O117" s="1663"/>
      <c r="P117" s="1663"/>
      <c r="Q117" s="1663"/>
      <c r="S117" s="1578"/>
    </row>
    <row r="118" spans="7:19">
      <c r="G118" s="1578"/>
      <c r="N118" s="1662"/>
      <c r="O118" s="1663"/>
      <c r="P118" s="1663"/>
      <c r="Q118" s="1663"/>
      <c r="S118" s="1578"/>
    </row>
    <row r="119" spans="7:19">
      <c r="G119" s="1578"/>
      <c r="N119" s="1662"/>
      <c r="O119" s="1663"/>
      <c r="P119" s="1663"/>
      <c r="Q119" s="1663"/>
      <c r="S119" s="1578"/>
    </row>
    <row r="120" spans="7:19">
      <c r="G120" s="1578"/>
      <c r="N120" s="1662"/>
      <c r="O120" s="1663"/>
      <c r="P120" s="1663"/>
      <c r="Q120" s="1663"/>
      <c r="S120" s="1578"/>
    </row>
  </sheetData>
  <sheetProtection sheet="1" formatCells="0" formatColumns="0" formatRows="0" objects="1" scenarios="1"/>
  <mergeCells count="23">
    <mergeCell ref="B1:F1"/>
    <mergeCell ref="G1:L1"/>
    <mergeCell ref="N1:Q1"/>
    <mergeCell ref="S1:V1"/>
    <mergeCell ref="X1:AB1"/>
    <mergeCell ref="AD1:AH1"/>
    <mergeCell ref="G18:G21"/>
    <mergeCell ref="G22:G25"/>
    <mergeCell ref="G26:G29"/>
    <mergeCell ref="G30:G33"/>
    <mergeCell ref="G34:G37"/>
    <mergeCell ref="G38:G41"/>
    <mergeCell ref="G42:G45"/>
    <mergeCell ref="G46:G49"/>
    <mergeCell ref="G50:G53"/>
    <mergeCell ref="G54:G57"/>
    <mergeCell ref="G58:G61"/>
    <mergeCell ref="G62:G65"/>
    <mergeCell ref="G66:G69"/>
    <mergeCell ref="G70:G73"/>
    <mergeCell ref="G74:G77"/>
    <mergeCell ref="G78:G81"/>
    <mergeCell ref="G82:G85"/>
  </mergeCells>
  <pageMargins left="0.7" right="0.7" top="0.75" bottom="0.75" header="0.3" footer="0.3"/>
  <pageSetup paperSize="9" scale="75" orientation="landscape"/>
  <headerFooter/>
  <rowBreaks count="1" manualBreakCount="1">
    <brk id="61"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N29"/>
  <sheetViews>
    <sheetView view="pageBreakPreview" zoomScale="90" zoomScaleNormal="100" workbookViewId="0">
      <selection activeCell="C19" sqref="C19"/>
    </sheetView>
  </sheetViews>
  <sheetFormatPr defaultColWidth="8.90833333333333" defaultRowHeight="13.5"/>
  <cols>
    <col min="1" max="1" width="22.725" customWidth="1"/>
    <col min="2" max="2" width="12.45" customWidth="1"/>
    <col min="3" max="3" width="12.0916666666667" customWidth="1"/>
    <col min="4" max="4" width="16.6333333333333" customWidth="1"/>
    <col min="5" max="5" width="12.45" customWidth="1"/>
    <col min="6" max="6" width="12.725" customWidth="1"/>
  </cols>
  <sheetData>
    <row r="1" ht="20.25" spans="1:14">
      <c r="A1" s="1558" t="s">
        <v>324</v>
      </c>
      <c r="B1" s="1559"/>
      <c r="C1" s="1559"/>
      <c r="D1" s="1559"/>
      <c r="E1" s="1559"/>
      <c r="F1" s="1559"/>
      <c r="G1" s="1560"/>
      <c r="H1" s="1560"/>
      <c r="I1" s="1560"/>
      <c r="J1" s="1560"/>
      <c r="K1" s="1560"/>
      <c r="L1" s="1560"/>
      <c r="M1" s="1560"/>
      <c r="N1" s="1560"/>
    </row>
    <row r="2" ht="14.25" spans="1:14">
      <c r="A2" s="1561" t="s">
        <v>1014</v>
      </c>
      <c r="B2" s="1562">
        <f ca="1">SUMIF(B7:B14,"&lt;&gt;#ref!",B7:B14)</f>
        <v>0</v>
      </c>
      <c r="C2" s="1561" t="s">
        <v>1112</v>
      </c>
      <c r="D2" s="1563"/>
      <c r="E2" s="1563"/>
      <c r="F2" s="1563"/>
      <c r="G2" s="1560"/>
      <c r="H2" s="1560"/>
      <c r="I2" s="1560"/>
      <c r="J2" s="1560"/>
      <c r="K2" s="1560"/>
      <c r="L2" s="1560"/>
      <c r="M2" s="1560"/>
      <c r="N2" s="1560"/>
    </row>
    <row r="3" ht="14.25" spans="1:14">
      <c r="A3" s="1561" t="s">
        <v>920</v>
      </c>
      <c r="B3" s="1562" t="e">
        <f ca="1">ROUND(B2*10000/E3,0)</f>
        <v>#DIV/0!</v>
      </c>
      <c r="C3" s="1561" t="s">
        <v>1114</v>
      </c>
      <c r="D3" s="1561" t="s">
        <v>1906</v>
      </c>
      <c r="E3" s="1564">
        <f ca="1">SUMIF(E7:E14,"&lt;&gt;#ref!",E7:E14)</f>
        <v>0</v>
      </c>
      <c r="F3" s="1563"/>
      <c r="G3" s="1560"/>
      <c r="H3" s="1560"/>
      <c r="I3" s="1560"/>
      <c r="J3" s="1560"/>
      <c r="K3" s="1560"/>
      <c r="L3" s="1560"/>
      <c r="M3" s="1560"/>
      <c r="N3" s="1560"/>
    </row>
    <row r="4" ht="14.25" spans="1:14">
      <c r="A4" s="1561" t="s">
        <v>1119</v>
      </c>
      <c r="B4" s="1562" t="e">
        <f ca="1">ROUND(B2*10000/E4,0)</f>
        <v>#DIV/0!</v>
      </c>
      <c r="C4" s="1561" t="s">
        <v>1114</v>
      </c>
      <c r="D4" s="1561" t="s">
        <v>1907</v>
      </c>
      <c r="E4" s="1564">
        <f ca="1">SUMIF(F7:F14,"&lt;&gt;#ref!",F7:F14)</f>
        <v>0</v>
      </c>
      <c r="F4" s="1563"/>
      <c r="G4" s="1560"/>
      <c r="H4" s="1560"/>
      <c r="I4" s="1560"/>
      <c r="J4" s="1560"/>
      <c r="K4" s="1560"/>
      <c r="L4" s="1560"/>
      <c r="M4" s="1560"/>
      <c r="N4" s="1560"/>
    </row>
    <row r="5" ht="14.25" spans="1:14">
      <c r="A5" s="1565"/>
      <c r="B5" s="1563"/>
      <c r="C5" s="1563"/>
      <c r="D5" s="1563"/>
      <c r="E5" s="1563"/>
      <c r="F5" s="1563"/>
      <c r="G5" s="1560"/>
      <c r="H5" s="1560"/>
      <c r="I5" s="1560"/>
      <c r="J5" s="1560"/>
      <c r="K5" s="1560"/>
      <c r="L5" s="1560"/>
      <c r="M5" s="1560"/>
      <c r="N5" s="1560"/>
    </row>
    <row r="6" ht="28.5" spans="1:14">
      <c r="A6" s="1566" t="s">
        <v>1908</v>
      </c>
      <c r="B6" s="1561" t="s">
        <v>1909</v>
      </c>
      <c r="C6" s="1567"/>
      <c r="D6" s="1563"/>
      <c r="E6" s="1561" t="s">
        <v>389</v>
      </c>
      <c r="F6" s="1561" t="s">
        <v>392</v>
      </c>
      <c r="G6" s="1560"/>
      <c r="H6" s="1560"/>
      <c r="I6" s="1560"/>
      <c r="J6" s="1560"/>
      <c r="K6" s="1560"/>
      <c r="L6" s="1560"/>
      <c r="M6" s="1560"/>
      <c r="N6" s="1560"/>
    </row>
    <row r="7" ht="14.25" spans="1:14">
      <c r="A7" s="1568"/>
      <c r="B7" s="1562" t="e">
        <f ca="1">SUMIF(INDIRECT("'"&amp;A7&amp;"'"&amp;"!A:A"),"总价",INDIRECT("'"&amp;A7&amp;"'"&amp;"!B:B"))</f>
        <v>#REF!</v>
      </c>
      <c r="C7" s="1561" t="s">
        <v>1112</v>
      </c>
      <c r="D7" s="1563"/>
      <c r="E7" s="1564" t="e">
        <f ca="1">SUMIF(INDIRECT("'"&amp;A7&amp;"'"&amp;"!C:C"),"建筑面积",INDIRECT("'"&amp;A7&amp;"'"&amp;"!D:D"))</f>
        <v>#REF!</v>
      </c>
      <c r="F7" s="1564" t="e">
        <f ca="1">SUMIF(INDIRECT("'"&amp;A7&amp;"'"&amp;"!E:E"),"土地面积",INDIRECT("'"&amp;A7&amp;"'"&amp;"!F:F"))</f>
        <v>#REF!</v>
      </c>
      <c r="G7" s="1560"/>
      <c r="H7" s="1560"/>
      <c r="I7" s="1560"/>
      <c r="J7" s="1560"/>
      <c r="K7" s="1560"/>
      <c r="L7" s="1560"/>
      <c r="M7" s="1560"/>
      <c r="N7" s="1560"/>
    </row>
    <row r="8" ht="14.25" spans="1:14">
      <c r="A8" s="1568"/>
      <c r="B8" s="1562" t="e">
        <f ca="1" t="shared" ref="B8:B14" si="0">SUMIF(INDIRECT("'"&amp;A8&amp;"'"&amp;"!A:A"),"总价",INDIRECT("'"&amp;A8&amp;"'"&amp;"!B:B"))</f>
        <v>#REF!</v>
      </c>
      <c r="C8" s="1561" t="s">
        <v>1112</v>
      </c>
      <c r="D8" s="1563"/>
      <c r="E8" s="1564" t="e">
        <f ca="1" t="shared" ref="E8:E14" si="1">SUMIF(INDIRECT("'"&amp;A8&amp;"'"&amp;"!C:C"),"建筑面积",INDIRECT("'"&amp;A8&amp;"'"&amp;"!D:D"))</f>
        <v>#REF!</v>
      </c>
      <c r="F8" s="1564" t="e">
        <f ca="1" t="shared" ref="F8:F14" si="2">SUMIF(INDIRECT("'"&amp;A8&amp;"'"&amp;"!E:E"),"土地面积",INDIRECT("'"&amp;A8&amp;"'"&amp;"!F:F"))</f>
        <v>#REF!</v>
      </c>
      <c r="G8" s="1560"/>
      <c r="H8" s="1560"/>
      <c r="I8" s="1560"/>
      <c r="J8" s="1560"/>
      <c r="K8" s="1560"/>
      <c r="L8" s="1560"/>
      <c r="M8" s="1560"/>
      <c r="N8" s="1560"/>
    </row>
    <row r="9" ht="14.25" spans="1:14">
      <c r="A9" s="1568"/>
      <c r="B9" s="1562" t="e">
        <f ca="1" t="shared" si="0"/>
        <v>#REF!</v>
      </c>
      <c r="C9" s="1561" t="s">
        <v>1112</v>
      </c>
      <c r="D9" s="1563"/>
      <c r="E9" s="1564" t="e">
        <f ca="1" t="shared" si="1"/>
        <v>#REF!</v>
      </c>
      <c r="F9" s="1564" t="e">
        <f ca="1" t="shared" si="2"/>
        <v>#REF!</v>
      </c>
      <c r="G9" s="1560"/>
      <c r="H9" s="1560"/>
      <c r="I9" s="1560"/>
      <c r="J9" s="1560"/>
      <c r="K9" s="1560"/>
      <c r="L9" s="1560"/>
      <c r="M9" s="1560"/>
      <c r="N9" s="1560"/>
    </row>
    <row r="10" ht="14.25" spans="1:14">
      <c r="A10" s="1568"/>
      <c r="B10" s="1562" t="e">
        <f ca="1" t="shared" si="0"/>
        <v>#REF!</v>
      </c>
      <c r="C10" s="1561" t="s">
        <v>1112</v>
      </c>
      <c r="D10" s="1563"/>
      <c r="E10" s="1564" t="e">
        <f ca="1" t="shared" si="1"/>
        <v>#REF!</v>
      </c>
      <c r="F10" s="1564" t="e">
        <f ca="1" t="shared" si="2"/>
        <v>#REF!</v>
      </c>
      <c r="G10" s="1560"/>
      <c r="H10" s="1560"/>
      <c r="I10" s="1560"/>
      <c r="J10" s="1560"/>
      <c r="K10" s="1560"/>
      <c r="L10" s="1560"/>
      <c r="M10" s="1560"/>
      <c r="N10" s="1560"/>
    </row>
    <row r="11" ht="14.25" spans="1:14">
      <c r="A11" s="1568"/>
      <c r="B11" s="1562" t="e">
        <f ca="1" t="shared" si="0"/>
        <v>#REF!</v>
      </c>
      <c r="C11" s="1561" t="s">
        <v>1112</v>
      </c>
      <c r="D11" s="1563"/>
      <c r="E11" s="1564" t="e">
        <f ca="1" t="shared" si="1"/>
        <v>#REF!</v>
      </c>
      <c r="F11" s="1564" t="e">
        <f ca="1" t="shared" si="2"/>
        <v>#REF!</v>
      </c>
      <c r="G11" s="1560"/>
      <c r="H11" s="1560"/>
      <c r="I11" s="1560"/>
      <c r="J11" s="1560"/>
      <c r="K11" s="1560"/>
      <c r="L11" s="1560"/>
      <c r="M11" s="1560"/>
      <c r="N11" s="1560"/>
    </row>
    <row r="12" ht="14.25" spans="1:14">
      <c r="A12" s="1568"/>
      <c r="B12" s="1562" t="e">
        <f ca="1" t="shared" si="0"/>
        <v>#REF!</v>
      </c>
      <c r="C12" s="1561" t="s">
        <v>1112</v>
      </c>
      <c r="D12" s="1563"/>
      <c r="E12" s="1564" t="e">
        <f ca="1" t="shared" si="1"/>
        <v>#REF!</v>
      </c>
      <c r="F12" s="1564" t="e">
        <f ca="1" t="shared" si="2"/>
        <v>#REF!</v>
      </c>
      <c r="G12" s="1560"/>
      <c r="H12" s="1560"/>
      <c r="I12" s="1560"/>
      <c r="J12" s="1560"/>
      <c r="K12" s="1560"/>
      <c r="L12" s="1560"/>
      <c r="M12" s="1560"/>
      <c r="N12" s="1560"/>
    </row>
    <row r="13" ht="14.25" spans="1:14">
      <c r="A13" s="1568"/>
      <c r="B13" s="1562" t="e">
        <f ca="1" t="shared" si="0"/>
        <v>#REF!</v>
      </c>
      <c r="C13" s="1561" t="s">
        <v>1112</v>
      </c>
      <c r="D13" s="1563"/>
      <c r="E13" s="1564" t="e">
        <f ca="1" t="shared" si="1"/>
        <v>#REF!</v>
      </c>
      <c r="F13" s="1564" t="e">
        <f ca="1" t="shared" si="2"/>
        <v>#REF!</v>
      </c>
      <c r="G13" s="1560"/>
      <c r="H13" s="1560"/>
      <c r="I13" s="1560"/>
      <c r="J13" s="1560"/>
      <c r="K13" s="1560"/>
      <c r="L13" s="1560"/>
      <c r="M13" s="1560"/>
      <c r="N13" s="1560"/>
    </row>
    <row r="14" ht="14.25" spans="1:14">
      <c r="A14" s="1569"/>
      <c r="B14" s="1562" t="e">
        <f ca="1" t="shared" si="0"/>
        <v>#REF!</v>
      </c>
      <c r="C14" s="1561" t="s">
        <v>1112</v>
      </c>
      <c r="D14" s="1563"/>
      <c r="E14" s="1564" t="e">
        <f ca="1" t="shared" si="1"/>
        <v>#REF!</v>
      </c>
      <c r="F14" s="1564" t="e">
        <f ca="1" t="shared" si="2"/>
        <v>#REF!</v>
      </c>
      <c r="G14" s="1560"/>
      <c r="H14" s="1560"/>
      <c r="I14" s="1560"/>
      <c r="J14" s="1560"/>
      <c r="K14" s="1560"/>
      <c r="L14" s="1560"/>
      <c r="M14" s="1560"/>
      <c r="N14" s="1560"/>
    </row>
    <row r="15" spans="1:14">
      <c r="A15" s="1560"/>
      <c r="B15" s="1560"/>
      <c r="C15" s="1560"/>
      <c r="D15" s="1560"/>
      <c r="E15" s="1560"/>
      <c r="F15" s="1560"/>
      <c r="G15" s="1560"/>
      <c r="H15" s="1560"/>
      <c r="I15" s="1560"/>
      <c r="J15" s="1560"/>
      <c r="K15" s="1560"/>
      <c r="L15" s="1560"/>
      <c r="M15" s="1560"/>
      <c r="N15" s="1560"/>
    </row>
    <row r="16" spans="1:14">
      <c r="A16" s="1560"/>
      <c r="B16" s="1560"/>
      <c r="C16" s="1560"/>
      <c r="D16" s="1560"/>
      <c r="E16" s="1560"/>
      <c r="F16" s="1560"/>
      <c r="G16" s="1560"/>
      <c r="H16" s="1560"/>
      <c r="I16" s="1560"/>
      <c r="J16" s="1560"/>
      <c r="K16" s="1560"/>
      <c r="L16" s="1560"/>
      <c r="M16" s="1560"/>
      <c r="N16" s="1560"/>
    </row>
    <row r="17" spans="1:14">
      <c r="A17" s="1560"/>
      <c r="B17" s="1560"/>
      <c r="C17" s="1560"/>
      <c r="D17" s="1560"/>
      <c r="E17" s="1560"/>
      <c r="F17" s="1560"/>
      <c r="G17" s="1560"/>
      <c r="H17" s="1560"/>
      <c r="I17" s="1560"/>
      <c r="J17" s="1560"/>
      <c r="K17" s="1560"/>
      <c r="L17" s="1560"/>
      <c r="M17" s="1560"/>
      <c r="N17" s="1560"/>
    </row>
    <row r="18" spans="1:14">
      <c r="A18" s="1560"/>
      <c r="B18" s="1560"/>
      <c r="C18" s="1560"/>
      <c r="D18" s="1560"/>
      <c r="E18" s="1560"/>
      <c r="F18" s="1560"/>
      <c r="G18" s="1560"/>
      <c r="H18" s="1560"/>
      <c r="I18" s="1560"/>
      <c r="J18" s="1560"/>
      <c r="K18" s="1560"/>
      <c r="L18" s="1560"/>
      <c r="M18" s="1560"/>
      <c r="N18" s="1560"/>
    </row>
    <row r="19" spans="1:14">
      <c r="A19" s="1560"/>
      <c r="B19" s="1560"/>
      <c r="C19" s="1560"/>
      <c r="D19" s="1560"/>
      <c r="E19" s="1560"/>
      <c r="F19" s="1560"/>
      <c r="G19" s="1560"/>
      <c r="H19" s="1560"/>
      <c r="I19" s="1560"/>
      <c r="J19" s="1560"/>
      <c r="K19" s="1560"/>
      <c r="L19" s="1560"/>
      <c r="M19" s="1560"/>
      <c r="N19" s="1560"/>
    </row>
    <row r="20" spans="1:14">
      <c r="A20" s="1560"/>
      <c r="B20" s="1560"/>
      <c r="C20" s="1560"/>
      <c r="D20" s="1560"/>
      <c r="E20" s="1560"/>
      <c r="F20" s="1560"/>
      <c r="G20" s="1560"/>
      <c r="H20" s="1560"/>
      <c r="I20" s="1560"/>
      <c r="J20" s="1560"/>
      <c r="K20" s="1560"/>
      <c r="L20" s="1560"/>
      <c r="M20" s="1560"/>
      <c r="N20" s="1560"/>
    </row>
    <row r="21" spans="1:14">
      <c r="A21" s="1560"/>
      <c r="B21" s="1560"/>
      <c r="C21" s="1560"/>
      <c r="D21" s="1560"/>
      <c r="E21" s="1560"/>
      <c r="F21" s="1560"/>
      <c r="G21" s="1560"/>
      <c r="H21" s="1560"/>
      <c r="I21" s="1560"/>
      <c r="J21" s="1560"/>
      <c r="K21" s="1560"/>
      <c r="L21" s="1560"/>
      <c r="M21" s="1560"/>
      <c r="N21" s="1560"/>
    </row>
    <row r="22" spans="1:14">
      <c r="A22" s="1560"/>
      <c r="B22" s="1560"/>
      <c r="C22" s="1560"/>
      <c r="D22" s="1560"/>
      <c r="E22" s="1560"/>
      <c r="F22" s="1560"/>
      <c r="G22" s="1560"/>
      <c r="H22" s="1560"/>
      <c r="I22" s="1560"/>
      <c r="J22" s="1560"/>
      <c r="K22" s="1560"/>
      <c r="L22" s="1560"/>
      <c r="M22" s="1560"/>
      <c r="N22" s="1560"/>
    </row>
    <row r="23" spans="1:14">
      <c r="A23" s="1560"/>
      <c r="B23" s="1560"/>
      <c r="C23" s="1560"/>
      <c r="D23" s="1560"/>
      <c r="E23" s="1560"/>
      <c r="F23" s="1560"/>
      <c r="G23" s="1560"/>
      <c r="H23" s="1560"/>
      <c r="I23" s="1560"/>
      <c r="J23" s="1560"/>
      <c r="K23" s="1560"/>
      <c r="L23" s="1560"/>
      <c r="M23" s="1560"/>
      <c r="N23" s="1560"/>
    </row>
    <row r="24" spans="1:14">
      <c r="A24" s="1560"/>
      <c r="B24" s="1560"/>
      <c r="C24" s="1560"/>
      <c r="D24" s="1560"/>
      <c r="E24" s="1560"/>
      <c r="F24" s="1560"/>
      <c r="G24" s="1560"/>
      <c r="H24" s="1560"/>
      <c r="I24" s="1560"/>
      <c r="J24" s="1560"/>
      <c r="K24" s="1560"/>
      <c r="L24" s="1560"/>
      <c r="M24" s="1560"/>
      <c r="N24" s="1560"/>
    </row>
    <row r="25" spans="1:14">
      <c r="A25" s="1560"/>
      <c r="B25" s="1560"/>
      <c r="C25" s="1560"/>
      <c r="D25" s="1560"/>
      <c r="E25" s="1560"/>
      <c r="F25" s="1560"/>
      <c r="G25" s="1560"/>
      <c r="H25" s="1560"/>
      <c r="I25" s="1560"/>
      <c r="J25" s="1560"/>
      <c r="K25" s="1560"/>
      <c r="L25" s="1560"/>
      <c r="M25" s="1560"/>
      <c r="N25" s="1560"/>
    </row>
    <row r="26" spans="1:14">
      <c r="A26" s="1560"/>
      <c r="B26" s="1560"/>
      <c r="C26" s="1560"/>
      <c r="D26" s="1560"/>
      <c r="E26" s="1560"/>
      <c r="F26" s="1560"/>
      <c r="G26" s="1560"/>
      <c r="H26" s="1560"/>
      <c r="I26" s="1560"/>
      <c r="J26" s="1560"/>
      <c r="K26" s="1560"/>
      <c r="L26" s="1560"/>
      <c r="M26" s="1560"/>
      <c r="N26" s="1560"/>
    </row>
    <row r="27" spans="1:14">
      <c r="A27" s="1560"/>
      <c r="B27" s="1560"/>
      <c r="C27" s="1560"/>
      <c r="D27" s="1560"/>
      <c r="E27" s="1560"/>
      <c r="F27" s="1560"/>
      <c r="G27" s="1560"/>
      <c r="H27" s="1560"/>
      <c r="I27" s="1560"/>
      <c r="J27" s="1560"/>
      <c r="K27" s="1560"/>
      <c r="L27" s="1560"/>
      <c r="M27" s="1560"/>
      <c r="N27" s="1560"/>
    </row>
    <row r="28" spans="1:14">
      <c r="A28" s="1560"/>
      <c r="B28" s="1560"/>
      <c r="C28" s="1560"/>
      <c r="D28" s="1560"/>
      <c r="E28" s="1560"/>
      <c r="F28" s="1560"/>
      <c r="G28" s="1560"/>
      <c r="H28" s="1560"/>
      <c r="I28" s="1560"/>
      <c r="J28" s="1560"/>
      <c r="K28" s="1560"/>
      <c r="L28" s="1560"/>
      <c r="M28" s="1560"/>
      <c r="N28" s="1560"/>
    </row>
    <row r="29" spans="1:14">
      <c r="A29" s="1560"/>
      <c r="B29" s="1560"/>
      <c r="C29" s="1560"/>
      <c r="D29" s="1560"/>
      <c r="E29" s="1560"/>
      <c r="F29" s="1560"/>
      <c r="G29" s="1560"/>
      <c r="H29" s="1560"/>
      <c r="I29" s="1560"/>
      <c r="J29" s="1560"/>
      <c r="K29" s="1560"/>
      <c r="L29" s="1560"/>
      <c r="M29" s="1560"/>
      <c r="N29" s="1560"/>
    </row>
  </sheetData>
  <sheetProtection password="CEE9" sheet="1" formatCells="0" formatColumns="0" formatRows="0" objects="1" scenarios="1"/>
  <dataValidations count="1">
    <dataValidation type="list" allowBlank="1" showInputMessage="1" showErrorMessage="1" sqref="A7:A14">
      <formula1>估价方法</formula1>
    </dataValidation>
  </dataValidations>
  <pageMargins left="0.7" right="0.7" top="0.75" bottom="0.75" header="0.3" footer="0.3"/>
  <pageSetup paperSize="9" orientation="portrait"/>
  <headerFooter/>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
    <tabColor rgb="FF92D050"/>
    <pageSetUpPr fitToPage="1"/>
  </sheetPr>
  <dimension ref="A1:Y94"/>
  <sheetViews>
    <sheetView view="pageBreakPreview" zoomScale="60" zoomScaleNormal="60" topLeftCell="A19" workbookViewId="0">
      <selection activeCell="C19" sqref="C19"/>
    </sheetView>
  </sheetViews>
  <sheetFormatPr defaultColWidth="9" defaultRowHeight="15"/>
  <cols>
    <col min="1" max="1" width="9" style="1499"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8.36666666666667" style="632" customWidth="1"/>
    <col min="16" max="16" width="30.2666666666667" style="632" customWidth="1"/>
    <col min="17" max="17" width="13.725" style="632" customWidth="1"/>
    <col min="18" max="18" width="22.2666666666667" style="632" customWidth="1"/>
    <col min="19" max="19" width="1.45" style="632" customWidth="1"/>
    <col min="20" max="25" width="9" style="632"/>
    <col min="26" max="16384" width="9" style="703"/>
  </cols>
  <sheetData>
    <row r="1" s="701" customFormat="1" ht="20.25" spans="1:25">
      <c r="A1" s="1500" t="s">
        <v>1910</v>
      </c>
      <c r="B1" s="708"/>
      <c r="C1" s="1501"/>
      <c r="D1" s="714"/>
      <c r="E1" s="711" t="s">
        <v>588</v>
      </c>
      <c r="F1" s="712">
        <f ca="1">J54</f>
        <v>-2</v>
      </c>
      <c r="G1" s="1502">
        <f>MATCH(C1,'数据-取费表'!A6:A16,0)+5</f>
        <v>10</v>
      </c>
      <c r="H1" s="1503"/>
      <c r="I1" s="858"/>
      <c r="J1" s="858"/>
      <c r="K1" s="859"/>
      <c r="L1" s="858"/>
      <c r="M1" s="858"/>
      <c r="N1" s="860"/>
      <c r="O1" s="860"/>
      <c r="P1" s="860"/>
      <c r="Q1" s="860"/>
      <c r="R1" s="860"/>
      <c r="S1" s="860"/>
      <c r="T1" s="860"/>
      <c r="U1" s="860"/>
      <c r="V1" s="860"/>
      <c r="W1" s="860"/>
      <c r="X1" s="860"/>
      <c r="Y1" s="860"/>
    </row>
    <row r="2" ht="18" customHeight="1" spans="1:13">
      <c r="A2" s="1504" t="s">
        <v>919</v>
      </c>
      <c r="B2" s="123">
        <f ca="1">IF(ISERROR(C45+J31),0,C45+J31)</f>
        <v>0</v>
      </c>
      <c r="C2" s="913"/>
      <c r="D2" s="727"/>
      <c r="E2" s="1505"/>
      <c r="F2" s="1505"/>
      <c r="G2" s="1506"/>
      <c r="H2" s="862"/>
      <c r="I2" s="719"/>
      <c r="J2" s="719"/>
      <c r="K2" s="861"/>
      <c r="L2" s="719"/>
      <c r="M2" s="719"/>
    </row>
    <row r="3" ht="18" customHeight="1" spans="1:13">
      <c r="A3" s="1507" t="s">
        <v>920</v>
      </c>
      <c r="B3" s="1508">
        <f ca="1">ROUND(B2*10000/'数据-汇总表'!E3,0)</f>
        <v>0</v>
      </c>
      <c r="C3" s="913"/>
      <c r="D3" s="727"/>
      <c r="E3" s="1505"/>
      <c r="F3" s="1505"/>
      <c r="G3" s="1506"/>
      <c r="H3" s="722" t="s">
        <v>1911</v>
      </c>
      <c r="I3" s="719"/>
      <c r="J3" s="719"/>
      <c r="K3" s="861"/>
      <c r="L3" s="719"/>
      <c r="M3" s="719"/>
    </row>
    <row r="4" ht="18" customHeight="1" spans="1:13">
      <c r="A4" s="1509" t="s">
        <v>1056</v>
      </c>
      <c r="B4" s="1510">
        <f ca="1">ROUND(B2*10000/'数据-汇总表'!D3,0)</f>
        <v>0</v>
      </c>
      <c r="C4" s="990"/>
      <c r="D4" s="727"/>
      <c r="E4" s="1505"/>
      <c r="F4" s="1505"/>
      <c r="G4" s="1506"/>
      <c r="H4" s="722"/>
      <c r="I4" s="719"/>
      <c r="J4" s="719"/>
      <c r="K4" s="861"/>
      <c r="L4" s="719"/>
      <c r="M4" s="719"/>
    </row>
    <row r="5" ht="18" customHeight="1" spans="1:13">
      <c r="A5" s="1511"/>
      <c r="B5" s="651">
        <f ca="1">ROUND(B2/('数据-汇总表'!D3/666.67),0)</f>
        <v>0</v>
      </c>
      <c r="C5" s="652" t="s">
        <v>922</v>
      </c>
      <c r="D5" s="727"/>
      <c r="E5" s="1505"/>
      <c r="F5" s="1505"/>
      <c r="G5" s="1506"/>
      <c r="H5" s="722"/>
      <c r="I5" s="719"/>
      <c r="J5" s="719"/>
      <c r="K5" s="861"/>
      <c r="L5" s="719"/>
      <c r="M5" s="719"/>
    </row>
    <row r="6" ht="18" customHeight="1" spans="1:13">
      <c r="A6" s="1512" t="s">
        <v>1912</v>
      </c>
      <c r="B6" s="1513" t="s">
        <v>1913</v>
      </c>
      <c r="C6" s="1513" t="s">
        <v>1914</v>
      </c>
      <c r="D6" s="1513" t="s">
        <v>1915</v>
      </c>
      <c r="E6" s="725" t="s">
        <v>1916</v>
      </c>
      <c r="F6" s="726"/>
      <c r="G6" s="913"/>
      <c r="H6" s="1512" t="s">
        <v>1912</v>
      </c>
      <c r="I6" s="1513" t="s">
        <v>1913</v>
      </c>
      <c r="J6" s="1513" t="s">
        <v>1914</v>
      </c>
      <c r="K6" s="1513" t="s">
        <v>1915</v>
      </c>
      <c r="L6" s="725" t="s">
        <v>1916</v>
      </c>
      <c r="M6" s="726"/>
    </row>
    <row r="7" ht="18" customHeight="1" spans="1:13">
      <c r="A7" s="728">
        <v>1</v>
      </c>
      <c r="B7" s="729" t="s">
        <v>1917</v>
      </c>
      <c r="C7" s="125">
        <f ca="1">C8+C12+C14</f>
        <v>0</v>
      </c>
      <c r="D7" s="731" t="s">
        <v>1918</v>
      </c>
      <c r="E7" s="732"/>
      <c r="F7" s="733"/>
      <c r="G7" s="913"/>
      <c r="H7" s="728">
        <v>1</v>
      </c>
      <c r="I7" s="729" t="s">
        <v>1917</v>
      </c>
      <c r="J7" s="125">
        <f ca="1">J8+J12+J14</f>
        <v>0</v>
      </c>
      <c r="K7" s="731" t="s">
        <v>1918</v>
      </c>
      <c r="L7" s="732"/>
      <c r="M7" s="733"/>
    </row>
    <row r="8" ht="18" customHeight="1" spans="1:13">
      <c r="A8" s="734" t="s">
        <v>855</v>
      </c>
      <c r="B8" s="735" t="s">
        <v>1919</v>
      </c>
      <c r="C8" s="1514">
        <f ca="1">ROUND(F8*F10*F9*(1-F11)/10000,0)</f>
        <v>0</v>
      </c>
      <c r="D8" s="1515" t="s">
        <v>1920</v>
      </c>
      <c r="E8" s="1516" t="s">
        <v>1921</v>
      </c>
      <c r="F8" s="739">
        <f ca="1">INDIRECT("'数据-取费表'!u"&amp;$G$1)</f>
        <v>0</v>
      </c>
      <c r="G8" s="913"/>
      <c r="H8" s="740" t="s">
        <v>855</v>
      </c>
      <c r="I8" s="735" t="s">
        <v>1919</v>
      </c>
      <c r="J8" s="736">
        <f ca="1">ROUND(M8*M10*M9*(1-M11)/10000,0)</f>
        <v>0</v>
      </c>
      <c r="K8" s="814" t="s">
        <v>1920</v>
      </c>
      <c r="L8" s="738" t="s">
        <v>1921</v>
      </c>
      <c r="M8" s="739">
        <f ca="1">INDIRECT("'数据-取费表'!z"&amp;$G$1)</f>
        <v>0</v>
      </c>
    </row>
    <row r="9" ht="18" customHeight="1" spans="1:13">
      <c r="A9" s="741"/>
      <c r="B9" s="742"/>
      <c r="C9" s="1517"/>
      <c r="D9" s="1518"/>
      <c r="E9" s="1516" t="s">
        <v>1922</v>
      </c>
      <c r="F9" s="739">
        <f ca="1">IF(INDIRECT("'数据-取费表'!ah"&amp;$G$1)="",INDIRECT("'数据-取费表'!k"&amp;$G$1),INDIRECT("'数据-取费表'!ah"&amp;$G$1))</f>
        <v>0</v>
      </c>
      <c r="G9" s="913"/>
      <c r="H9" s="745"/>
      <c r="I9" s="742"/>
      <c r="J9" s="743"/>
      <c r="K9" s="744"/>
      <c r="L9" s="738" t="s">
        <v>1922</v>
      </c>
      <c r="M9" s="739">
        <f ca="1">F9</f>
        <v>0</v>
      </c>
    </row>
    <row r="10" ht="18" customHeight="1" spans="1:13">
      <c r="A10" s="746"/>
      <c r="B10" s="747"/>
      <c r="C10" s="1517"/>
      <c r="D10" s="1518"/>
      <c r="E10" s="1516" t="s">
        <v>1923</v>
      </c>
      <c r="F10" s="739">
        <f ca="1">INDIRECT("'数据-取费表'!ai"&amp;$G$1)</f>
        <v>0</v>
      </c>
      <c r="G10" s="913"/>
      <c r="H10" s="745"/>
      <c r="I10" s="747"/>
      <c r="J10" s="743"/>
      <c r="K10" s="744"/>
      <c r="L10" s="738" t="s">
        <v>1923</v>
      </c>
      <c r="M10" s="739">
        <f ca="1">INDIRECT("'数据-取费表'!ai"&amp;$G$1)</f>
        <v>0</v>
      </c>
    </row>
    <row r="11" ht="18" customHeight="1" spans="1:13">
      <c r="A11" s="748"/>
      <c r="B11" s="749"/>
      <c r="C11" s="1517"/>
      <c r="D11" s="1518"/>
      <c r="E11" s="1516" t="s">
        <v>1924</v>
      </c>
      <c r="F11" s="750">
        <f ca="1">INDIRECT("'数据-取费表'!w"&amp;$G$1)</f>
        <v>0</v>
      </c>
      <c r="G11" s="913"/>
      <c r="H11" s="751"/>
      <c r="I11" s="747"/>
      <c r="J11" s="743"/>
      <c r="K11" s="744"/>
      <c r="L11" s="795" t="s">
        <v>1924</v>
      </c>
      <c r="M11" s="760">
        <f ca="1">INDIRECT("'数据-取费表'!ab"&amp;$G$1)</f>
        <v>0</v>
      </c>
    </row>
    <row r="12" ht="18" customHeight="1" spans="1:13">
      <c r="A12" s="734" t="s">
        <v>857</v>
      </c>
      <c r="B12" s="752" t="s">
        <v>1925</v>
      </c>
      <c r="C12" s="124">
        <f ca="1">ROUND(IF(F12="押一",C8/12*F13,IF(F12="押二",C8/12*2*F13,IF(F12="押三",C8/12*3*F13,C13*F13))),0)</f>
        <v>0</v>
      </c>
      <c r="D12" s="753" t="s">
        <v>1926</v>
      </c>
      <c r="E12" s="754" t="s">
        <v>1927</v>
      </c>
      <c r="F12" s="755"/>
      <c r="G12" s="913"/>
      <c r="H12" s="756" t="s">
        <v>857</v>
      </c>
      <c r="I12" s="864" t="s">
        <v>1925</v>
      </c>
      <c r="J12" s="736">
        <f ca="1">ROUND(IF(M12="押一",J8/12*M13,IF(M12="押二",J8/12*2*M13,IF(M12="押三",J8/12*3*M13,J13*M13))),0)</f>
        <v>0</v>
      </c>
      <c r="K12" s="753" t="s">
        <v>1926</v>
      </c>
      <c r="L12" s="754" t="s">
        <v>1927</v>
      </c>
      <c r="M12" s="755"/>
    </row>
    <row r="13" ht="18" customHeight="1" spans="1:13">
      <c r="A13" s="757"/>
      <c r="B13" s="758" t="s">
        <v>1928</v>
      </c>
      <c r="C13" s="759"/>
      <c r="D13" s="744"/>
      <c r="E13" s="754" t="s">
        <v>639</v>
      </c>
      <c r="F13" s="760">
        <f ca="1">'数据-取费表'!B39</f>
        <v>0.015</v>
      </c>
      <c r="G13" s="913"/>
      <c r="H13" s="761"/>
      <c r="I13" s="758" t="s">
        <v>1928</v>
      </c>
      <c r="J13" s="759"/>
      <c r="K13" s="119"/>
      <c r="L13" s="754" t="s">
        <v>639</v>
      </c>
      <c r="M13" s="865">
        <f ca="1">'数据-取费表'!B39</f>
        <v>0.015</v>
      </c>
    </row>
    <row r="14" ht="18" customHeight="1" spans="1:13">
      <c r="A14" s="762" t="s">
        <v>1061</v>
      </c>
      <c r="B14" s="763" t="s">
        <v>1929</v>
      </c>
      <c r="C14" s="764"/>
      <c r="D14" s="765"/>
      <c r="E14" s="766"/>
      <c r="F14" s="767"/>
      <c r="G14" s="913"/>
      <c r="H14" s="768" t="s">
        <v>1061</v>
      </c>
      <c r="I14" s="866" t="s">
        <v>1929</v>
      </c>
      <c r="J14" s="867"/>
      <c r="K14" s="765"/>
      <c r="L14" s="766"/>
      <c r="M14" s="868"/>
    </row>
    <row r="15" ht="18" customHeight="1" spans="1:13">
      <c r="A15" s="769" t="s">
        <v>861</v>
      </c>
      <c r="B15" s="770" t="s">
        <v>1930</v>
      </c>
      <c r="C15" s="771">
        <f ca="1">ROUND(C31*F15,0)</f>
        <v>0</v>
      </c>
      <c r="D15" s="772" t="s">
        <v>1931</v>
      </c>
      <c r="E15" s="795" t="s">
        <v>1932</v>
      </c>
      <c r="F15" s="853">
        <f ca="1">INDIRECT("'数据-取费表'!y"&amp;$G$1)</f>
        <v>0</v>
      </c>
      <c r="G15" s="913"/>
      <c r="H15" s="769" t="s">
        <v>861</v>
      </c>
      <c r="I15" s="770" t="s">
        <v>1933</v>
      </c>
      <c r="J15" s="869">
        <f ca="1">ROUND(J16*J17,0)</f>
        <v>0</v>
      </c>
      <c r="K15" s="804" t="s">
        <v>1931</v>
      </c>
      <c r="L15" s="872"/>
      <c r="M15" s="873"/>
    </row>
    <row r="16" ht="18" customHeight="1" spans="1:13">
      <c r="A16" s="998" t="s">
        <v>879</v>
      </c>
      <c r="B16" s="738" t="s">
        <v>1068</v>
      </c>
      <c r="C16" s="775">
        <f ca="1">INDIRECT("'数据-取费表'!m"&amp;$G$1)+INDIRECT("'数据-取费表'!t"&amp;$G$1)</f>
        <v>0</v>
      </c>
      <c r="D16" s="776" t="s">
        <v>1934</v>
      </c>
      <c r="E16" s="777"/>
      <c r="F16" s="778"/>
      <c r="G16" s="913"/>
      <c r="H16" s="998" t="s">
        <v>855</v>
      </c>
      <c r="I16" s="856" t="s">
        <v>1935</v>
      </c>
      <c r="J16" s="125">
        <f ca="1">C31</f>
        <v>0</v>
      </c>
      <c r="K16" s="857"/>
      <c r="L16" s="872"/>
      <c r="M16" s="873"/>
    </row>
    <row r="17" s="702" customFormat="1" ht="18" customHeight="1" spans="1:25">
      <c r="A17" s="998" t="s">
        <v>1069</v>
      </c>
      <c r="B17" s="738" t="s">
        <v>1070</v>
      </c>
      <c r="C17" s="125">
        <f ca="1">ROUND(C16*F17,0)</f>
        <v>0</v>
      </c>
      <c r="D17" s="780" t="s">
        <v>1936</v>
      </c>
      <c r="E17" s="780" t="s">
        <v>1937</v>
      </c>
      <c r="F17" s="781">
        <f>'数据-取费表'!B33</f>
        <v>0.03</v>
      </c>
      <c r="G17" s="1519"/>
      <c r="H17" s="998" t="s">
        <v>857</v>
      </c>
      <c r="I17" s="738" t="s">
        <v>1932</v>
      </c>
      <c r="J17" s="1549">
        <f ca="1">INDIRECT("'数据-取费表'!ad"&amp;$G$1)</f>
        <v>0</v>
      </c>
      <c r="K17" s="857"/>
      <c r="L17" s="872"/>
      <c r="M17" s="873"/>
      <c r="N17" s="878"/>
      <c r="O17" s="878"/>
      <c r="P17" s="878"/>
      <c r="Q17" s="878"/>
      <c r="R17" s="878"/>
      <c r="S17" s="878"/>
      <c r="T17" s="878"/>
      <c r="U17" s="878"/>
      <c r="V17" s="878"/>
      <c r="W17" s="878"/>
      <c r="X17" s="878"/>
      <c r="Y17" s="878"/>
    </row>
    <row r="18" ht="18" customHeight="1" spans="1:13">
      <c r="A18" s="998" t="s">
        <v>1072</v>
      </c>
      <c r="B18" s="738" t="s">
        <v>1073</v>
      </c>
      <c r="C18" s="125">
        <f ca="1">ROUND(INDIRECT("'数据-取费表'!m"&amp;$G$1)*F18,0)</f>
        <v>0</v>
      </c>
      <c r="D18" s="738" t="s">
        <v>1936</v>
      </c>
      <c r="E18" s="738" t="s">
        <v>1937</v>
      </c>
      <c r="F18" s="783">
        <f ca="1">IF(INDIRECT("'数据-取费表'!c"&amp;$G$1)="住宅",'数据-取费表'!B34,0)</f>
        <v>0</v>
      </c>
      <c r="G18" s="913"/>
      <c r="H18" s="854" t="s">
        <v>866</v>
      </c>
      <c r="I18" s="855" t="s">
        <v>1938</v>
      </c>
      <c r="J18" s="124">
        <f ca="1">ROUND(J19+J24+J25+J26,0)</f>
        <v>0</v>
      </c>
      <c r="K18" s="857" t="s">
        <v>1939</v>
      </c>
      <c r="L18" s="127"/>
      <c r="M18" s="784"/>
    </row>
    <row r="19" s="702" customFormat="1" ht="18" customHeight="1" spans="1:25">
      <c r="A19" s="998" t="s">
        <v>1074</v>
      </c>
      <c r="B19" s="738" t="s">
        <v>1940</v>
      </c>
      <c r="C19" s="125">
        <f ca="1">ROUND(F19*(INDIRECT("'数据-取费表'!k"&amp;$G$1)+INDIRECT("'数据-取费表'!S"&amp;$G$1))/10000,0)</f>
        <v>0</v>
      </c>
      <c r="D19" s="738" t="s">
        <v>1941</v>
      </c>
      <c r="E19" s="738" t="s">
        <v>1942</v>
      </c>
      <c r="F19" s="784">
        <f>'数据-取费表'!B35</f>
        <v>305</v>
      </c>
      <c r="G19" s="1519"/>
      <c r="H19" s="998" t="s">
        <v>855</v>
      </c>
      <c r="I19" s="738" t="s">
        <v>1943</v>
      </c>
      <c r="J19" s="807">
        <f ca="1">ROUND(IF(AND(项目基本情况!B11="自然人",项目基本情况!B10="北京市"),J8*M19/(1+'数据-取费表'!C42),J20+J21+J22),0)</f>
        <v>0</v>
      </c>
      <c r="K19" s="776" t="s">
        <v>1944</v>
      </c>
      <c r="L19" s="808" t="s">
        <v>1945</v>
      </c>
      <c r="M19" s="809" t="str">
        <f ca="1">IF(项目基本情况!B11="企业","——",IF('数据-取费表'!B10="住宅",IF(M8*M9*M10/12/(1+'数据-取费表'!F30)&gt;100000,4%,2.5%),IF(M8*M9*M10/12/(1+'数据-取费表'!F30)&gt;100000,12%,7%)))</f>
        <v>——</v>
      </c>
      <c r="N19" s="878"/>
      <c r="O19" s="878"/>
      <c r="P19" s="878"/>
      <c r="Q19" s="878"/>
      <c r="R19" s="878"/>
      <c r="S19" s="878"/>
      <c r="T19" s="878"/>
      <c r="U19" s="878"/>
      <c r="V19" s="878"/>
      <c r="W19" s="878"/>
      <c r="X19" s="878"/>
      <c r="Y19" s="878"/>
    </row>
    <row r="20" s="702" customFormat="1" ht="18" customHeight="1" spans="1:25">
      <c r="A20" s="998" t="s">
        <v>1076</v>
      </c>
      <c r="B20" s="738" t="s">
        <v>1077</v>
      </c>
      <c r="C20" s="125">
        <f ca="1">ROUND(C16*F20,0)</f>
        <v>0</v>
      </c>
      <c r="D20" s="738" t="s">
        <v>1936</v>
      </c>
      <c r="E20" s="738" t="s">
        <v>1937</v>
      </c>
      <c r="F20" s="783">
        <f>'数据-取费表'!B36</f>
        <v>0.015</v>
      </c>
      <c r="G20" s="1519"/>
      <c r="H20" s="998" t="s">
        <v>879</v>
      </c>
      <c r="I20" s="738" t="s">
        <v>1946</v>
      </c>
      <c r="J20" s="125">
        <f ca="1">ROUND(J8*M20/(1+'数据-取费表'!C42),1)</f>
        <v>0</v>
      </c>
      <c r="K20" s="808" t="s">
        <v>1947</v>
      </c>
      <c r="L20" s="738" t="s">
        <v>1937</v>
      </c>
      <c r="M20" s="783">
        <f>'数据-取费表'!B41</f>
        <v>0.056</v>
      </c>
      <c r="N20" s="878"/>
      <c r="O20" s="878"/>
      <c r="P20" s="878"/>
      <c r="Q20" s="878"/>
      <c r="R20" s="878"/>
      <c r="S20" s="878"/>
      <c r="T20" s="878"/>
      <c r="U20" s="878"/>
      <c r="V20" s="878"/>
      <c r="W20" s="878"/>
      <c r="X20" s="878"/>
      <c r="Y20" s="878"/>
    </row>
    <row r="21" ht="18" customHeight="1" spans="1:13">
      <c r="A21" s="998" t="s">
        <v>855</v>
      </c>
      <c r="B21" s="738" t="s">
        <v>1948</v>
      </c>
      <c r="C21" s="125">
        <f ca="1">SUM(C16:C20)</f>
        <v>0</v>
      </c>
      <c r="D21" s="785" t="s">
        <v>1949</v>
      </c>
      <c r="E21" s="127"/>
      <c r="F21" s="784"/>
      <c r="G21" s="913"/>
      <c r="H21" s="734" t="s">
        <v>1069</v>
      </c>
      <c r="I21" s="738" t="s">
        <v>1950</v>
      </c>
      <c r="J21" s="125">
        <f ca="1">IF(K21="按租金收入计税",ROUND(J8*M21/(1+'数据-取费表'!C42),1),ROUND(C31*F35*0.7,1))</f>
        <v>0</v>
      </c>
      <c r="K21" s="812" t="s">
        <v>1951</v>
      </c>
      <c r="L21" s="738" t="s">
        <v>1937</v>
      </c>
      <c r="M21" s="783">
        <f>IF(K21="按租金收入计税",'数据-取费表'!B51,'数据-取费表'!B50)</f>
        <v>0.012</v>
      </c>
    </row>
    <row r="22" s="702" customFormat="1" ht="18" customHeight="1" spans="1:25">
      <c r="A22" s="998" t="s">
        <v>1952</v>
      </c>
      <c r="B22" s="738" t="s">
        <v>1953</v>
      </c>
      <c r="C22" s="125">
        <f ca="1">ROUND(C21*F22,0)</f>
        <v>0</v>
      </c>
      <c r="D22" s="786" t="s">
        <v>1954</v>
      </c>
      <c r="E22" s="738" t="s">
        <v>1937</v>
      </c>
      <c r="F22" s="783">
        <f>'数据-取费表'!B37</f>
        <v>0.03</v>
      </c>
      <c r="G22" s="1519"/>
      <c r="H22" s="1520" t="s">
        <v>1072</v>
      </c>
      <c r="I22" s="1515" t="s">
        <v>1955</v>
      </c>
      <c r="J22" s="815">
        <f ca="1">ROUND(M22*M23/10000,0)</f>
        <v>0</v>
      </c>
      <c r="K22" s="816" t="s">
        <v>1956</v>
      </c>
      <c r="L22" s="738" t="s">
        <v>1957</v>
      </c>
      <c r="M22" s="792">
        <f>'数据-取费表'!B52</f>
        <v>0</v>
      </c>
      <c r="N22" s="878"/>
      <c r="O22" s="878"/>
      <c r="P22" s="878"/>
      <c r="Q22" s="878"/>
      <c r="R22" s="878"/>
      <c r="S22" s="878"/>
      <c r="T22" s="878"/>
      <c r="U22" s="878"/>
      <c r="V22" s="878"/>
      <c r="W22" s="878"/>
      <c r="X22" s="878"/>
      <c r="Y22" s="878"/>
    </row>
    <row r="23" s="702" customFormat="1" ht="18" customHeight="1" spans="1:25">
      <c r="A23" s="998" t="s">
        <v>1958</v>
      </c>
      <c r="B23" s="738" t="s">
        <v>1959</v>
      </c>
      <c r="C23" s="125" t="s">
        <v>138</v>
      </c>
      <c r="D23" s="786" t="s">
        <v>1960</v>
      </c>
      <c r="E23" s="738" t="s">
        <v>1961</v>
      </c>
      <c r="F23" s="783">
        <f>'数据-取费表'!B38</f>
        <v>0.03</v>
      </c>
      <c r="G23" s="1519"/>
      <c r="H23" s="1521"/>
      <c r="I23" s="1550"/>
      <c r="J23" s="819"/>
      <c r="K23" s="820"/>
      <c r="L23" s="738" t="s">
        <v>1962</v>
      </c>
      <c r="M23" s="739">
        <f ca="1">INDIRECT("'数据-取费表'!r"&amp;$G$1)</f>
        <v>0</v>
      </c>
      <c r="N23" s="878"/>
      <c r="O23" s="878"/>
      <c r="P23" s="878"/>
      <c r="Q23" s="878"/>
      <c r="R23" s="878"/>
      <c r="S23" s="878"/>
      <c r="T23" s="878"/>
      <c r="U23" s="878"/>
      <c r="V23" s="878"/>
      <c r="W23" s="878"/>
      <c r="X23" s="878"/>
      <c r="Y23" s="878"/>
    </row>
    <row r="24" ht="18" customHeight="1" spans="1:13">
      <c r="A24" s="998" t="s">
        <v>1963</v>
      </c>
      <c r="B24" s="738" t="s">
        <v>1964</v>
      </c>
      <c r="C24" s="125"/>
      <c r="D24" s="790" t="str">
        <f>IF(F25&lt;=1,"单利计息。","复利计息。")&amp;"建造成本、管理费用、销售费用产生的利息。"</f>
        <v>复利计息。建造成本、管理费用、销售费用产生的利息。</v>
      </c>
      <c r="E24" s="127"/>
      <c r="F24" s="784"/>
      <c r="G24" s="913"/>
      <c r="H24" s="1522" t="s">
        <v>857</v>
      </c>
      <c r="I24" s="738" t="s">
        <v>1965</v>
      </c>
      <c r="J24" s="125">
        <f ca="1">ROUND(J16*M24,0)</f>
        <v>0</v>
      </c>
      <c r="K24" s="808" t="s">
        <v>1966</v>
      </c>
      <c r="L24" s="738" t="s">
        <v>1937</v>
      </c>
      <c r="M24" s="821">
        <f ca="1">INDIRECT("'数据-取费表'!Ak"&amp;$G$1)</f>
        <v>0</v>
      </c>
    </row>
    <row r="25" s="702" customFormat="1" ht="18" customHeight="1" spans="1:25">
      <c r="A25" s="998" t="s">
        <v>879</v>
      </c>
      <c r="B25" s="738" t="s">
        <v>1967</v>
      </c>
      <c r="C25" s="125">
        <f ca="1">ROUND(IF('数据-取费表'!B22&lt;=1,(C21+C22)*F26*F25/2,(C21+C22)*(POWER((1+F26),F25/2)-1)),0)</f>
        <v>0</v>
      </c>
      <c r="D25" s="791" t="str">
        <f>IF(F25&lt;=1,"(建造成本+管理费用)×利率×(建设周期÷2)","(建造成本+管理费用)×((1+利率)^(建设周期÷2)-1)")</f>
        <v>(建造成本+管理费用)×((1+利率)^(建设周期÷2)-1)</v>
      </c>
      <c r="E25" s="738" t="s">
        <v>1968</v>
      </c>
      <c r="F25" s="792">
        <f>'数据-取费表'!B20</f>
        <v>2</v>
      </c>
      <c r="G25" s="1519"/>
      <c r="H25" s="998" t="s">
        <v>1958</v>
      </c>
      <c r="I25" s="738" t="s">
        <v>1969</v>
      </c>
      <c r="J25" s="125">
        <f ca="1">ROUND(J15*M25,0)</f>
        <v>0</v>
      </c>
      <c r="K25" s="808" t="s">
        <v>1970</v>
      </c>
      <c r="L25" s="738" t="s">
        <v>1937</v>
      </c>
      <c r="M25" s="822">
        <f ca="1">INDIRECT("'数据-取费表'!Al"&amp;$G$1)</f>
        <v>0</v>
      </c>
      <c r="N25" s="878"/>
      <c r="O25" s="878"/>
      <c r="P25" s="878"/>
      <c r="Q25" s="878"/>
      <c r="R25" s="878"/>
      <c r="S25" s="878"/>
      <c r="T25" s="878"/>
      <c r="U25" s="878"/>
      <c r="V25" s="878"/>
      <c r="W25" s="878"/>
      <c r="X25" s="878"/>
      <c r="Y25" s="878"/>
    </row>
    <row r="26" s="702" customFormat="1" ht="18" customHeight="1" spans="1:25">
      <c r="A26" s="998" t="s">
        <v>1069</v>
      </c>
      <c r="B26" s="738" t="s">
        <v>1971</v>
      </c>
      <c r="C26" s="125">
        <f ca="1">ROUND(IF('数据-取费表'!B22&lt;=1,F23*F26*F25/2,F23*(POWER((1+F26),F25/2)-1)),4)</f>
        <v>0.0014</v>
      </c>
      <c r="D26" s="791" t="str">
        <f>IF(F25&lt;=1,"销售费用×利率×(建设周期÷2)","销售费用×((1+利率)^(建设周期÷2)-1)")</f>
        <v>销售费用×((1+利率)^(建设周期÷2)-1)</v>
      </c>
      <c r="E26" s="738" t="s">
        <v>1972</v>
      </c>
      <c r="F26" s="793">
        <f ca="1">'数据-取费表'!B40</f>
        <v>0.0475</v>
      </c>
      <c r="G26" s="1519"/>
      <c r="H26" s="998" t="s">
        <v>1963</v>
      </c>
      <c r="I26" s="738" t="s">
        <v>1953</v>
      </c>
      <c r="J26" s="125">
        <f ca="1">ROUND(J7*M26,0)</f>
        <v>0</v>
      </c>
      <c r="K26" s="808" t="s">
        <v>1973</v>
      </c>
      <c r="L26" s="738" t="s">
        <v>1937</v>
      </c>
      <c r="M26" s="750">
        <f ca="1">INDIRECT("'数据-取费表'!Am"&amp;$G$1)</f>
        <v>0</v>
      </c>
      <c r="N26" s="878"/>
      <c r="O26" s="878"/>
      <c r="P26" s="878"/>
      <c r="Q26" s="878"/>
      <c r="R26" s="878"/>
      <c r="S26" s="878"/>
      <c r="T26" s="878"/>
      <c r="U26" s="878"/>
      <c r="V26" s="878"/>
      <c r="W26" s="878"/>
      <c r="X26" s="878"/>
      <c r="Y26" s="878"/>
    </row>
    <row r="27" ht="18" customHeight="1" spans="1:13">
      <c r="A27" s="998" t="s">
        <v>1974</v>
      </c>
      <c r="B27" s="738" t="s">
        <v>1975</v>
      </c>
      <c r="C27" s="125"/>
      <c r="D27" s="785" t="s">
        <v>1976</v>
      </c>
      <c r="E27" s="127"/>
      <c r="F27" s="784"/>
      <c r="G27" s="913"/>
      <c r="H27" s="854" t="s">
        <v>869</v>
      </c>
      <c r="I27" s="963" t="s">
        <v>1977</v>
      </c>
      <c r="J27" s="124">
        <f ca="1">J7-J18</f>
        <v>0</v>
      </c>
      <c r="K27" s="776" t="s">
        <v>1978</v>
      </c>
      <c r="L27" s="964"/>
      <c r="M27" s="965"/>
    </row>
    <row r="28" ht="18" customHeight="1" spans="1:13">
      <c r="A28" s="998" t="s">
        <v>879</v>
      </c>
      <c r="B28" s="738" t="s">
        <v>1979</v>
      </c>
      <c r="C28" s="125">
        <f ca="1">ROUND((C21+C22)*F28,0)</f>
        <v>0</v>
      </c>
      <c r="D28" s="786" t="s">
        <v>1980</v>
      </c>
      <c r="E28" s="795" t="s">
        <v>1981</v>
      </c>
      <c r="F28" s="750">
        <f ca="1">INDIRECT("'数据-取费表'!q"&amp;$G$1)</f>
        <v>0</v>
      </c>
      <c r="G28" s="913"/>
      <c r="H28" s="728" t="s">
        <v>893</v>
      </c>
      <c r="I28" s="729" t="s">
        <v>1982</v>
      </c>
      <c r="J28" s="736">
        <f ca="1">IF(J7&lt;&gt;0,ROUND(J27*(1-((1+M30)/(1+M28))^M29)/(M28-M30),0),0)</f>
        <v>0</v>
      </c>
      <c r="K28" s="816" t="s">
        <v>1983</v>
      </c>
      <c r="L28" s="738" t="s">
        <v>1984</v>
      </c>
      <c r="M28" s="750">
        <f ca="1">INDIRECT("'数据-取费表'!I"&amp;$G$1)</f>
        <v>0</v>
      </c>
    </row>
    <row r="29" ht="18" customHeight="1" spans="1:13">
      <c r="A29" s="998" t="s">
        <v>1069</v>
      </c>
      <c r="B29" s="738" t="s">
        <v>1985</v>
      </c>
      <c r="C29" s="125">
        <f ca="1">ROUND(F23*F28,4)</f>
        <v>0</v>
      </c>
      <c r="D29" s="786" t="s">
        <v>1986</v>
      </c>
      <c r="E29" s="780"/>
      <c r="F29" s="781"/>
      <c r="G29" s="913"/>
      <c r="H29" s="748"/>
      <c r="I29" s="828"/>
      <c r="J29" s="743"/>
      <c r="K29" s="829" t="s">
        <v>1987</v>
      </c>
      <c r="L29" s="738" t="s">
        <v>1988</v>
      </c>
      <c r="M29" s="830">
        <f ca="1">INDIRECT("'数据-取费表'!ag"&amp;$G$1)</f>
        <v>0</v>
      </c>
    </row>
    <row r="30" s="702" customFormat="1" ht="18" customHeight="1" spans="1:25">
      <c r="A30" s="998" t="s">
        <v>1989</v>
      </c>
      <c r="B30" s="738" t="s">
        <v>1990</v>
      </c>
      <c r="C30" s="125">
        <f>ROUND(F30/(1+'数据-取费表'!C42),4)</f>
        <v>0.0533</v>
      </c>
      <c r="D30" s="786" t="s">
        <v>1991</v>
      </c>
      <c r="E30" s="738" t="s">
        <v>1937</v>
      </c>
      <c r="F30" s="783">
        <f>'数据-取费表'!B41</f>
        <v>0.056</v>
      </c>
      <c r="G30" s="1519"/>
      <c r="H30" s="757"/>
      <c r="I30" s="831"/>
      <c r="J30" s="771"/>
      <c r="K30" s="820"/>
      <c r="L30" s="738" t="s">
        <v>1992</v>
      </c>
      <c r="M30" s="750">
        <f ca="1">INDIRECT("'数据-取费表'!aa"&amp;$G$1)</f>
        <v>0</v>
      </c>
      <c r="N30" s="878"/>
      <c r="O30" s="878"/>
      <c r="P30" s="878"/>
      <c r="Q30" s="878"/>
      <c r="R30" s="878"/>
      <c r="S30" s="878"/>
      <c r="T30" s="878"/>
      <c r="U30" s="878"/>
      <c r="V30" s="878"/>
      <c r="W30" s="878"/>
      <c r="X30" s="878"/>
      <c r="Y30" s="878"/>
    </row>
    <row r="31" s="702" customFormat="1" ht="18" customHeight="1" spans="1:25">
      <c r="A31" s="1523" t="s">
        <v>1993</v>
      </c>
      <c r="B31" s="766" t="s">
        <v>1994</v>
      </c>
      <c r="C31" s="799">
        <f ca="1">ROUND((C21+C22+C25+C28)/(1-F23-C26-C29-C30),0)</f>
        <v>0</v>
      </c>
      <c r="D31" s="800"/>
      <c r="E31" s="801"/>
      <c r="F31" s="802"/>
      <c r="G31" s="1519"/>
      <c r="H31" s="803" t="s">
        <v>1198</v>
      </c>
      <c r="I31" s="1551" t="s">
        <v>1995</v>
      </c>
      <c r="J31" s="833">
        <f ca="1">ROUND(J28/(1+F45)^F46,0)</f>
        <v>0</v>
      </c>
      <c r="K31" s="834" t="s">
        <v>1996</v>
      </c>
      <c r="L31" s="835"/>
      <c r="M31" s="836">
        <f ca="1">INDIRECT("'数据-取费表'!k"&amp;$G$1)</f>
        <v>0</v>
      </c>
      <c r="N31" s="878"/>
      <c r="O31" s="878"/>
      <c r="P31" s="878"/>
      <c r="Q31" s="878"/>
      <c r="R31" s="878"/>
      <c r="S31" s="878"/>
      <c r="T31" s="878"/>
      <c r="U31" s="878"/>
      <c r="V31" s="878"/>
      <c r="W31" s="878"/>
      <c r="X31" s="878"/>
      <c r="Y31" s="878"/>
    </row>
    <row r="32" ht="18" customHeight="1" spans="1:13">
      <c r="A32" s="769" t="s">
        <v>1997</v>
      </c>
      <c r="B32" s="770" t="s">
        <v>1998</v>
      </c>
      <c r="C32" s="771">
        <f ca="1">ROUND(C33+C38+C39+C40,0)</f>
        <v>0</v>
      </c>
      <c r="D32" s="804" t="s">
        <v>1939</v>
      </c>
      <c r="E32" s="805"/>
      <c r="F32" s="733"/>
      <c r="G32" s="727"/>
      <c r="H32" s="806"/>
      <c r="I32" s="879"/>
      <c r="J32" s="880"/>
      <c r="K32" s="183"/>
      <c r="L32" s="881"/>
      <c r="M32" s="882"/>
    </row>
    <row r="33" ht="18" customHeight="1" spans="1:13">
      <c r="A33" s="998" t="s">
        <v>855</v>
      </c>
      <c r="B33" s="738" t="s">
        <v>1943</v>
      </c>
      <c r="C33" s="807">
        <f ca="1">ROUND(IF(AND(项目基本情况!B11="自然人",项目基本情况!B10="北京市"),C8*F33/(1+'数据-取费表'!C42),C34+C35+C36),0)</f>
        <v>0</v>
      </c>
      <c r="D33" s="776" t="s">
        <v>1944</v>
      </c>
      <c r="E33" s="808" t="s">
        <v>1945</v>
      </c>
      <c r="F33" s="809" t="str">
        <f ca="1">IF(项目基本情况!B11="企业","——",IF('数据-取费表'!B10="住宅",IF(F8*F9*F10/12/(1+'数据-取费表'!F30)&gt;100000,4%,2.5%),IF(F8*F9*F10/12/(1+'数据-取费表'!F30)&gt;100000,12%,7%)))</f>
        <v>——</v>
      </c>
      <c r="G33" s="727"/>
      <c r="H33" s="810" t="s">
        <v>1999</v>
      </c>
      <c r="I33" s="879"/>
      <c r="J33" s="880"/>
      <c r="K33" s="183"/>
      <c r="L33" s="881"/>
      <c r="M33" s="882"/>
    </row>
    <row r="34" ht="18" customHeight="1" spans="1:13">
      <c r="A34" s="998" t="s">
        <v>879</v>
      </c>
      <c r="B34" s="738" t="s">
        <v>1946</v>
      </c>
      <c r="C34" s="125">
        <f ca="1">ROUND(C8*F34/(1+'数据-取费表'!C42),1)</f>
        <v>0</v>
      </c>
      <c r="D34" s="808" t="s">
        <v>1947</v>
      </c>
      <c r="E34" s="738" t="s">
        <v>1937</v>
      </c>
      <c r="F34" s="783">
        <f>'数据-取费表'!B41</f>
        <v>0.056</v>
      </c>
      <c r="G34" s="727"/>
      <c r="H34" s="811"/>
      <c r="I34" s="883"/>
      <c r="J34" s="884"/>
      <c r="K34" s="885"/>
      <c r="L34" s="886"/>
      <c r="M34" s="887"/>
    </row>
    <row r="35" ht="18" customHeight="1" spans="1:13">
      <c r="A35" s="998" t="s">
        <v>1069</v>
      </c>
      <c r="B35" s="738" t="s">
        <v>1950</v>
      </c>
      <c r="C35" s="125">
        <f ca="1">IF(D35="按租金收入计税",ROUND(C8*F35/(1+'数据-取费表'!C42),1),IF(D35="按房产原值计税",ROUND(C31*F35*0.7,1),INDIRECT("'数据-取费表'!Aj"&amp;$G$1)))</f>
        <v>0</v>
      </c>
      <c r="D35" s="812" t="s">
        <v>2000</v>
      </c>
      <c r="E35" s="738" t="s">
        <v>1937</v>
      </c>
      <c r="F35" s="783">
        <f>IF(D35="按租金收入计税",'数据-取费表'!B51,'数据-取费表'!B50)</f>
        <v>0.012</v>
      </c>
      <c r="G35" s="727"/>
      <c r="H35" s="813"/>
      <c r="I35" s="813"/>
      <c r="J35" s="813"/>
      <c r="K35" s="888"/>
      <c r="L35" s="813"/>
      <c r="M35" s="813"/>
    </row>
    <row r="36" ht="18" customHeight="1" spans="1:13">
      <c r="A36" s="1524" t="s">
        <v>886</v>
      </c>
      <c r="B36" s="814" t="s">
        <v>1955</v>
      </c>
      <c r="C36" s="815">
        <f ca="1">ROUND(F36*F37/10000,1)</f>
        <v>0</v>
      </c>
      <c r="D36" s="816" t="s">
        <v>1956</v>
      </c>
      <c r="E36" s="738" t="s">
        <v>1957</v>
      </c>
      <c r="F36" s="792">
        <f>'数据-取费表'!B52</f>
        <v>0</v>
      </c>
      <c r="G36" s="727"/>
      <c r="H36" s="806"/>
      <c r="I36" s="1552"/>
      <c r="J36" s="892"/>
      <c r="K36" s="891"/>
      <c r="L36" s="892"/>
      <c r="M36" s="892"/>
    </row>
    <row r="37" ht="18" customHeight="1" spans="1:13">
      <c r="A37" s="817"/>
      <c r="B37" s="818"/>
      <c r="C37" s="819"/>
      <c r="D37" s="820"/>
      <c r="E37" s="738" t="s">
        <v>1962</v>
      </c>
      <c r="F37" s="739">
        <f ca="1">INDIRECT("'数据-取费表'!r"&amp;$G$1)</f>
        <v>0</v>
      </c>
      <c r="G37" s="727"/>
      <c r="H37" s="806"/>
      <c r="I37" s="1552"/>
      <c r="J37" s="813"/>
      <c r="K37" s="888"/>
      <c r="L37" s="813"/>
      <c r="M37" s="813"/>
    </row>
    <row r="38" ht="18" customHeight="1" spans="1:13">
      <c r="A38" s="998" t="s">
        <v>1952</v>
      </c>
      <c r="B38" s="738" t="s">
        <v>1965</v>
      </c>
      <c r="C38" s="125">
        <f ca="1">ROUND(C31*F38,1)</f>
        <v>0</v>
      </c>
      <c r="D38" s="808" t="s">
        <v>2001</v>
      </c>
      <c r="E38" s="738" t="s">
        <v>1937</v>
      </c>
      <c r="F38" s="821">
        <f ca="1">INDIRECT("'数据-取费表'!Ak"&amp;$G$1)</f>
        <v>0</v>
      </c>
      <c r="G38" s="727"/>
      <c r="H38" s="813"/>
      <c r="I38" s="1552"/>
      <c r="J38" s="183"/>
      <c r="K38" s="897"/>
      <c r="L38" s="813"/>
      <c r="M38" s="813"/>
    </row>
    <row r="39" ht="18" customHeight="1" spans="1:13">
      <c r="A39" s="998" t="s">
        <v>1958</v>
      </c>
      <c r="B39" s="738" t="s">
        <v>1969</v>
      </c>
      <c r="C39" s="125">
        <f ca="1">ROUND(C15*F39,1)</f>
        <v>0</v>
      </c>
      <c r="D39" s="808" t="s">
        <v>1970</v>
      </c>
      <c r="E39" s="738" t="s">
        <v>1937</v>
      </c>
      <c r="F39" s="822">
        <f ca="1">INDIRECT("'数据-取费表'!Al"&amp;$G$1)</f>
        <v>0</v>
      </c>
      <c r="G39" s="727"/>
      <c r="H39" s="813"/>
      <c r="I39" s="1552"/>
      <c r="J39" s="183"/>
      <c r="K39" s="897"/>
      <c r="L39" s="813"/>
      <c r="M39" s="813"/>
    </row>
    <row r="40" ht="18" customHeight="1" spans="1:13">
      <c r="A40" s="1523" t="s">
        <v>1963</v>
      </c>
      <c r="B40" s="801" t="s">
        <v>1953</v>
      </c>
      <c r="C40" s="799">
        <f ca="1">ROUND(C7*F40,1)</f>
        <v>0</v>
      </c>
      <c r="D40" s="800" t="s">
        <v>1973</v>
      </c>
      <c r="E40" s="801" t="s">
        <v>1937</v>
      </c>
      <c r="F40" s="767">
        <f ca="1">INDIRECT("'数据-取费表'!Am"&amp;$G$1)</f>
        <v>0</v>
      </c>
      <c r="G40" s="727"/>
      <c r="H40" s="813"/>
      <c r="I40" s="1552"/>
      <c r="J40" s="183"/>
      <c r="K40" s="902"/>
      <c r="L40" s="813"/>
      <c r="M40" s="813"/>
    </row>
    <row r="41" ht="18" customHeight="1" spans="1:13">
      <c r="A41" s="769">
        <v>4</v>
      </c>
      <c r="B41" s="770" t="s">
        <v>2002</v>
      </c>
      <c r="C41" s="840"/>
      <c r="D41" s="1525"/>
      <c r="E41" s="1525"/>
      <c r="F41" s="1526"/>
      <c r="G41" s="727"/>
      <c r="H41" s="727"/>
      <c r="I41" s="727"/>
      <c r="J41" s="727"/>
      <c r="K41" s="902"/>
      <c r="L41" s="727"/>
      <c r="M41" s="727"/>
    </row>
    <row r="42" ht="18" customHeight="1" spans="1:13">
      <c r="A42" s="998" t="s">
        <v>855</v>
      </c>
      <c r="B42" s="889" t="s">
        <v>2003</v>
      </c>
      <c r="C42" s="1527">
        <f ca="1">C7-C32</f>
        <v>0</v>
      </c>
      <c r="D42" s="776" t="s">
        <v>2004</v>
      </c>
      <c r="E42" s="964"/>
      <c r="F42" s="965"/>
      <c r="G42" s="727"/>
      <c r="H42" s="727"/>
      <c r="I42" s="727"/>
      <c r="J42" s="727"/>
      <c r="K42" s="902"/>
      <c r="L42" s="727"/>
      <c r="M42" s="727"/>
    </row>
    <row r="43" ht="18" customHeight="1" spans="1:13">
      <c r="A43" s="998" t="s">
        <v>1952</v>
      </c>
      <c r="B43" s="889" t="s">
        <v>2005</v>
      </c>
      <c r="C43" s="890">
        <f ca="1">ROUND(C15*F43,0)</f>
        <v>0</v>
      </c>
      <c r="D43" s="1528" t="s">
        <v>2006</v>
      </c>
      <c r="E43" s="1529" t="s">
        <v>2007</v>
      </c>
      <c r="F43" s="1530">
        <f ca="1">INDIRECT("'数据-取费表'!j"&amp;$G$1)</f>
        <v>0</v>
      </c>
      <c r="G43" s="727"/>
      <c r="H43" s="727"/>
      <c r="I43" s="727"/>
      <c r="J43" s="727"/>
      <c r="K43" s="902"/>
      <c r="L43" s="727"/>
      <c r="M43" s="727"/>
    </row>
    <row r="44" ht="18" customHeight="1" spans="1:13">
      <c r="A44" s="998" t="s">
        <v>1958</v>
      </c>
      <c r="B44" s="889" t="s">
        <v>2008</v>
      </c>
      <c r="C44" s="1531">
        <f ca="1">C42-C43</f>
        <v>0</v>
      </c>
      <c r="D44" s="1532" t="s">
        <v>2009</v>
      </c>
      <c r="E44" s="1533"/>
      <c r="F44" s="1534"/>
      <c r="G44" s="727"/>
      <c r="H44" s="727"/>
      <c r="I44" s="727"/>
      <c r="J44" s="727"/>
      <c r="K44" s="902"/>
      <c r="L44" s="727"/>
      <c r="M44" s="727"/>
    </row>
    <row r="45" ht="18" customHeight="1" spans="1:13">
      <c r="A45" s="998" t="s">
        <v>1963</v>
      </c>
      <c r="B45" s="1528" t="s">
        <v>2010</v>
      </c>
      <c r="C45" s="736">
        <f ca="1">ROUND(-PV(F45,F46,C44,0),0)</f>
        <v>0</v>
      </c>
      <c r="D45" s="1535" t="s">
        <v>2011</v>
      </c>
      <c r="E45" s="780" t="s">
        <v>2012</v>
      </c>
      <c r="F45" s="1536">
        <f ca="1">INDIRECT("'数据-取费表'!h"&amp;$G$1)</f>
        <v>0</v>
      </c>
      <c r="G45" s="727"/>
      <c r="H45" s="727"/>
      <c r="I45" s="727"/>
      <c r="J45" s="727"/>
      <c r="K45" s="902"/>
      <c r="L45" s="727"/>
      <c r="M45" s="727"/>
    </row>
    <row r="46" ht="18" customHeight="1" spans="1:13">
      <c r="A46" s="1537"/>
      <c r="B46" s="1538"/>
      <c r="C46" s="1539"/>
      <c r="D46" s="1540"/>
      <c r="E46" s="1541" t="s">
        <v>2013</v>
      </c>
      <c r="F46" s="836">
        <f ca="1">IF(INDIRECT("'数据-取费表'!af"&amp;$G$1)=0,INDIRECT("'数据-取费表'!ae"&amp;$G$1),INDIRECT("'数据-取费表'!af"&amp;$G$1))</f>
        <v>0</v>
      </c>
      <c r="G46" s="727"/>
      <c r="H46" s="727"/>
      <c r="I46" s="727"/>
      <c r="J46" s="727"/>
      <c r="K46" s="902"/>
      <c r="L46" s="727"/>
      <c r="M46" s="727"/>
    </row>
    <row r="47" s="632" customFormat="1" ht="18" customHeight="1" spans="1:18">
      <c r="A47" s="1542"/>
      <c r="D47" s="837"/>
      <c r="E47" s="837"/>
      <c r="F47" s="837"/>
      <c r="I47" s="908" t="s">
        <v>2014</v>
      </c>
      <c r="J47" s="909"/>
      <c r="K47" s="910"/>
      <c r="L47" s="911" t="str">
        <f ca="1">IF(M48="住宅",0,IF(L49&gt;J52,L61,J61))</f>
        <v>0</v>
      </c>
      <c r="O47" s="912" t="s">
        <v>2015</v>
      </c>
      <c r="P47" s="913"/>
      <c r="Q47" s="918"/>
      <c r="R47" s="913"/>
    </row>
    <row r="48" s="632" customFormat="1" ht="18" customHeight="1" spans="1:18">
      <c r="A48" s="1542"/>
      <c r="C48" s="1543"/>
      <c r="D48" s="837"/>
      <c r="E48" s="837"/>
      <c r="F48" s="1544"/>
      <c r="G48" s="850"/>
      <c r="I48" s="914" t="s">
        <v>2016</v>
      </c>
      <c r="J48" s="915"/>
      <c r="K48" s="916" t="s">
        <v>2017</v>
      </c>
      <c r="L48" s="917">
        <f ca="1">INDIRECT("'数据-取费表'!d"&amp;$G$1)</f>
        <v>0</v>
      </c>
      <c r="M48" s="1553" t="str">
        <f>IF(ISNUMBER(FIND("住宅",C1)),"住宅","非住宅")</f>
        <v>非住宅</v>
      </c>
      <c r="O48" s="919" t="s">
        <v>1318</v>
      </c>
      <c r="P48" s="920" t="s">
        <v>2018</v>
      </c>
      <c r="Q48" s="959" t="s">
        <v>2019</v>
      </c>
      <c r="R48" s="920" t="s">
        <v>2020</v>
      </c>
    </row>
    <row r="49" s="632" customFormat="1" ht="18" customHeight="1" spans="1:18">
      <c r="A49" s="1542"/>
      <c r="D49" s="1545"/>
      <c r="E49" s="1546"/>
      <c r="F49" s="1544"/>
      <c r="G49" s="850"/>
      <c r="H49" s="851"/>
      <c r="I49" s="921" t="s">
        <v>2021</v>
      </c>
      <c r="J49" s="922"/>
      <c r="K49" s="923" t="s">
        <v>2022</v>
      </c>
      <c r="L49" s="924">
        <f ca="1">INDIRECT("'数据-取费表'!f"&amp;$G$1)</f>
        <v>0</v>
      </c>
      <c r="O49" s="925" t="s">
        <v>2023</v>
      </c>
      <c r="P49" s="926" t="s">
        <v>2024</v>
      </c>
      <c r="Q49" s="960">
        <f ca="1">C41+J31</f>
        <v>0</v>
      </c>
      <c r="R49" s="926" t="s">
        <v>2025</v>
      </c>
    </row>
    <row r="50" s="632" customFormat="1" ht="18" customHeight="1" spans="1:18">
      <c r="A50" s="1542"/>
      <c r="D50" s="1547"/>
      <c r="E50" s="1547"/>
      <c r="F50" s="837"/>
      <c r="H50" s="851"/>
      <c r="I50" s="921" t="s">
        <v>2026</v>
      </c>
      <c r="J50" s="927"/>
      <c r="K50" s="928" t="s">
        <v>2027</v>
      </c>
      <c r="L50" s="929"/>
      <c r="O50" s="925" t="s">
        <v>2028</v>
      </c>
      <c r="P50" s="926" t="s">
        <v>2029</v>
      </c>
      <c r="Q50" s="960" t="str">
        <f ca="1">J61</f>
        <v>0</v>
      </c>
      <c r="R50" s="926" t="s">
        <v>2030</v>
      </c>
    </row>
    <row r="51" s="632" customFormat="1" ht="18" customHeight="1" spans="1:18">
      <c r="A51" s="1548"/>
      <c r="D51" s="1547"/>
      <c r="E51" s="1547"/>
      <c r="F51" s="837"/>
      <c r="H51" s="851"/>
      <c r="I51" s="921" t="s">
        <v>2031</v>
      </c>
      <c r="J51" s="930">
        <f>SUMPRODUCT((I64:I66=J48)*(J63:L63=J49)*(J64:L66))</f>
        <v>0</v>
      </c>
      <c r="K51" s="928" t="s">
        <v>2032</v>
      </c>
      <c r="L51" s="929"/>
      <c r="O51" s="931" t="s">
        <v>2033</v>
      </c>
      <c r="P51" s="926" t="s">
        <v>2034</v>
      </c>
      <c r="Q51" s="960">
        <f ca="1">C31</f>
        <v>0</v>
      </c>
      <c r="R51" s="926" t="s">
        <v>2025</v>
      </c>
    </row>
    <row r="52" s="632" customFormat="1" ht="18" customHeight="1" spans="1:18">
      <c r="A52" s="1548"/>
      <c r="F52" s="837"/>
      <c r="I52" s="932" t="s">
        <v>2035</v>
      </c>
      <c r="J52" s="924">
        <f>IF(J50="",J51,J50+J51-YEAR('数据-取费表'!B3))</f>
        <v>0</v>
      </c>
      <c r="K52" s="921" t="s">
        <v>2036</v>
      </c>
      <c r="L52" s="933">
        <f ca="1">C45</f>
        <v>0</v>
      </c>
      <c r="O52" s="931" t="s">
        <v>2037</v>
      </c>
      <c r="P52" s="926" t="s">
        <v>2038</v>
      </c>
      <c r="Q52" s="961" t="e">
        <f ca="1">J59</f>
        <v>#VALUE!</v>
      </c>
      <c r="R52" s="962"/>
    </row>
    <row r="53" s="632" customFormat="1" ht="18" customHeight="1" spans="1:18">
      <c r="A53" s="1548"/>
      <c r="F53" s="837"/>
      <c r="I53" s="934" t="s">
        <v>2039</v>
      </c>
      <c r="J53" s="935"/>
      <c r="K53" s="934" t="s">
        <v>1188</v>
      </c>
      <c r="L53" s="935"/>
      <c r="O53" s="931" t="s">
        <v>2040</v>
      </c>
      <c r="P53" s="926" t="s">
        <v>2041</v>
      </c>
      <c r="Q53" s="961">
        <f>J53</f>
        <v>0</v>
      </c>
      <c r="R53" s="962"/>
    </row>
    <row r="54" s="632" customFormat="1" ht="29.25" spans="1:18">
      <c r="A54" s="1548"/>
      <c r="I54" s="936" t="s">
        <v>2042</v>
      </c>
      <c r="J54" s="937">
        <f ca="1">IF(M48="住宅",MAX(J52,L49-'数据-取费表'!B20),MIN(J52,L49-'数据-取费表'!B20))</f>
        <v>-2</v>
      </c>
      <c r="K54" s="1554"/>
      <c r="L54" s="1555"/>
      <c r="O54" s="931" t="s">
        <v>2043</v>
      </c>
      <c r="P54" s="926" t="s">
        <v>2044</v>
      </c>
      <c r="Q54" s="960">
        <f ca="1">J54</f>
        <v>-2</v>
      </c>
      <c r="R54" s="926" t="s">
        <v>2045</v>
      </c>
    </row>
    <row r="55" s="632" customFormat="1" ht="18" customHeight="1" spans="1:18">
      <c r="A55" s="1548"/>
      <c r="I55" s="155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556"/>
      <c r="K55" s="1557"/>
      <c r="O55" s="925" t="s">
        <v>2046</v>
      </c>
      <c r="P55" s="926" t="s">
        <v>2047</v>
      </c>
      <c r="Q55" s="960">
        <f ca="1">Q49+Q50</f>
        <v>0</v>
      </c>
      <c r="R55" s="962" t="s">
        <v>2048</v>
      </c>
    </row>
    <row r="56" s="632" customFormat="1" ht="16.5" spans="1:18">
      <c r="A56" s="1548"/>
      <c r="B56" s="706"/>
      <c r="C56" s="706"/>
      <c r="I56" s="940" t="s">
        <v>2049</v>
      </c>
      <c r="J56" s="941" t="e">
        <f ca="1">ROUND(IF(J48="钢混",J58/J51,1-(1-2%)*(J51-J58)/J51),3)</f>
        <v>#VALUE!</v>
      </c>
      <c r="K56" s="942" t="s">
        <v>2050</v>
      </c>
      <c r="L56" s="943"/>
      <c r="O56" s="944" t="s">
        <v>2051</v>
      </c>
      <c r="P56" s="913"/>
      <c r="Q56" s="918"/>
      <c r="R56" s="913"/>
    </row>
    <row r="57" s="632" customFormat="1" ht="43.5" spans="1:18">
      <c r="A57" s="1548"/>
      <c r="B57" s="706"/>
      <c r="C57" s="706"/>
      <c r="I57" s="945" t="s">
        <v>2052</v>
      </c>
      <c r="J57" s="946" t="s">
        <v>508</v>
      </c>
      <c r="K57" s="921" t="s">
        <v>2053</v>
      </c>
      <c r="L57" s="924">
        <f ca="1">IF(L49&lt;J52,"——",L49-J52)</f>
        <v>0</v>
      </c>
      <c r="O57" s="919" t="s">
        <v>1318</v>
      </c>
      <c r="P57" s="920" t="s">
        <v>2018</v>
      </c>
      <c r="Q57" s="959" t="s">
        <v>2019</v>
      </c>
      <c r="R57" s="920" t="s">
        <v>2020</v>
      </c>
    </row>
    <row r="58" s="632" customFormat="1" ht="29.25" spans="1:18">
      <c r="A58" s="1548"/>
      <c r="B58" s="706"/>
      <c r="C58" s="706"/>
      <c r="I58" s="947" t="s">
        <v>2054</v>
      </c>
      <c r="J58" s="948" t="str">
        <f ca="1">IF(OR(M48="住宅",J52&lt;L49,J57="是"),"——",J52-L49)</f>
        <v>——</v>
      </c>
      <c r="K58" s="921" t="s">
        <v>2055</v>
      </c>
      <c r="L58" s="924">
        <f ca="1">IF(L49&lt;J52,"——",IF(L56="比较法",L50,IF(L56="基准地价",L51,L52)))</f>
        <v>0</v>
      </c>
      <c r="O58" s="925" t="s">
        <v>2023</v>
      </c>
      <c r="P58" s="926" t="s">
        <v>2024</v>
      </c>
      <c r="Q58" s="960">
        <f ca="1">C41+J31</f>
        <v>0</v>
      </c>
      <c r="R58" s="926" t="s">
        <v>2025</v>
      </c>
    </row>
    <row r="59" s="632" customFormat="1" ht="29.25" spans="1:18">
      <c r="A59" s="1548"/>
      <c r="B59" s="706"/>
      <c r="C59" s="706"/>
      <c r="I59" s="947" t="s">
        <v>2056</v>
      </c>
      <c r="J59" s="949" t="e">
        <f ca="1">IF(J56&lt;0.4,0.4,J56)</f>
        <v>#VALUE!</v>
      </c>
      <c r="K59" s="921" t="s">
        <v>2057</v>
      </c>
      <c r="L59" s="924">
        <f ca="1">IF(ISERROR(POWER(1+L53,L48-L49)*(POWER(1+L53,L49)-1)/(POWER(1+L53,L48)-1)),0,POWER(1+L53,L48-L49)*(POWER(1+L53,L49)-1)/(POWER(1+L53,L48)-1))</f>
        <v>0</v>
      </c>
      <c r="O59" s="925" t="s">
        <v>2028</v>
      </c>
      <c r="P59" s="926" t="s">
        <v>2058</v>
      </c>
      <c r="Q59" s="960" t="e">
        <f ca="1">L61</f>
        <v>#DIV/0!</v>
      </c>
      <c r="R59" s="962" t="s">
        <v>2059</v>
      </c>
    </row>
    <row r="60" s="632" customFormat="1" ht="29.25" spans="1:18">
      <c r="A60" s="1548"/>
      <c r="B60" s="706"/>
      <c r="C60" s="706"/>
      <c r="I60" s="947" t="s">
        <v>2060</v>
      </c>
      <c r="J60" s="948" t="str">
        <f ca="1">IF(OR(M48="住宅",J52&lt;L49,J57="是"),"——",ROUND(C30*J59,0))</f>
        <v>——</v>
      </c>
      <c r="K60" s="921" t="s">
        <v>2061</v>
      </c>
      <c r="L60" s="924">
        <f ca="1">IF(ISERROR(POWER(1+L53,L48-J52)*(POWER(1+L53,J52)-1)/(POWER(1+L53,L48)-1)),0,POWER(1+L53,L48-J52)*(POWER(1+L53,J52)-1)/(POWER(1+L53,L48)-1))</f>
        <v>0</v>
      </c>
      <c r="O60" s="931" t="s">
        <v>2033</v>
      </c>
      <c r="P60" s="926" t="s">
        <v>2062</v>
      </c>
      <c r="Q60" s="960">
        <f>IF(L56="比较法",L50,IF(L56="基准地价",L51,0))</f>
        <v>0</v>
      </c>
      <c r="R60" s="926" t="s">
        <v>2025</v>
      </c>
    </row>
    <row r="61" s="632" customFormat="1" ht="15.75" spans="1:18">
      <c r="A61" s="1548"/>
      <c r="B61" s="706"/>
      <c r="C61" s="706"/>
      <c r="I61" s="950" t="s">
        <v>2063</v>
      </c>
      <c r="J61" s="951" t="str">
        <f ca="1">IF(OR(M48="住宅",J52&lt;L49,J57="是"),"0",ROUND(J60/(1+J53)^J54,0))</f>
        <v>0</v>
      </c>
      <c r="K61" s="952" t="s">
        <v>2064</v>
      </c>
      <c r="L61" s="951" t="e">
        <f ca="1">IF(OR(M48="住宅",L49&lt;J52),0,ROUND(L58*(L59/L60-1),0))</f>
        <v>#DIV/0!</v>
      </c>
      <c r="O61" s="931" t="s">
        <v>2037</v>
      </c>
      <c r="P61" s="926" t="s">
        <v>2065</v>
      </c>
      <c r="Q61" s="961">
        <f>L53</f>
        <v>0</v>
      </c>
      <c r="R61" s="962"/>
    </row>
    <row r="62" s="632" customFormat="1" ht="20.25" spans="1:18">
      <c r="A62" s="1548"/>
      <c r="B62" s="706"/>
      <c r="C62" s="706"/>
      <c r="K62" s="907"/>
      <c r="O62" s="931" t="s">
        <v>2040</v>
      </c>
      <c r="P62" s="926" t="s">
        <v>2066</v>
      </c>
      <c r="Q62" s="960">
        <f ca="1">L59</f>
        <v>0</v>
      </c>
      <c r="R62" s="962" t="s">
        <v>2067</v>
      </c>
    </row>
    <row r="63" s="632" customFormat="1" ht="20.25" spans="1:18">
      <c r="A63" s="1548"/>
      <c r="B63" s="706"/>
      <c r="C63" s="706"/>
      <c r="I63" s="953" t="s">
        <v>2068</v>
      </c>
      <c r="J63" s="954" t="s">
        <v>2069</v>
      </c>
      <c r="K63" s="954" t="s">
        <v>2070</v>
      </c>
      <c r="L63" s="954" t="s">
        <v>2071</v>
      </c>
      <c r="M63" s="955" t="s">
        <v>2072</v>
      </c>
      <c r="O63" s="931" t="s">
        <v>2043</v>
      </c>
      <c r="P63" s="926" t="s">
        <v>2073</v>
      </c>
      <c r="Q63" s="960">
        <f ca="1">L60</f>
        <v>0</v>
      </c>
      <c r="R63" s="962" t="s">
        <v>2074</v>
      </c>
    </row>
    <row r="64" s="632" customFormat="1" ht="15.75" spans="1:18">
      <c r="A64" s="1548"/>
      <c r="B64" s="706"/>
      <c r="C64" s="706"/>
      <c r="I64" s="953" t="s">
        <v>2075</v>
      </c>
      <c r="J64" s="954">
        <v>70</v>
      </c>
      <c r="K64" s="954">
        <v>50</v>
      </c>
      <c r="L64" s="954">
        <v>80</v>
      </c>
      <c r="M64" s="956">
        <v>0.02</v>
      </c>
      <c r="O64" s="925" t="s">
        <v>2046</v>
      </c>
      <c r="P64" s="926" t="s">
        <v>2047</v>
      </c>
      <c r="Q64" s="960" t="e">
        <f ca="1">Q58+Q59</f>
        <v>#DIV/0!</v>
      </c>
      <c r="R64" s="962" t="s">
        <v>2048</v>
      </c>
    </row>
    <row r="65" s="632" customFormat="1" ht="16.5" spans="1:18">
      <c r="A65" s="1548"/>
      <c r="B65" s="706"/>
      <c r="C65" s="706"/>
      <c r="I65" s="953" t="s">
        <v>2076</v>
      </c>
      <c r="J65" s="954">
        <v>50</v>
      </c>
      <c r="K65" s="954">
        <v>35</v>
      </c>
      <c r="L65" s="954">
        <v>60</v>
      </c>
      <c r="M65" s="904">
        <v>0</v>
      </c>
      <c r="O65" s="944" t="s">
        <v>2077</v>
      </c>
      <c r="P65" s="913"/>
      <c r="Q65" s="918"/>
      <c r="R65" s="913"/>
    </row>
    <row r="66" s="632" customFormat="1" ht="15.75" spans="1:18">
      <c r="A66" s="1548"/>
      <c r="B66" s="706"/>
      <c r="C66" s="706"/>
      <c r="I66" s="953" t="s">
        <v>2078</v>
      </c>
      <c r="J66" s="954">
        <v>40</v>
      </c>
      <c r="K66" s="954">
        <v>30</v>
      </c>
      <c r="L66" s="954">
        <v>50</v>
      </c>
      <c r="M66" s="956">
        <v>0.02</v>
      </c>
      <c r="O66" s="919" t="s">
        <v>1318</v>
      </c>
      <c r="P66" s="920" t="s">
        <v>2018</v>
      </c>
      <c r="Q66" s="959" t="s">
        <v>2019</v>
      </c>
      <c r="R66" s="920" t="s">
        <v>2020</v>
      </c>
    </row>
    <row r="67" s="632" customFormat="1" ht="15.75" spans="1:18">
      <c r="A67" s="1548"/>
      <c r="B67" s="706"/>
      <c r="C67" s="706"/>
      <c r="K67" s="907"/>
      <c r="O67" s="925" t="s">
        <v>2023</v>
      </c>
      <c r="P67" s="926" t="s">
        <v>2024</v>
      </c>
      <c r="Q67" s="960">
        <f ca="1">C41+J31</f>
        <v>0</v>
      </c>
      <c r="R67" s="926" t="s">
        <v>2025</v>
      </c>
    </row>
    <row r="68" s="632" customFormat="1" ht="20.25" spans="1:18">
      <c r="A68" s="1548"/>
      <c r="B68" s="706"/>
      <c r="C68" s="706"/>
      <c r="K68" s="907"/>
      <c r="O68" s="925" t="s">
        <v>2028</v>
      </c>
      <c r="P68" s="926" t="s">
        <v>2058</v>
      </c>
      <c r="Q68" s="960" t="e">
        <f ca="1">L61</f>
        <v>#DIV/0!</v>
      </c>
      <c r="R68" s="962" t="s">
        <v>2059</v>
      </c>
    </row>
    <row r="69" s="632" customFormat="1" ht="24" spans="1:18">
      <c r="A69" s="1548"/>
      <c r="B69" s="706"/>
      <c r="C69" s="706"/>
      <c r="K69" s="907"/>
      <c r="O69" s="931" t="s">
        <v>2033</v>
      </c>
      <c r="P69" s="926" t="s">
        <v>2062</v>
      </c>
      <c r="Q69" s="967">
        <f ca="1">L52</f>
        <v>0</v>
      </c>
      <c r="R69" s="968" t="s">
        <v>2079</v>
      </c>
    </row>
    <row r="70" s="632" customFormat="1" ht="20.25" spans="1:18">
      <c r="A70" s="1548"/>
      <c r="B70" s="706"/>
      <c r="C70" s="706"/>
      <c r="K70" s="907"/>
      <c r="O70" s="931" t="s">
        <v>2037</v>
      </c>
      <c r="P70" s="966" t="s">
        <v>2080</v>
      </c>
      <c r="Q70" s="960">
        <f ca="1">ROUND(Q71-Q72*Q73,0)</f>
        <v>0</v>
      </c>
      <c r="R70" s="962"/>
    </row>
    <row r="71" s="632" customFormat="1" ht="15.75" spans="1:18">
      <c r="A71" s="1548"/>
      <c r="B71" s="706"/>
      <c r="C71" s="706"/>
      <c r="K71" s="907"/>
      <c r="O71" s="931" t="s">
        <v>2081</v>
      </c>
      <c r="P71" s="966" t="s">
        <v>2082</v>
      </c>
      <c r="Q71" s="960">
        <f ca="1">C42</f>
        <v>0</v>
      </c>
      <c r="R71" s="926" t="s">
        <v>2025</v>
      </c>
    </row>
    <row r="72" s="632" customFormat="1" ht="15.75" spans="1:18">
      <c r="A72" s="1548"/>
      <c r="B72" s="706"/>
      <c r="C72" s="706"/>
      <c r="K72" s="907"/>
      <c r="O72" s="931" t="s">
        <v>2083</v>
      </c>
      <c r="P72" s="966" t="s">
        <v>2084</v>
      </c>
      <c r="Q72" s="960">
        <f ca="1">C15</f>
        <v>0</v>
      </c>
      <c r="R72" s="926" t="s">
        <v>2025</v>
      </c>
    </row>
    <row r="73" s="632" customFormat="1" ht="15.75" spans="1:18">
      <c r="A73" s="1548"/>
      <c r="B73" s="706"/>
      <c r="C73" s="706"/>
      <c r="K73" s="907"/>
      <c r="O73" s="931" t="s">
        <v>2085</v>
      </c>
      <c r="P73" s="966" t="s">
        <v>2086</v>
      </c>
      <c r="Q73" s="961">
        <f ca="1">F43</f>
        <v>0</v>
      </c>
      <c r="R73" s="962"/>
    </row>
    <row r="74" s="632" customFormat="1" ht="15.75" spans="1:18">
      <c r="A74" s="1548"/>
      <c r="B74" s="706"/>
      <c r="C74" s="706"/>
      <c r="K74" s="907"/>
      <c r="O74" s="931" t="s">
        <v>2040</v>
      </c>
      <c r="P74" s="926" t="s">
        <v>2065</v>
      </c>
      <c r="Q74" s="961">
        <f>L53</f>
        <v>0</v>
      </c>
      <c r="R74" s="962"/>
    </row>
    <row r="75" s="632" customFormat="1" ht="20.25" spans="1:18">
      <c r="A75" s="1548"/>
      <c r="B75" s="706"/>
      <c r="C75" s="706"/>
      <c r="K75" s="907"/>
      <c r="O75" s="931" t="s">
        <v>2043</v>
      </c>
      <c r="P75" s="926" t="s">
        <v>2066</v>
      </c>
      <c r="Q75" s="960">
        <f ca="1">L59</f>
        <v>0</v>
      </c>
      <c r="R75" s="962" t="s">
        <v>2067</v>
      </c>
    </row>
    <row r="76" s="632" customFormat="1" ht="20.25" spans="1:18">
      <c r="A76" s="1548"/>
      <c r="B76" s="706"/>
      <c r="C76" s="706"/>
      <c r="K76" s="907"/>
      <c r="O76" s="931" t="s">
        <v>2087</v>
      </c>
      <c r="P76" s="926" t="s">
        <v>2073</v>
      </c>
      <c r="Q76" s="960">
        <f ca="1">L60</f>
        <v>0</v>
      </c>
      <c r="R76" s="962" t="s">
        <v>2074</v>
      </c>
    </row>
    <row r="77" s="632" customFormat="1" ht="15.75" spans="1:18">
      <c r="A77" s="1548"/>
      <c r="B77" s="706"/>
      <c r="C77" s="706"/>
      <c r="K77" s="907"/>
      <c r="O77" s="925" t="s">
        <v>2046</v>
      </c>
      <c r="P77" s="926" t="s">
        <v>2047</v>
      </c>
      <c r="Q77" s="960" t="e">
        <f ca="1">Q67+Q68</f>
        <v>#DIV/0!</v>
      </c>
      <c r="R77" s="962" t="s">
        <v>2048</v>
      </c>
    </row>
    <row r="78" s="632" customFormat="1" spans="1:11">
      <c r="A78" s="1548"/>
      <c r="B78" s="706"/>
      <c r="C78" s="706"/>
      <c r="K78" s="907"/>
    </row>
    <row r="79" s="632" customFormat="1" spans="1:11">
      <c r="A79" s="1548"/>
      <c r="B79" s="706"/>
      <c r="C79" s="706"/>
      <c r="K79" s="907"/>
    </row>
    <row r="80" s="632" customFormat="1" spans="1:11">
      <c r="A80" s="1548"/>
      <c r="B80" s="706"/>
      <c r="C80" s="706"/>
      <c r="K80" s="907"/>
    </row>
    <row r="81" s="632" customFormat="1" spans="1:11">
      <c r="A81" s="1548"/>
      <c r="B81" s="706"/>
      <c r="C81" s="706"/>
      <c r="K81" s="907"/>
    </row>
    <row r="82" s="632" customFormat="1" spans="1:11">
      <c r="A82" s="1548"/>
      <c r="B82" s="706"/>
      <c r="C82" s="706"/>
      <c r="K82" s="907"/>
    </row>
    <row r="83" s="632" customFormat="1" spans="1:11">
      <c r="A83" s="1548"/>
      <c r="B83" s="706"/>
      <c r="C83" s="706"/>
      <c r="K83" s="907"/>
    </row>
    <row r="84" s="632" customFormat="1" spans="1:11">
      <c r="A84" s="1548"/>
      <c r="B84" s="706"/>
      <c r="C84" s="706"/>
      <c r="K84" s="907"/>
    </row>
    <row r="85" s="632" customFormat="1" spans="1:11">
      <c r="A85" s="1548"/>
      <c r="B85" s="706"/>
      <c r="C85" s="706"/>
      <c r="K85" s="907"/>
    </row>
    <row r="86" s="632" customFormat="1" spans="1:11">
      <c r="A86" s="1548"/>
      <c r="B86" s="706"/>
      <c r="C86" s="706"/>
      <c r="K86" s="907"/>
    </row>
    <row r="87" s="632" customFormat="1" spans="1:11">
      <c r="A87" s="1548"/>
      <c r="B87" s="706"/>
      <c r="C87" s="706"/>
      <c r="K87" s="907"/>
    </row>
    <row r="88" s="632" customFormat="1" spans="1:11">
      <c r="A88" s="1548"/>
      <c r="B88" s="706"/>
      <c r="C88" s="706"/>
      <c r="K88" s="907"/>
    </row>
    <row r="89" s="632" customFormat="1" spans="1:11">
      <c r="A89" s="1548"/>
      <c r="B89" s="706"/>
      <c r="C89" s="706"/>
      <c r="K89" s="907"/>
    </row>
    <row r="90" s="632" customFormat="1" spans="1:11">
      <c r="A90" s="1548"/>
      <c r="B90" s="706"/>
      <c r="C90" s="706"/>
      <c r="K90" s="907"/>
    </row>
    <row r="91" s="632" customFormat="1" spans="1:11">
      <c r="A91" s="1548"/>
      <c r="B91" s="706"/>
      <c r="C91" s="706"/>
      <c r="K91" s="907"/>
    </row>
    <row r="92" s="632" customFormat="1" spans="1:11">
      <c r="A92" s="1548"/>
      <c r="B92" s="706"/>
      <c r="C92" s="706"/>
      <c r="K92" s="907"/>
    </row>
    <row r="93" s="632" customFormat="1" spans="1:11">
      <c r="A93" s="1548"/>
      <c r="B93" s="706"/>
      <c r="C93" s="706"/>
      <c r="K93" s="907"/>
    </row>
    <row r="94" s="632" customFormat="1" spans="1:11">
      <c r="A94" s="1548"/>
      <c r="B94" s="706"/>
      <c r="C94" s="706"/>
      <c r="K94" s="907"/>
    </row>
  </sheetData>
  <sheetProtection password="CEE9" sheet="1" formatCells="0" formatColumns="0" formatRows="0" objects="1" scenarios="1"/>
  <mergeCells count="4">
    <mergeCell ref="K54:L54"/>
    <mergeCell ref="B8:B11"/>
    <mergeCell ref="I8:I11"/>
    <mergeCell ref="I36:I37"/>
  </mergeCells>
  <conditionalFormatting sqref="C13">
    <cfRule type="expression" dxfId="13" priority="6">
      <formula>$F$12="自定义"</formula>
    </cfRule>
  </conditionalFormatting>
  <conditionalFormatting sqref="J13">
    <cfRule type="expression" dxfId="13" priority="5">
      <formula>$M$10="自定义"</formula>
    </cfRule>
  </conditionalFormatting>
  <conditionalFormatting sqref="I56">
    <cfRule type="expression" dxfId="14" priority="4">
      <formula>$J$51&gt;$L$48</formula>
    </cfRule>
  </conditionalFormatting>
  <conditionalFormatting sqref="K56">
    <cfRule type="expression" dxfId="14" priority="3">
      <formula>$L$48&gt;$J$51</formula>
    </cfRule>
  </conditionalFormatting>
  <conditionalFormatting sqref="I61">
    <cfRule type="expression" dxfId="14" priority="2">
      <formula>$J$51&gt;$L$48</formula>
    </cfRule>
  </conditionalFormatting>
  <conditionalFormatting sqref="K61">
    <cfRule type="expression" dxfId="14"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判定</formula1>
    </dataValidation>
  </dataValidations>
  <pageMargins left="0.7" right="0.7" top="0.75" bottom="0.75" header="0.3" footer="0.3"/>
  <pageSetup paperSize="9" scale="78"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B2:P30"/>
  <sheetViews>
    <sheetView topLeftCell="A184" workbookViewId="0">
      <selection activeCell="B210" sqref="B210"/>
    </sheetView>
  </sheetViews>
  <sheetFormatPr defaultColWidth="9" defaultRowHeight="13.5"/>
  <cols>
    <col min="14" max="14" width="12.6333333333333"/>
    <col min="15" max="15" width="14" customWidth="1"/>
    <col min="16" max="16" width="12.6333333333333"/>
  </cols>
  <sheetData>
    <row r="2" spans="2:2">
      <c r="B2" s="1138"/>
    </row>
    <row r="9" spans="14:16">
      <c r="N9">
        <f>ROUND(2000/86,2)</f>
        <v>23.26</v>
      </c>
      <c r="O9" t="s">
        <v>2088</v>
      </c>
      <c r="P9">
        <f>N9/30</f>
        <v>0.775333333333333</v>
      </c>
    </row>
    <row r="10" spans="14:16">
      <c r="N10">
        <f>ROUND(2166/89,2)</f>
        <v>24.34</v>
      </c>
      <c r="O10" t="s">
        <v>2088</v>
      </c>
      <c r="P10">
        <f>N10/30</f>
        <v>0.811333333333333</v>
      </c>
    </row>
    <row r="11" spans="14:16">
      <c r="N11">
        <f>ROUND(1500/68,2)</f>
        <v>22.06</v>
      </c>
      <c r="O11" t="s">
        <v>2088</v>
      </c>
      <c r="P11">
        <f>N11/30</f>
        <v>0.735333333333333</v>
      </c>
    </row>
    <row r="16" spans="15:15">
      <c r="O16">
        <f>17000/365/70</f>
        <v>0.665362035225049</v>
      </c>
    </row>
    <row r="17" spans="15:15">
      <c r="O17">
        <f>22000/365/90</f>
        <v>0.669710806697108</v>
      </c>
    </row>
    <row r="30" spans="14:14">
      <c r="N30" t="s">
        <v>378</v>
      </c>
    </row>
  </sheetData>
  <pageMargins left="0.75" right="0.75" top="1" bottom="1" header="0.5" footer="0.5"/>
  <headerFooter/>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E490"/>
  <sheetViews>
    <sheetView view="pageBreakPreview" zoomScale="80" zoomScaleNormal="80" workbookViewId="0">
      <selection activeCell="C29" sqref="C29"/>
    </sheetView>
  </sheetViews>
  <sheetFormatPr defaultColWidth="6.63333333333333" defaultRowHeight="12.75"/>
  <cols>
    <col min="1" max="1" width="9.725" style="980" customWidth="1"/>
    <col min="2" max="2" width="25.725" style="981" customWidth="1"/>
    <col min="3" max="3" width="10.3666666666667" style="982" customWidth="1"/>
    <col min="4" max="4" width="12" style="981" customWidth="1"/>
    <col min="5" max="5" width="9.45" style="980" customWidth="1"/>
    <col min="6" max="6" width="10.0916666666667" style="981" customWidth="1"/>
    <col min="7" max="7" width="11.6333333333333"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983" t="s">
        <v>1055</v>
      </c>
      <c r="B1" s="984" t="s">
        <v>550</v>
      </c>
      <c r="C1" s="985"/>
      <c r="D1" s="985"/>
      <c r="E1" s="985"/>
      <c r="F1" s="985"/>
      <c r="G1" s="985"/>
      <c r="H1" s="985"/>
      <c r="I1" s="985"/>
      <c r="J1" s="985"/>
      <c r="K1" s="991">
        <f>MATCH(B1,'数据-取费表'!A6:A16,0)+5</f>
        <v>8</v>
      </c>
      <c r="L1" s="72"/>
      <c r="M1" s="72"/>
      <c r="N1" s="72"/>
      <c r="O1" s="72"/>
      <c r="P1" s="72"/>
      <c r="Q1" s="72"/>
      <c r="R1" s="72"/>
      <c r="S1" s="72"/>
      <c r="T1" s="72"/>
      <c r="U1" s="72"/>
      <c r="V1" s="72"/>
      <c r="W1" s="72"/>
      <c r="X1" s="72"/>
      <c r="Y1" s="72"/>
      <c r="Z1" s="72"/>
    </row>
    <row r="2" s="157" customFormat="1" ht="18" customHeight="1" spans="1:26">
      <c r="A2" s="986" t="s">
        <v>919</v>
      </c>
      <c r="B2" s="987" t="e">
        <f ca="1">C36</f>
        <v>#VALUE!</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988" t="s">
        <v>920</v>
      </c>
      <c r="B3" s="989" t="e">
        <f ca="1">ROUND(B2*10000/IF(B1="",'数据-汇总表'!E3,INDIRECT("'数据-取费表'!K"&amp;$K$1)),0)</f>
        <v>#VALUE!</v>
      </c>
      <c r="C3" s="985"/>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t="e">
        <f ca="1">ROUND(B2*10000/IF(B1="",'数据-汇总表'!D3,INDIRECT("'数据-取费表'!R"&amp;$K$1)),0)</f>
        <v>#VALUE!</v>
      </c>
      <c r="C4" s="990"/>
      <c r="D4" s="991"/>
      <c r="E4" s="991"/>
      <c r="F4" s="991"/>
      <c r="G4" s="991"/>
      <c r="H4" s="991"/>
      <c r="I4" s="991"/>
      <c r="J4" s="991"/>
      <c r="K4" s="991"/>
      <c r="L4" s="72"/>
      <c r="M4" s="72"/>
      <c r="N4" s="72"/>
      <c r="O4" s="72"/>
      <c r="P4" s="72"/>
      <c r="Q4" s="72"/>
      <c r="R4" s="72"/>
      <c r="S4" s="72"/>
      <c r="T4" s="72"/>
      <c r="U4" s="72"/>
      <c r="V4" s="72"/>
      <c r="W4" s="72"/>
      <c r="X4" s="72"/>
      <c r="Y4" s="72"/>
      <c r="Z4" s="72"/>
    </row>
    <row r="5" s="157" customFormat="1" ht="18" customHeight="1" spans="1:26">
      <c r="A5" s="650"/>
      <c r="B5" s="651" t="e">
        <f ca="1">ROUND(B2/(IF(B1="",'数据-汇总表'!D3,INDIRECT("'数据-取费表'!R"&amp;$K$1))/666.67),0)</f>
        <v>#VALUE!</v>
      </c>
      <c r="C5" s="652" t="s">
        <v>922</v>
      </c>
      <c r="D5" s="991"/>
      <c r="E5" s="991"/>
      <c r="F5" s="991"/>
      <c r="G5" s="991"/>
      <c r="H5" s="991"/>
      <c r="I5" s="991"/>
      <c r="J5" s="991"/>
      <c r="K5" s="991"/>
      <c r="L5" s="72"/>
      <c r="M5" s="72"/>
      <c r="N5" s="72"/>
      <c r="O5" s="72"/>
      <c r="P5" s="72"/>
      <c r="Q5" s="72"/>
      <c r="R5" s="72"/>
      <c r="S5" s="72"/>
      <c r="T5" s="72"/>
      <c r="U5" s="72"/>
      <c r="V5" s="72"/>
      <c r="W5" s="72"/>
      <c r="X5" s="72"/>
      <c r="Y5" s="72"/>
      <c r="Z5" s="72"/>
    </row>
    <row r="6" s="969" customFormat="1" ht="16.5" customHeight="1" spans="1:26">
      <c r="A6" s="992" t="s">
        <v>2089</v>
      </c>
      <c r="B6" s="993"/>
      <c r="C6" s="994">
        <f ca="1">SUM(C10:K10)</f>
        <v>46459.65</v>
      </c>
      <c r="D6" s="993"/>
      <c r="E6" s="993"/>
      <c r="F6" s="993"/>
      <c r="G6" s="993"/>
      <c r="H6" s="993"/>
      <c r="I6" s="993"/>
      <c r="J6" s="993"/>
      <c r="K6" s="1077"/>
      <c r="L6" s="1078"/>
      <c r="M6" s="1078"/>
      <c r="N6" s="1078"/>
      <c r="O6" s="1078"/>
      <c r="P6" s="1078"/>
      <c r="Q6" s="1078"/>
      <c r="R6" s="1078"/>
      <c r="S6" s="1078"/>
      <c r="T6" s="1078"/>
      <c r="U6" s="1078"/>
      <c r="V6" s="1078"/>
      <c r="W6" s="1078"/>
      <c r="X6" s="1078"/>
      <c r="Y6" s="1078"/>
      <c r="Z6" s="1078"/>
    </row>
    <row r="7" s="970" customFormat="1" ht="15" spans="1:31">
      <c r="A7" s="995" t="s">
        <v>1058</v>
      </c>
      <c r="B7" s="996" t="s">
        <v>1059</v>
      </c>
      <c r="C7" s="1497" t="s">
        <v>550</v>
      </c>
      <c r="D7" s="997"/>
      <c r="E7" s="997"/>
      <c r="F7" s="997"/>
      <c r="G7" s="997"/>
      <c r="H7" s="997"/>
      <c r="I7" s="997"/>
      <c r="J7" s="997"/>
      <c r="K7" s="1079"/>
      <c r="AA7" s="1097"/>
      <c r="AB7" s="1097"/>
      <c r="AC7" s="1097"/>
      <c r="AD7" s="1097"/>
      <c r="AE7" s="1097"/>
    </row>
    <row r="8" s="971" customFormat="1" ht="13.5" customHeight="1" spans="1:31">
      <c r="A8" s="998" t="s">
        <v>855</v>
      </c>
      <c r="B8" s="785" t="s">
        <v>1060</v>
      </c>
      <c r="C8" s="999"/>
      <c r="D8" s="999"/>
      <c r="E8" s="999"/>
      <c r="F8" s="999"/>
      <c r="G8" s="999"/>
      <c r="H8" s="999"/>
      <c r="I8" s="999"/>
      <c r="J8" s="999"/>
      <c r="K8" s="1080"/>
      <c r="AA8" s="981"/>
      <c r="AB8" s="981"/>
      <c r="AC8" s="981"/>
      <c r="AD8" s="981"/>
      <c r="AE8" s="981"/>
    </row>
    <row r="9" s="971" customFormat="1" ht="13.5" customHeight="1" spans="1:31">
      <c r="A9" s="998" t="s">
        <v>857</v>
      </c>
      <c r="B9" s="785" t="s">
        <v>470</v>
      </c>
      <c r="C9" s="1001">
        <f>'数据-汇总表'!F20</f>
        <v>56088.63</v>
      </c>
      <c r="D9" s="1001"/>
      <c r="E9" s="1001">
        <f>SUMIF('数据-汇总表'!$C19:$C33,'剩余法-待开发-住宅自持'!E7,'数据-汇总表'!$E19:$E33)</f>
        <v>0</v>
      </c>
      <c r="F9" s="1001">
        <f>SUMIF('数据-汇总表'!$C19:$C33,'剩余法-待开发-住宅自持'!F7,'数据-汇总表'!$E19:$E33)</f>
        <v>0</v>
      </c>
      <c r="G9" s="1001">
        <f>SUMIF('数据-汇总表'!$C19:$C33,'剩余法-待开发-住宅自持'!G7,'数据-汇总表'!$E19:$E33)</f>
        <v>0</v>
      </c>
      <c r="H9" s="1001">
        <f>SUMIF('数据-汇总表'!$C19:$C33,'剩余法-待开发-住宅自持'!H7,'数据-汇总表'!$E19:$E33)</f>
        <v>0</v>
      </c>
      <c r="I9" s="1001">
        <f>SUMIF('数据-汇总表'!$C19:$C33,'剩余法-待开发-住宅自持'!I7,'数据-汇总表'!$E19:$E33)</f>
        <v>0</v>
      </c>
      <c r="J9" s="1001">
        <f>SUMIF('数据-汇总表'!$C19:$C33,'剩余法-待开发-住宅自持'!J7,'数据-汇总表'!$E19:$E33)</f>
        <v>0</v>
      </c>
      <c r="K9" s="1081">
        <f>SUMIF('数据-汇总表'!$C19:$C33,'剩余法-待开发-住宅自持'!K7,'数据-汇总表'!$E19:$E33)</f>
        <v>0</v>
      </c>
      <c r="AA9" s="981"/>
      <c r="AB9" s="981"/>
      <c r="AC9" s="981"/>
      <c r="AD9" s="981"/>
      <c r="AE9" s="981"/>
    </row>
    <row r="10" s="971" customFormat="1" ht="13.5" customHeight="1" spans="1:31">
      <c r="A10" s="1002" t="s">
        <v>1061</v>
      </c>
      <c r="B10" s="1003" t="s">
        <v>1062</v>
      </c>
      <c r="C10" s="1004">
        <f ca="1">'不动产收益法--住宅自持'!B2</f>
        <v>46459.65</v>
      </c>
      <c r="D10" s="1004"/>
      <c r="E10" s="1004"/>
      <c r="F10" s="1005"/>
      <c r="G10" s="1005"/>
      <c r="H10" s="1005"/>
      <c r="I10" s="1005"/>
      <c r="J10" s="1005"/>
      <c r="K10" s="1082"/>
      <c r="AA10" s="981"/>
      <c r="AB10" s="981"/>
      <c r="AC10" s="981"/>
      <c r="AD10" s="981"/>
      <c r="AE10" s="981"/>
    </row>
    <row r="11" s="969" customFormat="1" ht="16.5" customHeight="1" spans="1:26">
      <c r="A11" s="1006" t="s">
        <v>2090</v>
      </c>
      <c r="B11" s="993"/>
      <c r="C11" s="993"/>
      <c r="D11" s="993"/>
      <c r="E11" s="993"/>
      <c r="F11" s="993"/>
      <c r="G11" s="993"/>
      <c r="H11" s="993"/>
      <c r="I11" s="993"/>
      <c r="J11" s="993"/>
      <c r="K11" s="1077"/>
      <c r="L11" s="1078"/>
      <c r="M11" s="1078"/>
      <c r="N11" s="1078"/>
      <c r="O11" s="1078"/>
      <c r="P11" s="1078"/>
      <c r="Q11" s="1078"/>
      <c r="R11" s="1078"/>
      <c r="S11" s="1078"/>
      <c r="T11" s="1078"/>
      <c r="U11" s="1078"/>
      <c r="V11" s="1078"/>
      <c r="W11" s="1078"/>
      <c r="X11" s="1078"/>
      <c r="Y11" s="1078"/>
      <c r="Z11" s="1078"/>
    </row>
    <row r="12" s="837" customFormat="1" ht="13.5" customHeight="1" spans="1:26">
      <c r="A12" s="1007" t="s">
        <v>1058</v>
      </c>
      <c r="B12" s="1008" t="s">
        <v>1059</v>
      </c>
      <c r="C12" s="1009" t="s">
        <v>1064</v>
      </c>
      <c r="D12" s="1010" t="s">
        <v>1065</v>
      </c>
      <c r="E12" s="1010" t="s">
        <v>1066</v>
      </c>
      <c r="F12" s="1010" t="s">
        <v>1067</v>
      </c>
      <c r="G12" s="1008"/>
      <c r="H12" s="1011"/>
      <c r="I12" s="1011"/>
      <c r="J12" s="1011"/>
      <c r="K12" s="1083"/>
      <c r="L12" s="1084"/>
      <c r="M12" s="1084"/>
      <c r="N12" s="1084"/>
      <c r="O12" s="1084"/>
      <c r="P12" s="1084"/>
      <c r="Q12" s="1084"/>
      <c r="R12" s="1084"/>
      <c r="S12" s="1084"/>
      <c r="T12" s="1084"/>
      <c r="U12" s="1084"/>
      <c r="V12" s="1084"/>
      <c r="W12" s="1084"/>
      <c r="X12" s="1084"/>
      <c r="Y12" s="1084"/>
      <c r="Z12" s="1084"/>
    </row>
    <row r="13" s="972" customFormat="1" ht="13.5" customHeight="1" spans="1:26">
      <c r="A13" s="1012" t="s">
        <v>879</v>
      </c>
      <c r="B13" s="1013" t="s">
        <v>1068</v>
      </c>
      <c r="C13" s="1014">
        <f ca="1">IF(B1="",'数据-取费表'!P16,INDIRECT("'数据-取费表'!p"&amp;$K$1)+INDIRECT("'数据-取费表'!t"&amp;$K$1))</f>
        <v>22435.46</v>
      </c>
      <c r="D13" s="1015"/>
      <c r="E13" s="80"/>
      <c r="F13" s="1016"/>
      <c r="G13" s="1008"/>
      <c r="H13" s="1011"/>
      <c r="I13" s="1011"/>
      <c r="J13" s="1011"/>
      <c r="K13" s="1083"/>
      <c r="L13" s="973"/>
      <c r="M13" s="973"/>
      <c r="N13" s="973"/>
      <c r="O13" s="973"/>
      <c r="P13" s="973"/>
      <c r="Q13" s="973"/>
      <c r="R13" s="973"/>
      <c r="S13" s="973"/>
      <c r="T13" s="973"/>
      <c r="U13" s="973"/>
      <c r="V13" s="973"/>
      <c r="W13" s="973"/>
      <c r="X13" s="973"/>
      <c r="Y13" s="973"/>
      <c r="Z13" s="973"/>
    </row>
    <row r="14" s="972" customFormat="1" ht="13.5" customHeight="1" spans="1:26">
      <c r="A14" s="1012" t="s">
        <v>1069</v>
      </c>
      <c r="B14" s="1013" t="s">
        <v>1070</v>
      </c>
      <c r="C14" s="125">
        <f ca="1">ROUND(C13*F14,0)</f>
        <v>673</v>
      </c>
      <c r="D14" s="1015"/>
      <c r="E14" s="80"/>
      <c r="F14" s="1017">
        <f>'数据-取费表'!B33</f>
        <v>0.03</v>
      </c>
      <c r="G14" s="1008" t="s">
        <v>1071</v>
      </c>
      <c r="H14" s="1011"/>
      <c r="I14" s="1011"/>
      <c r="J14" s="1011"/>
      <c r="K14" s="1083"/>
      <c r="L14" s="973"/>
      <c r="M14" s="973"/>
      <c r="N14" s="973"/>
      <c r="O14" s="973"/>
      <c r="P14" s="973"/>
      <c r="Q14" s="973"/>
      <c r="R14" s="973"/>
      <c r="S14" s="973"/>
      <c r="T14" s="973"/>
      <c r="U14" s="973"/>
      <c r="V14" s="973"/>
      <c r="W14" s="973"/>
      <c r="X14" s="973"/>
      <c r="Y14" s="973"/>
      <c r="Z14" s="973"/>
    </row>
    <row r="15" s="972" customFormat="1" ht="13.5" customHeight="1" spans="1:26">
      <c r="A15" s="1012" t="s">
        <v>1072</v>
      </c>
      <c r="B15" s="1013" t="s">
        <v>1073</v>
      </c>
      <c r="C15" s="125">
        <f ca="1">ROUND(IF(B1="",SUMIF('数据-取费表'!C:C,"住宅",'数据-取费表'!P:P)*F15,IF(INDIRECT("'数据-取费表'!c"&amp;$K$1)="住宅",INDIRECT("'数据-取费表'!P"&amp;$K$1)*F15,0)),0)</f>
        <v>1122</v>
      </c>
      <c r="D15" s="1015"/>
      <c r="E15" s="80"/>
      <c r="F15" s="1017">
        <f>'数据-取费表'!B34</f>
        <v>0.05</v>
      </c>
      <c r="G15" s="1008" t="s">
        <v>2091</v>
      </c>
      <c r="H15" s="1011"/>
      <c r="I15" s="1011"/>
      <c r="J15" s="1011"/>
      <c r="K15" s="1083"/>
      <c r="L15" s="973"/>
      <c r="M15" s="973"/>
      <c r="N15" s="973"/>
      <c r="O15" s="973"/>
      <c r="P15" s="973"/>
      <c r="Q15" s="973"/>
      <c r="R15" s="973"/>
      <c r="S15" s="973"/>
      <c r="T15" s="973"/>
      <c r="U15" s="973"/>
      <c r="V15" s="973"/>
      <c r="W15" s="973"/>
      <c r="X15" s="973"/>
      <c r="Y15" s="973"/>
      <c r="Z15" s="973"/>
    </row>
    <row r="16" s="973" customFormat="1" ht="13.5" customHeight="1" spans="1:31">
      <c r="A16" s="1012" t="s">
        <v>1074</v>
      </c>
      <c r="B16" s="1013" t="s">
        <v>1075</v>
      </c>
      <c r="C16" s="125" t="e">
        <f ca="1" t="shared" ref="C16:C22" si="0">ROUND(D16*E16/10000,0)</f>
        <v>#VALUE!</v>
      </c>
      <c r="D16" s="1015" t="e">
        <f ca="1">IF(B1="",'数据-汇总表'!E3,INDIRECT("'数据-取费表'!K"&amp;$K$1)+INDIRECT("'数据-取费表'!S"&amp;$K$1))</f>
        <v>#VALUE!</v>
      </c>
      <c r="E16" s="125">
        <f>'数据-取费表'!B35</f>
        <v>305</v>
      </c>
      <c r="F16" s="1017"/>
      <c r="G16" s="1008"/>
      <c r="H16" s="1011"/>
      <c r="I16" s="1011"/>
      <c r="J16" s="1011"/>
      <c r="K16" s="1083"/>
      <c r="AA16" s="972"/>
      <c r="AB16" s="972"/>
      <c r="AC16" s="972"/>
      <c r="AD16" s="972"/>
      <c r="AE16" s="972"/>
    </row>
    <row r="17" s="972" customFormat="1" ht="13.5" customHeight="1" spans="1:26">
      <c r="A17" s="1012" t="s">
        <v>1076</v>
      </c>
      <c r="B17" s="1013" t="s">
        <v>1077</v>
      </c>
      <c r="C17" s="1018">
        <f ca="1">ROUND(C13*F17,0)</f>
        <v>337</v>
      </c>
      <c r="D17" s="1019"/>
      <c r="E17" s="1018"/>
      <c r="F17" s="1020">
        <f>'数据-取费表'!B36</f>
        <v>0.015</v>
      </c>
      <c r="G17" s="785" t="s">
        <v>2092</v>
      </c>
      <c r="H17" s="1021"/>
      <c r="I17" s="1021"/>
      <c r="J17" s="1021"/>
      <c r="K17" s="1085"/>
      <c r="L17" s="973"/>
      <c r="M17" s="973"/>
      <c r="N17" s="973"/>
      <c r="O17" s="973"/>
      <c r="P17" s="973"/>
      <c r="Q17" s="973"/>
      <c r="R17" s="973"/>
      <c r="S17" s="973"/>
      <c r="T17" s="973"/>
      <c r="U17" s="973"/>
      <c r="V17" s="973"/>
      <c r="W17" s="973"/>
      <c r="X17" s="973"/>
      <c r="Y17" s="973"/>
      <c r="Z17" s="973"/>
    </row>
    <row r="18" s="972" customFormat="1" ht="13.5" customHeight="1" spans="1:26">
      <c r="A18" s="1022" t="s">
        <v>1078</v>
      </c>
      <c r="B18" s="1023" t="s">
        <v>1079</v>
      </c>
      <c r="C18" s="1024" t="e">
        <f ca="1">SUM(C13:C17)</f>
        <v>#VALUE!</v>
      </c>
      <c r="D18" s="1025"/>
      <c r="E18" s="1026"/>
      <c r="F18" s="1026"/>
      <c r="G18" s="1027" t="s">
        <v>2093</v>
      </c>
      <c r="H18" s="1028"/>
      <c r="I18" s="1028"/>
      <c r="J18" s="1028"/>
      <c r="K18" s="1086"/>
      <c r="L18" s="973"/>
      <c r="M18" s="973"/>
      <c r="N18" s="973"/>
      <c r="O18" s="973"/>
      <c r="P18" s="973"/>
      <c r="Q18" s="973"/>
      <c r="R18" s="973"/>
      <c r="S18" s="973"/>
      <c r="T18" s="973"/>
      <c r="U18" s="973"/>
      <c r="V18" s="973"/>
      <c r="W18" s="973"/>
      <c r="X18" s="973"/>
      <c r="Y18" s="973"/>
      <c r="Z18" s="973"/>
    </row>
    <row r="19" s="972" customFormat="1" ht="13.5" customHeight="1" spans="1:26">
      <c r="A19" s="1022" t="s">
        <v>1081</v>
      </c>
      <c r="B19" s="1023" t="s">
        <v>2094</v>
      </c>
      <c r="C19" s="1010" t="e">
        <f ca="1" t="shared" si="0"/>
        <v>#VALUE!</v>
      </c>
      <c r="D19" s="1029" t="e">
        <f ca="1">D16</f>
        <v>#VALUE!</v>
      </c>
      <c r="E19" s="1010">
        <f>'数据-取费表'!B32</f>
        <v>0</v>
      </c>
      <c r="F19" s="1026"/>
      <c r="G19" s="1008" t="s">
        <v>2095</v>
      </c>
      <c r="H19" s="1011"/>
      <c r="I19" s="1028"/>
      <c r="J19" s="1028"/>
      <c r="K19" s="1086"/>
      <c r="L19" s="973"/>
      <c r="M19" s="973"/>
      <c r="N19" s="973"/>
      <c r="O19" s="973"/>
      <c r="P19" s="973"/>
      <c r="Q19" s="973"/>
      <c r="R19" s="973"/>
      <c r="S19" s="973"/>
      <c r="T19" s="973"/>
      <c r="U19" s="973"/>
      <c r="V19" s="973"/>
      <c r="W19" s="973"/>
      <c r="X19" s="973"/>
      <c r="Y19" s="973"/>
      <c r="Z19" s="973"/>
    </row>
    <row r="20" s="972" customFormat="1" ht="13.5" customHeight="1" spans="1:26">
      <c r="A20" s="1022" t="s">
        <v>1084</v>
      </c>
      <c r="B20" s="1023" t="s">
        <v>2096</v>
      </c>
      <c r="C20" s="1010" t="e">
        <f ca="1">C21+C22-IF(B1="",'数据-取费表'!B29,IF(G20="已全部缴纳",C21+C22,H20))</f>
        <v>#VALUE!</v>
      </c>
      <c r="D20" s="1029"/>
      <c r="E20" s="1010"/>
      <c r="F20" s="1030"/>
      <c r="G20" s="1031" t="s">
        <v>2097</v>
      </c>
      <c r="H20" s="1032"/>
      <c r="I20" s="1087" t="s">
        <v>1112</v>
      </c>
      <c r="J20" s="1028"/>
      <c r="K20" s="1086"/>
      <c r="L20" s="973"/>
      <c r="M20" s="973"/>
      <c r="N20" s="973"/>
      <c r="O20" s="973"/>
      <c r="P20" s="973"/>
      <c r="Q20" s="973"/>
      <c r="R20" s="973"/>
      <c r="S20" s="973"/>
      <c r="T20" s="973"/>
      <c r="U20" s="973"/>
      <c r="V20" s="973"/>
      <c r="W20" s="973"/>
      <c r="X20" s="973"/>
      <c r="Y20" s="973"/>
      <c r="Z20" s="973"/>
    </row>
    <row r="21" s="972" customFormat="1" ht="13.5" customHeight="1" spans="1:26">
      <c r="A21" s="1012" t="s">
        <v>879</v>
      </c>
      <c r="B21" s="1013" t="s">
        <v>2098</v>
      </c>
      <c r="C21" s="125">
        <f ca="1" t="shared" si="0"/>
        <v>1010</v>
      </c>
      <c r="D21" s="1015">
        <f ca="1">IF(B1="",'数据-汇总表'!E5,IF(INDIRECT("'数据-取费表'!c"&amp;$K$1)="住宅",INDIRECT("'数据-取费表'!k"&amp;$K$1),0))</f>
        <v>56088.64</v>
      </c>
      <c r="E21" s="125">
        <f>'数据-取费表'!B27</f>
        <v>180</v>
      </c>
      <c r="F21" s="1017"/>
      <c r="G21" s="857"/>
      <c r="H21" s="1033"/>
      <c r="I21" s="1033"/>
      <c r="J21" s="1033"/>
      <c r="K21" s="1088"/>
      <c r="L21" s="973"/>
      <c r="M21" s="973"/>
      <c r="N21" s="973"/>
      <c r="O21" s="973"/>
      <c r="P21" s="973"/>
      <c r="Q21" s="973"/>
      <c r="R21" s="973"/>
      <c r="S21" s="973"/>
      <c r="T21" s="973"/>
      <c r="U21" s="973"/>
      <c r="V21" s="973"/>
      <c r="W21" s="973"/>
      <c r="X21" s="973"/>
      <c r="Y21" s="973"/>
      <c r="Z21" s="973"/>
    </row>
    <row r="22" s="972" customFormat="1" ht="13.5" customHeight="1" spans="1:26">
      <c r="A22" s="1012" t="s">
        <v>883</v>
      </c>
      <c r="B22" s="1013" t="s">
        <v>2099</v>
      </c>
      <c r="C22" s="125" t="e">
        <f ca="1" t="shared" si="0"/>
        <v>#VALUE!</v>
      </c>
      <c r="D22" s="1015" t="e">
        <f ca="1">IF(B1="",'数据-汇总表'!E6,IF(INDIRECT("'数据-取费表'!c"&amp;$K$1)="住宅",INDIRECT("'数据-取费表'!s"&amp;$K$1),INDIRECT("'数据-取费表'!k"&amp;$K$1)+INDIRECT("'数据-取费表'!s"&amp;$K$1)))</f>
        <v>#VALUE!</v>
      </c>
      <c r="E22" s="125">
        <f>'数据-取费表'!B28</f>
        <v>160</v>
      </c>
      <c r="F22" s="1017"/>
      <c r="G22" s="857"/>
      <c r="H22" s="1033"/>
      <c r="I22" s="1033"/>
      <c r="J22" s="1033"/>
      <c r="K22" s="1088"/>
      <c r="L22" s="973"/>
      <c r="M22" s="973"/>
      <c r="N22" s="973"/>
      <c r="O22" s="973"/>
      <c r="P22" s="973"/>
      <c r="Q22" s="973"/>
      <c r="R22" s="973"/>
      <c r="S22" s="973"/>
      <c r="T22" s="973"/>
      <c r="U22" s="973"/>
      <c r="V22" s="973"/>
      <c r="W22" s="973"/>
      <c r="X22" s="973"/>
      <c r="Y22" s="973"/>
      <c r="Z22" s="973"/>
    </row>
    <row r="23" s="972" customFormat="1" ht="13.5" customHeight="1" spans="1:26">
      <c r="A23" s="1022" t="s">
        <v>2100</v>
      </c>
      <c r="B23" s="1034" t="s">
        <v>2101</v>
      </c>
      <c r="C23" s="1024" t="e">
        <f ca="1">ROUND((C18+C19+C20)*F23,0)</f>
        <v>#VALUE!</v>
      </c>
      <c r="D23" s="1026"/>
      <c r="E23" s="1026"/>
      <c r="F23" s="1035">
        <f>'数据-取费表'!B37</f>
        <v>0.03</v>
      </c>
      <c r="G23" s="1008" t="s">
        <v>2102</v>
      </c>
      <c r="H23" s="1011"/>
      <c r="I23" s="1011"/>
      <c r="J23" s="1011"/>
      <c r="K23" s="1083"/>
      <c r="L23" s="1089"/>
      <c r="M23" s="1089"/>
      <c r="N23" s="1089"/>
      <c r="O23" s="973"/>
      <c r="P23" s="973"/>
      <c r="Q23" s="973"/>
      <c r="R23" s="973"/>
      <c r="S23" s="973"/>
      <c r="T23" s="973"/>
      <c r="U23" s="973"/>
      <c r="V23" s="973"/>
      <c r="W23" s="973"/>
      <c r="X23" s="973"/>
      <c r="Y23" s="973"/>
      <c r="Z23" s="973"/>
    </row>
    <row r="24" s="972" customFormat="1" ht="13.5" customHeight="1" spans="1:26">
      <c r="A24" s="1022" t="s">
        <v>1089</v>
      </c>
      <c r="B24" s="1034" t="s">
        <v>2103</v>
      </c>
      <c r="C24" s="1024">
        <f ca="1">ROUND(C6*F24,0)</f>
        <v>1394</v>
      </c>
      <c r="D24" s="1019"/>
      <c r="E24" s="1036"/>
      <c r="F24" s="1498">
        <f>'剩余法-待开发-工业'!F24</f>
        <v>0.03</v>
      </c>
      <c r="G24" s="1037" t="s">
        <v>2104</v>
      </c>
      <c r="H24" s="1021"/>
      <c r="I24" s="1021"/>
      <c r="J24" s="1021"/>
      <c r="K24" s="1085"/>
      <c r="L24" s="1089"/>
      <c r="M24" s="1089"/>
      <c r="N24" s="1089"/>
      <c r="O24" s="973"/>
      <c r="P24" s="973"/>
      <c r="Q24" s="973"/>
      <c r="R24" s="973"/>
      <c r="S24" s="973"/>
      <c r="T24" s="973"/>
      <c r="U24" s="973"/>
      <c r="V24" s="973"/>
      <c r="W24" s="973"/>
      <c r="X24" s="973"/>
      <c r="Y24" s="973"/>
      <c r="Z24" s="973"/>
    </row>
    <row r="25" s="974" customFormat="1" ht="13.5" customHeight="1" spans="1:26">
      <c r="A25" s="1022" t="s">
        <v>1091</v>
      </c>
      <c r="B25" s="1034" t="s">
        <v>2105</v>
      </c>
      <c r="C25" s="1038">
        <f>F25</f>
        <v>0.0305</v>
      </c>
      <c r="D25" s="1039" t="s">
        <v>2106</v>
      </c>
      <c r="E25" s="1040"/>
      <c r="F25" s="1035">
        <f>'数据-取费表'!B48+'数据-取费表'!B49</f>
        <v>0.0305</v>
      </c>
      <c r="G25" s="1041" t="s">
        <v>2107</v>
      </c>
      <c r="H25" s="1011"/>
      <c r="I25" s="1011"/>
      <c r="J25" s="1011"/>
      <c r="K25" s="1083"/>
      <c r="L25" s="1090"/>
      <c r="M25" s="1090"/>
      <c r="N25" s="1090"/>
      <c r="O25" s="1090"/>
      <c r="P25" s="1090"/>
      <c r="Q25" s="1090"/>
      <c r="R25" s="1090"/>
      <c r="S25" s="1090"/>
      <c r="T25" s="1090"/>
      <c r="U25" s="1090"/>
      <c r="V25" s="1090"/>
      <c r="W25" s="1090"/>
      <c r="X25" s="1090"/>
      <c r="Y25" s="1090"/>
      <c r="Z25" s="1090"/>
    </row>
    <row r="26" s="975" customFormat="1" ht="13.5" customHeight="1" spans="1:26">
      <c r="A26" s="1022" t="s">
        <v>2108</v>
      </c>
      <c r="B26" s="1042" t="s">
        <v>2109</v>
      </c>
      <c r="C26" s="1043" t="e">
        <f ca="1">C28</f>
        <v>#VALUE!</v>
      </c>
      <c r="D26" s="1044">
        <f ca="1">C27</f>
        <v>0.1002</v>
      </c>
      <c r="E26" s="1040" t="s">
        <v>2106</v>
      </c>
      <c r="F26" s="1045">
        <f ca="1">'数据-取费表'!B40</f>
        <v>0.0475</v>
      </c>
      <c r="G26" s="790" t="str">
        <f>IF('数据-取费表'!B22&lt;=1,"单利计息。","复利计息。")&amp;"后续开发成本、管理费用及销售费用产生的利息。"</f>
        <v>复利计息。后续开发成本、管理费用及销售费用产生的利息。</v>
      </c>
      <c r="H26" s="1028"/>
      <c r="I26" s="1028"/>
      <c r="J26" s="1028"/>
      <c r="K26" s="1086"/>
      <c r="L26" s="1089"/>
      <c r="M26" s="1089"/>
      <c r="N26" s="1089"/>
      <c r="O26" s="1089"/>
      <c r="P26" s="1089"/>
      <c r="Q26" s="1089"/>
      <c r="R26" s="1089"/>
      <c r="S26" s="1089"/>
      <c r="T26" s="1089"/>
      <c r="U26" s="1089"/>
      <c r="V26" s="1089"/>
      <c r="W26" s="1089"/>
      <c r="X26" s="1089"/>
      <c r="Y26" s="1089"/>
      <c r="Z26" s="1089"/>
    </row>
    <row r="27" s="976" customFormat="1" ht="13.5" customHeight="1" spans="1:26">
      <c r="A27" s="998" t="s">
        <v>879</v>
      </c>
      <c r="B27" s="1046" t="s">
        <v>2110</v>
      </c>
      <c r="C27" s="1047">
        <f ca="1">ROUND(IF('数据-取费表'!B22&lt;=1,(1+C25)*F26*'数据-取费表'!B24,(1+C25)*(POWER((1+F26),'数据-取费表'!B24)-1)),4)</f>
        <v>0.1002</v>
      </c>
      <c r="D27" s="1048"/>
      <c r="E27" s="1036"/>
      <c r="F27" s="1049"/>
      <c r="G27" s="790" t="str">
        <f>IF('数据-取费表'!B22&lt;=1,"（1+取得税费率/(1+5%)）×年利率×建设期","（1+取得税费率）/(1+5%)×((1+年利率)^建设期-1)")</f>
        <v>（1+取得税费率）/(1+5%)×((1+年利率)^建设期-1)</v>
      </c>
      <c r="H27" s="1021"/>
      <c r="I27" s="1021"/>
      <c r="J27" s="1021"/>
      <c r="K27" s="1085"/>
      <c r="L27" s="1091"/>
      <c r="M27" s="1091"/>
      <c r="N27" s="1091"/>
      <c r="O27" s="1091"/>
      <c r="P27" s="1091"/>
      <c r="Q27" s="1091"/>
      <c r="R27" s="1091"/>
      <c r="S27" s="1091"/>
      <c r="T27" s="1091"/>
      <c r="U27" s="1091"/>
      <c r="V27" s="1091"/>
      <c r="W27" s="1091"/>
      <c r="X27" s="1091"/>
      <c r="Y27" s="1091"/>
      <c r="Z27" s="1091"/>
    </row>
    <row r="28" s="976" customFormat="1" ht="13.5" customHeight="1" spans="1:26">
      <c r="A28" s="998" t="s">
        <v>883</v>
      </c>
      <c r="B28" s="1046" t="s">
        <v>2111</v>
      </c>
      <c r="C28" s="1050" t="e">
        <f ca="1">ROUND(IF('数据-取费表'!B22&lt;=1,(C18+C19+C20+C23+C24)*F26*'数据-取费表'!B24/2,(C18+C19+C20+C23+C24)*(POWER((1+F26),'数据-取费表'!B24/2)-1)),0)</f>
        <v>#VALUE!</v>
      </c>
      <c r="D28" s="1048"/>
      <c r="E28" s="1036"/>
      <c r="F28" s="1049"/>
      <c r="G28" s="790" t="str">
        <f>IF('数据-取费表'!B22&lt;=1,"（1）-（4）项×年利率×建设期÷2","（1）-（4）项×((1+年利率)^(建设期÷2)-1)")</f>
        <v>（1）-（4）项×((1+年利率)^(建设期÷2)-1)</v>
      </c>
      <c r="H28" s="1021"/>
      <c r="I28" s="1021"/>
      <c r="J28" s="1021"/>
      <c r="K28" s="1085"/>
      <c r="L28" s="1091"/>
      <c r="M28" s="1091"/>
      <c r="N28" s="1091"/>
      <c r="O28" s="1091"/>
      <c r="P28" s="1091"/>
      <c r="Q28" s="1091"/>
      <c r="R28" s="1091"/>
      <c r="S28" s="1091"/>
      <c r="T28" s="1091"/>
      <c r="U28" s="1091"/>
      <c r="V28" s="1091"/>
      <c r="W28" s="1091"/>
      <c r="X28" s="1091"/>
      <c r="Y28" s="1091"/>
      <c r="Z28" s="1091"/>
    </row>
    <row r="29" s="976" customFormat="1" ht="13.5" customHeight="1" spans="1:26">
      <c r="A29" s="1051" t="s">
        <v>2112</v>
      </c>
      <c r="B29" s="1023" t="s">
        <v>2113</v>
      </c>
      <c r="C29" s="1024">
        <f ca="1">ROUND(C6*F29/(1+'数据-取费表'!C42),0)</f>
        <v>2478</v>
      </c>
      <c r="D29" s="1026"/>
      <c r="E29" s="1026"/>
      <c r="F29" s="1052">
        <f>'数据-取费表'!B41</f>
        <v>0.056</v>
      </c>
      <c r="G29" s="1037" t="s">
        <v>2114</v>
      </c>
      <c r="H29" s="1011"/>
      <c r="I29" s="1011"/>
      <c r="J29" s="1011"/>
      <c r="K29" s="1083"/>
      <c r="L29" s="1091"/>
      <c r="M29" s="1091"/>
      <c r="N29" s="1091"/>
      <c r="O29" s="1091"/>
      <c r="P29" s="1091"/>
      <c r="Q29" s="1091"/>
      <c r="R29" s="1091"/>
      <c r="S29" s="1091"/>
      <c r="T29" s="1091"/>
      <c r="U29" s="1091"/>
      <c r="V29" s="1091"/>
      <c r="W29" s="1091"/>
      <c r="X29" s="1091"/>
      <c r="Y29" s="1091"/>
      <c r="Z29" s="1091"/>
    </row>
    <row r="30" s="977" customFormat="1" ht="13.5" customHeight="1" spans="1:26">
      <c r="A30" s="1053" t="s">
        <v>2115</v>
      </c>
      <c r="B30" s="1054" t="s">
        <v>2116</v>
      </c>
      <c r="C30" s="1043" t="e">
        <f ca="1">C31</f>
        <v>#VALUE!</v>
      </c>
      <c r="D30" s="1055">
        <f ca="1">C32</f>
        <v>0.1307</v>
      </c>
      <c r="E30" s="1040" t="s">
        <v>2106</v>
      </c>
      <c r="F30" s="1045"/>
      <c r="G30" s="1041" t="s">
        <v>2117</v>
      </c>
      <c r="H30" s="1011"/>
      <c r="I30" s="1011"/>
      <c r="J30" s="1011"/>
      <c r="K30" s="1083"/>
      <c r="L30" s="1092"/>
      <c r="M30" s="1092"/>
      <c r="N30" s="1092"/>
      <c r="O30" s="1092"/>
      <c r="P30" s="1092"/>
      <c r="Q30" s="1092"/>
      <c r="R30" s="1092"/>
      <c r="S30" s="1092"/>
      <c r="T30" s="1092"/>
      <c r="U30" s="1092"/>
      <c r="V30" s="1092"/>
      <c r="W30" s="1092"/>
      <c r="X30" s="1092"/>
      <c r="Y30" s="1092"/>
      <c r="Z30" s="1092"/>
    </row>
    <row r="31" s="976" customFormat="1" ht="13.5" customHeight="1" spans="1:26">
      <c r="A31" s="998" t="s">
        <v>879</v>
      </c>
      <c r="B31" s="1046"/>
      <c r="C31" s="1014" t="e">
        <f ca="1">C18+C19+C20+C23+C24+C26+C29</f>
        <v>#VALUE!</v>
      </c>
      <c r="D31" s="1048"/>
      <c r="E31" s="1036"/>
      <c r="F31" s="1049"/>
      <c r="G31" s="785"/>
      <c r="H31" s="1021"/>
      <c r="I31" s="1021"/>
      <c r="J31" s="1021"/>
      <c r="K31" s="1085"/>
      <c r="L31" s="1091"/>
      <c r="M31" s="1091"/>
      <c r="N31" s="1091"/>
      <c r="O31" s="1091"/>
      <c r="P31" s="1091"/>
      <c r="Q31" s="1091"/>
      <c r="R31" s="1091"/>
      <c r="S31" s="1091"/>
      <c r="T31" s="1091"/>
      <c r="U31" s="1091"/>
      <c r="V31" s="1091"/>
      <c r="W31" s="1091"/>
      <c r="X31" s="1091"/>
      <c r="Y31" s="1091"/>
      <c r="Z31" s="1091"/>
    </row>
    <row r="32" s="976" customFormat="1" ht="13.5" customHeight="1" spans="1:26">
      <c r="A32" s="998" t="s">
        <v>883</v>
      </c>
      <c r="B32" s="1046"/>
      <c r="C32" s="125">
        <f ca="1">ROUND(C25+D26,4)</f>
        <v>0.1307</v>
      </c>
      <c r="D32" s="1048"/>
      <c r="E32" s="1036"/>
      <c r="F32" s="1049"/>
      <c r="G32" s="785"/>
      <c r="H32" s="1021"/>
      <c r="I32" s="1021"/>
      <c r="J32" s="1021"/>
      <c r="K32" s="1085"/>
      <c r="L32" s="1091"/>
      <c r="M32" s="1091"/>
      <c r="N32" s="1091"/>
      <c r="O32" s="1091"/>
      <c r="P32" s="1091"/>
      <c r="Q32" s="1091"/>
      <c r="R32" s="1091"/>
      <c r="S32" s="1091"/>
      <c r="T32" s="1091"/>
      <c r="U32" s="1091"/>
      <c r="V32" s="1091"/>
      <c r="W32" s="1091"/>
      <c r="X32" s="1091"/>
      <c r="Y32" s="1091"/>
      <c r="Z32" s="1091"/>
    </row>
    <row r="33" s="978" customFormat="1" ht="13.5" customHeight="1" spans="1:26">
      <c r="A33" s="1056" t="s">
        <v>2118</v>
      </c>
      <c r="B33" s="1057" t="s">
        <v>1087</v>
      </c>
      <c r="C33" s="1058" t="e">
        <f ca="1">C35</f>
        <v>#VALUE!</v>
      </c>
      <c r="D33" s="1044">
        <f ca="1">C34</f>
        <v>0.0309</v>
      </c>
      <c r="E33" s="1040" t="s">
        <v>2106</v>
      </c>
      <c r="F33" s="1059">
        <f ca="1">IF(B1="",'数据-取费表'!Q16,INDIRECT("'数据-取费表'!q"&amp;$K$1))</f>
        <v>0.03</v>
      </c>
      <c r="G33" s="1027"/>
      <c r="H33" s="1028"/>
      <c r="I33" s="1028"/>
      <c r="J33" s="1028"/>
      <c r="K33" s="1086"/>
      <c r="L33" s="1093"/>
      <c r="M33" s="1093"/>
      <c r="N33" s="1093"/>
      <c r="O33" s="1093"/>
      <c r="P33" s="1093"/>
      <c r="Q33" s="1093"/>
      <c r="R33" s="1093"/>
      <c r="S33" s="1093"/>
      <c r="T33" s="1093"/>
      <c r="U33" s="1093"/>
      <c r="V33" s="1093"/>
      <c r="W33" s="1093"/>
      <c r="X33" s="1093"/>
      <c r="Y33" s="1093"/>
      <c r="Z33" s="1093"/>
    </row>
    <row r="34" s="979" customFormat="1" ht="13.5" customHeight="1" spans="1:26">
      <c r="A34" s="1060" t="s">
        <v>879</v>
      </c>
      <c r="B34" s="1061" t="s">
        <v>2119</v>
      </c>
      <c r="C34" s="1048">
        <f ca="1">ROUND((1+C25)*F33,4)</f>
        <v>0.0309</v>
      </c>
      <c r="D34" s="1048"/>
      <c r="E34" s="1036"/>
      <c r="F34" s="1062"/>
      <c r="G34" s="785" t="s">
        <v>2120</v>
      </c>
      <c r="H34" s="1021"/>
      <c r="I34" s="1021"/>
      <c r="J34" s="1021"/>
      <c r="K34" s="1085"/>
      <c r="L34" s="1094"/>
      <c r="M34" s="1094"/>
      <c r="N34" s="1094"/>
      <c r="O34" s="1094"/>
      <c r="P34" s="1094"/>
      <c r="Q34" s="1094"/>
      <c r="R34" s="1094"/>
      <c r="S34" s="1094"/>
      <c r="T34" s="1094"/>
      <c r="U34" s="1094"/>
      <c r="V34" s="1094"/>
      <c r="W34" s="1094"/>
      <c r="X34" s="1094"/>
      <c r="Y34" s="1094"/>
      <c r="Z34" s="1094"/>
    </row>
    <row r="35" s="979" customFormat="1" ht="13.5" customHeight="1" spans="1:26">
      <c r="A35" s="1063" t="s">
        <v>883</v>
      </c>
      <c r="B35" s="1064" t="s">
        <v>2121</v>
      </c>
      <c r="C35" s="1065" t="e">
        <f ca="1">ROUND((C18+C19+C20+C23+C24)*F33,0)</f>
        <v>#VALUE!</v>
      </c>
      <c r="D35" s="1066"/>
      <c r="E35" s="1067"/>
      <c r="F35" s="1068"/>
      <c r="G35" s="1003"/>
      <c r="H35" s="1069"/>
      <c r="I35" s="1069"/>
      <c r="J35" s="1069"/>
      <c r="K35" s="1095"/>
      <c r="L35" s="1094"/>
      <c r="M35" s="1094"/>
      <c r="N35" s="1094"/>
      <c r="O35" s="1094"/>
      <c r="P35" s="1094"/>
      <c r="Q35" s="1094"/>
      <c r="R35" s="1094"/>
      <c r="S35" s="1094"/>
      <c r="T35" s="1094"/>
      <c r="U35" s="1094"/>
      <c r="V35" s="1094"/>
      <c r="W35" s="1094"/>
      <c r="X35" s="1094"/>
      <c r="Y35" s="1094"/>
      <c r="Z35" s="1094"/>
    </row>
    <row r="36" s="837" customFormat="1" ht="13.5" customHeight="1" spans="1:26">
      <c r="A36" s="350" t="s">
        <v>2122</v>
      </c>
      <c r="B36" s="1070"/>
      <c r="C36" s="1071" t="e">
        <f ca="1">ROUND((C6-C30-C33)/(1+D30+D33),0)</f>
        <v>#VALUE!</v>
      </c>
      <c r="D36" s="1070"/>
      <c r="E36" s="1070"/>
      <c r="F36" s="1070"/>
      <c r="G36" s="1072" t="s">
        <v>2123</v>
      </c>
      <c r="H36" s="1070"/>
      <c r="I36" s="1070"/>
      <c r="J36" s="1070"/>
      <c r="K36" s="1096"/>
      <c r="L36" s="1084"/>
      <c r="M36" s="1084"/>
      <c r="N36" s="1084"/>
      <c r="O36" s="1084"/>
      <c r="P36" s="1084"/>
      <c r="Q36" s="1084"/>
      <c r="R36" s="1084"/>
      <c r="S36" s="1084"/>
      <c r="T36" s="1084"/>
      <c r="U36" s="1084"/>
      <c r="V36" s="1084"/>
      <c r="W36" s="1084"/>
      <c r="X36" s="1084"/>
      <c r="Y36" s="1084"/>
      <c r="Z36" s="1084"/>
    </row>
    <row r="37" s="971" customFormat="1" spans="1:5">
      <c r="A37" s="1073"/>
      <c r="C37" s="1074"/>
      <c r="E37" s="1073"/>
    </row>
    <row r="38" s="971" customFormat="1" customHeight="1" spans="1:5">
      <c r="A38" s="1073"/>
      <c r="C38" s="1074"/>
      <c r="E38" s="1073"/>
    </row>
    <row r="39" s="971" customFormat="1" spans="1:5">
      <c r="A39" s="1073"/>
      <c r="B39" s="1075"/>
      <c r="C39" s="1074"/>
      <c r="E39" s="1073"/>
    </row>
    <row r="40" s="971" customFormat="1" spans="1:5">
      <c r="A40" s="1073"/>
      <c r="C40" s="1074"/>
      <c r="E40" s="1073"/>
    </row>
    <row r="41" s="971" customFormat="1" spans="1:5">
      <c r="A41" s="1073"/>
      <c r="C41" s="1074"/>
      <c r="E41" s="1073"/>
    </row>
    <row r="42" s="971" customFormat="1" spans="1:5">
      <c r="A42" s="1073"/>
      <c r="C42" s="1074"/>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row r="213" s="971" customFormat="1" spans="1:5">
      <c r="A213" s="1073"/>
      <c r="C213" s="1074"/>
      <c r="E213" s="1073"/>
    </row>
    <row r="214" s="971" customFormat="1" spans="1:5">
      <c r="A214" s="1073"/>
      <c r="C214" s="1074"/>
      <c r="E214" s="1073"/>
    </row>
    <row r="215" s="971" customFormat="1" spans="1:5">
      <c r="A215" s="1073"/>
      <c r="C215" s="1074"/>
      <c r="E215" s="1073"/>
    </row>
    <row r="216" s="971" customFormat="1" spans="1:5">
      <c r="A216" s="1073"/>
      <c r="C216" s="1074"/>
      <c r="E216" s="1073"/>
    </row>
    <row r="217" s="971" customFormat="1" spans="1:5">
      <c r="A217" s="1073"/>
      <c r="C217" s="1074"/>
      <c r="E217" s="1073"/>
    </row>
    <row r="218" s="971" customFormat="1" spans="1:5">
      <c r="A218" s="1073"/>
      <c r="C218" s="1074"/>
      <c r="E218" s="1073"/>
    </row>
    <row r="219" s="971" customFormat="1" spans="1:5">
      <c r="A219" s="1073"/>
      <c r="C219" s="1074"/>
      <c r="E219" s="1073"/>
    </row>
    <row r="220" s="971" customFormat="1" spans="1:5">
      <c r="A220" s="1073"/>
      <c r="C220" s="1074"/>
      <c r="E220" s="1073"/>
    </row>
    <row r="221" s="971" customFormat="1" spans="1:5">
      <c r="A221" s="1073"/>
      <c r="C221" s="1074"/>
      <c r="E221" s="1073"/>
    </row>
    <row r="222" s="971" customFormat="1" spans="1:5">
      <c r="A222" s="1073"/>
      <c r="C222" s="1074"/>
      <c r="E222" s="1073"/>
    </row>
    <row r="223" s="971" customFormat="1" spans="1:5">
      <c r="A223" s="1073"/>
      <c r="C223" s="1074"/>
      <c r="E223" s="1073"/>
    </row>
    <row r="224" s="971" customFormat="1" spans="1:5">
      <c r="A224" s="1073"/>
      <c r="C224" s="1074"/>
      <c r="E224" s="1073"/>
    </row>
    <row r="225" s="971" customFormat="1" spans="1:5">
      <c r="A225" s="1073"/>
      <c r="C225" s="1074"/>
      <c r="E225" s="1073"/>
    </row>
    <row r="226" s="971" customFormat="1" spans="1:5">
      <c r="A226" s="1073"/>
      <c r="C226" s="1074"/>
      <c r="E226" s="1073"/>
    </row>
    <row r="227" s="971" customFormat="1" spans="1:5">
      <c r="A227" s="1073"/>
      <c r="C227" s="1074"/>
      <c r="E227" s="1073"/>
    </row>
    <row r="228" s="971" customFormat="1" spans="1:5">
      <c r="A228" s="1073"/>
      <c r="C228" s="1074"/>
      <c r="E228" s="1073"/>
    </row>
    <row r="229" s="971" customFormat="1" spans="1:5">
      <c r="A229" s="1073"/>
      <c r="C229" s="1074"/>
      <c r="E229" s="1073"/>
    </row>
    <row r="230" s="971" customFormat="1" spans="1:5">
      <c r="A230" s="1073"/>
      <c r="C230" s="1074"/>
      <c r="E230" s="1073"/>
    </row>
    <row r="231" s="971" customFormat="1" spans="1:5">
      <c r="A231" s="1073"/>
      <c r="C231" s="1074"/>
      <c r="E231" s="1073"/>
    </row>
    <row r="232" s="971" customFormat="1" spans="1:5">
      <c r="A232" s="1073"/>
      <c r="C232" s="1074"/>
      <c r="E232" s="1073"/>
    </row>
    <row r="233" s="971" customFormat="1" spans="1:5">
      <c r="A233" s="1073"/>
      <c r="C233" s="1074"/>
      <c r="E233" s="1073"/>
    </row>
    <row r="234" s="971" customFormat="1" spans="1:5">
      <c r="A234" s="1073"/>
      <c r="C234" s="1074"/>
      <c r="E234" s="1073"/>
    </row>
    <row r="235" s="971" customFormat="1" spans="1:5">
      <c r="A235" s="1073"/>
      <c r="C235" s="1074"/>
      <c r="E235" s="1073"/>
    </row>
    <row r="236" s="971" customFormat="1" spans="1:5">
      <c r="A236" s="1073"/>
      <c r="C236" s="1074"/>
      <c r="E236" s="1073"/>
    </row>
    <row r="237" s="971" customFormat="1" spans="1:5">
      <c r="A237" s="1073"/>
      <c r="C237" s="1074"/>
      <c r="E237" s="1073"/>
    </row>
    <row r="238" s="971" customFormat="1" spans="1:5">
      <c r="A238" s="1073"/>
      <c r="C238" s="1074"/>
      <c r="E238" s="1073"/>
    </row>
    <row r="239" s="971" customFormat="1" spans="1:5">
      <c r="A239" s="1073"/>
      <c r="C239" s="1074"/>
      <c r="E239" s="1073"/>
    </row>
    <row r="240" s="971" customFormat="1" spans="1:5">
      <c r="A240" s="1073"/>
      <c r="C240" s="1074"/>
      <c r="E240" s="1073"/>
    </row>
    <row r="241" s="971" customFormat="1" spans="1:5">
      <c r="A241" s="1073"/>
      <c r="C241" s="1074"/>
      <c r="E241" s="1073"/>
    </row>
    <row r="242" s="971" customFormat="1" spans="1:5">
      <c r="A242" s="1073"/>
      <c r="C242" s="1074"/>
      <c r="E242" s="1073"/>
    </row>
    <row r="243" s="971" customFormat="1" spans="1:5">
      <c r="A243" s="1073"/>
      <c r="C243" s="1074"/>
      <c r="E243" s="1073"/>
    </row>
    <row r="244" s="971" customFormat="1" spans="1:5">
      <c r="A244" s="1073"/>
      <c r="C244" s="1074"/>
      <c r="E244" s="1073"/>
    </row>
    <row r="245" s="971" customFormat="1" spans="1:5">
      <c r="A245" s="1073"/>
      <c r="C245" s="1074"/>
      <c r="E245" s="1073"/>
    </row>
    <row r="246" s="971" customFormat="1" spans="1:5">
      <c r="A246" s="1073"/>
      <c r="C246" s="1074"/>
      <c r="E246" s="1073"/>
    </row>
    <row r="247" s="971" customFormat="1" spans="1:5">
      <c r="A247" s="1073"/>
      <c r="C247" s="1074"/>
      <c r="E247" s="1073"/>
    </row>
    <row r="248" s="971" customFormat="1" spans="1:5">
      <c r="A248" s="1073"/>
      <c r="C248" s="1074"/>
      <c r="E248" s="1073"/>
    </row>
    <row r="249" s="971" customFormat="1" spans="1:5">
      <c r="A249" s="1073"/>
      <c r="C249" s="1074"/>
      <c r="E249" s="1073"/>
    </row>
    <row r="250" s="971" customFormat="1" spans="1:5">
      <c r="A250" s="1073"/>
      <c r="C250" s="1074"/>
      <c r="E250" s="1073"/>
    </row>
    <row r="251" s="971" customFormat="1" spans="1:5">
      <c r="A251" s="1073"/>
      <c r="C251" s="1074"/>
      <c r="E251" s="1073"/>
    </row>
    <row r="252" s="971" customFormat="1" spans="1:5">
      <c r="A252" s="1073"/>
      <c r="C252" s="1074"/>
      <c r="E252" s="1073"/>
    </row>
    <row r="253" s="971" customFormat="1" spans="1:5">
      <c r="A253" s="1073"/>
      <c r="C253" s="1074"/>
      <c r="E253" s="1073"/>
    </row>
    <row r="254" s="971" customFormat="1" spans="1:5">
      <c r="A254" s="1073"/>
      <c r="C254" s="1074"/>
      <c r="E254" s="1073"/>
    </row>
    <row r="255" s="971" customFormat="1" spans="1:5">
      <c r="A255" s="1073"/>
      <c r="C255" s="1074"/>
      <c r="E255" s="1073"/>
    </row>
    <row r="256" s="971" customFormat="1" spans="1:5">
      <c r="A256" s="1073"/>
      <c r="C256" s="1074"/>
      <c r="E256" s="1073"/>
    </row>
    <row r="257" s="971" customFormat="1" spans="1:5">
      <c r="A257" s="1073"/>
      <c r="C257" s="1074"/>
      <c r="E257" s="1073"/>
    </row>
    <row r="258" s="971" customFormat="1" spans="1:5">
      <c r="A258" s="1073"/>
      <c r="C258" s="1074"/>
      <c r="E258" s="1073"/>
    </row>
    <row r="259" s="971" customFormat="1" spans="1:5">
      <c r="A259" s="1073"/>
      <c r="C259" s="1074"/>
      <c r="E259" s="1073"/>
    </row>
    <row r="260" s="971" customFormat="1" spans="1:5">
      <c r="A260" s="1073"/>
      <c r="C260" s="1074"/>
      <c r="E260" s="1073"/>
    </row>
    <row r="261" s="971" customFormat="1" spans="1:5">
      <c r="A261" s="1073"/>
      <c r="C261" s="1074"/>
      <c r="E261" s="1073"/>
    </row>
    <row r="262" s="971" customFormat="1" spans="1:5">
      <c r="A262" s="1073"/>
      <c r="C262" s="1074"/>
      <c r="E262" s="1073"/>
    </row>
    <row r="263" s="971" customFormat="1" spans="1:5">
      <c r="A263" s="1073"/>
      <c r="C263" s="1074"/>
      <c r="E263" s="1073"/>
    </row>
    <row r="264" s="971" customFormat="1" spans="1:5">
      <c r="A264" s="1073"/>
      <c r="C264" s="1074"/>
      <c r="E264" s="1073"/>
    </row>
    <row r="265" s="971" customFormat="1" spans="1:5">
      <c r="A265" s="1073"/>
      <c r="C265" s="1074"/>
      <c r="E265" s="1073"/>
    </row>
    <row r="266" s="971" customFormat="1" spans="1:5">
      <c r="A266" s="1073"/>
      <c r="C266" s="1074"/>
      <c r="E266" s="1073"/>
    </row>
    <row r="267" s="971" customFormat="1" spans="1:5">
      <c r="A267" s="1073"/>
      <c r="C267" s="1074"/>
      <c r="E267" s="1073"/>
    </row>
    <row r="268" s="971" customFormat="1" spans="1:5">
      <c r="A268" s="1073"/>
      <c r="C268" s="1074"/>
      <c r="E268" s="1073"/>
    </row>
    <row r="269" s="971" customFormat="1" spans="1:5">
      <c r="A269" s="1073"/>
      <c r="C269" s="1074"/>
      <c r="E269" s="1073"/>
    </row>
    <row r="270" s="971" customFormat="1" spans="1:5">
      <c r="A270" s="1073"/>
      <c r="C270" s="1074"/>
      <c r="E270" s="1073"/>
    </row>
    <row r="271" s="971" customFormat="1" spans="1:5">
      <c r="A271" s="1073"/>
      <c r="C271" s="1074"/>
      <c r="E271" s="1073"/>
    </row>
    <row r="272" s="971" customFormat="1" spans="1:5">
      <c r="A272" s="1073"/>
      <c r="C272" s="1074"/>
      <c r="E272" s="1073"/>
    </row>
    <row r="273" s="971" customFormat="1" spans="1:5">
      <c r="A273" s="1073"/>
      <c r="C273" s="1074"/>
      <c r="E273" s="1073"/>
    </row>
    <row r="274" s="971" customFormat="1" spans="1:5">
      <c r="A274" s="1073"/>
      <c r="C274" s="1074"/>
      <c r="E274" s="1073"/>
    </row>
    <row r="275" s="971" customFormat="1" spans="1:5">
      <c r="A275" s="1073"/>
      <c r="C275" s="1074"/>
      <c r="E275" s="1073"/>
    </row>
    <row r="276" s="971" customFormat="1" spans="1:5">
      <c r="A276" s="1073"/>
      <c r="C276" s="1074"/>
      <c r="E276" s="1073"/>
    </row>
    <row r="277" s="971" customFormat="1" spans="1:5">
      <c r="A277" s="1073"/>
      <c r="C277" s="1074"/>
      <c r="E277" s="1073"/>
    </row>
    <row r="278" s="971" customFormat="1" spans="1:5">
      <c r="A278" s="1073"/>
      <c r="C278" s="1074"/>
      <c r="E278" s="1073"/>
    </row>
    <row r="279" s="971" customFormat="1" spans="1:5">
      <c r="A279" s="1073"/>
      <c r="C279" s="1074"/>
      <c r="E279" s="1073"/>
    </row>
    <row r="280" s="971" customFormat="1" spans="1:5">
      <c r="A280" s="1073"/>
      <c r="C280" s="1074"/>
      <c r="E280" s="1073"/>
    </row>
    <row r="281" s="971" customFormat="1" spans="1:5">
      <c r="A281" s="1073"/>
      <c r="C281" s="1074"/>
      <c r="E281" s="1073"/>
    </row>
    <row r="282" s="971" customFormat="1" spans="1:5">
      <c r="A282" s="1073"/>
      <c r="C282" s="1074"/>
      <c r="E282" s="1073"/>
    </row>
    <row r="283" s="971" customFormat="1" spans="1:5">
      <c r="A283" s="1073"/>
      <c r="C283" s="1074"/>
      <c r="E283" s="1073"/>
    </row>
    <row r="284" s="971" customFormat="1" spans="1:5">
      <c r="A284" s="1073"/>
      <c r="C284" s="1074"/>
      <c r="E284" s="1073"/>
    </row>
    <row r="285" s="971" customFormat="1" spans="1:5">
      <c r="A285" s="1073"/>
      <c r="C285" s="1074"/>
      <c r="E285" s="1073"/>
    </row>
    <row r="286" s="971" customFormat="1" spans="1:5">
      <c r="A286" s="1073"/>
      <c r="C286" s="1074"/>
      <c r="E286" s="1073"/>
    </row>
    <row r="287" s="971" customFormat="1" spans="1:5">
      <c r="A287" s="1073"/>
      <c r="C287" s="1074"/>
      <c r="E287" s="1073"/>
    </row>
    <row r="288" s="971" customFormat="1" spans="1:5">
      <c r="A288" s="1073"/>
      <c r="C288" s="1074"/>
      <c r="E288" s="1073"/>
    </row>
    <row r="289" s="971" customFormat="1" spans="1:5">
      <c r="A289" s="1073"/>
      <c r="C289" s="1074"/>
      <c r="E289" s="1073"/>
    </row>
    <row r="290" s="971" customFormat="1" spans="1:5">
      <c r="A290" s="1073"/>
      <c r="C290" s="1074"/>
      <c r="E290" s="1073"/>
    </row>
    <row r="291" s="971" customFormat="1" spans="1:5">
      <c r="A291" s="1073"/>
      <c r="C291" s="1074"/>
      <c r="E291" s="1073"/>
    </row>
    <row r="292" s="971" customFormat="1" spans="1:5">
      <c r="A292" s="1073"/>
      <c r="C292" s="1074"/>
      <c r="E292" s="1073"/>
    </row>
    <row r="293" s="971" customFormat="1" spans="1:5">
      <c r="A293" s="1073"/>
      <c r="C293" s="1074"/>
      <c r="E293" s="1073"/>
    </row>
    <row r="294" s="971" customFormat="1" spans="1:5">
      <c r="A294" s="1073"/>
      <c r="C294" s="1074"/>
      <c r="E294" s="1073"/>
    </row>
    <row r="295" s="971" customFormat="1" spans="1:5">
      <c r="A295" s="1073"/>
      <c r="C295" s="1074"/>
      <c r="E295" s="1073"/>
    </row>
    <row r="296" s="971" customFormat="1" spans="1:5">
      <c r="A296" s="1073"/>
      <c r="C296" s="1074"/>
      <c r="E296" s="1073"/>
    </row>
    <row r="297" s="971" customFormat="1" spans="1:5">
      <c r="A297" s="1073"/>
      <c r="C297" s="1074"/>
      <c r="E297" s="1073"/>
    </row>
    <row r="298" s="971" customFormat="1" spans="1:5">
      <c r="A298" s="1073"/>
      <c r="C298" s="1074"/>
      <c r="E298" s="1073"/>
    </row>
    <row r="299" s="971" customFormat="1" spans="1:5">
      <c r="A299" s="1073"/>
      <c r="C299" s="1074"/>
      <c r="E299" s="1073"/>
    </row>
    <row r="300" s="971" customFormat="1" spans="1:5">
      <c r="A300" s="1073"/>
      <c r="C300" s="1074"/>
      <c r="E300" s="1073"/>
    </row>
    <row r="301" s="971" customFormat="1" spans="1:5">
      <c r="A301" s="1073"/>
      <c r="C301" s="1074"/>
      <c r="E301" s="1073"/>
    </row>
    <row r="302" s="971" customFormat="1" spans="1:5">
      <c r="A302" s="1073"/>
      <c r="C302" s="1074"/>
      <c r="E302" s="1073"/>
    </row>
    <row r="303" s="971" customFormat="1" spans="1:5">
      <c r="A303" s="1073"/>
      <c r="C303" s="1074"/>
      <c r="E303" s="1073"/>
    </row>
    <row r="304" s="971" customFormat="1" spans="1:5">
      <c r="A304" s="1073"/>
      <c r="C304" s="1074"/>
      <c r="E304" s="1073"/>
    </row>
    <row r="305" s="971" customFormat="1" spans="1:5">
      <c r="A305" s="1073"/>
      <c r="C305" s="1074"/>
      <c r="E305" s="1073"/>
    </row>
    <row r="306" s="971" customFormat="1" spans="1:5">
      <c r="A306" s="1073"/>
      <c r="C306" s="1074"/>
      <c r="E306" s="1073"/>
    </row>
    <row r="307" s="971" customFormat="1" spans="1:5">
      <c r="A307" s="1073"/>
      <c r="C307" s="1074"/>
      <c r="E307" s="1073"/>
    </row>
    <row r="308" s="971" customFormat="1" spans="1:5">
      <c r="A308" s="1073"/>
      <c r="C308" s="1074"/>
      <c r="E308" s="1073"/>
    </row>
    <row r="309" s="971" customFormat="1" spans="1:5">
      <c r="A309" s="1073"/>
      <c r="C309" s="1074"/>
      <c r="E309" s="1073"/>
    </row>
    <row r="310" s="971" customFormat="1" spans="1:5">
      <c r="A310" s="1073"/>
      <c r="C310" s="1074"/>
      <c r="E310" s="1073"/>
    </row>
    <row r="311" s="971" customFormat="1" spans="1:5">
      <c r="A311" s="1073"/>
      <c r="C311" s="1074"/>
      <c r="E311" s="1073"/>
    </row>
    <row r="312" s="971" customFormat="1" spans="1:5">
      <c r="A312" s="1073"/>
      <c r="C312" s="1074"/>
      <c r="E312" s="1073"/>
    </row>
    <row r="313" s="971" customFormat="1" spans="1:5">
      <c r="A313" s="1073"/>
      <c r="C313" s="1074"/>
      <c r="E313" s="1073"/>
    </row>
    <row r="314" s="971" customFormat="1" spans="1:5">
      <c r="A314" s="1073"/>
      <c r="C314" s="1074"/>
      <c r="E314" s="1073"/>
    </row>
    <row r="315" s="971" customFormat="1" spans="1:5">
      <c r="A315" s="1073"/>
      <c r="C315" s="1074"/>
      <c r="E315" s="1073"/>
    </row>
    <row r="316" s="971" customFormat="1" spans="1:5">
      <c r="A316" s="1073"/>
      <c r="C316" s="1074"/>
      <c r="E316" s="1073"/>
    </row>
    <row r="317" s="971" customFormat="1" spans="1:5">
      <c r="A317" s="1073"/>
      <c r="C317" s="1074"/>
      <c r="E317" s="1073"/>
    </row>
    <row r="318" s="971" customFormat="1" spans="1:5">
      <c r="A318" s="1073"/>
      <c r="C318" s="1074"/>
      <c r="E318" s="1073"/>
    </row>
    <row r="319" s="971" customFormat="1" spans="1:5">
      <c r="A319" s="1073"/>
      <c r="C319" s="1074"/>
      <c r="E319" s="1073"/>
    </row>
    <row r="320" s="971" customFormat="1" spans="1:5">
      <c r="A320" s="1073"/>
      <c r="C320" s="1074"/>
      <c r="E320" s="1073"/>
    </row>
    <row r="321" s="971" customFormat="1" spans="1:5">
      <c r="A321" s="1073"/>
      <c r="C321" s="1074"/>
      <c r="E321" s="1073"/>
    </row>
    <row r="322" s="971" customFormat="1" spans="1:5">
      <c r="A322" s="1073"/>
      <c r="C322" s="1074"/>
      <c r="E322" s="1073"/>
    </row>
    <row r="323" s="971" customFormat="1" spans="1:5">
      <c r="A323" s="1073"/>
      <c r="C323" s="1074"/>
      <c r="E323" s="1073"/>
    </row>
    <row r="324" s="971" customFormat="1" spans="1:5">
      <c r="A324" s="1073"/>
      <c r="C324" s="1074"/>
      <c r="E324" s="1073"/>
    </row>
    <row r="325" s="971" customFormat="1" spans="1:5">
      <c r="A325" s="1073"/>
      <c r="C325" s="1074"/>
      <c r="E325" s="1073"/>
    </row>
    <row r="326" s="971" customFormat="1" spans="1:5">
      <c r="A326" s="1073"/>
      <c r="C326" s="1074"/>
      <c r="E326" s="1073"/>
    </row>
    <row r="327" s="971" customFormat="1" spans="1:5">
      <c r="A327" s="1073"/>
      <c r="C327" s="1074"/>
      <c r="E327" s="1073"/>
    </row>
    <row r="328" s="971" customFormat="1" spans="1:5">
      <c r="A328" s="1073"/>
      <c r="C328" s="1074"/>
      <c r="E328" s="1073"/>
    </row>
    <row r="329" s="971" customFormat="1" spans="1:5">
      <c r="A329" s="1073"/>
      <c r="C329" s="1074"/>
      <c r="E329" s="1073"/>
    </row>
    <row r="330" s="971" customFormat="1" spans="1:5">
      <c r="A330" s="1073"/>
      <c r="C330" s="1074"/>
      <c r="E330" s="1073"/>
    </row>
    <row r="331" s="971" customFormat="1" spans="1:5">
      <c r="A331" s="1073"/>
      <c r="C331" s="1074"/>
      <c r="E331" s="1073"/>
    </row>
    <row r="332" s="971" customFormat="1" spans="1:5">
      <c r="A332" s="1073"/>
      <c r="C332" s="1074"/>
      <c r="E332" s="1073"/>
    </row>
    <row r="333" s="971" customFormat="1" spans="1:5">
      <c r="A333" s="1073"/>
      <c r="C333" s="1074"/>
      <c r="E333" s="1073"/>
    </row>
    <row r="334" s="971" customFormat="1" spans="1:5">
      <c r="A334" s="1073"/>
      <c r="C334" s="1074"/>
      <c r="E334" s="1073"/>
    </row>
    <row r="335" s="971" customFormat="1" spans="1:5">
      <c r="A335" s="1073"/>
      <c r="C335" s="1074"/>
      <c r="E335" s="1073"/>
    </row>
    <row r="336" s="971" customFormat="1" spans="1:5">
      <c r="A336" s="1073"/>
      <c r="C336" s="1074"/>
      <c r="E336" s="1073"/>
    </row>
    <row r="337" s="971" customFormat="1" spans="1:5">
      <c r="A337" s="1073"/>
      <c r="C337" s="1074"/>
      <c r="E337" s="1073"/>
    </row>
    <row r="338" s="971" customFormat="1" spans="1:5">
      <c r="A338" s="1073"/>
      <c r="C338" s="1074"/>
      <c r="E338" s="1073"/>
    </row>
    <row r="339" s="971" customFormat="1" spans="1:5">
      <c r="A339" s="1073"/>
      <c r="C339" s="1074"/>
      <c r="E339" s="1073"/>
    </row>
    <row r="340" s="971" customFormat="1" spans="1:5">
      <c r="A340" s="1073"/>
      <c r="C340" s="1074"/>
      <c r="E340" s="1073"/>
    </row>
    <row r="341" s="971" customFormat="1" spans="1:5">
      <c r="A341" s="1073"/>
      <c r="C341" s="1074"/>
      <c r="E341" s="1073"/>
    </row>
    <row r="342" s="971" customFormat="1" spans="1:5">
      <c r="A342" s="1073"/>
      <c r="C342" s="1074"/>
      <c r="E342" s="1073"/>
    </row>
    <row r="343" s="971" customFormat="1" spans="1:5">
      <c r="A343" s="1073"/>
      <c r="C343" s="1074"/>
      <c r="E343" s="1073"/>
    </row>
    <row r="344" s="971" customFormat="1" spans="1:5">
      <c r="A344" s="1073"/>
      <c r="C344" s="1074"/>
      <c r="E344" s="1073"/>
    </row>
    <row r="345" s="971" customFormat="1" spans="1:5">
      <c r="A345" s="1073"/>
      <c r="C345" s="1074"/>
      <c r="E345" s="1073"/>
    </row>
    <row r="346" s="971" customFormat="1" spans="1:5">
      <c r="A346" s="1073"/>
      <c r="C346" s="1074"/>
      <c r="E346" s="1073"/>
    </row>
    <row r="347" s="971" customFormat="1" spans="1:5">
      <c r="A347" s="1073"/>
      <c r="C347" s="1074"/>
      <c r="E347" s="1073"/>
    </row>
    <row r="348" s="971" customFormat="1" spans="1:5">
      <c r="A348" s="1073"/>
      <c r="C348" s="1074"/>
      <c r="E348" s="1073"/>
    </row>
    <row r="349" s="971" customFormat="1" spans="1:5">
      <c r="A349" s="1073"/>
      <c r="C349" s="1074"/>
      <c r="E349" s="1073"/>
    </row>
    <row r="350" s="971" customFormat="1" spans="1:5">
      <c r="A350" s="1073"/>
      <c r="C350" s="1074"/>
      <c r="E350" s="1073"/>
    </row>
    <row r="351" s="971" customFormat="1" spans="1:5">
      <c r="A351" s="1073"/>
      <c r="C351" s="1074"/>
      <c r="E351" s="1073"/>
    </row>
    <row r="352" s="971" customFormat="1" spans="1:5">
      <c r="A352" s="1073"/>
      <c r="C352" s="1074"/>
      <c r="E352" s="1073"/>
    </row>
    <row r="353" s="971" customFormat="1" spans="1:5">
      <c r="A353" s="1073"/>
      <c r="C353" s="1074"/>
      <c r="E353" s="1073"/>
    </row>
    <row r="354" s="971" customFormat="1" spans="1:5">
      <c r="A354" s="1073"/>
      <c r="C354" s="1074"/>
      <c r="E354" s="1073"/>
    </row>
    <row r="355" s="971" customFormat="1" spans="1:5">
      <c r="A355" s="1073"/>
      <c r="C355" s="1074"/>
      <c r="E355" s="1073"/>
    </row>
    <row r="356" s="971" customFormat="1" spans="1:5">
      <c r="A356" s="1073"/>
      <c r="C356" s="1074"/>
      <c r="E356" s="1073"/>
    </row>
    <row r="357" s="971" customFormat="1" spans="1:5">
      <c r="A357" s="1073"/>
      <c r="C357" s="1074"/>
      <c r="E357" s="1073"/>
    </row>
    <row r="358" s="971" customFormat="1" spans="1:5">
      <c r="A358" s="1073"/>
      <c r="C358" s="1074"/>
      <c r="E358" s="1073"/>
    </row>
    <row r="359" s="971" customFormat="1" spans="1:5">
      <c r="A359" s="1073"/>
      <c r="C359" s="1074"/>
      <c r="E359" s="1073"/>
    </row>
    <row r="360" s="971" customFormat="1" spans="1:5">
      <c r="A360" s="1073"/>
      <c r="C360" s="1074"/>
      <c r="E360" s="1073"/>
    </row>
    <row r="361" s="971" customFormat="1" spans="1:5">
      <c r="A361" s="1073"/>
      <c r="C361" s="1074"/>
      <c r="E361" s="1073"/>
    </row>
    <row r="362" s="971" customFormat="1" spans="1:5">
      <c r="A362" s="1073"/>
      <c r="C362" s="1074"/>
      <c r="E362" s="1073"/>
    </row>
    <row r="363" s="971" customFormat="1" spans="1:5">
      <c r="A363" s="1073"/>
      <c r="C363" s="1074"/>
      <c r="E363" s="1073"/>
    </row>
    <row r="364" s="971" customFormat="1" spans="1:5">
      <c r="A364" s="1073"/>
      <c r="C364" s="1074"/>
      <c r="E364" s="1073"/>
    </row>
    <row r="365" s="971" customFormat="1" spans="1:5">
      <c r="A365" s="1073"/>
      <c r="C365" s="1074"/>
      <c r="E365" s="1073"/>
    </row>
    <row r="366" s="971" customFormat="1" spans="1:5">
      <c r="A366" s="1073"/>
      <c r="C366" s="1074"/>
      <c r="E366" s="1073"/>
    </row>
    <row r="367" s="971" customFormat="1" spans="1:5">
      <c r="A367" s="1073"/>
      <c r="C367" s="1074"/>
      <c r="E367" s="1073"/>
    </row>
    <row r="368" s="971" customFormat="1" spans="1:5">
      <c r="A368" s="1073"/>
      <c r="C368" s="1074"/>
      <c r="E368" s="1073"/>
    </row>
    <row r="369" s="971" customFormat="1" spans="1:5">
      <c r="A369" s="1073"/>
      <c r="C369" s="1074"/>
      <c r="E369" s="1073"/>
    </row>
    <row r="370" s="971" customFormat="1" spans="1:5">
      <c r="A370" s="1073"/>
      <c r="C370" s="1074"/>
      <c r="E370" s="1073"/>
    </row>
    <row r="371" s="971" customFormat="1" spans="1:5">
      <c r="A371" s="1073"/>
      <c r="C371" s="1074"/>
      <c r="E371" s="1073"/>
    </row>
    <row r="372" s="971" customFormat="1" spans="1:5">
      <c r="A372" s="1073"/>
      <c r="C372" s="1074"/>
      <c r="E372" s="1073"/>
    </row>
    <row r="373" s="971" customFormat="1" spans="1:5">
      <c r="A373" s="1073"/>
      <c r="C373" s="1074"/>
      <c r="E373" s="1073"/>
    </row>
    <row r="374" s="971" customFormat="1" spans="1:5">
      <c r="A374" s="1073"/>
      <c r="C374" s="1074"/>
      <c r="E374" s="1073"/>
    </row>
    <row r="375" s="971" customFormat="1" spans="1:5">
      <c r="A375" s="1073"/>
      <c r="C375" s="1074"/>
      <c r="E375" s="1073"/>
    </row>
    <row r="376" s="971" customFormat="1" spans="1:5">
      <c r="A376" s="1073"/>
      <c r="C376" s="1074"/>
      <c r="E376" s="1073"/>
    </row>
    <row r="377" s="971" customFormat="1" spans="1:5">
      <c r="A377" s="1073"/>
      <c r="C377" s="1074"/>
      <c r="E377" s="1073"/>
    </row>
    <row r="378" s="971" customFormat="1" spans="1:5">
      <c r="A378" s="1073"/>
      <c r="C378" s="1074"/>
      <c r="E378" s="1073"/>
    </row>
    <row r="379" s="971" customFormat="1" spans="1:5">
      <c r="A379" s="1073"/>
      <c r="C379" s="1074"/>
      <c r="E379" s="1073"/>
    </row>
    <row r="380" s="971" customFormat="1" spans="1:5">
      <c r="A380" s="1073"/>
      <c r="C380" s="1074"/>
      <c r="E380" s="1073"/>
    </row>
    <row r="381" s="971" customFormat="1" spans="1:5">
      <c r="A381" s="1073"/>
      <c r="C381" s="1074"/>
      <c r="E381" s="1073"/>
    </row>
    <row r="382" s="971" customFormat="1" spans="1:5">
      <c r="A382" s="1073"/>
      <c r="C382" s="1074"/>
      <c r="E382" s="1073"/>
    </row>
    <row r="383" s="971" customFormat="1" spans="1:5">
      <c r="A383" s="1073"/>
      <c r="C383" s="1074"/>
      <c r="E383" s="1073"/>
    </row>
    <row r="384" s="971" customFormat="1" spans="1:5">
      <c r="A384" s="1073"/>
      <c r="C384" s="1074"/>
      <c r="E384" s="1073"/>
    </row>
    <row r="385" s="971" customFormat="1" spans="1:5">
      <c r="A385" s="1073"/>
      <c r="C385" s="1074"/>
      <c r="E385" s="1073"/>
    </row>
    <row r="386" s="971" customFormat="1" spans="1:5">
      <c r="A386" s="1073"/>
      <c r="C386" s="1074"/>
      <c r="E386" s="1073"/>
    </row>
    <row r="387" s="971" customFormat="1" spans="1:5">
      <c r="A387" s="1073"/>
      <c r="C387" s="1074"/>
      <c r="E387" s="1073"/>
    </row>
    <row r="388" s="971" customFormat="1" spans="1:5">
      <c r="A388" s="1073"/>
      <c r="C388" s="1074"/>
      <c r="E388" s="1073"/>
    </row>
    <row r="389" s="971" customFormat="1" spans="1:5">
      <c r="A389" s="1073"/>
      <c r="C389" s="1074"/>
      <c r="E389" s="1073"/>
    </row>
    <row r="390" s="971" customFormat="1" spans="1:5">
      <c r="A390" s="1073"/>
      <c r="C390" s="1074"/>
      <c r="E390" s="1073"/>
    </row>
    <row r="391" s="971" customFormat="1" spans="1:5">
      <c r="A391" s="1073"/>
      <c r="C391" s="1074"/>
      <c r="E391" s="1073"/>
    </row>
    <row r="392" s="971" customFormat="1" spans="1:5">
      <c r="A392" s="1073"/>
      <c r="C392" s="1074"/>
      <c r="E392" s="1073"/>
    </row>
    <row r="393" s="971" customFormat="1" spans="1:5">
      <c r="A393" s="1073"/>
      <c r="C393" s="1074"/>
      <c r="E393" s="1073"/>
    </row>
    <row r="394" s="971" customFormat="1" spans="1:5">
      <c r="A394" s="1073"/>
      <c r="C394" s="1074"/>
      <c r="E394" s="1073"/>
    </row>
    <row r="395" s="971" customFormat="1" spans="1:5">
      <c r="A395" s="1073"/>
      <c r="C395" s="1074"/>
      <c r="E395" s="1073"/>
    </row>
    <row r="396" s="971" customFormat="1" spans="1:5">
      <c r="A396" s="1073"/>
      <c r="C396" s="1074"/>
      <c r="E396" s="1073"/>
    </row>
    <row r="397" s="971" customFormat="1" spans="1:5">
      <c r="A397" s="1073"/>
      <c r="C397" s="1074"/>
      <c r="E397" s="1073"/>
    </row>
    <row r="398" s="971" customFormat="1" spans="1:5">
      <c r="A398" s="1073"/>
      <c r="C398" s="1074"/>
      <c r="E398" s="1073"/>
    </row>
    <row r="399" s="971" customFormat="1" spans="1:5">
      <c r="A399" s="1073"/>
      <c r="C399" s="1074"/>
      <c r="E399" s="1073"/>
    </row>
    <row r="400" s="971" customFormat="1" spans="1:5">
      <c r="A400" s="1073"/>
      <c r="C400" s="1074"/>
      <c r="E400" s="1073"/>
    </row>
    <row r="401" s="971" customFormat="1" spans="1:5">
      <c r="A401" s="1073"/>
      <c r="C401" s="1074"/>
      <c r="E401" s="1073"/>
    </row>
    <row r="402" s="971" customFormat="1" spans="1:5">
      <c r="A402" s="1073"/>
      <c r="C402" s="1074"/>
      <c r="E402" s="1073"/>
    </row>
    <row r="403" s="971" customFormat="1" spans="1:5">
      <c r="A403" s="1073"/>
      <c r="C403" s="1074"/>
      <c r="E403" s="1073"/>
    </row>
    <row r="404" s="971" customFormat="1" spans="1:5">
      <c r="A404" s="1073"/>
      <c r="C404" s="1074"/>
      <c r="E404" s="1073"/>
    </row>
    <row r="405" s="971" customFormat="1" spans="1:5">
      <c r="A405" s="1073"/>
      <c r="C405" s="1074"/>
      <c r="E405" s="1073"/>
    </row>
    <row r="406" s="971" customFormat="1" spans="1:5">
      <c r="A406" s="1073"/>
      <c r="C406" s="1074"/>
      <c r="E406" s="1073"/>
    </row>
    <row r="407" s="971" customFormat="1" spans="1:5">
      <c r="A407" s="1073"/>
      <c r="C407" s="1074"/>
      <c r="E407" s="1073"/>
    </row>
    <row r="408" s="971" customFormat="1" spans="1:5">
      <c r="A408" s="1073"/>
      <c r="C408" s="1074"/>
      <c r="E408" s="1073"/>
    </row>
    <row r="409" s="971" customFormat="1" spans="1:5">
      <c r="A409" s="1073"/>
      <c r="C409" s="1074"/>
      <c r="E409" s="1073"/>
    </row>
    <row r="410" s="971" customFormat="1" spans="1:5">
      <c r="A410" s="1073"/>
      <c r="C410" s="1074"/>
      <c r="E410" s="1073"/>
    </row>
    <row r="411" s="971" customFormat="1" spans="1:5">
      <c r="A411" s="1073"/>
      <c r="C411" s="1074"/>
      <c r="E411" s="1073"/>
    </row>
    <row r="412" s="971" customFormat="1" spans="1:5">
      <c r="A412" s="1073"/>
      <c r="C412" s="1074"/>
      <c r="E412" s="1073"/>
    </row>
    <row r="413" s="971" customFormat="1" spans="1:5">
      <c r="A413" s="1073"/>
      <c r="C413" s="1074"/>
      <c r="E413" s="1073"/>
    </row>
    <row r="414" s="971" customFormat="1" spans="1:5">
      <c r="A414" s="1073"/>
      <c r="C414" s="1074"/>
      <c r="E414" s="1073"/>
    </row>
    <row r="415" s="971" customFormat="1" spans="1:5">
      <c r="A415" s="1073"/>
      <c r="C415" s="1074"/>
      <c r="E415" s="1073"/>
    </row>
    <row r="416" s="971" customFormat="1" spans="1:5">
      <c r="A416" s="1073"/>
      <c r="C416" s="1074"/>
      <c r="E416" s="1073"/>
    </row>
    <row r="417" s="971" customFormat="1" spans="1:5">
      <c r="A417" s="1073"/>
      <c r="C417" s="1074"/>
      <c r="E417" s="1073"/>
    </row>
    <row r="418" s="971" customFormat="1" spans="1:5">
      <c r="A418" s="1073"/>
      <c r="C418" s="1074"/>
      <c r="E418" s="1073"/>
    </row>
    <row r="419" s="971" customFormat="1" spans="1:5">
      <c r="A419" s="1073"/>
      <c r="C419" s="1074"/>
      <c r="E419" s="1073"/>
    </row>
    <row r="420" s="971" customFormat="1" spans="1:5">
      <c r="A420" s="1073"/>
      <c r="C420" s="1074"/>
      <c r="E420" s="1073"/>
    </row>
    <row r="421" s="971" customFormat="1" spans="1:5">
      <c r="A421" s="1073"/>
      <c r="C421" s="1074"/>
      <c r="E421" s="1073"/>
    </row>
    <row r="422" s="971" customFormat="1" spans="1:5">
      <c r="A422" s="1073"/>
      <c r="C422" s="1074"/>
      <c r="E422" s="1073"/>
    </row>
    <row r="423" s="971" customFormat="1" spans="1:5">
      <c r="A423" s="1073"/>
      <c r="C423" s="1074"/>
      <c r="E423" s="1073"/>
    </row>
    <row r="424" s="971" customFormat="1" spans="1:5">
      <c r="A424" s="1073"/>
      <c r="C424" s="1074"/>
      <c r="E424" s="1073"/>
    </row>
    <row r="425" s="971" customFormat="1" spans="1:5">
      <c r="A425" s="1073"/>
      <c r="C425" s="1074"/>
      <c r="E425" s="1073"/>
    </row>
    <row r="426" s="971" customFormat="1" spans="1:5">
      <c r="A426" s="1073"/>
      <c r="C426" s="1074"/>
      <c r="E426" s="1073"/>
    </row>
    <row r="427" s="971" customFormat="1" spans="1:5">
      <c r="A427" s="1073"/>
      <c r="C427" s="1074"/>
      <c r="E427" s="1073"/>
    </row>
    <row r="428" s="971" customFormat="1" spans="1:5">
      <c r="A428" s="1073"/>
      <c r="C428" s="1074"/>
      <c r="E428" s="1073"/>
    </row>
    <row r="429" s="971" customFormat="1" spans="1:5">
      <c r="A429" s="1073"/>
      <c r="C429" s="1074"/>
      <c r="E429" s="1073"/>
    </row>
    <row r="430" s="971" customFormat="1" spans="1:5">
      <c r="A430" s="1073"/>
      <c r="C430" s="1074"/>
      <c r="E430" s="1073"/>
    </row>
    <row r="431" s="971" customFormat="1" spans="1:5">
      <c r="A431" s="1073"/>
      <c r="C431" s="1074"/>
      <c r="E431" s="1073"/>
    </row>
    <row r="432" s="971" customFormat="1" spans="1:5">
      <c r="A432" s="1073"/>
      <c r="C432" s="1074"/>
      <c r="E432" s="1073"/>
    </row>
    <row r="433" s="971" customFormat="1" spans="1:5">
      <c r="A433" s="1073"/>
      <c r="C433" s="1074"/>
      <c r="E433" s="1073"/>
    </row>
    <row r="434" s="971" customFormat="1" spans="1:5">
      <c r="A434" s="1073"/>
      <c r="C434" s="1074"/>
      <c r="E434" s="1073"/>
    </row>
    <row r="435" s="971" customFormat="1" spans="1:5">
      <c r="A435" s="1073"/>
      <c r="C435" s="1074"/>
      <c r="E435" s="1073"/>
    </row>
    <row r="436" s="971" customFormat="1" spans="1:5">
      <c r="A436" s="1073"/>
      <c r="C436" s="1074"/>
      <c r="E436" s="1073"/>
    </row>
    <row r="437" s="971" customFormat="1" spans="1:5">
      <c r="A437" s="1073"/>
      <c r="C437" s="1074"/>
      <c r="E437" s="1073"/>
    </row>
    <row r="438" s="971" customFormat="1" spans="1:5">
      <c r="A438" s="1073"/>
      <c r="C438" s="1074"/>
      <c r="E438" s="1073"/>
    </row>
    <row r="439" s="971" customFormat="1" spans="1:5">
      <c r="A439" s="1073"/>
      <c r="C439" s="1074"/>
      <c r="E439" s="1073"/>
    </row>
    <row r="440" s="971" customFormat="1" spans="1:5">
      <c r="A440" s="1073"/>
      <c r="C440" s="1074"/>
      <c r="E440" s="1073"/>
    </row>
    <row r="441" s="971" customFormat="1" spans="1:5">
      <c r="A441" s="1073"/>
      <c r="C441" s="1074"/>
      <c r="E441" s="1073"/>
    </row>
    <row r="442" s="971" customFormat="1" spans="1:5">
      <c r="A442" s="1073"/>
      <c r="C442" s="1074"/>
      <c r="E442" s="1073"/>
    </row>
    <row r="443" s="971" customFormat="1" spans="1:5">
      <c r="A443" s="1073"/>
      <c r="C443" s="1074"/>
      <c r="E443" s="1073"/>
    </row>
    <row r="444" s="971" customFormat="1" spans="1:5">
      <c r="A444" s="1073"/>
      <c r="C444" s="1074"/>
      <c r="E444" s="1073"/>
    </row>
    <row r="445" s="971" customFormat="1" spans="1:5">
      <c r="A445" s="1073"/>
      <c r="C445" s="1074"/>
      <c r="E445" s="1073"/>
    </row>
    <row r="446" s="971" customFormat="1" spans="1:5">
      <c r="A446" s="1073"/>
      <c r="C446" s="1074"/>
      <c r="E446" s="1073"/>
    </row>
    <row r="447" s="971" customFormat="1" spans="1:5">
      <c r="A447" s="1073"/>
      <c r="C447" s="1074"/>
      <c r="E447" s="1073"/>
    </row>
    <row r="448" s="971" customFormat="1" spans="1:5">
      <c r="A448" s="1073"/>
      <c r="C448" s="1074"/>
      <c r="E448" s="1073"/>
    </row>
    <row r="449" s="971" customFormat="1" spans="1:5">
      <c r="A449" s="1073"/>
      <c r="C449" s="1074"/>
      <c r="E449" s="1073"/>
    </row>
    <row r="450" s="971" customFormat="1" spans="1:5">
      <c r="A450" s="1073"/>
      <c r="C450" s="1074"/>
      <c r="E450" s="1073"/>
    </row>
    <row r="451" s="971" customFormat="1" spans="1:5">
      <c r="A451" s="1073"/>
      <c r="C451" s="1074"/>
      <c r="E451" s="1073"/>
    </row>
    <row r="452" s="971" customFormat="1" spans="1:5">
      <c r="A452" s="1073"/>
      <c r="C452" s="1074"/>
      <c r="E452" s="1073"/>
    </row>
    <row r="453" s="971" customFormat="1" spans="1:5">
      <c r="A453" s="1073"/>
      <c r="C453" s="1074"/>
      <c r="E453" s="1073"/>
    </row>
    <row r="454" s="971" customFormat="1" spans="1:5">
      <c r="A454" s="1073"/>
      <c r="C454" s="1074"/>
      <c r="E454" s="1073"/>
    </row>
    <row r="455" s="971" customFormat="1" spans="1:5">
      <c r="A455" s="1073"/>
      <c r="C455" s="1074"/>
      <c r="E455" s="1073"/>
    </row>
    <row r="456" s="971" customFormat="1" spans="1:5">
      <c r="A456" s="1073"/>
      <c r="C456" s="1074"/>
      <c r="E456" s="1073"/>
    </row>
    <row r="457" s="971" customFormat="1" spans="1:5">
      <c r="A457" s="1073"/>
      <c r="C457" s="1074"/>
      <c r="E457" s="1073"/>
    </row>
    <row r="458" s="971" customFormat="1" spans="1:5">
      <c r="A458" s="1073"/>
      <c r="C458" s="1074"/>
      <c r="E458" s="1073"/>
    </row>
    <row r="459" s="971" customFormat="1" spans="1:5">
      <c r="A459" s="1073"/>
      <c r="C459" s="1074"/>
      <c r="E459" s="1073"/>
    </row>
    <row r="460" s="971" customFormat="1" spans="1:5">
      <c r="A460" s="1073"/>
      <c r="C460" s="1074"/>
      <c r="E460" s="1073"/>
    </row>
    <row r="461" s="971" customFormat="1" spans="1:5">
      <c r="A461" s="1073"/>
      <c r="C461" s="1074"/>
      <c r="E461" s="1073"/>
    </row>
    <row r="462" s="971" customFormat="1" spans="1:5">
      <c r="A462" s="1073"/>
      <c r="C462" s="1074"/>
      <c r="E462" s="1073"/>
    </row>
    <row r="463" s="971" customFormat="1" spans="1:5">
      <c r="A463" s="1073"/>
      <c r="C463" s="1074"/>
      <c r="E463" s="1073"/>
    </row>
    <row r="464" s="971" customFormat="1" spans="1:5">
      <c r="A464" s="1073"/>
      <c r="C464" s="1074"/>
      <c r="E464" s="1073"/>
    </row>
    <row r="465" s="971" customFormat="1" spans="1:5">
      <c r="A465" s="1073"/>
      <c r="C465" s="1074"/>
      <c r="E465" s="1073"/>
    </row>
    <row r="466" s="971" customFormat="1" spans="1:5">
      <c r="A466" s="1073"/>
      <c r="C466" s="1074"/>
      <c r="E466" s="1073"/>
    </row>
    <row r="467" s="971" customFormat="1" spans="1:5">
      <c r="A467" s="1073"/>
      <c r="C467" s="1074"/>
      <c r="E467" s="1073"/>
    </row>
    <row r="468" s="971" customFormat="1" spans="1:5">
      <c r="A468" s="1073"/>
      <c r="C468" s="1074"/>
      <c r="E468" s="1073"/>
    </row>
    <row r="469" s="971" customFormat="1" spans="1:5">
      <c r="A469" s="1073"/>
      <c r="C469" s="1074"/>
      <c r="E469" s="1073"/>
    </row>
    <row r="470" s="971" customFormat="1" spans="1:5">
      <c r="A470" s="1073"/>
      <c r="C470" s="1074"/>
      <c r="E470" s="1073"/>
    </row>
    <row r="471" s="971" customFormat="1" spans="1:5">
      <c r="A471" s="1073"/>
      <c r="C471" s="1074"/>
      <c r="E471" s="1073"/>
    </row>
    <row r="472" s="971" customFormat="1" spans="1:5">
      <c r="A472" s="1073"/>
      <c r="C472" s="1074"/>
      <c r="E472" s="1073"/>
    </row>
    <row r="473" s="971" customFormat="1" spans="1:5">
      <c r="A473" s="1073"/>
      <c r="C473" s="1074"/>
      <c r="E473" s="1073"/>
    </row>
    <row r="474" s="971" customFormat="1" spans="1:5">
      <c r="A474" s="1073"/>
      <c r="C474" s="1074"/>
      <c r="E474" s="1073"/>
    </row>
    <row r="475" s="971" customFormat="1" spans="1:5">
      <c r="A475" s="1073"/>
      <c r="C475" s="1074"/>
      <c r="E475" s="1073"/>
    </row>
    <row r="476" s="971" customFormat="1" spans="1:5">
      <c r="A476" s="1073"/>
      <c r="C476" s="1074"/>
      <c r="E476" s="1073"/>
    </row>
    <row r="477" s="971" customFormat="1" spans="1:5">
      <c r="A477" s="1073"/>
      <c r="C477" s="1074"/>
      <c r="E477" s="1073"/>
    </row>
    <row r="478" s="971" customFormat="1" spans="1:5">
      <c r="A478" s="1073"/>
      <c r="C478" s="1074"/>
      <c r="E478" s="1073"/>
    </row>
    <row r="479" s="971" customFormat="1" spans="1:5">
      <c r="A479" s="1073"/>
      <c r="C479" s="1074"/>
      <c r="E479" s="1073"/>
    </row>
    <row r="480" s="971" customFormat="1" spans="1:5">
      <c r="A480" s="1073"/>
      <c r="C480" s="1074"/>
      <c r="E480" s="1073"/>
    </row>
    <row r="481" s="971" customFormat="1" spans="1:5">
      <c r="A481" s="1073"/>
      <c r="C481" s="1074"/>
      <c r="E481" s="1073"/>
    </row>
    <row r="482" s="971" customFormat="1" spans="1:5">
      <c r="A482" s="1073"/>
      <c r="C482" s="1074"/>
      <c r="E482" s="1073"/>
    </row>
    <row r="483" s="971" customFormat="1" spans="1:5">
      <c r="A483" s="1073"/>
      <c r="C483" s="1074"/>
      <c r="E483" s="1073"/>
    </row>
    <row r="484" s="971" customFormat="1" spans="1:5">
      <c r="A484" s="1073"/>
      <c r="C484" s="1074"/>
      <c r="E484" s="1073"/>
    </row>
    <row r="485" s="971" customFormat="1" spans="1:5">
      <c r="A485" s="1073"/>
      <c r="C485" s="1074"/>
      <c r="E485" s="1073"/>
    </row>
    <row r="486" s="971" customFormat="1" spans="1:5">
      <c r="A486" s="1073"/>
      <c r="C486" s="1074"/>
      <c r="E486" s="1073"/>
    </row>
    <row r="487" s="971" customFormat="1" spans="1:5">
      <c r="A487" s="1073"/>
      <c r="C487" s="1074"/>
      <c r="E487" s="1073"/>
    </row>
    <row r="488" s="971" customFormat="1" spans="1:5">
      <c r="A488" s="1073"/>
      <c r="C488" s="1074"/>
      <c r="E488" s="1073"/>
    </row>
    <row r="489" s="971" customFormat="1" spans="1:5">
      <c r="A489" s="1073"/>
      <c r="C489" s="1074"/>
      <c r="E489" s="1073"/>
    </row>
    <row r="490" s="971" customFormat="1" spans="1:5">
      <c r="A490" s="1073"/>
      <c r="C490" s="1074"/>
      <c r="E490" s="1073"/>
    </row>
  </sheetData>
  <sheetProtection formatCells="0" formatColumns="0" formatRows="0"/>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headerFooter/>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W44"/>
  <sheetViews>
    <sheetView zoomScale="80" zoomScaleNormal="80" workbookViewId="0">
      <selection activeCell="P47" sqref="P47"/>
    </sheetView>
  </sheetViews>
  <sheetFormatPr defaultColWidth="9" defaultRowHeight="13.15" customHeight="1"/>
  <cols>
    <col min="1" max="1" width="9.45" style="1318" customWidth="1"/>
    <col min="2" max="2" width="8.90833333333333" style="1318"/>
    <col min="3" max="5" width="12.9083333333333" style="1318" customWidth="1"/>
    <col min="6" max="6" width="47.45" style="1318" customWidth="1"/>
    <col min="7" max="7" width="13" style="1319" customWidth="1"/>
    <col min="8" max="8" width="8.90833333333333" style="1319"/>
    <col min="9" max="9" width="8.90833333333333" style="1320"/>
    <col min="10" max="10" width="5.725" style="1321" customWidth="1"/>
    <col min="11" max="11" width="11.725" style="1321" customWidth="1"/>
    <col min="12" max="13" width="10.725" style="1321" customWidth="1"/>
    <col min="14" max="14" width="10" style="1321" customWidth="1"/>
    <col min="15" max="16" width="10.45" style="1321" customWidth="1"/>
    <col min="17" max="17" width="10" style="1321" customWidth="1"/>
    <col min="18" max="18" width="10.0916666666667" style="1321" customWidth="1"/>
    <col min="19" max="19" width="10" style="1321" customWidth="1"/>
    <col min="20" max="20" width="26.0916666666667" style="1321" customWidth="1"/>
    <col min="21" max="21" width="8.90833333333333" style="1321"/>
    <col min="22" max="22" width="8.90833333333333" style="1320"/>
    <col min="23" max="256" width="8.90833333333333" style="1318"/>
    <col min="257" max="257" width="9.45" style="1318" customWidth="1"/>
    <col min="258" max="258" width="8.90833333333333" style="1318"/>
    <col min="259" max="261" width="12.9083333333333" style="1318" customWidth="1"/>
    <col min="262" max="262" width="47.45" style="1318" customWidth="1"/>
    <col min="263" max="263" width="13" style="1318" customWidth="1"/>
    <col min="264" max="265" width="8.90833333333333" style="1318"/>
    <col min="266" max="266" width="5.725" style="1318" customWidth="1"/>
    <col min="267" max="267" width="11.725" style="1318" customWidth="1"/>
    <col min="268" max="269" width="10.725" style="1318" customWidth="1"/>
    <col min="270" max="270" width="10" style="1318" customWidth="1"/>
    <col min="271" max="272" width="10.45" style="1318" customWidth="1"/>
    <col min="273" max="273" width="10" style="1318" customWidth="1"/>
    <col min="274" max="274" width="10.0916666666667" style="1318" customWidth="1"/>
    <col min="275" max="275" width="10" style="1318" customWidth="1"/>
    <col min="276" max="276" width="26.0916666666667" style="1318" customWidth="1"/>
    <col min="277" max="512" width="8.90833333333333" style="1318"/>
    <col min="513" max="513" width="9.45" style="1318" customWidth="1"/>
    <col min="514" max="514" width="8.90833333333333" style="1318"/>
    <col min="515" max="517" width="12.9083333333333" style="1318" customWidth="1"/>
    <col min="518" max="518" width="47.45" style="1318" customWidth="1"/>
    <col min="519" max="519" width="13" style="1318" customWidth="1"/>
    <col min="520" max="521" width="8.90833333333333" style="1318"/>
    <col min="522" max="522" width="5.725" style="1318" customWidth="1"/>
    <col min="523" max="523" width="11.725" style="1318" customWidth="1"/>
    <col min="524" max="525" width="10.725" style="1318" customWidth="1"/>
    <col min="526" max="526" width="10" style="1318" customWidth="1"/>
    <col min="527" max="528" width="10.45" style="1318" customWidth="1"/>
    <col min="529" max="529" width="10" style="1318" customWidth="1"/>
    <col min="530" max="530" width="10.0916666666667" style="1318" customWidth="1"/>
    <col min="531" max="531" width="10" style="1318" customWidth="1"/>
    <col min="532" max="532" width="26.0916666666667" style="1318" customWidth="1"/>
    <col min="533" max="768" width="8.90833333333333" style="1318"/>
    <col min="769" max="769" width="9.45" style="1318" customWidth="1"/>
    <col min="770" max="770" width="8.90833333333333" style="1318"/>
    <col min="771" max="773" width="12.9083333333333" style="1318" customWidth="1"/>
    <col min="774" max="774" width="47.45" style="1318" customWidth="1"/>
    <col min="775" max="775" width="13" style="1318" customWidth="1"/>
    <col min="776" max="777" width="8.90833333333333" style="1318"/>
    <col min="778" max="778" width="5.725" style="1318" customWidth="1"/>
    <col min="779" max="779" width="11.725" style="1318" customWidth="1"/>
    <col min="780" max="781" width="10.725" style="1318" customWidth="1"/>
    <col min="782" max="782" width="10" style="1318" customWidth="1"/>
    <col min="783" max="784" width="10.45" style="1318" customWidth="1"/>
    <col min="785" max="785" width="10" style="1318" customWidth="1"/>
    <col min="786" max="786" width="10.0916666666667" style="1318" customWidth="1"/>
    <col min="787" max="787" width="10" style="1318" customWidth="1"/>
    <col min="788" max="788" width="26.0916666666667" style="1318" customWidth="1"/>
    <col min="789" max="1024" width="8.90833333333333" style="1318"/>
    <col min="1025" max="1025" width="9.45" style="1318" customWidth="1"/>
    <col min="1026" max="1026" width="8.90833333333333" style="1318"/>
    <col min="1027" max="1029" width="12.9083333333333" style="1318" customWidth="1"/>
    <col min="1030" max="1030" width="47.45" style="1318" customWidth="1"/>
    <col min="1031" max="1031" width="13" style="1318" customWidth="1"/>
    <col min="1032" max="1033" width="8.90833333333333" style="1318"/>
    <col min="1034" max="1034" width="5.725" style="1318" customWidth="1"/>
    <col min="1035" max="1035" width="11.725" style="1318" customWidth="1"/>
    <col min="1036" max="1037" width="10.725" style="1318" customWidth="1"/>
    <col min="1038" max="1038" width="10" style="1318" customWidth="1"/>
    <col min="1039" max="1040" width="10.45" style="1318" customWidth="1"/>
    <col min="1041" max="1041" width="10" style="1318" customWidth="1"/>
    <col min="1042" max="1042" width="10.0916666666667" style="1318" customWidth="1"/>
    <col min="1043" max="1043" width="10" style="1318" customWidth="1"/>
    <col min="1044" max="1044" width="26.0916666666667" style="1318" customWidth="1"/>
    <col min="1045" max="1280" width="8.90833333333333" style="1318"/>
    <col min="1281" max="1281" width="9.45" style="1318" customWidth="1"/>
    <col min="1282" max="1282" width="8.90833333333333" style="1318"/>
    <col min="1283" max="1285" width="12.9083333333333" style="1318" customWidth="1"/>
    <col min="1286" max="1286" width="47.45" style="1318" customWidth="1"/>
    <col min="1287" max="1287" width="13" style="1318" customWidth="1"/>
    <col min="1288" max="1289" width="8.90833333333333" style="1318"/>
    <col min="1290" max="1290" width="5.725" style="1318" customWidth="1"/>
    <col min="1291" max="1291" width="11.725" style="1318" customWidth="1"/>
    <col min="1292" max="1293" width="10.725" style="1318" customWidth="1"/>
    <col min="1294" max="1294" width="10" style="1318" customWidth="1"/>
    <col min="1295" max="1296" width="10.45" style="1318" customWidth="1"/>
    <col min="1297" max="1297" width="10" style="1318" customWidth="1"/>
    <col min="1298" max="1298" width="10.0916666666667" style="1318" customWidth="1"/>
    <col min="1299" max="1299" width="10" style="1318" customWidth="1"/>
    <col min="1300" max="1300" width="26.0916666666667" style="1318" customWidth="1"/>
    <col min="1301" max="1536" width="8.90833333333333" style="1318"/>
    <col min="1537" max="1537" width="9.45" style="1318" customWidth="1"/>
    <col min="1538" max="1538" width="8.90833333333333" style="1318"/>
    <col min="1539" max="1541" width="12.9083333333333" style="1318" customWidth="1"/>
    <col min="1542" max="1542" width="47.45" style="1318" customWidth="1"/>
    <col min="1543" max="1543" width="13" style="1318" customWidth="1"/>
    <col min="1544" max="1545" width="8.90833333333333" style="1318"/>
    <col min="1546" max="1546" width="5.725" style="1318" customWidth="1"/>
    <col min="1547" max="1547" width="11.725" style="1318" customWidth="1"/>
    <col min="1548" max="1549" width="10.725" style="1318" customWidth="1"/>
    <col min="1550" max="1550" width="10" style="1318" customWidth="1"/>
    <col min="1551" max="1552" width="10.45" style="1318" customWidth="1"/>
    <col min="1553" max="1553" width="10" style="1318" customWidth="1"/>
    <col min="1554" max="1554" width="10.0916666666667" style="1318" customWidth="1"/>
    <col min="1555" max="1555" width="10" style="1318" customWidth="1"/>
    <col min="1556" max="1556" width="26.0916666666667" style="1318" customWidth="1"/>
    <col min="1557" max="1792" width="8.90833333333333" style="1318"/>
    <col min="1793" max="1793" width="9.45" style="1318" customWidth="1"/>
    <col min="1794" max="1794" width="8.90833333333333" style="1318"/>
    <col min="1795" max="1797" width="12.9083333333333" style="1318" customWidth="1"/>
    <col min="1798" max="1798" width="47.45" style="1318" customWidth="1"/>
    <col min="1799" max="1799" width="13" style="1318" customWidth="1"/>
    <col min="1800" max="1801" width="8.90833333333333" style="1318"/>
    <col min="1802" max="1802" width="5.725" style="1318" customWidth="1"/>
    <col min="1803" max="1803" width="11.725" style="1318" customWidth="1"/>
    <col min="1804" max="1805" width="10.725" style="1318" customWidth="1"/>
    <col min="1806" max="1806" width="10" style="1318" customWidth="1"/>
    <col min="1807" max="1808" width="10.45" style="1318" customWidth="1"/>
    <col min="1809" max="1809" width="10" style="1318" customWidth="1"/>
    <col min="1810" max="1810" width="10.0916666666667" style="1318" customWidth="1"/>
    <col min="1811" max="1811" width="10" style="1318" customWidth="1"/>
    <col min="1812" max="1812" width="26.0916666666667" style="1318" customWidth="1"/>
    <col min="1813" max="2048" width="8.90833333333333" style="1318"/>
    <col min="2049" max="2049" width="9.45" style="1318" customWidth="1"/>
    <col min="2050" max="2050" width="8.90833333333333" style="1318"/>
    <col min="2051" max="2053" width="12.9083333333333" style="1318" customWidth="1"/>
    <col min="2054" max="2054" width="47.45" style="1318" customWidth="1"/>
    <col min="2055" max="2055" width="13" style="1318" customWidth="1"/>
    <col min="2056" max="2057" width="8.90833333333333" style="1318"/>
    <col min="2058" max="2058" width="5.725" style="1318" customWidth="1"/>
    <col min="2059" max="2059" width="11.725" style="1318" customWidth="1"/>
    <col min="2060" max="2061" width="10.725" style="1318" customWidth="1"/>
    <col min="2062" max="2062" width="10" style="1318" customWidth="1"/>
    <col min="2063" max="2064" width="10.45" style="1318" customWidth="1"/>
    <col min="2065" max="2065" width="10" style="1318" customWidth="1"/>
    <col min="2066" max="2066" width="10.0916666666667" style="1318" customWidth="1"/>
    <col min="2067" max="2067" width="10" style="1318" customWidth="1"/>
    <col min="2068" max="2068" width="26.0916666666667" style="1318" customWidth="1"/>
    <col min="2069" max="2304" width="8.90833333333333" style="1318"/>
    <col min="2305" max="2305" width="9.45" style="1318" customWidth="1"/>
    <col min="2306" max="2306" width="8.90833333333333" style="1318"/>
    <col min="2307" max="2309" width="12.9083333333333" style="1318" customWidth="1"/>
    <col min="2310" max="2310" width="47.45" style="1318" customWidth="1"/>
    <col min="2311" max="2311" width="13" style="1318" customWidth="1"/>
    <col min="2312" max="2313" width="8.90833333333333" style="1318"/>
    <col min="2314" max="2314" width="5.725" style="1318" customWidth="1"/>
    <col min="2315" max="2315" width="11.725" style="1318" customWidth="1"/>
    <col min="2316" max="2317" width="10.725" style="1318" customWidth="1"/>
    <col min="2318" max="2318" width="10" style="1318" customWidth="1"/>
    <col min="2319" max="2320" width="10.45" style="1318" customWidth="1"/>
    <col min="2321" max="2321" width="10" style="1318" customWidth="1"/>
    <col min="2322" max="2322" width="10.0916666666667" style="1318" customWidth="1"/>
    <col min="2323" max="2323" width="10" style="1318" customWidth="1"/>
    <col min="2324" max="2324" width="26.0916666666667" style="1318" customWidth="1"/>
    <col min="2325" max="2560" width="8.90833333333333" style="1318"/>
    <col min="2561" max="2561" width="9.45" style="1318" customWidth="1"/>
    <col min="2562" max="2562" width="8.90833333333333" style="1318"/>
    <col min="2563" max="2565" width="12.9083333333333" style="1318" customWidth="1"/>
    <col min="2566" max="2566" width="47.45" style="1318" customWidth="1"/>
    <col min="2567" max="2567" width="13" style="1318" customWidth="1"/>
    <col min="2568" max="2569" width="8.90833333333333" style="1318"/>
    <col min="2570" max="2570" width="5.725" style="1318" customWidth="1"/>
    <col min="2571" max="2571" width="11.725" style="1318" customWidth="1"/>
    <col min="2572" max="2573" width="10.725" style="1318" customWidth="1"/>
    <col min="2574" max="2574" width="10" style="1318" customWidth="1"/>
    <col min="2575" max="2576" width="10.45" style="1318" customWidth="1"/>
    <col min="2577" max="2577" width="10" style="1318" customWidth="1"/>
    <col min="2578" max="2578" width="10.0916666666667" style="1318" customWidth="1"/>
    <col min="2579" max="2579" width="10" style="1318" customWidth="1"/>
    <col min="2580" max="2580" width="26.0916666666667" style="1318" customWidth="1"/>
    <col min="2581" max="2816" width="8.90833333333333" style="1318"/>
    <col min="2817" max="2817" width="9.45" style="1318" customWidth="1"/>
    <col min="2818" max="2818" width="8.90833333333333" style="1318"/>
    <col min="2819" max="2821" width="12.9083333333333" style="1318" customWidth="1"/>
    <col min="2822" max="2822" width="47.45" style="1318" customWidth="1"/>
    <col min="2823" max="2823" width="13" style="1318" customWidth="1"/>
    <col min="2824" max="2825" width="8.90833333333333" style="1318"/>
    <col min="2826" max="2826" width="5.725" style="1318" customWidth="1"/>
    <col min="2827" max="2827" width="11.725" style="1318" customWidth="1"/>
    <col min="2828" max="2829" width="10.725" style="1318" customWidth="1"/>
    <col min="2830" max="2830" width="10" style="1318" customWidth="1"/>
    <col min="2831" max="2832" width="10.45" style="1318" customWidth="1"/>
    <col min="2833" max="2833" width="10" style="1318" customWidth="1"/>
    <col min="2834" max="2834" width="10.0916666666667" style="1318" customWidth="1"/>
    <col min="2835" max="2835" width="10" style="1318" customWidth="1"/>
    <col min="2836" max="2836" width="26.0916666666667" style="1318" customWidth="1"/>
    <col min="2837" max="3072" width="8.90833333333333" style="1318"/>
    <col min="3073" max="3073" width="9.45" style="1318" customWidth="1"/>
    <col min="3074" max="3074" width="8.90833333333333" style="1318"/>
    <col min="3075" max="3077" width="12.9083333333333" style="1318" customWidth="1"/>
    <col min="3078" max="3078" width="47.45" style="1318" customWidth="1"/>
    <col min="3079" max="3079" width="13" style="1318" customWidth="1"/>
    <col min="3080" max="3081" width="8.90833333333333" style="1318"/>
    <col min="3082" max="3082" width="5.725" style="1318" customWidth="1"/>
    <col min="3083" max="3083" width="11.725" style="1318" customWidth="1"/>
    <col min="3084" max="3085" width="10.725" style="1318" customWidth="1"/>
    <col min="3086" max="3086" width="10" style="1318" customWidth="1"/>
    <col min="3087" max="3088" width="10.45" style="1318" customWidth="1"/>
    <col min="3089" max="3089" width="10" style="1318" customWidth="1"/>
    <col min="3090" max="3090" width="10.0916666666667" style="1318" customWidth="1"/>
    <col min="3091" max="3091" width="10" style="1318" customWidth="1"/>
    <col min="3092" max="3092" width="26.0916666666667" style="1318" customWidth="1"/>
    <col min="3093" max="3328" width="8.90833333333333" style="1318"/>
    <col min="3329" max="3329" width="9.45" style="1318" customWidth="1"/>
    <col min="3330" max="3330" width="8.90833333333333" style="1318"/>
    <col min="3331" max="3333" width="12.9083333333333" style="1318" customWidth="1"/>
    <col min="3334" max="3334" width="47.45" style="1318" customWidth="1"/>
    <col min="3335" max="3335" width="13" style="1318" customWidth="1"/>
    <col min="3336" max="3337" width="8.90833333333333" style="1318"/>
    <col min="3338" max="3338" width="5.725" style="1318" customWidth="1"/>
    <col min="3339" max="3339" width="11.725" style="1318" customWidth="1"/>
    <col min="3340" max="3341" width="10.725" style="1318" customWidth="1"/>
    <col min="3342" max="3342" width="10" style="1318" customWidth="1"/>
    <col min="3343" max="3344" width="10.45" style="1318" customWidth="1"/>
    <col min="3345" max="3345" width="10" style="1318" customWidth="1"/>
    <col min="3346" max="3346" width="10.0916666666667" style="1318" customWidth="1"/>
    <col min="3347" max="3347" width="10" style="1318" customWidth="1"/>
    <col min="3348" max="3348" width="26.0916666666667" style="1318" customWidth="1"/>
    <col min="3349" max="3584" width="8.90833333333333" style="1318"/>
    <col min="3585" max="3585" width="9.45" style="1318" customWidth="1"/>
    <col min="3586" max="3586" width="8.90833333333333" style="1318"/>
    <col min="3587" max="3589" width="12.9083333333333" style="1318" customWidth="1"/>
    <col min="3590" max="3590" width="47.45" style="1318" customWidth="1"/>
    <col min="3591" max="3591" width="13" style="1318" customWidth="1"/>
    <col min="3592" max="3593" width="8.90833333333333" style="1318"/>
    <col min="3594" max="3594" width="5.725" style="1318" customWidth="1"/>
    <col min="3595" max="3595" width="11.725" style="1318" customWidth="1"/>
    <col min="3596" max="3597" width="10.725" style="1318" customWidth="1"/>
    <col min="3598" max="3598" width="10" style="1318" customWidth="1"/>
    <col min="3599" max="3600" width="10.45" style="1318" customWidth="1"/>
    <col min="3601" max="3601" width="10" style="1318" customWidth="1"/>
    <col min="3602" max="3602" width="10.0916666666667" style="1318" customWidth="1"/>
    <col min="3603" max="3603" width="10" style="1318" customWidth="1"/>
    <col min="3604" max="3604" width="26.0916666666667" style="1318" customWidth="1"/>
    <col min="3605" max="3840" width="8.90833333333333" style="1318"/>
    <col min="3841" max="3841" width="9.45" style="1318" customWidth="1"/>
    <col min="3842" max="3842" width="8.90833333333333" style="1318"/>
    <col min="3843" max="3845" width="12.9083333333333" style="1318" customWidth="1"/>
    <col min="3846" max="3846" width="47.45" style="1318" customWidth="1"/>
    <col min="3847" max="3847" width="13" style="1318" customWidth="1"/>
    <col min="3848" max="3849" width="8.90833333333333" style="1318"/>
    <col min="3850" max="3850" width="5.725" style="1318" customWidth="1"/>
    <col min="3851" max="3851" width="11.725" style="1318" customWidth="1"/>
    <col min="3852" max="3853" width="10.725" style="1318" customWidth="1"/>
    <col min="3854" max="3854" width="10" style="1318" customWidth="1"/>
    <col min="3855" max="3856" width="10.45" style="1318" customWidth="1"/>
    <col min="3857" max="3857" width="10" style="1318" customWidth="1"/>
    <col min="3858" max="3858" width="10.0916666666667" style="1318" customWidth="1"/>
    <col min="3859" max="3859" width="10" style="1318" customWidth="1"/>
    <col min="3860" max="3860" width="26.0916666666667" style="1318" customWidth="1"/>
    <col min="3861" max="4096" width="8.90833333333333" style="1318"/>
    <col min="4097" max="4097" width="9.45" style="1318" customWidth="1"/>
    <col min="4098" max="4098" width="8.90833333333333" style="1318"/>
    <col min="4099" max="4101" width="12.9083333333333" style="1318" customWidth="1"/>
    <col min="4102" max="4102" width="47.45" style="1318" customWidth="1"/>
    <col min="4103" max="4103" width="13" style="1318" customWidth="1"/>
    <col min="4104" max="4105" width="8.90833333333333" style="1318"/>
    <col min="4106" max="4106" width="5.725" style="1318" customWidth="1"/>
    <col min="4107" max="4107" width="11.725" style="1318" customWidth="1"/>
    <col min="4108" max="4109" width="10.725" style="1318" customWidth="1"/>
    <col min="4110" max="4110" width="10" style="1318" customWidth="1"/>
    <col min="4111" max="4112" width="10.45" style="1318" customWidth="1"/>
    <col min="4113" max="4113" width="10" style="1318" customWidth="1"/>
    <col min="4114" max="4114" width="10.0916666666667" style="1318" customWidth="1"/>
    <col min="4115" max="4115" width="10" style="1318" customWidth="1"/>
    <col min="4116" max="4116" width="26.0916666666667" style="1318" customWidth="1"/>
    <col min="4117" max="4352" width="8.90833333333333" style="1318"/>
    <col min="4353" max="4353" width="9.45" style="1318" customWidth="1"/>
    <col min="4354" max="4354" width="8.90833333333333" style="1318"/>
    <col min="4355" max="4357" width="12.9083333333333" style="1318" customWidth="1"/>
    <col min="4358" max="4358" width="47.45" style="1318" customWidth="1"/>
    <col min="4359" max="4359" width="13" style="1318" customWidth="1"/>
    <col min="4360" max="4361" width="8.90833333333333" style="1318"/>
    <col min="4362" max="4362" width="5.725" style="1318" customWidth="1"/>
    <col min="4363" max="4363" width="11.725" style="1318" customWidth="1"/>
    <col min="4364" max="4365" width="10.725" style="1318" customWidth="1"/>
    <col min="4366" max="4366" width="10" style="1318" customWidth="1"/>
    <col min="4367" max="4368" width="10.45" style="1318" customWidth="1"/>
    <col min="4369" max="4369" width="10" style="1318" customWidth="1"/>
    <col min="4370" max="4370" width="10.0916666666667" style="1318" customWidth="1"/>
    <col min="4371" max="4371" width="10" style="1318" customWidth="1"/>
    <col min="4372" max="4372" width="26.0916666666667" style="1318" customWidth="1"/>
    <col min="4373" max="4608" width="8.90833333333333" style="1318"/>
    <col min="4609" max="4609" width="9.45" style="1318" customWidth="1"/>
    <col min="4610" max="4610" width="8.90833333333333" style="1318"/>
    <col min="4611" max="4613" width="12.9083333333333" style="1318" customWidth="1"/>
    <col min="4614" max="4614" width="47.45" style="1318" customWidth="1"/>
    <col min="4615" max="4615" width="13" style="1318" customWidth="1"/>
    <col min="4616" max="4617" width="8.90833333333333" style="1318"/>
    <col min="4618" max="4618" width="5.725" style="1318" customWidth="1"/>
    <col min="4619" max="4619" width="11.725" style="1318" customWidth="1"/>
    <col min="4620" max="4621" width="10.725" style="1318" customWidth="1"/>
    <col min="4622" max="4622" width="10" style="1318" customWidth="1"/>
    <col min="4623" max="4624" width="10.45" style="1318" customWidth="1"/>
    <col min="4625" max="4625" width="10" style="1318" customWidth="1"/>
    <col min="4626" max="4626" width="10.0916666666667" style="1318" customWidth="1"/>
    <col min="4627" max="4627" width="10" style="1318" customWidth="1"/>
    <col min="4628" max="4628" width="26.0916666666667" style="1318" customWidth="1"/>
    <col min="4629" max="4864" width="8.90833333333333" style="1318"/>
    <col min="4865" max="4865" width="9.45" style="1318" customWidth="1"/>
    <col min="4866" max="4866" width="8.90833333333333" style="1318"/>
    <col min="4867" max="4869" width="12.9083333333333" style="1318" customWidth="1"/>
    <col min="4870" max="4870" width="47.45" style="1318" customWidth="1"/>
    <col min="4871" max="4871" width="13" style="1318" customWidth="1"/>
    <col min="4872" max="4873" width="8.90833333333333" style="1318"/>
    <col min="4874" max="4874" width="5.725" style="1318" customWidth="1"/>
    <col min="4875" max="4875" width="11.725" style="1318" customWidth="1"/>
    <col min="4876" max="4877" width="10.725" style="1318" customWidth="1"/>
    <col min="4878" max="4878" width="10" style="1318" customWidth="1"/>
    <col min="4879" max="4880" width="10.45" style="1318" customWidth="1"/>
    <col min="4881" max="4881" width="10" style="1318" customWidth="1"/>
    <col min="4882" max="4882" width="10.0916666666667" style="1318" customWidth="1"/>
    <col min="4883" max="4883" width="10" style="1318" customWidth="1"/>
    <col min="4884" max="4884" width="26.0916666666667" style="1318" customWidth="1"/>
    <col min="4885" max="5120" width="8.90833333333333" style="1318"/>
    <col min="5121" max="5121" width="9.45" style="1318" customWidth="1"/>
    <col min="5122" max="5122" width="8.90833333333333" style="1318"/>
    <col min="5123" max="5125" width="12.9083333333333" style="1318" customWidth="1"/>
    <col min="5126" max="5126" width="47.45" style="1318" customWidth="1"/>
    <col min="5127" max="5127" width="13" style="1318" customWidth="1"/>
    <col min="5128" max="5129" width="8.90833333333333" style="1318"/>
    <col min="5130" max="5130" width="5.725" style="1318" customWidth="1"/>
    <col min="5131" max="5131" width="11.725" style="1318" customWidth="1"/>
    <col min="5132" max="5133" width="10.725" style="1318" customWidth="1"/>
    <col min="5134" max="5134" width="10" style="1318" customWidth="1"/>
    <col min="5135" max="5136" width="10.45" style="1318" customWidth="1"/>
    <col min="5137" max="5137" width="10" style="1318" customWidth="1"/>
    <col min="5138" max="5138" width="10.0916666666667" style="1318" customWidth="1"/>
    <col min="5139" max="5139" width="10" style="1318" customWidth="1"/>
    <col min="5140" max="5140" width="26.0916666666667" style="1318" customWidth="1"/>
    <col min="5141" max="5376" width="8.90833333333333" style="1318"/>
    <col min="5377" max="5377" width="9.45" style="1318" customWidth="1"/>
    <col min="5378" max="5378" width="8.90833333333333" style="1318"/>
    <col min="5379" max="5381" width="12.9083333333333" style="1318" customWidth="1"/>
    <col min="5382" max="5382" width="47.45" style="1318" customWidth="1"/>
    <col min="5383" max="5383" width="13" style="1318" customWidth="1"/>
    <col min="5384" max="5385" width="8.90833333333333" style="1318"/>
    <col min="5386" max="5386" width="5.725" style="1318" customWidth="1"/>
    <col min="5387" max="5387" width="11.725" style="1318" customWidth="1"/>
    <col min="5388" max="5389" width="10.725" style="1318" customWidth="1"/>
    <col min="5390" max="5390" width="10" style="1318" customWidth="1"/>
    <col min="5391" max="5392" width="10.45" style="1318" customWidth="1"/>
    <col min="5393" max="5393" width="10" style="1318" customWidth="1"/>
    <col min="5394" max="5394" width="10.0916666666667" style="1318" customWidth="1"/>
    <col min="5395" max="5395" width="10" style="1318" customWidth="1"/>
    <col min="5396" max="5396" width="26.0916666666667" style="1318" customWidth="1"/>
    <col min="5397" max="5632" width="8.90833333333333" style="1318"/>
    <col min="5633" max="5633" width="9.45" style="1318" customWidth="1"/>
    <col min="5634" max="5634" width="8.90833333333333" style="1318"/>
    <col min="5635" max="5637" width="12.9083333333333" style="1318" customWidth="1"/>
    <col min="5638" max="5638" width="47.45" style="1318" customWidth="1"/>
    <col min="5639" max="5639" width="13" style="1318" customWidth="1"/>
    <col min="5640" max="5641" width="8.90833333333333" style="1318"/>
    <col min="5642" max="5642" width="5.725" style="1318" customWidth="1"/>
    <col min="5643" max="5643" width="11.725" style="1318" customWidth="1"/>
    <col min="5644" max="5645" width="10.725" style="1318" customWidth="1"/>
    <col min="5646" max="5646" width="10" style="1318" customWidth="1"/>
    <col min="5647" max="5648" width="10.45" style="1318" customWidth="1"/>
    <col min="5649" max="5649" width="10" style="1318" customWidth="1"/>
    <col min="5650" max="5650" width="10.0916666666667" style="1318" customWidth="1"/>
    <col min="5651" max="5651" width="10" style="1318" customWidth="1"/>
    <col min="5652" max="5652" width="26.0916666666667" style="1318" customWidth="1"/>
    <col min="5653" max="5888" width="8.90833333333333" style="1318"/>
    <col min="5889" max="5889" width="9.45" style="1318" customWidth="1"/>
    <col min="5890" max="5890" width="8.90833333333333" style="1318"/>
    <col min="5891" max="5893" width="12.9083333333333" style="1318" customWidth="1"/>
    <col min="5894" max="5894" width="47.45" style="1318" customWidth="1"/>
    <col min="5895" max="5895" width="13" style="1318" customWidth="1"/>
    <col min="5896" max="5897" width="8.90833333333333" style="1318"/>
    <col min="5898" max="5898" width="5.725" style="1318" customWidth="1"/>
    <col min="5899" max="5899" width="11.725" style="1318" customWidth="1"/>
    <col min="5900" max="5901" width="10.725" style="1318" customWidth="1"/>
    <col min="5902" max="5902" width="10" style="1318" customWidth="1"/>
    <col min="5903" max="5904" width="10.45" style="1318" customWidth="1"/>
    <col min="5905" max="5905" width="10" style="1318" customWidth="1"/>
    <col min="5906" max="5906" width="10.0916666666667" style="1318" customWidth="1"/>
    <col min="5907" max="5907" width="10" style="1318" customWidth="1"/>
    <col min="5908" max="5908" width="26.0916666666667" style="1318" customWidth="1"/>
    <col min="5909" max="6144" width="8.90833333333333" style="1318"/>
    <col min="6145" max="6145" width="9.45" style="1318" customWidth="1"/>
    <col min="6146" max="6146" width="8.90833333333333" style="1318"/>
    <col min="6147" max="6149" width="12.9083333333333" style="1318" customWidth="1"/>
    <col min="6150" max="6150" width="47.45" style="1318" customWidth="1"/>
    <col min="6151" max="6151" width="13" style="1318" customWidth="1"/>
    <col min="6152" max="6153" width="8.90833333333333" style="1318"/>
    <col min="6154" max="6154" width="5.725" style="1318" customWidth="1"/>
    <col min="6155" max="6155" width="11.725" style="1318" customWidth="1"/>
    <col min="6156" max="6157" width="10.725" style="1318" customWidth="1"/>
    <col min="6158" max="6158" width="10" style="1318" customWidth="1"/>
    <col min="6159" max="6160" width="10.45" style="1318" customWidth="1"/>
    <col min="6161" max="6161" width="10" style="1318" customWidth="1"/>
    <col min="6162" max="6162" width="10.0916666666667" style="1318" customWidth="1"/>
    <col min="6163" max="6163" width="10" style="1318" customWidth="1"/>
    <col min="6164" max="6164" width="26.0916666666667" style="1318" customWidth="1"/>
    <col min="6165" max="6400" width="8.90833333333333" style="1318"/>
    <col min="6401" max="6401" width="9.45" style="1318" customWidth="1"/>
    <col min="6402" max="6402" width="8.90833333333333" style="1318"/>
    <col min="6403" max="6405" width="12.9083333333333" style="1318" customWidth="1"/>
    <col min="6406" max="6406" width="47.45" style="1318" customWidth="1"/>
    <col min="6407" max="6407" width="13" style="1318" customWidth="1"/>
    <col min="6408" max="6409" width="8.90833333333333" style="1318"/>
    <col min="6410" max="6410" width="5.725" style="1318" customWidth="1"/>
    <col min="6411" max="6411" width="11.725" style="1318" customWidth="1"/>
    <col min="6412" max="6413" width="10.725" style="1318" customWidth="1"/>
    <col min="6414" max="6414" width="10" style="1318" customWidth="1"/>
    <col min="6415" max="6416" width="10.45" style="1318" customWidth="1"/>
    <col min="6417" max="6417" width="10" style="1318" customWidth="1"/>
    <col min="6418" max="6418" width="10.0916666666667" style="1318" customWidth="1"/>
    <col min="6419" max="6419" width="10" style="1318" customWidth="1"/>
    <col min="6420" max="6420" width="26.0916666666667" style="1318" customWidth="1"/>
    <col min="6421" max="6656" width="8.90833333333333" style="1318"/>
    <col min="6657" max="6657" width="9.45" style="1318" customWidth="1"/>
    <col min="6658" max="6658" width="8.90833333333333" style="1318"/>
    <col min="6659" max="6661" width="12.9083333333333" style="1318" customWidth="1"/>
    <col min="6662" max="6662" width="47.45" style="1318" customWidth="1"/>
    <col min="6663" max="6663" width="13" style="1318" customWidth="1"/>
    <col min="6664" max="6665" width="8.90833333333333" style="1318"/>
    <col min="6666" max="6666" width="5.725" style="1318" customWidth="1"/>
    <col min="6667" max="6667" width="11.725" style="1318" customWidth="1"/>
    <col min="6668" max="6669" width="10.725" style="1318" customWidth="1"/>
    <col min="6670" max="6670" width="10" style="1318" customWidth="1"/>
    <col min="6671" max="6672" width="10.45" style="1318" customWidth="1"/>
    <col min="6673" max="6673" width="10" style="1318" customWidth="1"/>
    <col min="6674" max="6674" width="10.0916666666667" style="1318" customWidth="1"/>
    <col min="6675" max="6675" width="10" style="1318" customWidth="1"/>
    <col min="6676" max="6676" width="26.0916666666667" style="1318" customWidth="1"/>
    <col min="6677" max="6912" width="8.90833333333333" style="1318"/>
    <col min="6913" max="6913" width="9.45" style="1318" customWidth="1"/>
    <col min="6914" max="6914" width="8.90833333333333" style="1318"/>
    <col min="6915" max="6917" width="12.9083333333333" style="1318" customWidth="1"/>
    <col min="6918" max="6918" width="47.45" style="1318" customWidth="1"/>
    <col min="6919" max="6919" width="13" style="1318" customWidth="1"/>
    <col min="6920" max="6921" width="8.90833333333333" style="1318"/>
    <col min="6922" max="6922" width="5.725" style="1318" customWidth="1"/>
    <col min="6923" max="6923" width="11.725" style="1318" customWidth="1"/>
    <col min="6924" max="6925" width="10.725" style="1318" customWidth="1"/>
    <col min="6926" max="6926" width="10" style="1318" customWidth="1"/>
    <col min="6927" max="6928" width="10.45" style="1318" customWidth="1"/>
    <col min="6929" max="6929" width="10" style="1318" customWidth="1"/>
    <col min="6930" max="6930" width="10.0916666666667" style="1318" customWidth="1"/>
    <col min="6931" max="6931" width="10" style="1318" customWidth="1"/>
    <col min="6932" max="6932" width="26.0916666666667" style="1318" customWidth="1"/>
    <col min="6933" max="7168" width="8.90833333333333" style="1318"/>
    <col min="7169" max="7169" width="9.45" style="1318" customWidth="1"/>
    <col min="7170" max="7170" width="8.90833333333333" style="1318"/>
    <col min="7171" max="7173" width="12.9083333333333" style="1318" customWidth="1"/>
    <col min="7174" max="7174" width="47.45" style="1318" customWidth="1"/>
    <col min="7175" max="7175" width="13" style="1318" customWidth="1"/>
    <col min="7176" max="7177" width="8.90833333333333" style="1318"/>
    <col min="7178" max="7178" width="5.725" style="1318" customWidth="1"/>
    <col min="7179" max="7179" width="11.725" style="1318" customWidth="1"/>
    <col min="7180" max="7181" width="10.725" style="1318" customWidth="1"/>
    <col min="7182" max="7182" width="10" style="1318" customWidth="1"/>
    <col min="7183" max="7184" width="10.45" style="1318" customWidth="1"/>
    <col min="7185" max="7185" width="10" style="1318" customWidth="1"/>
    <col min="7186" max="7186" width="10.0916666666667" style="1318" customWidth="1"/>
    <col min="7187" max="7187" width="10" style="1318" customWidth="1"/>
    <col min="7188" max="7188" width="26.0916666666667" style="1318" customWidth="1"/>
    <col min="7189" max="7424" width="8.90833333333333" style="1318"/>
    <col min="7425" max="7425" width="9.45" style="1318" customWidth="1"/>
    <col min="7426" max="7426" width="8.90833333333333" style="1318"/>
    <col min="7427" max="7429" width="12.9083333333333" style="1318" customWidth="1"/>
    <col min="7430" max="7430" width="47.45" style="1318" customWidth="1"/>
    <col min="7431" max="7431" width="13" style="1318" customWidth="1"/>
    <col min="7432" max="7433" width="8.90833333333333" style="1318"/>
    <col min="7434" max="7434" width="5.725" style="1318" customWidth="1"/>
    <col min="7435" max="7435" width="11.725" style="1318" customWidth="1"/>
    <col min="7436" max="7437" width="10.725" style="1318" customWidth="1"/>
    <col min="7438" max="7438" width="10" style="1318" customWidth="1"/>
    <col min="7439" max="7440" width="10.45" style="1318" customWidth="1"/>
    <col min="7441" max="7441" width="10" style="1318" customWidth="1"/>
    <col min="7442" max="7442" width="10.0916666666667" style="1318" customWidth="1"/>
    <col min="7443" max="7443" width="10" style="1318" customWidth="1"/>
    <col min="7444" max="7444" width="26.0916666666667" style="1318" customWidth="1"/>
    <col min="7445" max="7680" width="8.90833333333333" style="1318"/>
    <col min="7681" max="7681" width="9.45" style="1318" customWidth="1"/>
    <col min="7682" max="7682" width="8.90833333333333" style="1318"/>
    <col min="7683" max="7685" width="12.9083333333333" style="1318" customWidth="1"/>
    <col min="7686" max="7686" width="47.45" style="1318" customWidth="1"/>
    <col min="7687" max="7687" width="13" style="1318" customWidth="1"/>
    <col min="7688" max="7689" width="8.90833333333333" style="1318"/>
    <col min="7690" max="7690" width="5.725" style="1318" customWidth="1"/>
    <col min="7691" max="7691" width="11.725" style="1318" customWidth="1"/>
    <col min="7692" max="7693" width="10.725" style="1318" customWidth="1"/>
    <col min="7694" max="7694" width="10" style="1318" customWidth="1"/>
    <col min="7695" max="7696" width="10.45" style="1318" customWidth="1"/>
    <col min="7697" max="7697" width="10" style="1318" customWidth="1"/>
    <col min="7698" max="7698" width="10.0916666666667" style="1318" customWidth="1"/>
    <col min="7699" max="7699" width="10" style="1318" customWidth="1"/>
    <col min="7700" max="7700" width="26.0916666666667" style="1318" customWidth="1"/>
    <col min="7701" max="7936" width="8.90833333333333" style="1318"/>
    <col min="7937" max="7937" width="9.45" style="1318" customWidth="1"/>
    <col min="7938" max="7938" width="8.90833333333333" style="1318"/>
    <col min="7939" max="7941" width="12.9083333333333" style="1318" customWidth="1"/>
    <col min="7942" max="7942" width="47.45" style="1318" customWidth="1"/>
    <col min="7943" max="7943" width="13" style="1318" customWidth="1"/>
    <col min="7944" max="7945" width="8.90833333333333" style="1318"/>
    <col min="7946" max="7946" width="5.725" style="1318" customWidth="1"/>
    <col min="7947" max="7947" width="11.725" style="1318" customWidth="1"/>
    <col min="7948" max="7949" width="10.725" style="1318" customWidth="1"/>
    <col min="7950" max="7950" width="10" style="1318" customWidth="1"/>
    <col min="7951" max="7952" width="10.45" style="1318" customWidth="1"/>
    <col min="7953" max="7953" width="10" style="1318" customWidth="1"/>
    <col min="7954" max="7954" width="10.0916666666667" style="1318" customWidth="1"/>
    <col min="7955" max="7955" width="10" style="1318" customWidth="1"/>
    <col min="7956" max="7956" width="26.0916666666667" style="1318" customWidth="1"/>
    <col min="7957" max="8192" width="8.90833333333333" style="1318"/>
    <col min="8193" max="8193" width="9.45" style="1318" customWidth="1"/>
    <col min="8194" max="8194" width="8.90833333333333" style="1318"/>
    <col min="8195" max="8197" width="12.9083333333333" style="1318" customWidth="1"/>
    <col min="8198" max="8198" width="47.45" style="1318" customWidth="1"/>
    <col min="8199" max="8199" width="13" style="1318" customWidth="1"/>
    <col min="8200" max="8201" width="8.90833333333333" style="1318"/>
    <col min="8202" max="8202" width="5.725" style="1318" customWidth="1"/>
    <col min="8203" max="8203" width="11.725" style="1318" customWidth="1"/>
    <col min="8204" max="8205" width="10.725" style="1318" customWidth="1"/>
    <col min="8206" max="8206" width="10" style="1318" customWidth="1"/>
    <col min="8207" max="8208" width="10.45" style="1318" customWidth="1"/>
    <col min="8209" max="8209" width="10" style="1318" customWidth="1"/>
    <col min="8210" max="8210" width="10.0916666666667" style="1318" customWidth="1"/>
    <col min="8211" max="8211" width="10" style="1318" customWidth="1"/>
    <col min="8212" max="8212" width="26.0916666666667" style="1318" customWidth="1"/>
    <col min="8213" max="8448" width="8.90833333333333" style="1318"/>
    <col min="8449" max="8449" width="9.45" style="1318" customWidth="1"/>
    <col min="8450" max="8450" width="8.90833333333333" style="1318"/>
    <col min="8451" max="8453" width="12.9083333333333" style="1318" customWidth="1"/>
    <col min="8454" max="8454" width="47.45" style="1318" customWidth="1"/>
    <col min="8455" max="8455" width="13" style="1318" customWidth="1"/>
    <col min="8456" max="8457" width="8.90833333333333" style="1318"/>
    <col min="8458" max="8458" width="5.725" style="1318" customWidth="1"/>
    <col min="8459" max="8459" width="11.725" style="1318" customWidth="1"/>
    <col min="8460" max="8461" width="10.725" style="1318" customWidth="1"/>
    <col min="8462" max="8462" width="10" style="1318" customWidth="1"/>
    <col min="8463" max="8464" width="10.45" style="1318" customWidth="1"/>
    <col min="8465" max="8465" width="10" style="1318" customWidth="1"/>
    <col min="8466" max="8466" width="10.0916666666667" style="1318" customWidth="1"/>
    <col min="8467" max="8467" width="10" style="1318" customWidth="1"/>
    <col min="8468" max="8468" width="26.0916666666667" style="1318" customWidth="1"/>
    <col min="8469" max="8704" width="8.90833333333333" style="1318"/>
    <col min="8705" max="8705" width="9.45" style="1318" customWidth="1"/>
    <col min="8706" max="8706" width="8.90833333333333" style="1318"/>
    <col min="8707" max="8709" width="12.9083333333333" style="1318" customWidth="1"/>
    <col min="8710" max="8710" width="47.45" style="1318" customWidth="1"/>
    <col min="8711" max="8711" width="13" style="1318" customWidth="1"/>
    <col min="8712" max="8713" width="8.90833333333333" style="1318"/>
    <col min="8714" max="8714" width="5.725" style="1318" customWidth="1"/>
    <col min="8715" max="8715" width="11.725" style="1318" customWidth="1"/>
    <col min="8716" max="8717" width="10.725" style="1318" customWidth="1"/>
    <col min="8718" max="8718" width="10" style="1318" customWidth="1"/>
    <col min="8719" max="8720" width="10.45" style="1318" customWidth="1"/>
    <col min="8721" max="8721" width="10" style="1318" customWidth="1"/>
    <col min="8722" max="8722" width="10.0916666666667" style="1318" customWidth="1"/>
    <col min="8723" max="8723" width="10" style="1318" customWidth="1"/>
    <col min="8724" max="8724" width="26.0916666666667" style="1318" customWidth="1"/>
    <col min="8725" max="8960" width="8.90833333333333" style="1318"/>
    <col min="8961" max="8961" width="9.45" style="1318" customWidth="1"/>
    <col min="8962" max="8962" width="8.90833333333333" style="1318"/>
    <col min="8963" max="8965" width="12.9083333333333" style="1318" customWidth="1"/>
    <col min="8966" max="8966" width="47.45" style="1318" customWidth="1"/>
    <col min="8967" max="8967" width="13" style="1318" customWidth="1"/>
    <col min="8968" max="8969" width="8.90833333333333" style="1318"/>
    <col min="8970" max="8970" width="5.725" style="1318" customWidth="1"/>
    <col min="8971" max="8971" width="11.725" style="1318" customWidth="1"/>
    <col min="8972" max="8973" width="10.725" style="1318" customWidth="1"/>
    <col min="8974" max="8974" width="10" style="1318" customWidth="1"/>
    <col min="8975" max="8976" width="10.45" style="1318" customWidth="1"/>
    <col min="8977" max="8977" width="10" style="1318" customWidth="1"/>
    <col min="8978" max="8978" width="10.0916666666667" style="1318" customWidth="1"/>
    <col min="8979" max="8979" width="10" style="1318" customWidth="1"/>
    <col min="8980" max="8980" width="26.0916666666667" style="1318" customWidth="1"/>
    <col min="8981" max="9216" width="8.90833333333333" style="1318"/>
    <col min="9217" max="9217" width="9.45" style="1318" customWidth="1"/>
    <col min="9218" max="9218" width="8.90833333333333" style="1318"/>
    <col min="9219" max="9221" width="12.9083333333333" style="1318" customWidth="1"/>
    <col min="9222" max="9222" width="47.45" style="1318" customWidth="1"/>
    <col min="9223" max="9223" width="13" style="1318" customWidth="1"/>
    <col min="9224" max="9225" width="8.90833333333333" style="1318"/>
    <col min="9226" max="9226" width="5.725" style="1318" customWidth="1"/>
    <col min="9227" max="9227" width="11.725" style="1318" customWidth="1"/>
    <col min="9228" max="9229" width="10.725" style="1318" customWidth="1"/>
    <col min="9230" max="9230" width="10" style="1318" customWidth="1"/>
    <col min="9231" max="9232" width="10.45" style="1318" customWidth="1"/>
    <col min="9233" max="9233" width="10" style="1318" customWidth="1"/>
    <col min="9234" max="9234" width="10.0916666666667" style="1318" customWidth="1"/>
    <col min="9235" max="9235" width="10" style="1318" customWidth="1"/>
    <col min="9236" max="9236" width="26.0916666666667" style="1318" customWidth="1"/>
    <col min="9237" max="9472" width="8.90833333333333" style="1318"/>
    <col min="9473" max="9473" width="9.45" style="1318" customWidth="1"/>
    <col min="9474" max="9474" width="8.90833333333333" style="1318"/>
    <col min="9475" max="9477" width="12.9083333333333" style="1318" customWidth="1"/>
    <col min="9478" max="9478" width="47.45" style="1318" customWidth="1"/>
    <col min="9479" max="9479" width="13" style="1318" customWidth="1"/>
    <col min="9480" max="9481" width="8.90833333333333" style="1318"/>
    <col min="9482" max="9482" width="5.725" style="1318" customWidth="1"/>
    <col min="9483" max="9483" width="11.725" style="1318" customWidth="1"/>
    <col min="9484" max="9485" width="10.725" style="1318" customWidth="1"/>
    <col min="9486" max="9486" width="10" style="1318" customWidth="1"/>
    <col min="9487" max="9488" width="10.45" style="1318" customWidth="1"/>
    <col min="9489" max="9489" width="10" style="1318" customWidth="1"/>
    <col min="9490" max="9490" width="10.0916666666667" style="1318" customWidth="1"/>
    <col min="9491" max="9491" width="10" style="1318" customWidth="1"/>
    <col min="9492" max="9492" width="26.0916666666667" style="1318" customWidth="1"/>
    <col min="9493" max="9728" width="8.90833333333333" style="1318"/>
    <col min="9729" max="9729" width="9.45" style="1318" customWidth="1"/>
    <col min="9730" max="9730" width="8.90833333333333" style="1318"/>
    <col min="9731" max="9733" width="12.9083333333333" style="1318" customWidth="1"/>
    <col min="9734" max="9734" width="47.45" style="1318" customWidth="1"/>
    <col min="9735" max="9735" width="13" style="1318" customWidth="1"/>
    <col min="9736" max="9737" width="8.90833333333333" style="1318"/>
    <col min="9738" max="9738" width="5.725" style="1318" customWidth="1"/>
    <col min="9739" max="9739" width="11.725" style="1318" customWidth="1"/>
    <col min="9740" max="9741" width="10.725" style="1318" customWidth="1"/>
    <col min="9742" max="9742" width="10" style="1318" customWidth="1"/>
    <col min="9743" max="9744" width="10.45" style="1318" customWidth="1"/>
    <col min="9745" max="9745" width="10" style="1318" customWidth="1"/>
    <col min="9746" max="9746" width="10.0916666666667" style="1318" customWidth="1"/>
    <col min="9747" max="9747" width="10" style="1318" customWidth="1"/>
    <col min="9748" max="9748" width="26.0916666666667" style="1318" customWidth="1"/>
    <col min="9749" max="9984" width="8.90833333333333" style="1318"/>
    <col min="9985" max="9985" width="9.45" style="1318" customWidth="1"/>
    <col min="9986" max="9986" width="8.90833333333333" style="1318"/>
    <col min="9987" max="9989" width="12.9083333333333" style="1318" customWidth="1"/>
    <col min="9990" max="9990" width="47.45" style="1318" customWidth="1"/>
    <col min="9991" max="9991" width="13" style="1318" customWidth="1"/>
    <col min="9992" max="9993" width="8.90833333333333" style="1318"/>
    <col min="9994" max="9994" width="5.725" style="1318" customWidth="1"/>
    <col min="9995" max="9995" width="11.725" style="1318" customWidth="1"/>
    <col min="9996" max="9997" width="10.725" style="1318" customWidth="1"/>
    <col min="9998" max="9998" width="10" style="1318" customWidth="1"/>
    <col min="9999" max="10000" width="10.45" style="1318" customWidth="1"/>
    <col min="10001" max="10001" width="10" style="1318" customWidth="1"/>
    <col min="10002" max="10002" width="10.0916666666667" style="1318" customWidth="1"/>
    <col min="10003" max="10003" width="10" style="1318" customWidth="1"/>
    <col min="10004" max="10004" width="26.0916666666667" style="1318" customWidth="1"/>
    <col min="10005" max="10240" width="8.90833333333333" style="1318"/>
    <col min="10241" max="10241" width="9.45" style="1318" customWidth="1"/>
    <col min="10242" max="10242" width="8.90833333333333" style="1318"/>
    <col min="10243" max="10245" width="12.9083333333333" style="1318" customWidth="1"/>
    <col min="10246" max="10246" width="47.45" style="1318" customWidth="1"/>
    <col min="10247" max="10247" width="13" style="1318" customWidth="1"/>
    <col min="10248" max="10249" width="8.90833333333333" style="1318"/>
    <col min="10250" max="10250" width="5.725" style="1318" customWidth="1"/>
    <col min="10251" max="10251" width="11.725" style="1318" customWidth="1"/>
    <col min="10252" max="10253" width="10.725" style="1318" customWidth="1"/>
    <col min="10254" max="10254" width="10" style="1318" customWidth="1"/>
    <col min="10255" max="10256" width="10.45" style="1318" customWidth="1"/>
    <col min="10257" max="10257" width="10" style="1318" customWidth="1"/>
    <col min="10258" max="10258" width="10.0916666666667" style="1318" customWidth="1"/>
    <col min="10259" max="10259" width="10" style="1318" customWidth="1"/>
    <col min="10260" max="10260" width="26.0916666666667" style="1318" customWidth="1"/>
    <col min="10261" max="10496" width="8.90833333333333" style="1318"/>
    <col min="10497" max="10497" width="9.45" style="1318" customWidth="1"/>
    <col min="10498" max="10498" width="8.90833333333333" style="1318"/>
    <col min="10499" max="10501" width="12.9083333333333" style="1318" customWidth="1"/>
    <col min="10502" max="10502" width="47.45" style="1318" customWidth="1"/>
    <col min="10503" max="10503" width="13" style="1318" customWidth="1"/>
    <col min="10504" max="10505" width="8.90833333333333" style="1318"/>
    <col min="10506" max="10506" width="5.725" style="1318" customWidth="1"/>
    <col min="10507" max="10507" width="11.725" style="1318" customWidth="1"/>
    <col min="10508" max="10509" width="10.725" style="1318" customWidth="1"/>
    <col min="10510" max="10510" width="10" style="1318" customWidth="1"/>
    <col min="10511" max="10512" width="10.45" style="1318" customWidth="1"/>
    <col min="10513" max="10513" width="10" style="1318" customWidth="1"/>
    <col min="10514" max="10514" width="10.0916666666667" style="1318" customWidth="1"/>
    <col min="10515" max="10515" width="10" style="1318" customWidth="1"/>
    <col min="10516" max="10516" width="26.0916666666667" style="1318" customWidth="1"/>
    <col min="10517" max="10752" width="8.90833333333333" style="1318"/>
    <col min="10753" max="10753" width="9.45" style="1318" customWidth="1"/>
    <col min="10754" max="10754" width="8.90833333333333" style="1318"/>
    <col min="10755" max="10757" width="12.9083333333333" style="1318" customWidth="1"/>
    <col min="10758" max="10758" width="47.45" style="1318" customWidth="1"/>
    <col min="10759" max="10759" width="13" style="1318" customWidth="1"/>
    <col min="10760" max="10761" width="8.90833333333333" style="1318"/>
    <col min="10762" max="10762" width="5.725" style="1318" customWidth="1"/>
    <col min="10763" max="10763" width="11.725" style="1318" customWidth="1"/>
    <col min="10764" max="10765" width="10.725" style="1318" customWidth="1"/>
    <col min="10766" max="10766" width="10" style="1318" customWidth="1"/>
    <col min="10767" max="10768" width="10.45" style="1318" customWidth="1"/>
    <col min="10769" max="10769" width="10" style="1318" customWidth="1"/>
    <col min="10770" max="10770" width="10.0916666666667" style="1318" customWidth="1"/>
    <col min="10771" max="10771" width="10" style="1318" customWidth="1"/>
    <col min="10772" max="10772" width="26.0916666666667" style="1318" customWidth="1"/>
    <col min="10773" max="11008" width="8.90833333333333" style="1318"/>
    <col min="11009" max="11009" width="9.45" style="1318" customWidth="1"/>
    <col min="11010" max="11010" width="8.90833333333333" style="1318"/>
    <col min="11011" max="11013" width="12.9083333333333" style="1318" customWidth="1"/>
    <col min="11014" max="11014" width="47.45" style="1318" customWidth="1"/>
    <col min="11015" max="11015" width="13" style="1318" customWidth="1"/>
    <col min="11016" max="11017" width="8.90833333333333" style="1318"/>
    <col min="11018" max="11018" width="5.725" style="1318" customWidth="1"/>
    <col min="11019" max="11019" width="11.725" style="1318" customWidth="1"/>
    <col min="11020" max="11021" width="10.725" style="1318" customWidth="1"/>
    <col min="11022" max="11022" width="10" style="1318" customWidth="1"/>
    <col min="11023" max="11024" width="10.45" style="1318" customWidth="1"/>
    <col min="11025" max="11025" width="10" style="1318" customWidth="1"/>
    <col min="11026" max="11026" width="10.0916666666667" style="1318" customWidth="1"/>
    <col min="11027" max="11027" width="10" style="1318" customWidth="1"/>
    <col min="11028" max="11028" width="26.0916666666667" style="1318" customWidth="1"/>
    <col min="11029" max="11264" width="8.90833333333333" style="1318"/>
    <col min="11265" max="11265" width="9.45" style="1318" customWidth="1"/>
    <col min="11266" max="11266" width="8.90833333333333" style="1318"/>
    <col min="11267" max="11269" width="12.9083333333333" style="1318" customWidth="1"/>
    <col min="11270" max="11270" width="47.45" style="1318" customWidth="1"/>
    <col min="11271" max="11271" width="13" style="1318" customWidth="1"/>
    <col min="11272" max="11273" width="8.90833333333333" style="1318"/>
    <col min="11274" max="11274" width="5.725" style="1318" customWidth="1"/>
    <col min="11275" max="11275" width="11.725" style="1318" customWidth="1"/>
    <col min="11276" max="11277" width="10.725" style="1318" customWidth="1"/>
    <col min="11278" max="11278" width="10" style="1318" customWidth="1"/>
    <col min="11279" max="11280" width="10.45" style="1318" customWidth="1"/>
    <col min="11281" max="11281" width="10" style="1318" customWidth="1"/>
    <col min="11282" max="11282" width="10.0916666666667" style="1318" customWidth="1"/>
    <col min="11283" max="11283" width="10" style="1318" customWidth="1"/>
    <col min="11284" max="11284" width="26.0916666666667" style="1318" customWidth="1"/>
    <col min="11285" max="11520" width="8.90833333333333" style="1318"/>
    <col min="11521" max="11521" width="9.45" style="1318" customWidth="1"/>
    <col min="11522" max="11522" width="8.90833333333333" style="1318"/>
    <col min="11523" max="11525" width="12.9083333333333" style="1318" customWidth="1"/>
    <col min="11526" max="11526" width="47.45" style="1318" customWidth="1"/>
    <col min="11527" max="11527" width="13" style="1318" customWidth="1"/>
    <col min="11528" max="11529" width="8.90833333333333" style="1318"/>
    <col min="11530" max="11530" width="5.725" style="1318" customWidth="1"/>
    <col min="11531" max="11531" width="11.725" style="1318" customWidth="1"/>
    <col min="11532" max="11533" width="10.725" style="1318" customWidth="1"/>
    <col min="11534" max="11534" width="10" style="1318" customWidth="1"/>
    <col min="11535" max="11536" width="10.45" style="1318" customWidth="1"/>
    <col min="11537" max="11537" width="10" style="1318" customWidth="1"/>
    <col min="11538" max="11538" width="10.0916666666667" style="1318" customWidth="1"/>
    <col min="11539" max="11539" width="10" style="1318" customWidth="1"/>
    <col min="11540" max="11540" width="26.0916666666667" style="1318" customWidth="1"/>
    <col min="11541" max="11776" width="8.90833333333333" style="1318"/>
    <col min="11777" max="11777" width="9.45" style="1318" customWidth="1"/>
    <col min="11778" max="11778" width="8.90833333333333" style="1318"/>
    <col min="11779" max="11781" width="12.9083333333333" style="1318" customWidth="1"/>
    <col min="11782" max="11782" width="47.45" style="1318" customWidth="1"/>
    <col min="11783" max="11783" width="13" style="1318" customWidth="1"/>
    <col min="11784" max="11785" width="8.90833333333333" style="1318"/>
    <col min="11786" max="11786" width="5.725" style="1318" customWidth="1"/>
    <col min="11787" max="11787" width="11.725" style="1318" customWidth="1"/>
    <col min="11788" max="11789" width="10.725" style="1318" customWidth="1"/>
    <col min="11790" max="11790" width="10" style="1318" customWidth="1"/>
    <col min="11791" max="11792" width="10.45" style="1318" customWidth="1"/>
    <col min="11793" max="11793" width="10" style="1318" customWidth="1"/>
    <col min="11794" max="11794" width="10.0916666666667" style="1318" customWidth="1"/>
    <col min="11795" max="11795" width="10" style="1318" customWidth="1"/>
    <col min="11796" max="11796" width="26.0916666666667" style="1318" customWidth="1"/>
    <col min="11797" max="12032" width="8.90833333333333" style="1318"/>
    <col min="12033" max="12033" width="9.45" style="1318" customWidth="1"/>
    <col min="12034" max="12034" width="8.90833333333333" style="1318"/>
    <col min="12035" max="12037" width="12.9083333333333" style="1318" customWidth="1"/>
    <col min="12038" max="12038" width="47.45" style="1318" customWidth="1"/>
    <col min="12039" max="12039" width="13" style="1318" customWidth="1"/>
    <col min="12040" max="12041" width="8.90833333333333" style="1318"/>
    <col min="12042" max="12042" width="5.725" style="1318" customWidth="1"/>
    <col min="12043" max="12043" width="11.725" style="1318" customWidth="1"/>
    <col min="12044" max="12045" width="10.725" style="1318" customWidth="1"/>
    <col min="12046" max="12046" width="10" style="1318" customWidth="1"/>
    <col min="12047" max="12048" width="10.45" style="1318" customWidth="1"/>
    <col min="12049" max="12049" width="10" style="1318" customWidth="1"/>
    <col min="12050" max="12050" width="10.0916666666667" style="1318" customWidth="1"/>
    <col min="12051" max="12051" width="10" style="1318" customWidth="1"/>
    <col min="12052" max="12052" width="26.0916666666667" style="1318" customWidth="1"/>
    <col min="12053" max="12288" width="8.90833333333333" style="1318"/>
    <col min="12289" max="12289" width="9.45" style="1318" customWidth="1"/>
    <col min="12290" max="12290" width="8.90833333333333" style="1318"/>
    <col min="12291" max="12293" width="12.9083333333333" style="1318" customWidth="1"/>
    <col min="12294" max="12294" width="47.45" style="1318" customWidth="1"/>
    <col min="12295" max="12295" width="13" style="1318" customWidth="1"/>
    <col min="12296" max="12297" width="8.90833333333333" style="1318"/>
    <col min="12298" max="12298" width="5.725" style="1318" customWidth="1"/>
    <col min="12299" max="12299" width="11.725" style="1318" customWidth="1"/>
    <col min="12300" max="12301" width="10.725" style="1318" customWidth="1"/>
    <col min="12302" max="12302" width="10" style="1318" customWidth="1"/>
    <col min="12303" max="12304" width="10.45" style="1318" customWidth="1"/>
    <col min="12305" max="12305" width="10" style="1318" customWidth="1"/>
    <col min="12306" max="12306" width="10.0916666666667" style="1318" customWidth="1"/>
    <col min="12307" max="12307" width="10" style="1318" customWidth="1"/>
    <col min="12308" max="12308" width="26.0916666666667" style="1318" customWidth="1"/>
    <col min="12309" max="12544" width="8.90833333333333" style="1318"/>
    <col min="12545" max="12545" width="9.45" style="1318" customWidth="1"/>
    <col min="12546" max="12546" width="8.90833333333333" style="1318"/>
    <col min="12547" max="12549" width="12.9083333333333" style="1318" customWidth="1"/>
    <col min="12550" max="12550" width="47.45" style="1318" customWidth="1"/>
    <col min="12551" max="12551" width="13" style="1318" customWidth="1"/>
    <col min="12552" max="12553" width="8.90833333333333" style="1318"/>
    <col min="12554" max="12554" width="5.725" style="1318" customWidth="1"/>
    <col min="12555" max="12555" width="11.725" style="1318" customWidth="1"/>
    <col min="12556" max="12557" width="10.725" style="1318" customWidth="1"/>
    <col min="12558" max="12558" width="10" style="1318" customWidth="1"/>
    <col min="12559" max="12560" width="10.45" style="1318" customWidth="1"/>
    <col min="12561" max="12561" width="10" style="1318" customWidth="1"/>
    <col min="12562" max="12562" width="10.0916666666667" style="1318" customWidth="1"/>
    <col min="12563" max="12563" width="10" style="1318" customWidth="1"/>
    <col min="12564" max="12564" width="26.0916666666667" style="1318" customWidth="1"/>
    <col min="12565" max="12800" width="8.90833333333333" style="1318"/>
    <col min="12801" max="12801" width="9.45" style="1318" customWidth="1"/>
    <col min="12802" max="12802" width="8.90833333333333" style="1318"/>
    <col min="12803" max="12805" width="12.9083333333333" style="1318" customWidth="1"/>
    <col min="12806" max="12806" width="47.45" style="1318" customWidth="1"/>
    <col min="12807" max="12807" width="13" style="1318" customWidth="1"/>
    <col min="12808" max="12809" width="8.90833333333333" style="1318"/>
    <col min="12810" max="12810" width="5.725" style="1318" customWidth="1"/>
    <col min="12811" max="12811" width="11.725" style="1318" customWidth="1"/>
    <col min="12812" max="12813" width="10.725" style="1318" customWidth="1"/>
    <col min="12814" max="12814" width="10" style="1318" customWidth="1"/>
    <col min="12815" max="12816" width="10.45" style="1318" customWidth="1"/>
    <col min="12817" max="12817" width="10" style="1318" customWidth="1"/>
    <col min="12818" max="12818" width="10.0916666666667" style="1318" customWidth="1"/>
    <col min="12819" max="12819" width="10" style="1318" customWidth="1"/>
    <col min="12820" max="12820" width="26.0916666666667" style="1318" customWidth="1"/>
    <col min="12821" max="13056" width="8.90833333333333" style="1318"/>
    <col min="13057" max="13057" width="9.45" style="1318" customWidth="1"/>
    <col min="13058" max="13058" width="8.90833333333333" style="1318"/>
    <col min="13059" max="13061" width="12.9083333333333" style="1318" customWidth="1"/>
    <col min="13062" max="13062" width="47.45" style="1318" customWidth="1"/>
    <col min="13063" max="13063" width="13" style="1318" customWidth="1"/>
    <col min="13064" max="13065" width="8.90833333333333" style="1318"/>
    <col min="13066" max="13066" width="5.725" style="1318" customWidth="1"/>
    <col min="13067" max="13067" width="11.725" style="1318" customWidth="1"/>
    <col min="13068" max="13069" width="10.725" style="1318" customWidth="1"/>
    <col min="13070" max="13070" width="10" style="1318" customWidth="1"/>
    <col min="13071" max="13072" width="10.45" style="1318" customWidth="1"/>
    <col min="13073" max="13073" width="10" style="1318" customWidth="1"/>
    <col min="13074" max="13074" width="10.0916666666667" style="1318" customWidth="1"/>
    <col min="13075" max="13075" width="10" style="1318" customWidth="1"/>
    <col min="13076" max="13076" width="26.0916666666667" style="1318" customWidth="1"/>
    <col min="13077" max="13312" width="8.90833333333333" style="1318"/>
    <col min="13313" max="13313" width="9.45" style="1318" customWidth="1"/>
    <col min="13314" max="13314" width="8.90833333333333" style="1318"/>
    <col min="13315" max="13317" width="12.9083333333333" style="1318" customWidth="1"/>
    <col min="13318" max="13318" width="47.45" style="1318" customWidth="1"/>
    <col min="13319" max="13319" width="13" style="1318" customWidth="1"/>
    <col min="13320" max="13321" width="8.90833333333333" style="1318"/>
    <col min="13322" max="13322" width="5.725" style="1318" customWidth="1"/>
    <col min="13323" max="13323" width="11.725" style="1318" customWidth="1"/>
    <col min="13324" max="13325" width="10.725" style="1318" customWidth="1"/>
    <col min="13326" max="13326" width="10" style="1318" customWidth="1"/>
    <col min="13327" max="13328" width="10.45" style="1318" customWidth="1"/>
    <col min="13329" max="13329" width="10" style="1318" customWidth="1"/>
    <col min="13330" max="13330" width="10.0916666666667" style="1318" customWidth="1"/>
    <col min="13331" max="13331" width="10" style="1318" customWidth="1"/>
    <col min="13332" max="13332" width="26.0916666666667" style="1318" customWidth="1"/>
    <col min="13333" max="13568" width="8.90833333333333" style="1318"/>
    <col min="13569" max="13569" width="9.45" style="1318" customWidth="1"/>
    <col min="13570" max="13570" width="8.90833333333333" style="1318"/>
    <col min="13571" max="13573" width="12.9083333333333" style="1318" customWidth="1"/>
    <col min="13574" max="13574" width="47.45" style="1318" customWidth="1"/>
    <col min="13575" max="13575" width="13" style="1318" customWidth="1"/>
    <col min="13576" max="13577" width="8.90833333333333" style="1318"/>
    <col min="13578" max="13578" width="5.725" style="1318" customWidth="1"/>
    <col min="13579" max="13579" width="11.725" style="1318" customWidth="1"/>
    <col min="13580" max="13581" width="10.725" style="1318" customWidth="1"/>
    <col min="13582" max="13582" width="10" style="1318" customWidth="1"/>
    <col min="13583" max="13584" width="10.45" style="1318" customWidth="1"/>
    <col min="13585" max="13585" width="10" style="1318" customWidth="1"/>
    <col min="13586" max="13586" width="10.0916666666667" style="1318" customWidth="1"/>
    <col min="13587" max="13587" width="10" style="1318" customWidth="1"/>
    <col min="13588" max="13588" width="26.0916666666667" style="1318" customWidth="1"/>
    <col min="13589" max="13824" width="8.90833333333333" style="1318"/>
    <col min="13825" max="13825" width="9.45" style="1318" customWidth="1"/>
    <col min="13826" max="13826" width="8.90833333333333" style="1318"/>
    <col min="13827" max="13829" width="12.9083333333333" style="1318" customWidth="1"/>
    <col min="13830" max="13830" width="47.45" style="1318" customWidth="1"/>
    <col min="13831" max="13831" width="13" style="1318" customWidth="1"/>
    <col min="13832" max="13833" width="8.90833333333333" style="1318"/>
    <col min="13834" max="13834" width="5.725" style="1318" customWidth="1"/>
    <col min="13835" max="13835" width="11.725" style="1318" customWidth="1"/>
    <col min="13836" max="13837" width="10.725" style="1318" customWidth="1"/>
    <col min="13838" max="13838" width="10" style="1318" customWidth="1"/>
    <col min="13839" max="13840" width="10.45" style="1318" customWidth="1"/>
    <col min="13841" max="13841" width="10" style="1318" customWidth="1"/>
    <col min="13842" max="13842" width="10.0916666666667" style="1318" customWidth="1"/>
    <col min="13843" max="13843" width="10" style="1318" customWidth="1"/>
    <col min="13844" max="13844" width="26.0916666666667" style="1318" customWidth="1"/>
    <col min="13845" max="14080" width="8.90833333333333" style="1318"/>
    <col min="14081" max="14081" width="9.45" style="1318" customWidth="1"/>
    <col min="14082" max="14082" width="8.90833333333333" style="1318"/>
    <col min="14083" max="14085" width="12.9083333333333" style="1318" customWidth="1"/>
    <col min="14086" max="14086" width="47.45" style="1318" customWidth="1"/>
    <col min="14087" max="14087" width="13" style="1318" customWidth="1"/>
    <col min="14088" max="14089" width="8.90833333333333" style="1318"/>
    <col min="14090" max="14090" width="5.725" style="1318" customWidth="1"/>
    <col min="14091" max="14091" width="11.725" style="1318" customWidth="1"/>
    <col min="14092" max="14093" width="10.725" style="1318" customWidth="1"/>
    <col min="14094" max="14094" width="10" style="1318" customWidth="1"/>
    <col min="14095" max="14096" width="10.45" style="1318" customWidth="1"/>
    <col min="14097" max="14097" width="10" style="1318" customWidth="1"/>
    <col min="14098" max="14098" width="10.0916666666667" style="1318" customWidth="1"/>
    <col min="14099" max="14099" width="10" style="1318" customWidth="1"/>
    <col min="14100" max="14100" width="26.0916666666667" style="1318" customWidth="1"/>
    <col min="14101" max="14336" width="8.90833333333333" style="1318"/>
    <col min="14337" max="14337" width="9.45" style="1318" customWidth="1"/>
    <col min="14338" max="14338" width="8.90833333333333" style="1318"/>
    <col min="14339" max="14341" width="12.9083333333333" style="1318" customWidth="1"/>
    <col min="14342" max="14342" width="47.45" style="1318" customWidth="1"/>
    <col min="14343" max="14343" width="13" style="1318" customWidth="1"/>
    <col min="14344" max="14345" width="8.90833333333333" style="1318"/>
    <col min="14346" max="14346" width="5.725" style="1318" customWidth="1"/>
    <col min="14347" max="14347" width="11.725" style="1318" customWidth="1"/>
    <col min="14348" max="14349" width="10.725" style="1318" customWidth="1"/>
    <col min="14350" max="14350" width="10" style="1318" customWidth="1"/>
    <col min="14351" max="14352" width="10.45" style="1318" customWidth="1"/>
    <col min="14353" max="14353" width="10" style="1318" customWidth="1"/>
    <col min="14354" max="14354" width="10.0916666666667" style="1318" customWidth="1"/>
    <col min="14355" max="14355" width="10" style="1318" customWidth="1"/>
    <col min="14356" max="14356" width="26.0916666666667" style="1318" customWidth="1"/>
    <col min="14357" max="14592" width="8.90833333333333" style="1318"/>
    <col min="14593" max="14593" width="9.45" style="1318" customWidth="1"/>
    <col min="14594" max="14594" width="8.90833333333333" style="1318"/>
    <col min="14595" max="14597" width="12.9083333333333" style="1318" customWidth="1"/>
    <col min="14598" max="14598" width="47.45" style="1318" customWidth="1"/>
    <col min="14599" max="14599" width="13" style="1318" customWidth="1"/>
    <col min="14600" max="14601" width="8.90833333333333" style="1318"/>
    <col min="14602" max="14602" width="5.725" style="1318" customWidth="1"/>
    <col min="14603" max="14603" width="11.725" style="1318" customWidth="1"/>
    <col min="14604" max="14605" width="10.725" style="1318" customWidth="1"/>
    <col min="14606" max="14606" width="10" style="1318" customWidth="1"/>
    <col min="14607" max="14608" width="10.45" style="1318" customWidth="1"/>
    <col min="14609" max="14609" width="10" style="1318" customWidth="1"/>
    <col min="14610" max="14610" width="10.0916666666667" style="1318" customWidth="1"/>
    <col min="14611" max="14611" width="10" style="1318" customWidth="1"/>
    <col min="14612" max="14612" width="26.0916666666667" style="1318" customWidth="1"/>
    <col min="14613" max="14848" width="8.90833333333333" style="1318"/>
    <col min="14849" max="14849" width="9.45" style="1318" customWidth="1"/>
    <col min="14850" max="14850" width="8.90833333333333" style="1318"/>
    <col min="14851" max="14853" width="12.9083333333333" style="1318" customWidth="1"/>
    <col min="14854" max="14854" width="47.45" style="1318" customWidth="1"/>
    <col min="14855" max="14855" width="13" style="1318" customWidth="1"/>
    <col min="14856" max="14857" width="8.90833333333333" style="1318"/>
    <col min="14858" max="14858" width="5.725" style="1318" customWidth="1"/>
    <col min="14859" max="14859" width="11.725" style="1318" customWidth="1"/>
    <col min="14860" max="14861" width="10.725" style="1318" customWidth="1"/>
    <col min="14862" max="14862" width="10" style="1318" customWidth="1"/>
    <col min="14863" max="14864" width="10.45" style="1318" customWidth="1"/>
    <col min="14865" max="14865" width="10" style="1318" customWidth="1"/>
    <col min="14866" max="14866" width="10.0916666666667" style="1318" customWidth="1"/>
    <col min="14867" max="14867" width="10" style="1318" customWidth="1"/>
    <col min="14868" max="14868" width="26.0916666666667" style="1318" customWidth="1"/>
    <col min="14869" max="15104" width="8.90833333333333" style="1318"/>
    <col min="15105" max="15105" width="9.45" style="1318" customWidth="1"/>
    <col min="15106" max="15106" width="8.90833333333333" style="1318"/>
    <col min="15107" max="15109" width="12.9083333333333" style="1318" customWidth="1"/>
    <col min="15110" max="15110" width="47.45" style="1318" customWidth="1"/>
    <col min="15111" max="15111" width="13" style="1318" customWidth="1"/>
    <col min="15112" max="15113" width="8.90833333333333" style="1318"/>
    <col min="15114" max="15114" width="5.725" style="1318" customWidth="1"/>
    <col min="15115" max="15115" width="11.725" style="1318" customWidth="1"/>
    <col min="15116" max="15117" width="10.725" style="1318" customWidth="1"/>
    <col min="15118" max="15118" width="10" style="1318" customWidth="1"/>
    <col min="15119" max="15120" width="10.45" style="1318" customWidth="1"/>
    <col min="15121" max="15121" width="10" style="1318" customWidth="1"/>
    <col min="15122" max="15122" width="10.0916666666667" style="1318" customWidth="1"/>
    <col min="15123" max="15123" width="10" style="1318" customWidth="1"/>
    <col min="15124" max="15124" width="26.0916666666667" style="1318" customWidth="1"/>
    <col min="15125" max="15360" width="8.90833333333333" style="1318"/>
    <col min="15361" max="15361" width="9.45" style="1318" customWidth="1"/>
    <col min="15362" max="15362" width="8.90833333333333" style="1318"/>
    <col min="15363" max="15365" width="12.9083333333333" style="1318" customWidth="1"/>
    <col min="15366" max="15366" width="47.45" style="1318" customWidth="1"/>
    <col min="15367" max="15367" width="13" style="1318" customWidth="1"/>
    <col min="15368" max="15369" width="8.90833333333333" style="1318"/>
    <col min="15370" max="15370" width="5.725" style="1318" customWidth="1"/>
    <col min="15371" max="15371" width="11.725" style="1318" customWidth="1"/>
    <col min="15372" max="15373" width="10.725" style="1318" customWidth="1"/>
    <col min="15374" max="15374" width="10" style="1318" customWidth="1"/>
    <col min="15375" max="15376" width="10.45" style="1318" customWidth="1"/>
    <col min="15377" max="15377" width="10" style="1318" customWidth="1"/>
    <col min="15378" max="15378" width="10.0916666666667" style="1318" customWidth="1"/>
    <col min="15379" max="15379" width="10" style="1318" customWidth="1"/>
    <col min="15380" max="15380" width="26.0916666666667" style="1318" customWidth="1"/>
    <col min="15381" max="15616" width="8.90833333333333" style="1318"/>
    <col min="15617" max="15617" width="9.45" style="1318" customWidth="1"/>
    <col min="15618" max="15618" width="8.90833333333333" style="1318"/>
    <col min="15619" max="15621" width="12.9083333333333" style="1318" customWidth="1"/>
    <col min="15622" max="15622" width="47.45" style="1318" customWidth="1"/>
    <col min="15623" max="15623" width="13" style="1318" customWidth="1"/>
    <col min="15624" max="15625" width="8.90833333333333" style="1318"/>
    <col min="15626" max="15626" width="5.725" style="1318" customWidth="1"/>
    <col min="15627" max="15627" width="11.725" style="1318" customWidth="1"/>
    <col min="15628" max="15629" width="10.725" style="1318" customWidth="1"/>
    <col min="15630" max="15630" width="10" style="1318" customWidth="1"/>
    <col min="15631" max="15632" width="10.45" style="1318" customWidth="1"/>
    <col min="15633" max="15633" width="10" style="1318" customWidth="1"/>
    <col min="15634" max="15634" width="10.0916666666667" style="1318" customWidth="1"/>
    <col min="15635" max="15635" width="10" style="1318" customWidth="1"/>
    <col min="15636" max="15636" width="26.0916666666667" style="1318" customWidth="1"/>
    <col min="15637" max="15872" width="8.90833333333333" style="1318"/>
    <col min="15873" max="15873" width="9.45" style="1318" customWidth="1"/>
    <col min="15874" max="15874" width="8.90833333333333" style="1318"/>
    <col min="15875" max="15877" width="12.9083333333333" style="1318" customWidth="1"/>
    <col min="15878" max="15878" width="47.45" style="1318" customWidth="1"/>
    <col min="15879" max="15879" width="13" style="1318" customWidth="1"/>
    <col min="15880" max="15881" width="8.90833333333333" style="1318"/>
    <col min="15882" max="15882" width="5.725" style="1318" customWidth="1"/>
    <col min="15883" max="15883" width="11.725" style="1318" customWidth="1"/>
    <col min="15884" max="15885" width="10.725" style="1318" customWidth="1"/>
    <col min="15886" max="15886" width="10" style="1318" customWidth="1"/>
    <col min="15887" max="15888" width="10.45" style="1318" customWidth="1"/>
    <col min="15889" max="15889" width="10" style="1318" customWidth="1"/>
    <col min="15890" max="15890" width="10.0916666666667" style="1318" customWidth="1"/>
    <col min="15891" max="15891" width="10" style="1318" customWidth="1"/>
    <col min="15892" max="15892" width="26.0916666666667" style="1318" customWidth="1"/>
    <col min="15893" max="16128" width="8.90833333333333" style="1318"/>
    <col min="16129" max="16129" width="9.45" style="1318" customWidth="1"/>
    <col min="16130" max="16130" width="8.90833333333333" style="1318"/>
    <col min="16131" max="16133" width="12.9083333333333" style="1318" customWidth="1"/>
    <col min="16134" max="16134" width="47.45" style="1318" customWidth="1"/>
    <col min="16135" max="16135" width="13" style="1318" customWidth="1"/>
    <col min="16136" max="16137" width="8.90833333333333" style="1318"/>
    <col min="16138" max="16138" width="5.725" style="1318" customWidth="1"/>
    <col min="16139" max="16139" width="11.725" style="1318" customWidth="1"/>
    <col min="16140" max="16141" width="10.725" style="1318" customWidth="1"/>
    <col min="16142" max="16142" width="10" style="1318" customWidth="1"/>
    <col min="16143" max="16144" width="10.45" style="1318" customWidth="1"/>
    <col min="16145" max="16145" width="10" style="1318" customWidth="1"/>
    <col min="16146" max="16146" width="10.0916666666667" style="1318" customWidth="1"/>
    <col min="16147" max="16147" width="10" style="1318" customWidth="1"/>
    <col min="16148" max="16148" width="26.0916666666667" style="1318" customWidth="1"/>
    <col min="16149" max="16384" width="8.90833333333333" style="1318"/>
  </cols>
  <sheetData>
    <row r="1" ht="21" customHeight="1" spans="1:21">
      <c r="A1" s="1322" t="s">
        <v>2124</v>
      </c>
      <c r="B1" s="1323"/>
      <c r="C1" s="1324"/>
      <c r="D1" s="1324"/>
      <c r="E1" s="1325"/>
      <c r="F1" s="1326"/>
      <c r="G1" s="1327"/>
      <c r="J1" s="1429" t="s">
        <v>2125</v>
      </c>
      <c r="K1" s="1430"/>
      <c r="L1" s="1430"/>
      <c r="M1" s="1430"/>
      <c r="N1" s="1430"/>
      <c r="O1" s="1430"/>
      <c r="P1" s="1430"/>
      <c r="Q1" s="1430"/>
      <c r="R1" s="1476"/>
      <c r="S1" s="1389"/>
      <c r="T1" s="1389"/>
      <c r="U1" s="1389"/>
    </row>
    <row r="2" s="1316" customFormat="1" customHeight="1" spans="1:22">
      <c r="A2" s="1328" t="s">
        <v>2126</v>
      </c>
      <c r="B2" s="1329" t="e">
        <f>C40</f>
        <v>#DIV/0!</v>
      </c>
      <c r="C2" s="1324" t="s">
        <v>2127</v>
      </c>
      <c r="D2" s="1324"/>
      <c r="E2" s="1325"/>
      <c r="F2" s="1326"/>
      <c r="G2" s="1330"/>
      <c r="H2" s="1331"/>
      <c r="I2" s="1420"/>
      <c r="J2" s="1431" t="s">
        <v>2128</v>
      </c>
      <c r="K2" s="1432"/>
      <c r="L2" s="1433" t="s">
        <v>2129</v>
      </c>
      <c r="M2" s="1433" t="s">
        <v>2130</v>
      </c>
      <c r="N2" s="1433" t="s">
        <v>2131</v>
      </c>
      <c r="O2" s="1433" t="s">
        <v>2132</v>
      </c>
      <c r="P2" s="1433" t="s">
        <v>2133</v>
      </c>
      <c r="Q2" s="1477" t="s">
        <v>2134</v>
      </c>
      <c r="R2" s="1478" t="s">
        <v>2135</v>
      </c>
      <c r="S2" s="1389"/>
      <c r="T2" s="1389"/>
      <c r="U2" s="1389"/>
      <c r="V2" s="1420"/>
    </row>
    <row r="3" s="1316" customFormat="1" customHeight="1" spans="1:22">
      <c r="A3" s="1332" t="s">
        <v>2136</v>
      </c>
      <c r="B3" s="1333" t="e">
        <f>ROUND(B2*10000/B4,0)</f>
        <v>#DIV/0!</v>
      </c>
      <c r="C3" s="1324" t="s">
        <v>2137</v>
      </c>
      <c r="D3" s="1324"/>
      <c r="E3" s="1325"/>
      <c r="F3" s="1326"/>
      <c r="G3" s="1330"/>
      <c r="H3" s="1331"/>
      <c r="I3" s="1420"/>
      <c r="J3" s="1434" t="s">
        <v>2138</v>
      </c>
      <c r="K3" s="1435"/>
      <c r="L3" s="1436"/>
      <c r="M3" s="1436"/>
      <c r="N3" s="1436"/>
      <c r="O3" s="1436"/>
      <c r="P3" s="1436"/>
      <c r="Q3" s="1479"/>
      <c r="R3" s="1480">
        <f>SUM(L3:Q3)</f>
        <v>0</v>
      </c>
      <c r="S3" s="1389"/>
      <c r="T3" s="1389"/>
      <c r="U3" s="1389"/>
      <c r="V3" s="1420"/>
    </row>
    <row r="4" s="1316" customFormat="1" customHeight="1" spans="1:22">
      <c r="A4" s="1334" t="s">
        <v>389</v>
      </c>
      <c r="B4" s="1335"/>
      <c r="C4" s="1324"/>
      <c r="D4" s="1324"/>
      <c r="E4" s="1325"/>
      <c r="F4" s="1326"/>
      <c r="G4" s="1330"/>
      <c r="H4" s="1331"/>
      <c r="I4" s="1420"/>
      <c r="J4" s="1434" t="s">
        <v>2139</v>
      </c>
      <c r="K4" s="1435"/>
      <c r="L4" s="1437"/>
      <c r="M4" s="1437"/>
      <c r="N4" s="1437"/>
      <c r="O4" s="1437"/>
      <c r="P4" s="1437"/>
      <c r="Q4" s="1481"/>
      <c r="R4" s="1482">
        <f>SUM(L4:Q4)</f>
        <v>0</v>
      </c>
      <c r="S4" s="1389"/>
      <c r="T4" s="1389"/>
      <c r="U4" s="1389"/>
      <c r="V4" s="1420"/>
    </row>
    <row r="5" s="1316" customFormat="1" customHeight="1" spans="1:22">
      <c r="A5" s="1336" t="s">
        <v>392</v>
      </c>
      <c r="B5" s="1337"/>
      <c r="C5" s="1324"/>
      <c r="D5" s="1338"/>
      <c r="E5" s="1326"/>
      <c r="F5" s="1326"/>
      <c r="G5" s="1330"/>
      <c r="H5" s="1331"/>
      <c r="I5" s="1420"/>
      <c r="J5" s="1438" t="s">
        <v>2140</v>
      </c>
      <c r="K5" s="1439"/>
      <c r="L5" s="1439"/>
      <c r="M5" s="1440"/>
      <c r="N5" s="1440"/>
      <c r="O5" s="1440"/>
      <c r="P5" s="1440"/>
      <c r="Q5" s="1440"/>
      <c r="R5" s="1478">
        <f>SUM(R14,R19,R24,R25,R27,R28)</f>
        <v>0</v>
      </c>
      <c r="S5" s="1389"/>
      <c r="T5" s="1389" t="s">
        <v>2141</v>
      </c>
      <c r="U5" s="1389" t="e">
        <f>ROUND(R5*10000/365/R3,1)</f>
        <v>#DIV/0!</v>
      </c>
      <c r="V5" s="1420"/>
    </row>
    <row r="6" s="1316" customFormat="1" customHeight="1" spans="1:22">
      <c r="A6" s="1339" t="s">
        <v>2142</v>
      </c>
      <c r="B6" s="1340"/>
      <c r="C6" s="1341"/>
      <c r="D6" s="1342"/>
      <c r="E6" s="1343"/>
      <c r="F6" s="1344"/>
      <c r="G6" s="1345"/>
      <c r="H6" s="1331"/>
      <c r="I6" s="1420"/>
      <c r="J6" s="1441">
        <v>1</v>
      </c>
      <c r="K6" s="1442" t="s">
        <v>2143</v>
      </c>
      <c r="L6" s="1443" t="s">
        <v>2144</v>
      </c>
      <c r="M6" s="1444" t="s">
        <v>2145</v>
      </c>
      <c r="N6" s="1444" t="s">
        <v>2146</v>
      </c>
      <c r="O6" s="1444" t="s">
        <v>2147</v>
      </c>
      <c r="P6" s="1444" t="s">
        <v>2148</v>
      </c>
      <c r="Q6" s="1444" t="s">
        <v>2149</v>
      </c>
      <c r="R6" s="1480" t="s">
        <v>2150</v>
      </c>
      <c r="S6" s="1389"/>
      <c r="T6" s="1389" t="s">
        <v>2151</v>
      </c>
      <c r="U6" s="1389"/>
      <c r="V6" s="1420"/>
    </row>
    <row r="7" s="1316" customFormat="1" customHeight="1" spans="1:22">
      <c r="A7" s="1346" t="s">
        <v>2152</v>
      </c>
      <c r="B7" s="1347"/>
      <c r="C7" s="1348"/>
      <c r="D7" s="1349">
        <f>SUM(D9,D10,D11,D17,0)</f>
        <v>0</v>
      </c>
      <c r="E7" s="1350" t="e">
        <f>E9+E10+E11+E17</f>
        <v>#DIV/0!</v>
      </c>
      <c r="F7" s="1351"/>
      <c r="G7" s="1352"/>
      <c r="H7" s="1331"/>
      <c r="I7" s="1420"/>
      <c r="J7" s="1441"/>
      <c r="K7" s="1445"/>
      <c r="L7" s="1446" t="s">
        <v>2153</v>
      </c>
      <c r="M7" s="1447"/>
      <c r="N7" s="1335"/>
      <c r="O7" s="1448"/>
      <c r="P7" s="1448"/>
      <c r="Q7" s="1371">
        <v>365</v>
      </c>
      <c r="R7" s="1483">
        <f>ROUND(M7*N7*O7*P7*Q7/10000,0)</f>
        <v>0</v>
      </c>
      <c r="S7" s="1389"/>
      <c r="T7" s="1389" t="s">
        <v>2154</v>
      </c>
      <c r="U7" s="1389"/>
      <c r="V7" s="1420"/>
    </row>
    <row r="8" s="1316" customFormat="1" customHeight="1" spans="1:22">
      <c r="A8" s="1353" t="s">
        <v>2155</v>
      </c>
      <c r="B8" s="1354" t="s">
        <v>2156</v>
      </c>
      <c r="C8" s="1355"/>
      <c r="D8" s="1356" t="s">
        <v>2157</v>
      </c>
      <c r="E8" s="1357" t="s">
        <v>2158</v>
      </c>
      <c r="F8" s="1358" t="s">
        <v>2159</v>
      </c>
      <c r="G8" s="1359"/>
      <c r="H8" s="1331"/>
      <c r="I8" s="1420"/>
      <c r="J8" s="1441"/>
      <c r="K8" s="1445"/>
      <c r="L8" s="1446" t="s">
        <v>2160</v>
      </c>
      <c r="M8" s="1447"/>
      <c r="N8" s="1335"/>
      <c r="O8" s="1448"/>
      <c r="P8" s="1448"/>
      <c r="Q8" s="1371">
        <v>365</v>
      </c>
      <c r="R8" s="1483">
        <f t="shared" ref="R8:R13" si="0">ROUND(M8*N8*O8*P8*Q8/10000,0)</f>
        <v>0</v>
      </c>
      <c r="S8" s="1389"/>
      <c r="T8" s="1389" t="s">
        <v>2161</v>
      </c>
      <c r="U8" s="1389"/>
      <c r="V8" s="1420"/>
    </row>
    <row r="9" s="1316" customFormat="1" customHeight="1" spans="1:22">
      <c r="A9" s="1353">
        <v>1</v>
      </c>
      <c r="B9" s="1354" t="s">
        <v>2162</v>
      </c>
      <c r="C9" s="1355"/>
      <c r="D9" s="1356">
        <f>ROUND(D6*E9,0)</f>
        <v>0</v>
      </c>
      <c r="E9" s="1360"/>
      <c r="F9" s="1361" t="s">
        <v>2163</v>
      </c>
      <c r="G9" s="1345"/>
      <c r="H9" s="1331"/>
      <c r="I9" s="1420"/>
      <c r="J9" s="1441"/>
      <c r="K9" s="1445"/>
      <c r="L9" s="1446" t="s">
        <v>2164</v>
      </c>
      <c r="M9" s="1447"/>
      <c r="N9" s="1335"/>
      <c r="O9" s="1448"/>
      <c r="P9" s="1448"/>
      <c r="Q9" s="1371">
        <v>365</v>
      </c>
      <c r="R9" s="1483">
        <f t="shared" si="0"/>
        <v>0</v>
      </c>
      <c r="S9" s="1389"/>
      <c r="T9" s="1389"/>
      <c r="U9" s="1389"/>
      <c r="V9" s="1420"/>
    </row>
    <row r="10" s="1316" customFormat="1" customHeight="1" spans="1:22">
      <c r="A10" s="1353">
        <v>2</v>
      </c>
      <c r="B10" s="1354" t="s">
        <v>2165</v>
      </c>
      <c r="C10" s="1355"/>
      <c r="D10" s="1356">
        <f>ROUND(D6*E10,0)</f>
        <v>0</v>
      </c>
      <c r="E10" s="1360"/>
      <c r="F10" s="1361" t="s">
        <v>2166</v>
      </c>
      <c r="G10" s="1345"/>
      <c r="H10" s="1331"/>
      <c r="I10" s="1420"/>
      <c r="J10" s="1441"/>
      <c r="K10" s="1445"/>
      <c r="L10" s="1446" t="s">
        <v>2167</v>
      </c>
      <c r="M10" s="1447"/>
      <c r="N10" s="1335"/>
      <c r="O10" s="1448"/>
      <c r="P10" s="1448"/>
      <c r="Q10" s="1371">
        <v>365</v>
      </c>
      <c r="R10" s="1483">
        <f t="shared" si="0"/>
        <v>0</v>
      </c>
      <c r="S10" s="1389"/>
      <c r="T10" s="1389"/>
      <c r="U10" s="1389"/>
      <c r="V10" s="1420"/>
    </row>
    <row r="11" s="1316" customFormat="1" customHeight="1" spans="1:22">
      <c r="A11" s="1353">
        <v>3</v>
      </c>
      <c r="B11" s="1354" t="s">
        <v>2168</v>
      </c>
      <c r="C11" s="1355"/>
      <c r="D11" s="1356">
        <f>D12+D14+D15+D16</f>
        <v>0</v>
      </c>
      <c r="E11" s="1362" t="e">
        <f>D11/D6</f>
        <v>#DIV/0!</v>
      </c>
      <c r="F11" s="1358"/>
      <c r="G11" s="1359"/>
      <c r="H11" s="1331"/>
      <c r="I11" s="1420"/>
      <c r="J11" s="1441"/>
      <c r="K11" s="1445"/>
      <c r="L11" s="1446" t="s">
        <v>2169</v>
      </c>
      <c r="M11" s="1447"/>
      <c r="N11" s="1335"/>
      <c r="O11" s="1448"/>
      <c r="P11" s="1448"/>
      <c r="Q11" s="1371">
        <v>365</v>
      </c>
      <c r="R11" s="1483">
        <f t="shared" si="0"/>
        <v>0</v>
      </c>
      <c r="S11" s="1389"/>
      <c r="T11" s="1389"/>
      <c r="U11" s="1389"/>
      <c r="V11" s="1420"/>
    </row>
    <row r="12" s="1316" customFormat="1" customHeight="1" spans="1:22">
      <c r="A12" s="1363" t="s">
        <v>2170</v>
      </c>
      <c r="B12" s="1364" t="s">
        <v>2171</v>
      </c>
      <c r="C12" s="1365"/>
      <c r="D12" s="1366">
        <f>ROUND(D13*1.2%*(1-30%),0)</f>
        <v>0</v>
      </c>
      <c r="E12" s="1367">
        <v>0.012</v>
      </c>
      <c r="F12" s="1358" t="s">
        <v>2172</v>
      </c>
      <c r="G12" s="1359"/>
      <c r="H12" s="1331"/>
      <c r="I12" s="1420"/>
      <c r="J12" s="1441"/>
      <c r="K12" s="1445"/>
      <c r="L12" s="1446" t="s">
        <v>2173</v>
      </c>
      <c r="M12" s="1447"/>
      <c r="N12" s="1335"/>
      <c r="O12" s="1448"/>
      <c r="P12" s="1448"/>
      <c r="Q12" s="1371">
        <v>365</v>
      </c>
      <c r="R12" s="1483">
        <f t="shared" si="0"/>
        <v>0</v>
      </c>
      <c r="S12" s="1389"/>
      <c r="T12" s="1389"/>
      <c r="U12" s="1389"/>
      <c r="V12" s="1420"/>
    </row>
    <row r="13" s="1316" customFormat="1" customHeight="1" spans="1:22">
      <c r="A13" s="1363"/>
      <c r="B13" s="1364"/>
      <c r="C13" s="1368" t="s">
        <v>2174</v>
      </c>
      <c r="D13" s="1369"/>
      <c r="E13" s="1370"/>
      <c r="F13" s="1358"/>
      <c r="G13" s="1359"/>
      <c r="H13" s="1331"/>
      <c r="I13" s="1420"/>
      <c r="J13" s="1441"/>
      <c r="K13" s="1445"/>
      <c r="L13" s="1446" t="s">
        <v>2175</v>
      </c>
      <c r="M13" s="1447"/>
      <c r="N13" s="1335"/>
      <c r="O13" s="1448"/>
      <c r="P13" s="1448"/>
      <c r="Q13" s="1371">
        <v>365</v>
      </c>
      <c r="R13" s="1483">
        <f t="shared" si="0"/>
        <v>0</v>
      </c>
      <c r="S13" s="1389"/>
      <c r="T13" s="1389"/>
      <c r="U13" s="1389"/>
      <c r="V13" s="1420"/>
    </row>
    <row r="14" s="1316" customFormat="1" customHeight="1" spans="1:22">
      <c r="A14" s="1363" t="s">
        <v>2176</v>
      </c>
      <c r="B14" s="1364" t="s">
        <v>2177</v>
      </c>
      <c r="C14" s="1365"/>
      <c r="D14" s="1366">
        <f>ROUND(E14*B5/10000,0)</f>
        <v>0</v>
      </c>
      <c r="E14" s="1371"/>
      <c r="F14" s="1358" t="s">
        <v>2178</v>
      </c>
      <c r="G14" s="1359"/>
      <c r="H14" s="1331"/>
      <c r="I14" s="1420"/>
      <c r="J14" s="1441"/>
      <c r="K14" s="1449"/>
      <c r="L14" s="1450" t="s">
        <v>2179</v>
      </c>
      <c r="M14" s="1451">
        <f>SUM(M7:M13)</f>
        <v>0</v>
      </c>
      <c r="N14" s="1451" t="e">
        <f>ROUND((N7*M7+N8*M8+N9*M9+N10*M10+N11*M11+N12*M12+N13*M13)/M14,0)</f>
        <v>#DIV/0!</v>
      </c>
      <c r="O14" s="1452"/>
      <c r="P14" s="1452"/>
      <c r="Q14" s="1484"/>
      <c r="R14" s="1478">
        <f>SUM(R7:R13)</f>
        <v>0</v>
      </c>
      <c r="S14" s="1389"/>
      <c r="T14" s="1389"/>
      <c r="U14" s="1389"/>
      <c r="V14" s="1420"/>
    </row>
    <row r="15" s="1316" customFormat="1" customHeight="1" spans="1:22">
      <c r="A15" s="1363" t="s">
        <v>2180</v>
      </c>
      <c r="B15" s="1364" t="s">
        <v>2181</v>
      </c>
      <c r="C15" s="1365"/>
      <c r="D15" s="1366">
        <f>ROUND(D6*E15,0)</f>
        <v>0</v>
      </c>
      <c r="E15" s="1367">
        <v>0.055</v>
      </c>
      <c r="F15" s="1358" t="s">
        <v>2182</v>
      </c>
      <c r="G15" s="1345"/>
      <c r="H15" s="1331"/>
      <c r="I15" s="1420"/>
      <c r="J15" s="1441">
        <v>2</v>
      </c>
      <c r="K15" s="1442" t="s">
        <v>2183</v>
      </c>
      <c r="L15" s="1446" t="s">
        <v>2184</v>
      </c>
      <c r="M15" s="1447" t="s">
        <v>2185</v>
      </c>
      <c r="N15" s="1447" t="s">
        <v>2186</v>
      </c>
      <c r="O15" s="1448" t="s">
        <v>2187</v>
      </c>
      <c r="P15" s="1448" t="s">
        <v>2149</v>
      </c>
      <c r="Q15" s="1335" t="s">
        <v>138</v>
      </c>
      <c r="R15" s="1485" t="s">
        <v>2150</v>
      </c>
      <c r="S15" s="1389"/>
      <c r="T15" s="1389"/>
      <c r="U15" s="1389"/>
      <c r="V15" s="1420"/>
    </row>
    <row r="16" s="1316" customFormat="1" customHeight="1" spans="1:22">
      <c r="A16" s="1363" t="s">
        <v>2188</v>
      </c>
      <c r="B16" s="1364" t="s">
        <v>2189</v>
      </c>
      <c r="C16" s="1365"/>
      <c r="D16" s="1372">
        <f>D6*E16</f>
        <v>0</v>
      </c>
      <c r="E16" s="1373"/>
      <c r="F16" s="1361" t="s">
        <v>2190</v>
      </c>
      <c r="G16" s="1345"/>
      <c r="H16" s="1331"/>
      <c r="I16" s="1420"/>
      <c r="J16" s="1441"/>
      <c r="K16" s="1445"/>
      <c r="L16" s="1446" t="s">
        <v>2191</v>
      </c>
      <c r="M16" s="1447"/>
      <c r="N16" s="1447"/>
      <c r="O16" s="1448"/>
      <c r="P16" s="1371">
        <v>365</v>
      </c>
      <c r="Q16" s="1335"/>
      <c r="R16" s="1485">
        <f>ROUND(M16*N16*O16*P16/10000,0)</f>
        <v>0</v>
      </c>
      <c r="S16" s="1389"/>
      <c r="T16" s="1389"/>
      <c r="U16" s="1389"/>
      <c r="V16" s="1420"/>
    </row>
    <row r="17" s="1316" customFormat="1" customHeight="1" spans="1:22">
      <c r="A17" s="1374">
        <v>4</v>
      </c>
      <c r="B17" s="1375" t="s">
        <v>2192</v>
      </c>
      <c r="C17" s="1376"/>
      <c r="D17" s="1377">
        <f>ROUND(D6*E17,0)</f>
        <v>0</v>
      </c>
      <c r="E17" s="1378"/>
      <c r="F17" s="1379" t="s">
        <v>2193</v>
      </c>
      <c r="G17" s="1345"/>
      <c r="H17" s="1331"/>
      <c r="I17" s="1420"/>
      <c r="J17" s="1441"/>
      <c r="K17" s="1445"/>
      <c r="L17" s="1446" t="s">
        <v>2194</v>
      </c>
      <c r="M17" s="1447"/>
      <c r="N17" s="1447"/>
      <c r="O17" s="1448"/>
      <c r="P17" s="1371">
        <v>365</v>
      </c>
      <c r="Q17" s="1335"/>
      <c r="R17" s="1485">
        <f>ROUND(M17*N17*O17*P17/10000,0)</f>
        <v>0</v>
      </c>
      <c r="S17" s="1389"/>
      <c r="T17" s="1389"/>
      <c r="U17" s="1389"/>
      <c r="V17" s="1420"/>
    </row>
    <row r="18" s="1316" customFormat="1" customHeight="1" spans="1:22">
      <c r="A18" s="1346" t="s">
        <v>2195</v>
      </c>
      <c r="B18" s="1347"/>
      <c r="C18" s="1347"/>
      <c r="D18" s="1380">
        <f>ROUND(D6*E18,0)</f>
        <v>0</v>
      </c>
      <c r="E18" s="1381"/>
      <c r="F18" s="1382" t="s">
        <v>2196</v>
      </c>
      <c r="G18" s="1345"/>
      <c r="H18" s="1331"/>
      <c r="I18" s="1420"/>
      <c r="J18" s="1441"/>
      <c r="K18" s="1445"/>
      <c r="L18" s="1446" t="s">
        <v>2197</v>
      </c>
      <c r="M18" s="1447"/>
      <c r="N18" s="1447"/>
      <c r="O18" s="1448"/>
      <c r="P18" s="1371">
        <v>365</v>
      </c>
      <c r="Q18" s="1335"/>
      <c r="R18" s="1485">
        <f>ROUND(M18*N18*O18*P18/10000,0)</f>
        <v>0</v>
      </c>
      <c r="S18" s="1389"/>
      <c r="T18" s="1389"/>
      <c r="U18" s="1389"/>
      <c r="V18" s="1420"/>
    </row>
    <row r="19" s="1316" customFormat="1" customHeight="1" spans="1:22">
      <c r="A19" s="1383" t="s">
        <v>2198</v>
      </c>
      <c r="B19" s="1343"/>
      <c r="C19" s="1343"/>
      <c r="D19" s="1343"/>
      <c r="E19" s="1343"/>
      <c r="F19" s="1344"/>
      <c r="G19" s="1359"/>
      <c r="H19" s="1331"/>
      <c r="I19" s="1420"/>
      <c r="J19" s="1441"/>
      <c r="K19" s="1449"/>
      <c r="L19" s="1450" t="s">
        <v>2179</v>
      </c>
      <c r="M19" s="1451"/>
      <c r="N19" s="1451">
        <f>SUM(N16:N18)</f>
        <v>0</v>
      </c>
      <c r="O19" s="1452"/>
      <c r="P19" s="1453" t="s">
        <v>2199</v>
      </c>
      <c r="Q19" s="1448"/>
      <c r="R19" s="1486">
        <f>ROUND(IF(P19="按比例",R14*Q19,SUM(R16:R18)),0)</f>
        <v>0</v>
      </c>
      <c r="S19" s="1389"/>
      <c r="T19" s="1389"/>
      <c r="U19" s="1389"/>
      <c r="V19" s="1420"/>
    </row>
    <row r="20" s="1316" customFormat="1" customHeight="1" spans="1:22">
      <c r="A20" s="1346"/>
      <c r="B20" s="1347"/>
      <c r="C20" s="1347"/>
      <c r="D20" s="1347"/>
      <c r="E20" s="1347"/>
      <c r="F20" s="1384"/>
      <c r="G20" s="1359"/>
      <c r="H20" s="1331"/>
      <c r="I20" s="1420"/>
      <c r="J20" s="1441">
        <v>3</v>
      </c>
      <c r="K20" s="1442" t="s">
        <v>2200</v>
      </c>
      <c r="L20" s="1446" t="s">
        <v>2201</v>
      </c>
      <c r="M20" s="1447" t="s">
        <v>2202</v>
      </c>
      <c r="N20" s="1454" t="s">
        <v>2203</v>
      </c>
      <c r="O20" s="1448" t="s">
        <v>2204</v>
      </c>
      <c r="P20" s="1371" t="s">
        <v>2149</v>
      </c>
      <c r="Q20" s="1335" t="s">
        <v>138</v>
      </c>
      <c r="R20" s="1485" t="s">
        <v>2150</v>
      </c>
      <c r="S20" s="1389"/>
      <c r="T20" s="1389"/>
      <c r="U20" s="1389"/>
      <c r="V20" s="1420"/>
    </row>
    <row r="21" s="1316" customFormat="1" customHeight="1" spans="1:22">
      <c r="A21" s="1346"/>
      <c r="B21" s="1347"/>
      <c r="C21" s="1354" t="s">
        <v>2205</v>
      </c>
      <c r="D21" s="1385" t="s">
        <v>2206</v>
      </c>
      <c r="E21" s="1355" t="s">
        <v>2207</v>
      </c>
      <c r="F21" s="1384"/>
      <c r="G21" s="1359"/>
      <c r="H21" s="1331"/>
      <c r="I21" s="1420"/>
      <c r="J21" s="1441"/>
      <c r="K21" s="1445"/>
      <c r="L21" s="1446" t="s">
        <v>2208</v>
      </c>
      <c r="M21" s="1447"/>
      <c r="N21" s="1447"/>
      <c r="O21" s="1448"/>
      <c r="P21" s="1371">
        <v>365</v>
      </c>
      <c r="Q21" s="1335"/>
      <c r="R21" s="1487">
        <f>ROUND(M21*N21*O21*P21/10000,0)</f>
        <v>0</v>
      </c>
      <c r="S21" s="1389"/>
      <c r="T21" s="1389"/>
      <c r="U21" s="1389"/>
      <c r="V21" s="1420"/>
    </row>
    <row r="22" s="1316" customFormat="1" customHeight="1" spans="1:22">
      <c r="A22" s="1346"/>
      <c r="B22" s="1347"/>
      <c r="C22" s="1386" t="s">
        <v>2209</v>
      </c>
      <c r="D22" s="1387" t="s">
        <v>2210</v>
      </c>
      <c r="E22" s="1388" t="s">
        <v>2211</v>
      </c>
      <c r="F22" s="1384"/>
      <c r="G22" s="1389"/>
      <c r="H22" s="1331"/>
      <c r="I22" s="1420"/>
      <c r="J22" s="1441"/>
      <c r="K22" s="1445"/>
      <c r="L22" s="1446" t="s">
        <v>2212</v>
      </c>
      <c r="M22" s="1447"/>
      <c r="N22" s="1447"/>
      <c r="O22" s="1448"/>
      <c r="P22" s="1371">
        <v>365</v>
      </c>
      <c r="Q22" s="1335"/>
      <c r="R22" s="1487">
        <f>ROUND(M22*N22*O22*P22/10000,0)</f>
        <v>0</v>
      </c>
      <c r="S22" s="1389"/>
      <c r="T22" s="1389"/>
      <c r="U22" s="1389"/>
      <c r="V22" s="1420"/>
    </row>
    <row r="23" s="1316" customFormat="1" customHeight="1" spans="1:22">
      <c r="A23" s="1390">
        <v>1</v>
      </c>
      <c r="B23" s="1391" t="s">
        <v>2213</v>
      </c>
      <c r="C23" s="1392">
        <f>D6</f>
        <v>0</v>
      </c>
      <c r="D23" s="1393">
        <f>C23*(1+D24)</f>
        <v>0</v>
      </c>
      <c r="E23" s="1394">
        <f>D23*(1+E24)</f>
        <v>0</v>
      </c>
      <c r="F23" s="1395"/>
      <c r="G23" s="1396"/>
      <c r="H23" s="1331"/>
      <c r="I23" s="1420"/>
      <c r="J23" s="1441"/>
      <c r="K23" s="1445"/>
      <c r="L23" s="1446" t="s">
        <v>2214</v>
      </c>
      <c r="M23" s="1447"/>
      <c r="N23" s="1447"/>
      <c r="O23" s="1448"/>
      <c r="P23" s="1371">
        <v>365</v>
      </c>
      <c r="Q23" s="1335"/>
      <c r="R23" s="1487">
        <f>ROUND(M23*N23*O23*P23/10000,0)</f>
        <v>0</v>
      </c>
      <c r="S23" s="1389"/>
      <c r="T23" s="1389"/>
      <c r="U23" s="1389"/>
      <c r="V23" s="1420"/>
    </row>
    <row r="24" s="1316" customFormat="1" customHeight="1" spans="1:22">
      <c r="A24" s="1397"/>
      <c r="B24" s="1398" t="s">
        <v>2215</v>
      </c>
      <c r="C24" s="1399"/>
      <c r="D24" s="1400"/>
      <c r="E24" s="1401"/>
      <c r="F24" s="1402"/>
      <c r="G24" s="1396"/>
      <c r="H24" s="1331"/>
      <c r="I24" s="1420"/>
      <c r="J24" s="1441"/>
      <c r="K24" s="1449"/>
      <c r="L24" s="1450" t="s">
        <v>2179</v>
      </c>
      <c r="M24" s="1451">
        <f>SUM(M21:M23)</f>
        <v>0</v>
      </c>
      <c r="N24" s="1451"/>
      <c r="O24" s="1452"/>
      <c r="P24" s="1453" t="s">
        <v>2199</v>
      </c>
      <c r="Q24" s="1448"/>
      <c r="R24" s="1486">
        <f>ROUND(IF(P24="按比例",R14*Q24,SUM(R21:R23)),0)</f>
        <v>0</v>
      </c>
      <c r="S24" s="1389"/>
      <c r="T24" s="1389"/>
      <c r="U24" s="1389"/>
      <c r="V24" s="1420"/>
    </row>
    <row r="25" s="1317" customFormat="1" customHeight="1" spans="1:22">
      <c r="A25" s="1397"/>
      <c r="B25" s="1398"/>
      <c r="C25" s="1399"/>
      <c r="D25" s="1400"/>
      <c r="E25" s="1401"/>
      <c r="F25" s="1402"/>
      <c r="G25" s="1389"/>
      <c r="H25" s="1331"/>
      <c r="I25" s="1420"/>
      <c r="J25" s="1441">
        <v>4</v>
      </c>
      <c r="K25" s="1455" t="s">
        <v>2216</v>
      </c>
      <c r="L25" s="1456"/>
      <c r="M25" s="1456"/>
      <c r="N25" s="1456"/>
      <c r="O25" s="1456"/>
      <c r="P25" s="1457"/>
      <c r="Q25" s="1488"/>
      <c r="R25" s="1486">
        <f>ROUND(R14*Q25,0)</f>
        <v>0</v>
      </c>
      <c r="S25" s="1389"/>
      <c r="T25" s="1389"/>
      <c r="U25" s="1389"/>
      <c r="V25" s="1464"/>
    </row>
    <row r="26" s="1317" customFormat="1" customHeight="1" spans="1:22">
      <c r="A26" s="1390">
        <v>2</v>
      </c>
      <c r="B26" s="1391" t="s">
        <v>2217</v>
      </c>
      <c r="C26" s="1392">
        <f>D7</f>
        <v>0</v>
      </c>
      <c r="D26" s="1393">
        <f>D23*D27</f>
        <v>0</v>
      </c>
      <c r="E26" s="1394">
        <f>E23*E27</f>
        <v>0</v>
      </c>
      <c r="F26" s="1395"/>
      <c r="G26" s="1396"/>
      <c r="H26" s="1331"/>
      <c r="I26" s="1420"/>
      <c r="J26" s="1458">
        <v>5</v>
      </c>
      <c r="K26" s="1459" t="s">
        <v>2218</v>
      </c>
      <c r="L26" s="1460"/>
      <c r="M26" s="1461"/>
      <c r="N26" s="1462" t="s">
        <v>2219</v>
      </c>
      <c r="O26" s="1462" t="s">
        <v>2220</v>
      </c>
      <c r="P26" s="1463" t="s">
        <v>2221</v>
      </c>
      <c r="Q26" s="1463" t="s">
        <v>2222</v>
      </c>
      <c r="R26" s="1480" t="s">
        <v>2150</v>
      </c>
      <c r="S26" s="1359"/>
      <c r="T26" s="1359"/>
      <c r="U26" s="1359"/>
      <c r="V26" s="1464"/>
    </row>
    <row r="27" s="1316" customFormat="1" customHeight="1" spans="1:22">
      <c r="A27" s="1397"/>
      <c r="B27" s="1398" t="s">
        <v>2223</v>
      </c>
      <c r="C27" s="1403" t="e">
        <f>E7</f>
        <v>#DIV/0!</v>
      </c>
      <c r="D27" s="1400"/>
      <c r="E27" s="1401"/>
      <c r="F27" s="1402"/>
      <c r="G27" s="1396"/>
      <c r="H27" s="1404"/>
      <c r="I27" s="1464"/>
      <c r="J27" s="1465"/>
      <c r="K27" s="1466"/>
      <c r="L27" s="1467"/>
      <c r="M27" s="1468"/>
      <c r="N27" s="1469"/>
      <c r="O27" s="1469"/>
      <c r="P27" s="1469"/>
      <c r="Q27" s="1489"/>
      <c r="R27" s="1486">
        <f>ROUND(O27*N27*P27*(1-Q27)/10000,0)</f>
        <v>0</v>
      </c>
      <c r="S27" s="1389"/>
      <c r="T27" s="1389"/>
      <c r="U27" s="1389"/>
      <c r="V27" s="1420"/>
    </row>
    <row r="28" s="1317" customFormat="1" customHeight="1" spans="1:22">
      <c r="A28" s="1397"/>
      <c r="B28" s="1398"/>
      <c r="C28" s="1403"/>
      <c r="D28" s="1400"/>
      <c r="E28" s="1401" t="s">
        <v>2224</v>
      </c>
      <c r="F28" s="1402"/>
      <c r="G28" s="1389"/>
      <c r="H28" s="1404"/>
      <c r="I28" s="1464"/>
      <c r="J28" s="1470">
        <v>6</v>
      </c>
      <c r="K28" s="1471" t="s">
        <v>1925</v>
      </c>
      <c r="L28" s="1472" t="s">
        <v>2225</v>
      </c>
      <c r="M28" s="1473"/>
      <c r="N28" s="1472" t="s">
        <v>1927</v>
      </c>
      <c r="O28" s="1474"/>
      <c r="P28" s="1472" t="s">
        <v>2226</v>
      </c>
      <c r="Q28" s="1490">
        <v>0.015</v>
      </c>
      <c r="R28" s="1491"/>
      <c r="S28" s="1389"/>
      <c r="T28" s="1389"/>
      <c r="U28" s="1389"/>
      <c r="V28" s="1464"/>
    </row>
    <row r="29" s="1317" customFormat="1" customHeight="1" spans="1:22">
      <c r="A29" s="1390">
        <v>3</v>
      </c>
      <c r="B29" s="1391" t="s">
        <v>2227</v>
      </c>
      <c r="C29" s="1392">
        <f>C23*C30</f>
        <v>0</v>
      </c>
      <c r="D29" s="1393">
        <f>D23*C30</f>
        <v>0</v>
      </c>
      <c r="E29" s="1394">
        <f>E23*C30</f>
        <v>0</v>
      </c>
      <c r="F29" s="1395"/>
      <c r="G29" s="1396"/>
      <c r="H29" s="1331"/>
      <c r="I29" s="1420"/>
      <c r="J29" s="1389"/>
      <c r="K29" s="1389"/>
      <c r="L29" s="1389"/>
      <c r="M29" s="1389"/>
      <c r="N29" s="1389"/>
      <c r="O29" s="1389"/>
      <c r="P29" s="1389"/>
      <c r="Q29" s="1389"/>
      <c r="R29" s="1389"/>
      <c r="S29" s="1389"/>
      <c r="T29" s="1389"/>
      <c r="U29" s="1389"/>
      <c r="V29" s="1464"/>
    </row>
    <row r="30" s="1316" customFormat="1" customHeight="1" spans="1:22">
      <c r="A30" s="1397"/>
      <c r="B30" s="1398" t="s">
        <v>2223</v>
      </c>
      <c r="C30" s="1403">
        <f>E18</f>
        <v>0</v>
      </c>
      <c r="D30" s="1405"/>
      <c r="E30" s="1370"/>
      <c r="F30" s="1402"/>
      <c r="G30" s="1396"/>
      <c r="H30" s="1404"/>
      <c r="I30" s="1464"/>
      <c r="J30" s="1389"/>
      <c r="K30" s="1389"/>
      <c r="L30" s="1389"/>
      <c r="M30" s="1389"/>
      <c r="N30" s="1389"/>
      <c r="O30" s="1389"/>
      <c r="P30" s="1389"/>
      <c r="Q30" s="1389"/>
      <c r="R30" s="1389"/>
      <c r="S30" s="1389"/>
      <c r="T30" s="1389"/>
      <c r="U30" s="1389"/>
      <c r="V30" s="1420"/>
    </row>
    <row r="31" s="1317" customFormat="1" customHeight="1" spans="1:22">
      <c r="A31" s="1397"/>
      <c r="B31" s="1398"/>
      <c r="C31" s="1406"/>
      <c r="D31" s="1405"/>
      <c r="E31" s="1370"/>
      <c r="F31" s="1402"/>
      <c r="G31" s="1389"/>
      <c r="H31" s="1404"/>
      <c r="I31" s="1464"/>
      <c r="J31" s="1429" t="s">
        <v>2228</v>
      </c>
      <c r="K31" s="1430"/>
      <c r="L31" s="1430"/>
      <c r="M31" s="1430"/>
      <c r="N31" s="1430"/>
      <c r="O31" s="1430"/>
      <c r="P31" s="1430"/>
      <c r="Q31" s="1430"/>
      <c r="R31" s="1476"/>
      <c r="S31" s="1389"/>
      <c r="T31" s="1389"/>
      <c r="U31" s="1389"/>
      <c r="V31" s="1464"/>
    </row>
    <row r="32" s="1317" customFormat="1" customHeight="1" spans="1:22">
      <c r="A32" s="1390">
        <v>4</v>
      </c>
      <c r="B32" s="1391" t="s">
        <v>2229</v>
      </c>
      <c r="C32" s="1392">
        <f>C23-C26-C29</f>
        <v>0</v>
      </c>
      <c r="D32" s="1393">
        <f>D23-D26-D29</f>
        <v>0</v>
      </c>
      <c r="E32" s="1394">
        <f>E23-E26-E29</f>
        <v>0</v>
      </c>
      <c r="F32" s="1395"/>
      <c r="G32" s="1389"/>
      <c r="H32" s="1331"/>
      <c r="I32" s="1420"/>
      <c r="J32" s="1431" t="s">
        <v>2128</v>
      </c>
      <c r="K32" s="1432"/>
      <c r="L32" s="1433" t="s">
        <v>2129</v>
      </c>
      <c r="M32" s="1433" t="s">
        <v>2130</v>
      </c>
      <c r="N32" s="1433" t="s">
        <v>2131</v>
      </c>
      <c r="O32" s="1433" t="s">
        <v>2132</v>
      </c>
      <c r="P32" s="1433" t="s">
        <v>2133</v>
      </c>
      <c r="Q32" s="1477" t="s">
        <v>2134</v>
      </c>
      <c r="R32" s="1492" t="s">
        <v>2135</v>
      </c>
      <c r="S32" s="1389"/>
      <c r="T32" s="1389"/>
      <c r="U32" s="1389"/>
      <c r="V32" s="1464"/>
    </row>
    <row r="33" s="1316" customFormat="1" customHeight="1" spans="1:22">
      <c r="A33" s="1390"/>
      <c r="B33" s="1391"/>
      <c r="C33" s="1392"/>
      <c r="D33" s="1407"/>
      <c r="E33" s="1365"/>
      <c r="F33" s="1395"/>
      <c r="G33" s="1389"/>
      <c r="H33" s="1404"/>
      <c r="I33" s="1464"/>
      <c r="J33" s="1434" t="s">
        <v>2138</v>
      </c>
      <c r="K33" s="1435"/>
      <c r="L33" s="1436"/>
      <c r="M33" s="1436"/>
      <c r="N33" s="1436"/>
      <c r="O33" s="1436"/>
      <c r="P33" s="1436"/>
      <c r="Q33" s="1479"/>
      <c r="R33" s="1493">
        <f>SUM(L33:Q33)</f>
        <v>0</v>
      </c>
      <c r="S33" s="1389"/>
      <c r="T33" s="1389"/>
      <c r="U33" s="1389"/>
      <c r="V33" s="1420"/>
    </row>
    <row r="34" s="1316" customFormat="1" customHeight="1" spans="1:22">
      <c r="A34" s="1390">
        <v>5</v>
      </c>
      <c r="B34" s="1391" t="s">
        <v>2230</v>
      </c>
      <c r="C34" s="1408"/>
      <c r="D34" s="1409"/>
      <c r="E34" s="1410"/>
      <c r="F34" s="1395"/>
      <c r="G34" s="1389"/>
      <c r="H34" s="1404"/>
      <c r="I34" s="1464"/>
      <c r="J34" s="1434" t="s">
        <v>2139</v>
      </c>
      <c r="K34" s="1435"/>
      <c r="L34" s="1437"/>
      <c r="M34" s="1437"/>
      <c r="N34" s="1437"/>
      <c r="O34" s="1437"/>
      <c r="P34" s="1437"/>
      <c r="Q34" s="1481"/>
      <c r="R34" s="1494">
        <f>SUM(L34:Q34)</f>
        <v>0</v>
      </c>
      <c r="S34" s="1389"/>
      <c r="T34" s="1389"/>
      <c r="U34" s="1389" t="e">
        <f>ROUND(R35*10000/365/R33,1)</f>
        <v>#DIV/0!</v>
      </c>
      <c r="V34" s="1420"/>
    </row>
    <row r="35" s="1316" customFormat="1" customHeight="1" spans="1:22">
      <c r="A35" s="1390">
        <v>6</v>
      </c>
      <c r="B35" s="1391" t="s">
        <v>2231</v>
      </c>
      <c r="C35" s="1411"/>
      <c r="D35" s="1412"/>
      <c r="E35" s="1413"/>
      <c r="F35" s="1395"/>
      <c r="G35" s="1414"/>
      <c r="H35" s="1331"/>
      <c r="I35" s="1464"/>
      <c r="J35" s="1438" t="s">
        <v>2140</v>
      </c>
      <c r="K35" s="1439"/>
      <c r="L35" s="1439"/>
      <c r="M35" s="1440"/>
      <c r="N35" s="1440"/>
      <c r="O35" s="1440"/>
      <c r="P35" s="1440"/>
      <c r="Q35" s="1440"/>
      <c r="R35" s="1495">
        <f>R40+R41+R43</f>
        <v>0</v>
      </c>
      <c r="S35" s="1389"/>
      <c r="T35" s="1389" t="s">
        <v>2141</v>
      </c>
      <c r="U35" s="1389"/>
      <c r="V35" s="1420"/>
    </row>
    <row r="36" s="1316" customFormat="1" customHeight="1" spans="1:22">
      <c r="A36" s="1390">
        <v>7</v>
      </c>
      <c r="B36" s="1415" t="s">
        <v>2232</v>
      </c>
      <c r="C36" s="1416"/>
      <c r="D36" s="1417"/>
      <c r="E36" s="1418"/>
      <c r="F36" s="1419">
        <f>C36+D36+E36</f>
        <v>0</v>
      </c>
      <c r="G36" s="1389"/>
      <c r="H36" s="1331"/>
      <c r="I36" s="1420"/>
      <c r="J36" s="1441">
        <v>1</v>
      </c>
      <c r="K36" s="1442" t="s">
        <v>2233</v>
      </c>
      <c r="L36" s="1443"/>
      <c r="M36" s="1444"/>
      <c r="N36" s="1444"/>
      <c r="O36" s="1444"/>
      <c r="P36" s="1444"/>
      <c r="Q36" s="1444"/>
      <c r="R36" s="1480" t="s">
        <v>2150</v>
      </c>
      <c r="S36" s="1389"/>
      <c r="T36" s="1389" t="s">
        <v>2151</v>
      </c>
      <c r="U36" s="1389"/>
      <c r="V36" s="1420"/>
    </row>
    <row r="37" s="1316" customFormat="1" customHeight="1" spans="1:22">
      <c r="A37" s="1390"/>
      <c r="B37" s="1391"/>
      <c r="C37" s="1391"/>
      <c r="D37" s="1391"/>
      <c r="E37" s="1391"/>
      <c r="F37" s="1395"/>
      <c r="G37" s="1389"/>
      <c r="H37" s="1331"/>
      <c r="I37" s="1420"/>
      <c r="J37" s="1441"/>
      <c r="K37" s="1445"/>
      <c r="L37" s="1446"/>
      <c r="M37" s="1447"/>
      <c r="N37" s="1335"/>
      <c r="O37" s="1448"/>
      <c r="P37" s="1448"/>
      <c r="Q37" s="1371"/>
      <c r="R37" s="1483"/>
      <c r="S37" s="1389"/>
      <c r="T37" s="1389" t="s">
        <v>2154</v>
      </c>
      <c r="U37" s="1389"/>
      <c r="V37" s="1420"/>
    </row>
    <row r="38" s="1316" customFormat="1" customHeight="1" spans="1:22">
      <c r="A38" s="1390">
        <v>8</v>
      </c>
      <c r="B38" s="1391"/>
      <c r="C38" s="1356" t="e">
        <f>ROUND(C32*(1-((1+C35)/(1+C34))^C36)/(C34-C35),0)</f>
        <v>#DIV/0!</v>
      </c>
      <c r="D38" s="1356">
        <f>IF(D23=0,0,ROUND(D32*(1-((1+D35)/(1+D34))^D36)/(D34-D35),0))</f>
        <v>0</v>
      </c>
      <c r="E38" s="1356">
        <f>IF(E23=0,0,ROUND(E32*(1-((1+E35)/(1+E34))^E36)/(E34-E35),0))</f>
        <v>0</v>
      </c>
      <c r="F38" s="1395"/>
      <c r="G38" s="1389"/>
      <c r="H38" s="1331"/>
      <c r="I38" s="1420"/>
      <c r="J38" s="1441"/>
      <c r="K38" s="1445"/>
      <c r="L38" s="1446"/>
      <c r="M38" s="1447"/>
      <c r="N38" s="1335"/>
      <c r="O38" s="1448"/>
      <c r="P38" s="1448"/>
      <c r="Q38" s="1371"/>
      <c r="R38" s="1483"/>
      <c r="S38" s="1389"/>
      <c r="T38" s="1389" t="s">
        <v>2161</v>
      </c>
      <c r="U38" s="1389"/>
      <c r="V38" s="1420"/>
    </row>
    <row r="39" s="1316" customFormat="1" customHeight="1" spans="1:22">
      <c r="A39" s="1390">
        <v>9</v>
      </c>
      <c r="B39" s="1391" t="s">
        <v>2234</v>
      </c>
      <c r="C39" s="1366" t="e">
        <f>C38</f>
        <v>#DIV/0!</v>
      </c>
      <c r="D39" s="1391">
        <f>D38/(1+D34)^C36</f>
        <v>0</v>
      </c>
      <c r="E39" s="1391">
        <f>E38/(1+E34)^(C36+D36)</f>
        <v>0</v>
      </c>
      <c r="F39" s="1395"/>
      <c r="G39" s="1420"/>
      <c r="H39" s="1331"/>
      <c r="I39" s="1420"/>
      <c r="J39" s="1441"/>
      <c r="K39" s="1445"/>
      <c r="L39" s="1446"/>
      <c r="M39" s="1447"/>
      <c r="N39" s="1335"/>
      <c r="O39" s="1448"/>
      <c r="P39" s="1448"/>
      <c r="Q39" s="1371"/>
      <c r="R39" s="1483"/>
      <c r="S39" s="1389"/>
      <c r="T39" s="1389"/>
      <c r="U39" s="1389"/>
      <c r="V39" s="1420"/>
    </row>
    <row r="40" s="1316" customFormat="1" customHeight="1" spans="1:22">
      <c r="A40" s="1421">
        <v>10</v>
      </c>
      <c r="B40" s="1391" t="s">
        <v>2235</v>
      </c>
      <c r="C40" s="1422" t="e">
        <f>C39+D39+E39</f>
        <v>#DIV/0!</v>
      </c>
      <c r="D40" s="1423"/>
      <c r="E40" s="1423"/>
      <c r="F40" s="1424"/>
      <c r="G40" s="1389"/>
      <c r="H40" s="1331"/>
      <c r="I40" s="1420"/>
      <c r="J40" s="1441"/>
      <c r="K40" s="1449"/>
      <c r="L40" s="1450" t="s">
        <v>2179</v>
      </c>
      <c r="M40" s="1451"/>
      <c r="N40" s="1451"/>
      <c r="O40" s="1452"/>
      <c r="P40" s="1452"/>
      <c r="Q40" s="1484"/>
      <c r="R40" s="1478">
        <f>SUM(R37:R39)</f>
        <v>0</v>
      </c>
      <c r="S40" s="1389"/>
      <c r="T40" s="1389"/>
      <c r="U40" s="1389"/>
      <c r="V40" s="1420"/>
    </row>
    <row r="41" s="1316" customFormat="1" customHeight="1" spans="1:22">
      <c r="A41" s="1425">
        <v>11</v>
      </c>
      <c r="B41" s="1426" t="s">
        <v>2236</v>
      </c>
      <c r="C41" s="1426" t="e">
        <f>ROUND(C40*10000/B4,0)</f>
        <v>#DIV/0!</v>
      </c>
      <c r="D41" s="1427"/>
      <c r="E41" s="1427"/>
      <c r="F41" s="1428"/>
      <c r="G41" s="1331"/>
      <c r="H41" s="1331"/>
      <c r="I41" s="1420"/>
      <c r="J41" s="1441">
        <v>2</v>
      </c>
      <c r="K41" s="1455" t="s">
        <v>2216</v>
      </c>
      <c r="L41" s="1456"/>
      <c r="M41" s="1456"/>
      <c r="N41" s="1456"/>
      <c r="O41" s="1456"/>
      <c r="P41" s="1457"/>
      <c r="Q41" s="1488"/>
      <c r="R41" s="1486">
        <f>ROUND(R40*Q41,0)</f>
        <v>0</v>
      </c>
      <c r="S41" s="1389"/>
      <c r="T41" s="1389"/>
      <c r="U41" s="1359"/>
      <c r="V41" s="1420"/>
    </row>
    <row r="42" s="1316" customFormat="1" customHeight="1" spans="7:22">
      <c r="G42" s="1331"/>
      <c r="H42" s="1331"/>
      <c r="I42" s="1420"/>
      <c r="J42" s="1458">
        <v>3</v>
      </c>
      <c r="K42" s="1459" t="s">
        <v>2218</v>
      </c>
      <c r="L42" s="1460"/>
      <c r="M42" s="1461"/>
      <c r="N42" s="1462" t="s">
        <v>2219</v>
      </c>
      <c r="O42" s="1462" t="s">
        <v>2220</v>
      </c>
      <c r="P42" s="1463" t="s">
        <v>2221</v>
      </c>
      <c r="Q42" s="1463" t="s">
        <v>2222</v>
      </c>
      <c r="R42" s="1480" t="s">
        <v>2150</v>
      </c>
      <c r="S42" s="1359"/>
      <c r="T42" s="1359"/>
      <c r="U42" s="1389"/>
      <c r="V42" s="1420"/>
    </row>
    <row r="43" customHeight="1" spans="1:23">
      <c r="A43" s="1316"/>
      <c r="B43" s="1316"/>
      <c r="C43" s="1316"/>
      <c r="D43" s="1316"/>
      <c r="E43" s="1316"/>
      <c r="F43" s="1316"/>
      <c r="I43" s="1319"/>
      <c r="J43" s="1465"/>
      <c r="K43" s="1466"/>
      <c r="L43" s="1467"/>
      <c r="M43" s="1468"/>
      <c r="N43" s="1447"/>
      <c r="O43" s="1447"/>
      <c r="P43" s="1447"/>
      <c r="Q43" s="1488"/>
      <c r="R43" s="1486">
        <f>ROUND(O43*N43*P43*(1-Q43)/10000,0)</f>
        <v>0</v>
      </c>
      <c r="S43" s="1389"/>
      <c r="T43" s="1389"/>
      <c r="V43" s="1321"/>
      <c r="W43" s="1496"/>
    </row>
    <row r="44" customHeight="1" spans="10:18">
      <c r="J44" s="1470">
        <v>6</v>
      </c>
      <c r="K44" s="1471" t="s">
        <v>1925</v>
      </c>
      <c r="L44" s="1475" t="s">
        <v>2225</v>
      </c>
      <c r="M44" s="1473"/>
      <c r="N44" s="1475" t="s">
        <v>1927</v>
      </c>
      <c r="O44" s="1473"/>
      <c r="P44" s="1475" t="s">
        <v>2226</v>
      </c>
      <c r="Q44" s="1490">
        <v>0.015</v>
      </c>
      <c r="R44" s="1491"/>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1">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I38"/>
  <sheetViews>
    <sheetView zoomScale="80" zoomScaleNormal="80" workbookViewId="0">
      <selection activeCell="P47" sqref="P47"/>
    </sheetView>
  </sheetViews>
  <sheetFormatPr defaultColWidth="9" defaultRowHeight="13.5"/>
  <cols>
    <col min="1" max="1" width="10.45" customWidth="1"/>
    <col min="2" max="2" width="12.9083333333333" customWidth="1"/>
    <col min="3" max="3" width="8.725" customWidth="1"/>
  </cols>
  <sheetData>
    <row r="1" ht="14.25" spans="1:9">
      <c r="A1" s="1270" t="s">
        <v>2237</v>
      </c>
      <c r="B1" s="1271"/>
      <c r="C1" s="1272"/>
      <c r="D1" s="1273">
        <f>SUM(I10,I15,I20,I21,I23)</f>
        <v>0</v>
      </c>
      <c r="E1" s="1273"/>
      <c r="F1" s="1273"/>
      <c r="G1" s="1273"/>
      <c r="H1" s="1273"/>
      <c r="I1" s="1309"/>
    </row>
    <row r="2" spans="1:9">
      <c r="A2" s="1274" t="s">
        <v>2238</v>
      </c>
      <c r="B2" s="1275" t="s">
        <v>2239</v>
      </c>
      <c r="C2" s="1275"/>
      <c r="D2" s="1275" t="s">
        <v>2240</v>
      </c>
      <c r="E2" s="1275" t="s">
        <v>2241</v>
      </c>
      <c r="F2" s="1275" t="s">
        <v>2242</v>
      </c>
      <c r="G2" s="1275" t="s">
        <v>2243</v>
      </c>
      <c r="H2" s="1275" t="s">
        <v>2244</v>
      </c>
      <c r="I2" s="1310" t="s">
        <v>2245</v>
      </c>
    </row>
    <row r="3" spans="1:9">
      <c r="A3" s="1274"/>
      <c r="B3" s="1275" t="s">
        <v>2246</v>
      </c>
      <c r="C3" s="1275"/>
      <c r="D3" s="1276"/>
      <c r="E3" s="1275"/>
      <c r="F3" s="1277"/>
      <c r="G3" s="1277"/>
      <c r="H3" s="1278"/>
      <c r="I3" s="1311">
        <f>ROUND(D3*E3*F3*G3*H3/10000,0)</f>
        <v>0</v>
      </c>
    </row>
    <row r="4" spans="1:9">
      <c r="A4" s="1274"/>
      <c r="B4" s="1275" t="s">
        <v>2247</v>
      </c>
      <c r="C4" s="1275"/>
      <c r="D4" s="1276"/>
      <c r="E4" s="1275"/>
      <c r="F4" s="1277"/>
      <c r="G4" s="1277"/>
      <c r="H4" s="1278"/>
      <c r="I4" s="1311">
        <f t="shared" ref="I4:I9" si="0">ROUND(D4*E4*F4*G4*H4/10000,0)</f>
        <v>0</v>
      </c>
    </row>
    <row r="5" spans="1:9">
      <c r="A5" s="1274"/>
      <c r="B5" s="1275" t="s">
        <v>2248</v>
      </c>
      <c r="C5" s="1275"/>
      <c r="D5" s="1276"/>
      <c r="E5" s="1275"/>
      <c r="F5" s="1277"/>
      <c r="G5" s="1277"/>
      <c r="H5" s="1278"/>
      <c r="I5" s="1311">
        <f t="shared" si="0"/>
        <v>0</v>
      </c>
    </row>
    <row r="6" spans="1:9">
      <c r="A6" s="1274"/>
      <c r="B6" s="1275" t="s">
        <v>2249</v>
      </c>
      <c r="C6" s="1275"/>
      <c r="D6" s="1276"/>
      <c r="E6" s="1275"/>
      <c r="F6" s="1277"/>
      <c r="G6" s="1277"/>
      <c r="H6" s="1278"/>
      <c r="I6" s="1311">
        <f t="shared" si="0"/>
        <v>0</v>
      </c>
    </row>
    <row r="7" spans="1:9">
      <c r="A7" s="1274"/>
      <c r="B7" s="1275" t="s">
        <v>2250</v>
      </c>
      <c r="C7" s="1275"/>
      <c r="D7" s="1276"/>
      <c r="E7" s="1275"/>
      <c r="F7" s="1277"/>
      <c r="G7" s="1277"/>
      <c r="H7" s="1278"/>
      <c r="I7" s="1311">
        <f t="shared" si="0"/>
        <v>0</v>
      </c>
    </row>
    <row r="8" spans="1:9">
      <c r="A8" s="1274"/>
      <c r="B8" s="1275" t="s">
        <v>2251</v>
      </c>
      <c r="C8" s="1275"/>
      <c r="D8" s="1276"/>
      <c r="E8" s="1275"/>
      <c r="F8" s="1277"/>
      <c r="G8" s="1277"/>
      <c r="H8" s="1278"/>
      <c r="I8" s="1311">
        <f t="shared" si="0"/>
        <v>0</v>
      </c>
    </row>
    <row r="9" spans="1:9">
      <c r="A9" s="1274"/>
      <c r="B9" s="1275" t="s">
        <v>2252</v>
      </c>
      <c r="C9" s="1275"/>
      <c r="D9" s="1276"/>
      <c r="E9" s="1275"/>
      <c r="F9" s="1277"/>
      <c r="G9" s="1277"/>
      <c r="H9" s="1278"/>
      <c r="I9" s="1311">
        <f t="shared" si="0"/>
        <v>0</v>
      </c>
    </row>
    <row r="10" spans="1:9">
      <c r="A10" s="1274"/>
      <c r="B10" s="1279" t="s">
        <v>452</v>
      </c>
      <c r="C10" s="1279"/>
      <c r="D10" s="1280">
        <v>527</v>
      </c>
      <c r="E10" s="1280" t="e">
        <f>ROUND(D1*10000/D10/H9,0)</f>
        <v>#DIV/0!</v>
      </c>
      <c r="F10" s="1281"/>
      <c r="G10" s="1281"/>
      <c r="H10" s="1282"/>
      <c r="I10" s="1312">
        <f>SUM(I3:I9)</f>
        <v>0</v>
      </c>
    </row>
    <row r="11" ht="14.25" spans="1:9">
      <c r="A11" s="1274" t="s">
        <v>2253</v>
      </c>
      <c r="B11" s="1275" t="s">
        <v>2254</v>
      </c>
      <c r="C11" s="1275"/>
      <c r="D11" s="1276" t="s">
        <v>2255</v>
      </c>
      <c r="E11" s="1276" t="s">
        <v>2256</v>
      </c>
      <c r="F11" s="1277" t="s">
        <v>2257</v>
      </c>
      <c r="G11" s="1277" t="s">
        <v>2244</v>
      </c>
      <c r="H11" s="1283" t="s">
        <v>138</v>
      </c>
      <c r="I11" s="1310" t="s">
        <v>2245</v>
      </c>
    </row>
    <row r="12" spans="1:9">
      <c r="A12" s="1274"/>
      <c r="B12" s="1275" t="s">
        <v>2258</v>
      </c>
      <c r="C12" s="1275"/>
      <c r="D12" s="1276"/>
      <c r="E12" s="1276"/>
      <c r="F12" s="1277"/>
      <c r="G12" s="1278"/>
      <c r="H12" s="1284"/>
      <c r="I12" s="1310">
        <f>ROUND(D12*E12*F12*G12/10000,0)</f>
        <v>0</v>
      </c>
    </row>
    <row r="13" spans="1:9">
      <c r="A13" s="1274"/>
      <c r="B13" s="1275" t="s">
        <v>2259</v>
      </c>
      <c r="C13" s="1275"/>
      <c r="D13" s="1276"/>
      <c r="E13" s="1276"/>
      <c r="F13" s="1277"/>
      <c r="G13" s="1278"/>
      <c r="H13" s="1284"/>
      <c r="I13" s="1310">
        <f>ROUND(D13*E13*F13*G13/10000,0)</f>
        <v>0</v>
      </c>
    </row>
    <row r="14" spans="1:9">
      <c r="A14" s="1274"/>
      <c r="B14" s="1275" t="s">
        <v>2260</v>
      </c>
      <c r="C14" s="1275"/>
      <c r="D14" s="1276"/>
      <c r="E14" s="1276"/>
      <c r="F14" s="1277"/>
      <c r="G14" s="1278"/>
      <c r="H14" s="1284"/>
      <c r="I14" s="1310">
        <f>ROUND(D14*E14*F14*G14/10000,0)</f>
        <v>0</v>
      </c>
    </row>
    <row r="15" spans="1:9">
      <c r="A15" s="1274"/>
      <c r="B15" s="1279" t="s">
        <v>452</v>
      </c>
      <c r="C15" s="1279"/>
      <c r="D15" s="1280"/>
      <c r="E15" s="1280">
        <f>SUM(E12:E14)</f>
        <v>0</v>
      </c>
      <c r="F15" s="1281"/>
      <c r="G15" s="1278"/>
      <c r="H15" s="1284"/>
      <c r="I15" s="1313">
        <f>SUM(I12:I14)</f>
        <v>0</v>
      </c>
    </row>
    <row r="16" ht="24" spans="1:9">
      <c r="A16" s="1274" t="s">
        <v>2261</v>
      </c>
      <c r="B16" s="1275" t="s">
        <v>2262</v>
      </c>
      <c r="C16" s="1275"/>
      <c r="D16" s="1276" t="s">
        <v>2240</v>
      </c>
      <c r="E16" s="1285" t="s">
        <v>2263</v>
      </c>
      <c r="F16" s="1277" t="s">
        <v>2264</v>
      </c>
      <c r="G16" s="1278" t="s">
        <v>2244</v>
      </c>
      <c r="H16" s="1283" t="s">
        <v>138</v>
      </c>
      <c r="I16" s="1310" t="s">
        <v>2245</v>
      </c>
    </row>
    <row r="17" ht="14.25" spans="1:9">
      <c r="A17" s="1274"/>
      <c r="B17" s="1275" t="s">
        <v>2265</v>
      </c>
      <c r="C17" s="1275"/>
      <c r="D17" s="1276"/>
      <c r="E17" s="1276"/>
      <c r="F17" s="1277"/>
      <c r="G17" s="1278"/>
      <c r="H17" s="1286"/>
      <c r="I17" s="1314">
        <f>ROUND(D17*E17*F17*G17/10000,0)</f>
        <v>0</v>
      </c>
    </row>
    <row r="18" ht="14.25" spans="1:9">
      <c r="A18" s="1274"/>
      <c r="B18" s="1275" t="s">
        <v>2266</v>
      </c>
      <c r="C18" s="1275"/>
      <c r="D18" s="1276"/>
      <c r="E18" s="1276"/>
      <c r="F18" s="1277"/>
      <c r="G18" s="1278"/>
      <c r="H18" s="1286"/>
      <c r="I18" s="1314">
        <f>ROUND(D18*E18*F18*G18/10000,0)</f>
        <v>0</v>
      </c>
    </row>
    <row r="19" ht="14.25" spans="1:9">
      <c r="A19" s="1274"/>
      <c r="B19" s="1275" t="s">
        <v>2267</v>
      </c>
      <c r="C19" s="1275"/>
      <c r="D19" s="1276"/>
      <c r="E19" s="1276"/>
      <c r="F19" s="1277"/>
      <c r="G19" s="1278"/>
      <c r="H19" s="1286"/>
      <c r="I19" s="1314">
        <f>ROUND(D19*E19*F19*G19/10000,0)</f>
        <v>0</v>
      </c>
    </row>
    <row r="20" spans="1:9">
      <c r="A20" s="1274"/>
      <c r="B20" s="1279" t="s">
        <v>452</v>
      </c>
      <c r="C20" s="1279"/>
      <c r="D20" s="1280">
        <f>SUM(D17:D19)</f>
        <v>0</v>
      </c>
      <c r="E20" s="1280"/>
      <c r="F20" s="1281"/>
      <c r="G20" s="1278"/>
      <c r="H20" s="1284"/>
      <c r="I20" s="1313">
        <f>SUM(I17:I19)</f>
        <v>0</v>
      </c>
    </row>
    <row r="21" spans="1:9">
      <c r="A21" s="1274" t="s">
        <v>2268</v>
      </c>
      <c r="B21" s="1287"/>
      <c r="C21" s="1287"/>
      <c r="D21" s="1287"/>
      <c r="E21" s="1287"/>
      <c r="F21" s="1287"/>
      <c r="G21" s="1287"/>
      <c r="H21" s="1288">
        <v>0.1</v>
      </c>
      <c r="I21" s="1312">
        <f>ROUND(I10*H21,0)</f>
        <v>0</v>
      </c>
    </row>
    <row r="22" ht="14.25" spans="1:9">
      <c r="A22" s="1289" t="s">
        <v>2269</v>
      </c>
      <c r="B22" s="1290"/>
      <c r="C22" s="1291"/>
      <c r="D22" s="1276" t="s">
        <v>389</v>
      </c>
      <c r="E22" s="1276" t="s">
        <v>2270</v>
      </c>
      <c r="F22" s="1292" t="s">
        <v>2244</v>
      </c>
      <c r="G22" s="1292" t="s">
        <v>2271</v>
      </c>
      <c r="H22" s="1283" t="s">
        <v>138</v>
      </c>
      <c r="I22" s="1310" t="s">
        <v>2245</v>
      </c>
    </row>
    <row r="23" ht="14.25" spans="1:9">
      <c r="A23" s="1293"/>
      <c r="B23" s="1294"/>
      <c r="C23" s="1295"/>
      <c r="D23" s="1296"/>
      <c r="E23" s="1296"/>
      <c r="F23" s="1296"/>
      <c r="G23" s="1297"/>
      <c r="H23" s="1298"/>
      <c r="I23" s="1315">
        <f>ROUND(E23*D23*F23*(1-G23)/10000,0)</f>
        <v>0</v>
      </c>
    </row>
    <row r="26" spans="1:8">
      <c r="A26" s="1299" t="s">
        <v>2272</v>
      </c>
      <c r="B26" s="1299"/>
      <c r="C26" s="1299"/>
      <c r="D26" s="1299"/>
      <c r="E26" s="1300">
        <f>C27-C30-C31-C32</f>
        <v>0</v>
      </c>
      <c r="F26" s="1300"/>
      <c r="G26" s="1300"/>
      <c r="H26" s="1301" t="s">
        <v>2273</v>
      </c>
    </row>
    <row r="27" spans="1:7">
      <c r="A27" s="1302">
        <v>1</v>
      </c>
      <c r="B27" s="1303" t="s">
        <v>2274</v>
      </c>
      <c r="C27" s="1303"/>
      <c r="D27" s="1303"/>
      <c r="E27" s="1302"/>
      <c r="F27" s="1302"/>
      <c r="G27" s="1302"/>
    </row>
    <row r="28" spans="1:7">
      <c r="A28" s="1304" t="s">
        <v>1124</v>
      </c>
      <c r="B28" s="1303" t="s">
        <v>2275</v>
      </c>
      <c r="C28" s="1303"/>
      <c r="D28" s="1303"/>
      <c r="E28" s="1302"/>
      <c r="F28" s="1302"/>
      <c r="G28" s="1302"/>
    </row>
    <row r="29" spans="1:7">
      <c r="A29" s="1304" t="s">
        <v>1164</v>
      </c>
      <c r="B29" s="1303" t="s">
        <v>1929</v>
      </c>
      <c r="C29" s="1303"/>
      <c r="D29" s="1303"/>
      <c r="E29" s="1303" t="s">
        <v>2276</v>
      </c>
      <c r="F29" s="1303"/>
      <c r="G29" s="1303"/>
    </row>
    <row r="30" spans="1:7">
      <c r="A30" s="1302">
        <v>2</v>
      </c>
      <c r="B30" s="1303" t="s">
        <v>2277</v>
      </c>
      <c r="C30" s="1303">
        <f>C27*D30</f>
        <v>0</v>
      </c>
      <c r="D30" s="1305">
        <v>0.2</v>
      </c>
      <c r="E30" s="1303" t="s">
        <v>2278</v>
      </c>
      <c r="F30" s="1303"/>
      <c r="G30" s="1303"/>
    </row>
    <row r="31" spans="1:7">
      <c r="A31" s="1302">
        <v>3</v>
      </c>
      <c r="B31" s="1303" t="s">
        <v>2279</v>
      </c>
      <c r="C31" s="1303">
        <f>C25*D31</f>
        <v>0</v>
      </c>
      <c r="D31" s="1305">
        <v>0.15</v>
      </c>
      <c r="E31" s="1303" t="s">
        <v>2280</v>
      </c>
      <c r="F31" s="1303"/>
      <c r="G31" s="1303"/>
    </row>
    <row r="32" spans="1:7">
      <c r="A32" s="1302">
        <v>4</v>
      </c>
      <c r="B32" s="1303" t="s">
        <v>2281</v>
      </c>
      <c r="C32" s="1303">
        <f>C27*D32</f>
        <v>0</v>
      </c>
      <c r="D32" s="1305">
        <v>0.05</v>
      </c>
      <c r="E32" s="1303"/>
      <c r="F32" s="1303"/>
      <c r="G32" s="1303"/>
    </row>
    <row r="33" hidden="1" spans="1:7">
      <c r="A33" s="1306" t="s">
        <v>2282</v>
      </c>
      <c r="B33" s="1307"/>
      <c r="C33" s="1307"/>
      <c r="D33" s="1308"/>
      <c r="E33" s="1300"/>
      <c r="F33" s="1300"/>
      <c r="G33" s="1300"/>
    </row>
    <row r="34" hidden="1" spans="1:7">
      <c r="A34" s="1302">
        <v>1</v>
      </c>
      <c r="B34" s="1303" t="s">
        <v>2283</v>
      </c>
      <c r="C34" s="1303"/>
      <c r="D34" s="1303"/>
      <c r="E34" s="1302"/>
      <c r="F34" s="1302"/>
      <c r="G34" s="1302"/>
    </row>
    <row r="35" hidden="1" spans="1:7">
      <c r="A35" s="1302">
        <v>2</v>
      </c>
      <c r="B35" s="1303" t="s">
        <v>2284</v>
      </c>
      <c r="C35" s="1303"/>
      <c r="D35" s="1303"/>
      <c r="E35" s="1302"/>
      <c r="F35" s="1302"/>
      <c r="G35" s="1302"/>
    </row>
    <row r="36" hidden="1" spans="1:7">
      <c r="A36" s="1302">
        <v>3</v>
      </c>
      <c r="B36" s="1303" t="s">
        <v>2285</v>
      </c>
      <c r="C36" s="1303"/>
      <c r="D36" s="1303"/>
      <c r="E36" s="1302"/>
      <c r="F36" s="1302"/>
      <c r="G36" s="1302"/>
    </row>
    <row r="37" hidden="1" spans="1:7">
      <c r="A37" s="1302">
        <v>4</v>
      </c>
      <c r="B37" s="1303" t="s">
        <v>2286</v>
      </c>
      <c r="C37" s="1303"/>
      <c r="D37" s="1303"/>
      <c r="E37" s="1302"/>
      <c r="F37" s="1302"/>
      <c r="G37" s="1302"/>
    </row>
    <row r="38" hidden="1" spans="1:7">
      <c r="A38" s="1306" t="s">
        <v>2287</v>
      </c>
      <c r="B38" s="1307"/>
      <c r="C38" s="1307"/>
      <c r="D38" s="1308"/>
      <c r="E38" s="1300"/>
      <c r="F38" s="1300"/>
      <c r="G38" s="1300"/>
    </row>
  </sheetData>
  <mergeCells count="38">
    <mergeCell ref="A1:C1"/>
    <mergeCell ref="D1:I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A21:G21"/>
    <mergeCell ref="E26:G26"/>
    <mergeCell ref="E27:G27"/>
    <mergeCell ref="E28:G28"/>
    <mergeCell ref="E32:G32"/>
    <mergeCell ref="A33:D33"/>
    <mergeCell ref="E33:G33"/>
    <mergeCell ref="E34:G34"/>
    <mergeCell ref="E35:G35"/>
    <mergeCell ref="E36:G36"/>
    <mergeCell ref="E37:G37"/>
    <mergeCell ref="A38:D38"/>
    <mergeCell ref="E38:G38"/>
    <mergeCell ref="A2:A10"/>
    <mergeCell ref="A11:A15"/>
    <mergeCell ref="A16:A20"/>
    <mergeCell ref="A22:C23"/>
  </mergeCells>
  <pageMargins left="0.7" right="0.7" top="0.75" bottom="0.75" header="0.3" footer="0.3"/>
  <headerFooter/>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5:BF32"/>
  <sheetViews>
    <sheetView tabSelected="1" zoomScale="85" zoomScaleNormal="85" workbookViewId="0">
      <selection activeCell="F19" sqref="F19"/>
    </sheetView>
  </sheetViews>
  <sheetFormatPr defaultColWidth="11.725" defaultRowHeight="13.5"/>
  <cols>
    <col min="1" max="2" width="11.725" style="618" customWidth="1"/>
    <col min="3" max="3" width="10.6333333333333" style="618" customWidth="1"/>
    <col min="4" max="4" width="12.9083333333333" style="618" customWidth="1"/>
    <col min="5" max="5" width="12.45" style="618" customWidth="1"/>
    <col min="6" max="6" width="14.0916666666667" style="618" customWidth="1"/>
    <col min="7" max="7" width="11.3666666666667" style="618" customWidth="1"/>
    <col min="8" max="8" width="14.3666666666667" style="618" customWidth="1"/>
    <col min="9" max="9" width="11.45" style="618" customWidth="1"/>
    <col min="10" max="10" width="10.3666666666667" style="618" customWidth="1"/>
    <col min="11" max="11" width="14" style="618" customWidth="1"/>
    <col min="12" max="12" width="8.36666666666667" style="618" customWidth="1"/>
    <col min="13" max="13" width="12.3666666666667" style="618" customWidth="1"/>
    <col min="14" max="14" width="11.725" style="618"/>
    <col min="15" max="15" width="9" style="618" customWidth="1"/>
    <col min="16" max="18" width="12.6333333333333" style="618"/>
    <col min="19" max="16384" width="11.725" style="618"/>
  </cols>
  <sheetData>
    <row r="5" ht="17.25" customHeight="1" spans="6:7">
      <c r="F5" s="1242" t="s">
        <v>2288</v>
      </c>
      <c r="G5" s="1242" t="s">
        <v>2289</v>
      </c>
    </row>
    <row r="6" ht="32.25" customHeight="1" spans="3:16">
      <c r="C6" s="607" t="s">
        <v>2290</v>
      </c>
      <c r="D6" s="1243" t="s">
        <v>2291</v>
      </c>
      <c r="E6" s="607" t="s">
        <v>2292</v>
      </c>
      <c r="F6" s="607" t="s">
        <v>2293</v>
      </c>
      <c r="G6" s="607" t="s">
        <v>2294</v>
      </c>
      <c r="H6" s="1243" t="s">
        <v>2295</v>
      </c>
      <c r="I6" s="607" t="s">
        <v>2296</v>
      </c>
      <c r="J6" s="1243" t="s">
        <v>2297</v>
      </c>
      <c r="K6" s="607" t="s">
        <v>2298</v>
      </c>
      <c r="L6" s="607" t="s">
        <v>105</v>
      </c>
      <c r="M6" s="607" t="s">
        <v>2299</v>
      </c>
      <c r="N6" s="607" t="s">
        <v>2300</v>
      </c>
      <c r="O6" s="607" t="s">
        <v>2301</v>
      </c>
      <c r="P6" s="1243" t="s">
        <v>2302</v>
      </c>
    </row>
    <row r="7" ht="108" spans="3:58">
      <c r="C7" s="1244" t="s">
        <v>2303</v>
      </c>
      <c r="D7" s="1245">
        <v>23617</v>
      </c>
      <c r="E7" s="1245">
        <v>47192</v>
      </c>
      <c r="F7" s="1244" t="s">
        <v>2304</v>
      </c>
      <c r="G7" s="1244">
        <f>ROUND(I7/L7,2)</f>
        <v>450</v>
      </c>
      <c r="H7" s="1245">
        <f>23596-0.07</f>
        <v>23595.93</v>
      </c>
      <c r="I7" s="1245">
        <f>500+200+200</f>
        <v>900</v>
      </c>
      <c r="J7" s="1245">
        <f>H7-G7</f>
        <v>23145.93</v>
      </c>
      <c r="K7" s="1245">
        <f>E7-I7</f>
        <v>46292</v>
      </c>
      <c r="L7" s="1258">
        <f>ROUND(E7/H7,2)</f>
        <v>2</v>
      </c>
      <c r="M7" s="1258">
        <f>ROUND(K7/J7,2)</f>
        <v>2</v>
      </c>
      <c r="N7" s="1244" t="s">
        <v>2305</v>
      </c>
      <c r="O7" s="1244" t="s">
        <v>2306</v>
      </c>
      <c r="P7" s="1259" t="s">
        <v>2307</v>
      </c>
      <c r="AC7"/>
      <c r="AD7"/>
      <c r="AE7"/>
      <c r="AF7"/>
      <c r="AG7"/>
      <c r="AH7"/>
      <c r="AI7"/>
      <c r="AJ7"/>
      <c r="AK7"/>
      <c r="AL7"/>
      <c r="AM7"/>
      <c r="AN7"/>
      <c r="AO7"/>
      <c r="AP7"/>
      <c r="AQ7"/>
      <c r="AR7"/>
      <c r="AS7"/>
      <c r="AT7"/>
      <c r="AU7"/>
      <c r="AV7"/>
      <c r="AW7"/>
      <c r="AX7"/>
      <c r="AY7"/>
      <c r="AZ7"/>
      <c r="BA7"/>
      <c r="BB7"/>
      <c r="BC7"/>
      <c r="BD7"/>
      <c r="BE7"/>
      <c r="BF7"/>
    </row>
    <row r="8" s="1241" customFormat="1" ht="40.5" spans="1:58">
      <c r="A8"/>
      <c r="B8"/>
      <c r="C8" s="1246" t="s">
        <v>2308</v>
      </c>
      <c r="D8" s="1247">
        <v>6001.5</v>
      </c>
      <c r="E8" s="1247">
        <v>7201.8</v>
      </c>
      <c r="F8" s="1246" t="s">
        <v>2309</v>
      </c>
      <c r="G8" s="1246">
        <f>ROUND(I8/L8,2)</f>
        <v>2916.67</v>
      </c>
      <c r="H8" s="1246">
        <f>D8</f>
        <v>6001.5</v>
      </c>
      <c r="I8" s="1247">
        <v>3500</v>
      </c>
      <c r="J8" s="1247">
        <f t="shared" ref="J8:J15" si="0">H8-G8</f>
        <v>3084.83</v>
      </c>
      <c r="K8" s="1247">
        <f>E8-I8</f>
        <v>3701.8</v>
      </c>
      <c r="L8" s="1260">
        <f>ROUND(E8/H8,2)</f>
        <v>1.2</v>
      </c>
      <c r="M8" s="1260">
        <f>ROUND(K8/J8,2)</f>
        <v>1.2</v>
      </c>
      <c r="N8" s="1246" t="s">
        <v>2310</v>
      </c>
      <c r="O8" s="1246" t="s">
        <v>2311</v>
      </c>
      <c r="P8" s="1261" t="s">
        <v>138</v>
      </c>
      <c r="Q8"/>
      <c r="R8"/>
      <c r="S8"/>
      <c r="T8"/>
      <c r="U8"/>
      <c r="V8"/>
      <c r="W8"/>
      <c r="X8"/>
      <c r="Y8"/>
      <c r="Z8"/>
      <c r="AA8"/>
      <c r="AB8"/>
      <c r="AC8"/>
      <c r="AD8"/>
      <c r="AE8"/>
      <c r="AF8"/>
      <c r="AG8"/>
      <c r="AH8"/>
      <c r="AI8"/>
      <c r="AJ8"/>
      <c r="AK8"/>
      <c r="AL8"/>
      <c r="AM8"/>
      <c r="AN8"/>
      <c r="AO8"/>
      <c r="AP8"/>
      <c r="AQ8"/>
      <c r="AR8"/>
      <c r="AS8"/>
      <c r="AT8"/>
      <c r="AU8"/>
      <c r="AV8"/>
      <c r="AW8"/>
      <c r="AX8"/>
      <c r="AY8"/>
      <c r="AZ8"/>
      <c r="BA8"/>
      <c r="BB8"/>
      <c r="BC8"/>
      <c r="BD8"/>
      <c r="BE8"/>
      <c r="BF8"/>
    </row>
    <row r="9" s="1241" customFormat="1" ht="40.5" spans="1:58">
      <c r="A9"/>
      <c r="B9"/>
      <c r="C9" s="1248" t="s">
        <v>2312</v>
      </c>
      <c r="D9" s="1249">
        <v>20919.9</v>
      </c>
      <c r="E9" s="1249">
        <v>43931.79</v>
      </c>
      <c r="F9" s="1248" t="s">
        <v>2313</v>
      </c>
      <c r="G9" s="1248">
        <f>ROUND(I9/L9,2)</f>
        <v>0</v>
      </c>
      <c r="H9" s="1248">
        <f t="shared" ref="H9:H16" si="1">D9</f>
        <v>20919.9</v>
      </c>
      <c r="I9" s="1249"/>
      <c r="J9" s="1249">
        <f t="shared" si="0"/>
        <v>20919.9</v>
      </c>
      <c r="K9" s="1249">
        <f t="shared" ref="K9:K14" si="2">E9-I9</f>
        <v>43931.79</v>
      </c>
      <c r="L9" s="1262">
        <f t="shared" ref="L9:L15" si="3">ROUND(E9/H9,2)</f>
        <v>2.1</v>
      </c>
      <c r="M9" s="1262">
        <f t="shared" ref="M9:M15" si="4">ROUND(K9/J9,2)</f>
        <v>2.1</v>
      </c>
      <c r="N9" s="1248" t="s">
        <v>2314</v>
      </c>
      <c r="O9" s="1249" t="str">
        <f>O7</f>
        <v>h≤45</v>
      </c>
      <c r="P9" s="1248" t="s">
        <v>2315</v>
      </c>
      <c r="Q9"/>
      <c r="R9"/>
      <c r="S9"/>
      <c r="T9"/>
      <c r="U9"/>
      <c r="V9"/>
      <c r="W9"/>
      <c r="X9"/>
      <c r="Y9"/>
      <c r="Z9"/>
      <c r="AA9"/>
      <c r="AB9"/>
      <c r="AC9"/>
      <c r="AD9"/>
      <c r="AE9"/>
      <c r="AF9"/>
      <c r="AG9"/>
      <c r="AH9"/>
      <c r="AI9"/>
      <c r="AJ9"/>
      <c r="AK9"/>
      <c r="AL9"/>
      <c r="AM9"/>
      <c r="AN9"/>
      <c r="AO9"/>
      <c r="AP9"/>
      <c r="AQ9"/>
      <c r="AR9"/>
      <c r="AS9"/>
      <c r="AT9"/>
      <c r="AU9"/>
      <c r="AV9"/>
      <c r="AW9"/>
      <c r="AX9"/>
      <c r="AY9"/>
      <c r="AZ9"/>
      <c r="BA9"/>
      <c r="BB9"/>
      <c r="BC9"/>
      <c r="BD9"/>
      <c r="BE9"/>
      <c r="BF9"/>
    </row>
    <row r="10" ht="40.5" spans="1:58">
      <c r="A10"/>
      <c r="B10"/>
      <c r="C10" s="1248" t="s">
        <v>2316</v>
      </c>
      <c r="D10" s="1249">
        <v>20283.1</v>
      </c>
      <c r="E10" s="1249">
        <v>42594.51</v>
      </c>
      <c r="F10" s="1249"/>
      <c r="G10" s="1249">
        <f t="shared" ref="G10:G15" si="5">ROUND(I10/2,2)</f>
        <v>0</v>
      </c>
      <c r="H10" s="1249">
        <f t="shared" si="1"/>
        <v>20283.1</v>
      </c>
      <c r="I10" s="1249"/>
      <c r="J10" s="1249">
        <f t="shared" si="0"/>
        <v>20283.1</v>
      </c>
      <c r="K10" s="1249">
        <f t="shared" si="2"/>
        <v>42594.51</v>
      </c>
      <c r="L10" s="1262">
        <f t="shared" si="3"/>
        <v>2.1</v>
      </c>
      <c r="M10" s="1262">
        <f t="shared" si="4"/>
        <v>2.1</v>
      </c>
      <c r="N10" s="1248" t="s">
        <v>2314</v>
      </c>
      <c r="O10" s="1249" t="str">
        <f>O7</f>
        <v>h≤45</v>
      </c>
      <c r="P10" s="1248" t="s">
        <v>2315</v>
      </c>
      <c r="Q10"/>
      <c r="R10"/>
      <c r="S10"/>
      <c r="T10"/>
      <c r="U10"/>
      <c r="V10"/>
      <c r="W10"/>
      <c r="X10"/>
      <c r="Y10"/>
      <c r="Z10"/>
      <c r="AA10"/>
      <c r="AB10"/>
      <c r="AC10"/>
      <c r="AD10"/>
      <c r="AE10"/>
      <c r="AF10"/>
      <c r="AG10"/>
      <c r="AH10"/>
      <c r="AI10"/>
      <c r="AJ10"/>
      <c r="AK10"/>
      <c r="AL10"/>
      <c r="AM10"/>
      <c r="AN10"/>
      <c r="AO10"/>
      <c r="AP10"/>
      <c r="AQ10"/>
      <c r="AR10"/>
      <c r="AS10"/>
      <c r="AT10"/>
      <c r="AU10"/>
      <c r="AV10"/>
      <c r="AW10"/>
      <c r="AX10"/>
      <c r="AY10"/>
      <c r="AZ10"/>
      <c r="BA10"/>
      <c r="BB10"/>
      <c r="BC10"/>
      <c r="BD10"/>
      <c r="BE10"/>
      <c r="BF10"/>
    </row>
    <row r="11" ht="40.5" spans="1:58">
      <c r="A11"/>
      <c r="B11"/>
      <c r="C11" s="1250" t="s">
        <v>2317</v>
      </c>
      <c r="D11" s="1251">
        <v>1050</v>
      </c>
      <c r="E11" s="1251"/>
      <c r="F11" s="1251"/>
      <c r="G11" s="1251">
        <f t="shared" si="5"/>
        <v>0</v>
      </c>
      <c r="H11" s="1251">
        <f t="shared" si="1"/>
        <v>1050</v>
      </c>
      <c r="I11" s="1251"/>
      <c r="J11" s="1251">
        <f t="shared" si="0"/>
        <v>1050</v>
      </c>
      <c r="K11" s="1251">
        <f t="shared" si="2"/>
        <v>0</v>
      </c>
      <c r="L11" s="1263">
        <f t="shared" si="3"/>
        <v>0</v>
      </c>
      <c r="M11" s="1263">
        <f t="shared" si="4"/>
        <v>0</v>
      </c>
      <c r="N11" s="1250" t="s">
        <v>2318</v>
      </c>
      <c r="O11" s="1251"/>
      <c r="P11" s="1264"/>
      <c r="Q11"/>
      <c r="R11"/>
      <c r="S11"/>
      <c r="T11"/>
      <c r="U11"/>
      <c r="V11"/>
      <c r="W11"/>
      <c r="X11"/>
      <c r="Y11"/>
      <c r="Z11"/>
      <c r="AA11"/>
      <c r="AB11"/>
      <c r="AC11"/>
      <c r="AD11"/>
      <c r="AE11"/>
      <c r="AF11"/>
      <c r="AG11"/>
      <c r="AH11"/>
      <c r="AI11"/>
      <c r="AJ11"/>
      <c r="AK11"/>
      <c r="AL11"/>
      <c r="AM11"/>
      <c r="AN11"/>
      <c r="AO11"/>
      <c r="AP11"/>
      <c r="AQ11"/>
      <c r="AR11"/>
      <c r="AS11"/>
      <c r="AT11"/>
      <c r="AU11"/>
      <c r="AV11"/>
      <c r="AW11"/>
      <c r="AX11"/>
      <c r="AY11"/>
      <c r="AZ11"/>
      <c r="BA11"/>
      <c r="BB11"/>
      <c r="BC11"/>
      <c r="BD11"/>
      <c r="BE11"/>
      <c r="BF11"/>
    </row>
    <row r="12" s="1241" customFormat="1" ht="27" spans="1:58">
      <c r="A12"/>
      <c r="B12"/>
      <c r="C12" s="1244" t="s">
        <v>2319</v>
      </c>
      <c r="D12" s="1245">
        <v>13279</v>
      </c>
      <c r="E12" s="1245">
        <v>26558</v>
      </c>
      <c r="F12" s="1245"/>
      <c r="G12" s="1245">
        <f t="shared" si="5"/>
        <v>0</v>
      </c>
      <c r="H12" s="1245">
        <f t="shared" si="1"/>
        <v>13279</v>
      </c>
      <c r="I12" s="1245"/>
      <c r="J12" s="1245">
        <f t="shared" si="0"/>
        <v>13279</v>
      </c>
      <c r="K12" s="1245">
        <f t="shared" si="2"/>
        <v>26558</v>
      </c>
      <c r="L12" s="1258">
        <f t="shared" si="3"/>
        <v>2</v>
      </c>
      <c r="M12" s="1258">
        <f t="shared" si="4"/>
        <v>2</v>
      </c>
      <c r="N12" s="1244" t="s">
        <v>2305</v>
      </c>
      <c r="O12" s="1245" t="str">
        <f>O7</f>
        <v>h≤45</v>
      </c>
      <c r="P12" s="1259" t="s">
        <v>2307</v>
      </c>
      <c r="Q12"/>
      <c r="R12"/>
      <c r="S12"/>
      <c r="T12"/>
      <c r="U12"/>
      <c r="V12"/>
      <c r="W12"/>
      <c r="X12"/>
      <c r="Y12"/>
      <c r="Z12"/>
      <c r="AA12"/>
      <c r="AB12"/>
      <c r="AC12"/>
      <c r="AD12"/>
      <c r="AE12"/>
      <c r="AF12"/>
      <c r="AG12"/>
      <c r="AH12"/>
      <c r="AI12"/>
      <c r="AJ12"/>
      <c r="AK12"/>
      <c r="AL12"/>
      <c r="AM12"/>
      <c r="AN12"/>
      <c r="AO12"/>
      <c r="AP12"/>
      <c r="AQ12"/>
      <c r="AR12"/>
      <c r="AS12"/>
      <c r="AT12"/>
      <c r="AU12"/>
      <c r="AV12"/>
      <c r="AW12"/>
      <c r="AX12"/>
      <c r="AY12"/>
      <c r="AZ12"/>
      <c r="BA12"/>
      <c r="BB12"/>
      <c r="BC12"/>
      <c r="BD12"/>
      <c r="BE12"/>
      <c r="BF12"/>
    </row>
    <row r="13" s="1241" customFormat="1" ht="40.5" spans="1:58">
      <c r="A13"/>
      <c r="B13"/>
      <c r="C13" s="1248" t="s">
        <v>2320</v>
      </c>
      <c r="D13" s="1249">
        <v>13136.1</v>
      </c>
      <c r="E13" s="1249">
        <v>27585.81</v>
      </c>
      <c r="F13" s="1249"/>
      <c r="G13" s="1249">
        <f t="shared" si="5"/>
        <v>0</v>
      </c>
      <c r="H13" s="1249">
        <f t="shared" si="1"/>
        <v>13136.1</v>
      </c>
      <c r="I13" s="1249"/>
      <c r="J13" s="1249">
        <f t="shared" si="0"/>
        <v>13136.1</v>
      </c>
      <c r="K13" s="1249">
        <f t="shared" si="2"/>
        <v>27585.81</v>
      </c>
      <c r="L13" s="1262">
        <f t="shared" si="3"/>
        <v>2.1</v>
      </c>
      <c r="M13" s="1262">
        <f t="shared" si="4"/>
        <v>2.1</v>
      </c>
      <c r="N13" s="1248" t="s">
        <v>2314</v>
      </c>
      <c r="O13" s="1248" t="s">
        <v>2306</v>
      </c>
      <c r="P13" s="1248" t="s">
        <v>2315</v>
      </c>
      <c r="Q13"/>
      <c r="R13"/>
      <c r="S13"/>
      <c r="T13"/>
      <c r="U13"/>
      <c r="V13"/>
      <c r="W13"/>
      <c r="X13"/>
      <c r="Y13"/>
      <c r="Z13"/>
      <c r="AA13"/>
      <c r="AB13"/>
      <c r="AC13"/>
      <c r="AD13"/>
      <c r="AE13"/>
      <c r="AF13"/>
      <c r="AG13"/>
      <c r="AH13"/>
      <c r="AI13"/>
      <c r="AJ13"/>
      <c r="AK13"/>
      <c r="AL13"/>
      <c r="AM13"/>
      <c r="AN13"/>
      <c r="AO13"/>
      <c r="AP13"/>
      <c r="AQ13"/>
      <c r="AR13"/>
      <c r="AS13"/>
      <c r="AT13"/>
      <c r="AU13"/>
      <c r="AV13"/>
      <c r="AW13"/>
      <c r="AX13"/>
      <c r="AY13"/>
      <c r="AZ13"/>
      <c r="BA13"/>
      <c r="BB13"/>
      <c r="BC13"/>
      <c r="BD13"/>
      <c r="BE13"/>
      <c r="BF13"/>
    </row>
    <row r="14" s="1241" customFormat="1" ht="54" spans="1:58">
      <c r="A14"/>
      <c r="B14"/>
      <c r="C14" s="1252" t="s">
        <v>2321</v>
      </c>
      <c r="D14" s="615">
        <v>10135</v>
      </c>
      <c r="E14" s="615">
        <v>25337.5</v>
      </c>
      <c r="F14" s="1252" t="s">
        <v>2322</v>
      </c>
      <c r="G14" s="1252">
        <f>ROUND(I14/L14,2)</f>
        <v>2080</v>
      </c>
      <c r="H14" s="1252">
        <f t="shared" si="1"/>
        <v>10135</v>
      </c>
      <c r="I14" s="615">
        <v>5200</v>
      </c>
      <c r="J14" s="615">
        <f t="shared" si="0"/>
        <v>8055</v>
      </c>
      <c r="K14" s="615">
        <f t="shared" si="2"/>
        <v>20137.5</v>
      </c>
      <c r="L14" s="1265">
        <f t="shared" si="3"/>
        <v>2.5</v>
      </c>
      <c r="M14" s="1265">
        <f t="shared" si="4"/>
        <v>2.5</v>
      </c>
      <c r="N14" s="1252" t="s">
        <v>2323</v>
      </c>
      <c r="O14" s="615" t="str">
        <f>O7</f>
        <v>h≤45</v>
      </c>
      <c r="P14" s="1252" t="s">
        <v>2324</v>
      </c>
      <c r="Q14"/>
      <c r="R14"/>
      <c r="S14"/>
      <c r="T14"/>
      <c r="U14"/>
      <c r="V14"/>
      <c r="W14"/>
      <c r="X14"/>
      <c r="Y14"/>
      <c r="Z14"/>
      <c r="AA14"/>
      <c r="AB14"/>
      <c r="AC14"/>
      <c r="AD14"/>
      <c r="AE14"/>
      <c r="AF14"/>
      <c r="AG14"/>
      <c r="AH14"/>
      <c r="AI14"/>
      <c r="AJ14"/>
      <c r="AK14"/>
      <c r="AL14"/>
      <c r="AM14"/>
      <c r="AN14"/>
      <c r="AO14"/>
      <c r="AP14"/>
      <c r="AQ14"/>
      <c r="AR14"/>
      <c r="AS14"/>
      <c r="AT14"/>
      <c r="AU14"/>
      <c r="AV14"/>
      <c r="AW14"/>
      <c r="AX14"/>
      <c r="AY14"/>
      <c r="AZ14"/>
      <c r="BA14"/>
      <c r="BB14"/>
      <c r="BC14"/>
      <c r="BD14"/>
      <c r="BE14"/>
      <c r="BF14"/>
    </row>
    <row r="15" ht="40.5" spans="1:58">
      <c r="A15"/>
      <c r="B15"/>
      <c r="C15" s="1253" t="s">
        <v>2325</v>
      </c>
      <c r="D15" s="1253">
        <v>1682.5</v>
      </c>
      <c r="E15" s="1253"/>
      <c r="F15" s="1253"/>
      <c r="G15" s="1253">
        <f t="shared" si="5"/>
        <v>0</v>
      </c>
      <c r="H15" s="1253">
        <f t="shared" si="1"/>
        <v>1682.5</v>
      </c>
      <c r="I15" s="1253"/>
      <c r="J15" s="1253">
        <f t="shared" si="0"/>
        <v>1682.5</v>
      </c>
      <c r="K15" s="1253"/>
      <c r="L15" s="1266">
        <f t="shared" si="3"/>
        <v>0</v>
      </c>
      <c r="M15" s="1266">
        <f t="shared" si="4"/>
        <v>0</v>
      </c>
      <c r="N15" s="1253" t="s">
        <v>2318</v>
      </c>
      <c r="O15" s="1253"/>
      <c r="P15" s="1267"/>
      <c r="Q15"/>
      <c r="R15"/>
      <c r="S15"/>
      <c r="T15"/>
      <c r="U15"/>
      <c r="V15"/>
      <c r="W15"/>
      <c r="X15"/>
      <c r="Y15"/>
      <c r="Z15"/>
      <c r="AA15"/>
      <c r="AB15"/>
      <c r="AC15"/>
      <c r="AD15"/>
      <c r="AE15"/>
      <c r="AF15"/>
      <c r="AG15"/>
      <c r="AH15"/>
      <c r="AI15"/>
      <c r="AJ15"/>
      <c r="AK15"/>
      <c r="AL15"/>
      <c r="AM15"/>
      <c r="AN15"/>
      <c r="AO15"/>
      <c r="AP15"/>
      <c r="AQ15"/>
      <c r="AR15"/>
      <c r="AS15"/>
      <c r="AT15"/>
      <c r="AU15"/>
      <c r="AV15"/>
      <c r="AW15"/>
      <c r="AX15"/>
      <c r="AY15"/>
      <c r="AZ15"/>
      <c r="BA15"/>
      <c r="BB15"/>
      <c r="BC15"/>
      <c r="BD15"/>
      <c r="BE15"/>
      <c r="BF15"/>
    </row>
    <row r="16" s="1241" customFormat="1" spans="1:58">
      <c r="A16"/>
      <c r="B16"/>
      <c r="C16" s="607" t="s">
        <v>2326</v>
      </c>
      <c r="D16" s="1254">
        <v>23120.56</v>
      </c>
      <c r="E16" s="607" t="s">
        <v>138</v>
      </c>
      <c r="F16" s="607"/>
      <c r="G16" s="607"/>
      <c r="H16" s="607">
        <f t="shared" si="1"/>
        <v>23120.56</v>
      </c>
      <c r="I16" s="607"/>
      <c r="J16" s="607"/>
      <c r="K16" s="607"/>
      <c r="L16" s="1268"/>
      <c r="M16" s="1268"/>
      <c r="N16" s="607"/>
      <c r="O16" s="607"/>
      <c r="P16" s="1098"/>
      <c r="Q16"/>
      <c r="R16"/>
      <c r="S16"/>
      <c r="T16"/>
      <c r="U16"/>
      <c r="V16"/>
      <c r="W16"/>
      <c r="X16"/>
      <c r="Y16"/>
      <c r="Z16"/>
      <c r="AA16"/>
      <c r="AB16"/>
      <c r="AC16"/>
      <c r="AD16"/>
      <c r="AE16"/>
      <c r="AF16"/>
      <c r="AG16"/>
      <c r="AH16"/>
      <c r="AI16"/>
      <c r="AJ16"/>
      <c r="AK16"/>
      <c r="AL16"/>
      <c r="AM16"/>
      <c r="AN16"/>
      <c r="AO16"/>
      <c r="AP16"/>
      <c r="AQ16"/>
      <c r="AR16"/>
      <c r="AS16"/>
      <c r="AT16"/>
      <c r="AU16"/>
      <c r="AV16"/>
      <c r="AW16"/>
      <c r="AX16"/>
      <c r="AY16"/>
      <c r="AZ16"/>
      <c r="BA16"/>
      <c r="BB16"/>
      <c r="BC16"/>
      <c r="BD16"/>
      <c r="BE16"/>
      <c r="BF16"/>
    </row>
    <row r="17" spans="3:16">
      <c r="C17" s="607" t="s">
        <v>449</v>
      </c>
      <c r="D17" s="1255">
        <f>SUM(D7:D16)</f>
        <v>133224.66</v>
      </c>
      <c r="E17" s="1256">
        <f>SUM(E7:E15)</f>
        <v>220401.41</v>
      </c>
      <c r="F17" s="1256"/>
      <c r="G17" s="1256">
        <f>SUM(G7:G15)</f>
        <v>5446.67</v>
      </c>
      <c r="H17" s="1256">
        <f>SUM(H7:H16)</f>
        <v>133203.59</v>
      </c>
      <c r="I17" s="1256">
        <f>SUM(I7:I15)</f>
        <v>9600</v>
      </c>
      <c r="J17" s="1256">
        <f>SUM(J7:J16)-J11-J15</f>
        <v>101903.86</v>
      </c>
      <c r="K17" s="1255">
        <f>SUM(K7:K15)</f>
        <v>210801.41</v>
      </c>
      <c r="L17" s="607"/>
      <c r="M17" s="607"/>
      <c r="N17" s="607"/>
      <c r="O17" s="607"/>
      <c r="P17" s="607"/>
    </row>
    <row r="18" spans="11:11">
      <c r="K18" s="1269"/>
    </row>
    <row r="19" spans="8:8">
      <c r="H19" s="1257">
        <f>133203.59-23120.56-2732.5-6001.5</f>
        <v>101349.03</v>
      </c>
    </row>
    <row r="21" spans="7:7">
      <c r="G21" s="1242" t="s">
        <v>2293</v>
      </c>
    </row>
    <row r="22" spans="3:8">
      <c r="C22" s="607" t="s">
        <v>2327</v>
      </c>
      <c r="D22" s="1255">
        <f>D23+D26+D27+D28</f>
        <v>133203.59</v>
      </c>
      <c r="G22" s="607" t="s">
        <v>2328</v>
      </c>
      <c r="H22" s="607" t="s">
        <v>389</v>
      </c>
    </row>
    <row r="23" ht="40.5" spans="3:16">
      <c r="C23" s="607" t="s">
        <v>2329</v>
      </c>
      <c r="D23" s="1255">
        <f>D24+D25</f>
        <v>101349.03</v>
      </c>
      <c r="G23" s="1243" t="s">
        <v>2330</v>
      </c>
      <c r="H23" s="607">
        <v>500</v>
      </c>
      <c r="L23" s="607" t="s">
        <v>2331</v>
      </c>
      <c r="M23" s="1255">
        <f>K7+K9+K10+K12+K13</f>
        <v>186962.11</v>
      </c>
      <c r="O23" s="607" t="s">
        <v>548</v>
      </c>
      <c r="P23" s="607"/>
    </row>
    <row r="24" ht="27" spans="3:16">
      <c r="C24" s="607" t="s">
        <v>2332</v>
      </c>
      <c r="D24" s="607">
        <f>H7+H9+H10+H12+H13</f>
        <v>91214.03</v>
      </c>
      <c r="G24" s="1243" t="s">
        <v>2333</v>
      </c>
      <c r="H24" s="607">
        <v>200</v>
      </c>
      <c r="L24" s="607" t="s">
        <v>2334</v>
      </c>
      <c r="M24" s="607">
        <f>K14</f>
        <v>20137.5</v>
      </c>
      <c r="O24" s="607" t="s">
        <v>549</v>
      </c>
      <c r="P24" s="607"/>
    </row>
    <row r="25" ht="27" spans="3:16">
      <c r="C25" s="607" t="s">
        <v>2335</v>
      </c>
      <c r="D25" s="607">
        <f>H14</f>
        <v>10135</v>
      </c>
      <c r="G25" s="1243" t="s">
        <v>2336</v>
      </c>
      <c r="H25" s="607">
        <v>400</v>
      </c>
      <c r="L25" s="607" t="s">
        <v>449</v>
      </c>
      <c r="M25" s="1255">
        <f>SUM(M23:M24)</f>
        <v>207099.61</v>
      </c>
      <c r="O25" s="607" t="s">
        <v>550</v>
      </c>
      <c r="P25" s="607"/>
    </row>
    <row r="26" spans="3:8">
      <c r="C26" s="607" t="s">
        <v>1015</v>
      </c>
      <c r="D26" s="607">
        <f>H11+H15</f>
        <v>2732.5</v>
      </c>
      <c r="G26" s="1243" t="s">
        <v>2337</v>
      </c>
      <c r="H26" s="607">
        <f>I8</f>
        <v>3500</v>
      </c>
    </row>
    <row r="27" ht="27" spans="3:8">
      <c r="C27" s="607" t="s">
        <v>2294</v>
      </c>
      <c r="D27" s="1256">
        <f>D8</f>
        <v>6001.5</v>
      </c>
      <c r="G27" s="1243" t="s">
        <v>2338</v>
      </c>
      <c r="H27" s="607">
        <v>5000</v>
      </c>
    </row>
    <row r="28" spans="3:8">
      <c r="C28" s="607" t="s">
        <v>2326</v>
      </c>
      <c r="D28" s="607">
        <f>D16</f>
        <v>23120.56</v>
      </c>
      <c r="G28" s="1243" t="s">
        <v>449</v>
      </c>
      <c r="H28" s="607">
        <f>SUM(H23:H27)</f>
        <v>9600</v>
      </c>
    </row>
    <row r="29" spans="6:8">
      <c r="F29"/>
      <c r="G29" s="607"/>
      <c r="H29" s="607"/>
    </row>
    <row r="30" spans="7:8">
      <c r="G30" s="607"/>
      <c r="H30" s="607"/>
    </row>
    <row r="31" ht="27" spans="3:8">
      <c r="C31" s="607" t="s">
        <v>2339</v>
      </c>
      <c r="D31" s="1255">
        <f>ROUND(M23/D24,2)</f>
        <v>2.05</v>
      </c>
      <c r="G31" s="607"/>
      <c r="H31" s="607"/>
    </row>
    <row r="32" ht="27" spans="3:4">
      <c r="C32" s="1243" t="s">
        <v>2340</v>
      </c>
      <c r="D32" s="1255">
        <f>ROUND(M24/D25,2)</f>
        <v>1.99</v>
      </c>
    </row>
  </sheetData>
  <autoFilter ref="C6:O17">
    <extLst/>
  </autoFilter>
  <pageMargins left="0.236111111111111" right="0.156944444444444" top="0.236111111111111" bottom="0.196527777777778" header="0.5" footer="0.5"/>
  <pageSetup paperSize="9" orientation="landscape"/>
  <headerFooter/>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E490"/>
  <sheetViews>
    <sheetView view="pageBreakPreview" zoomScale="80" zoomScaleNormal="80" workbookViewId="0">
      <selection activeCell="N27" sqref="N27"/>
    </sheetView>
  </sheetViews>
  <sheetFormatPr defaultColWidth="6.63333333333333" defaultRowHeight="12.75"/>
  <cols>
    <col min="1" max="1" width="9.725" style="980" customWidth="1"/>
    <col min="2" max="2" width="32.45" style="981" customWidth="1"/>
    <col min="3" max="3" width="15.725" style="982" customWidth="1"/>
    <col min="4" max="4" width="12" style="981" customWidth="1"/>
    <col min="5" max="5" width="9.45" style="980" customWidth="1"/>
    <col min="6" max="6" width="10.0916666666667" style="981" customWidth="1"/>
    <col min="7" max="7" width="11.6333333333333"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983" t="s">
        <v>1055</v>
      </c>
      <c r="B1" s="1140"/>
      <c r="C1" s="985"/>
      <c r="D1" s="985"/>
      <c r="E1" s="985"/>
      <c r="F1" s="985"/>
      <c r="G1" s="985"/>
      <c r="H1" s="985"/>
      <c r="I1" s="985"/>
      <c r="J1" s="985"/>
      <c r="K1" s="991">
        <f>MATCH(B1,'数据-取费表'!A6:A16,0)+5</f>
        <v>10</v>
      </c>
      <c r="L1" s="72"/>
      <c r="M1" s="72"/>
      <c r="N1" s="72"/>
      <c r="O1" s="72"/>
      <c r="P1" s="72"/>
      <c r="Q1" s="72"/>
      <c r="R1" s="72"/>
      <c r="S1" s="72"/>
      <c r="T1" s="72"/>
      <c r="U1" s="72"/>
      <c r="V1" s="72"/>
      <c r="W1" s="72"/>
      <c r="X1" s="72"/>
      <c r="Y1" s="72"/>
      <c r="Z1" s="72"/>
    </row>
    <row r="2" s="157" customFormat="1" ht="18" customHeight="1" spans="1:26">
      <c r="A2" s="986" t="s">
        <v>919</v>
      </c>
      <c r="B2" s="987">
        <f ca="1">C36</f>
        <v>95939.86</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988" t="s">
        <v>920</v>
      </c>
      <c r="B3" s="989">
        <f ca="1">ROUND(B2*10000/IF(B1="",'数据-汇总表'!E3,INDIRECT("'数据-取费表'!K"&amp;$K$1)),0)</f>
        <v>4353</v>
      </c>
      <c r="C3" s="985">
        <f ca="1">ROUND(B2*10000/C9,0)</f>
        <v>12829</v>
      </c>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f ca="1">ROUND(B2*10000/IF(B1="",'数据-汇总表'!D3,INDIRECT("'数据-取费表'!R"&amp;$K$1)),0)</f>
        <v>9466</v>
      </c>
      <c r="C4" s="990"/>
      <c r="D4" s="991"/>
      <c r="E4" s="991"/>
      <c r="F4" s="991"/>
      <c r="G4" s="991"/>
      <c r="H4" s="991"/>
      <c r="I4" s="991"/>
      <c r="J4" s="991"/>
      <c r="K4" s="991"/>
      <c r="L4" s="72"/>
      <c r="M4" s="72"/>
      <c r="N4" s="72"/>
      <c r="O4" s="72"/>
      <c r="P4" s="72"/>
      <c r="Q4" s="72"/>
      <c r="R4" s="72"/>
      <c r="S4" s="72"/>
      <c r="T4" s="72"/>
      <c r="U4" s="72"/>
      <c r="V4" s="72"/>
      <c r="W4" s="72"/>
      <c r="X4" s="72"/>
      <c r="Y4" s="72"/>
      <c r="Z4" s="72"/>
    </row>
    <row r="5" s="157" customFormat="1" ht="18" customHeight="1" spans="1:26">
      <c r="A5" s="650"/>
      <c r="B5" s="651">
        <f ca="1">ROUND(B2/(IF(B1="",'数据-汇总表'!D3,INDIRECT("'数据-取费表'!R"&amp;$K$1))/666.67),0)</f>
        <v>631</v>
      </c>
      <c r="C5" s="652" t="s">
        <v>922</v>
      </c>
      <c r="D5" s="991"/>
      <c r="E5" s="991"/>
      <c r="F5" s="991"/>
      <c r="G5" s="991"/>
      <c r="H5" s="991"/>
      <c r="I5" s="991"/>
      <c r="J5" s="991"/>
      <c r="K5" s="991"/>
      <c r="L5" s="72"/>
      <c r="M5" s="72"/>
      <c r="N5" s="72"/>
      <c r="O5" s="72"/>
      <c r="P5" s="72"/>
      <c r="Q5" s="72"/>
      <c r="R5" s="72"/>
      <c r="S5" s="72"/>
      <c r="T5" s="72"/>
      <c r="U5" s="72"/>
      <c r="V5" s="72"/>
      <c r="W5" s="72"/>
      <c r="X5" s="72"/>
      <c r="Y5" s="72"/>
      <c r="Z5" s="72"/>
    </row>
    <row r="6" s="969" customFormat="1" ht="16.5" customHeight="1" spans="1:26">
      <c r="A6" s="992" t="s">
        <v>2089</v>
      </c>
      <c r="B6" s="993"/>
      <c r="C6" s="994">
        <f ca="1">SUM(C10:K10)</f>
        <v>261838.56</v>
      </c>
      <c r="D6" s="993"/>
      <c r="E6" s="993"/>
      <c r="F6" s="993"/>
      <c r="G6" s="993"/>
      <c r="H6" s="993"/>
      <c r="I6" s="993"/>
      <c r="J6" s="993"/>
      <c r="K6" s="1077"/>
      <c r="L6" s="1078"/>
      <c r="M6" s="1078"/>
      <c r="N6" s="1078"/>
      <c r="O6" s="1078"/>
      <c r="P6" s="1078"/>
      <c r="Q6" s="1078"/>
      <c r="R6" s="1078"/>
      <c r="S6" s="1078"/>
      <c r="T6" s="1078"/>
      <c r="U6" s="1078"/>
      <c r="V6" s="1078"/>
      <c r="W6" s="1078"/>
      <c r="X6" s="1078"/>
      <c r="Y6" s="1078"/>
      <c r="Z6" s="1078"/>
    </row>
    <row r="7" s="970" customFormat="1" ht="15" spans="1:31">
      <c r="A7" s="995" t="s">
        <v>1058</v>
      </c>
      <c r="B7" s="996" t="s">
        <v>1059</v>
      </c>
      <c r="C7" s="997" t="s">
        <v>548</v>
      </c>
      <c r="D7" s="997" t="s">
        <v>549</v>
      </c>
      <c r="E7" s="997" t="s">
        <v>550</v>
      </c>
      <c r="F7" s="997"/>
      <c r="G7" s="997"/>
      <c r="H7" s="997"/>
      <c r="I7" s="997"/>
      <c r="J7" s="997"/>
      <c r="K7" s="1079"/>
      <c r="AA7" s="1097"/>
      <c r="AB7" s="1097"/>
      <c r="AC7" s="1097"/>
      <c r="AD7" s="1097"/>
      <c r="AE7" s="1097"/>
    </row>
    <row r="8" s="971" customFormat="1" ht="13.5" customHeight="1" spans="1:31">
      <c r="A8" s="998" t="s">
        <v>855</v>
      </c>
      <c r="B8" s="785" t="s">
        <v>1060</v>
      </c>
      <c r="C8" s="999">
        <v>18000</v>
      </c>
      <c r="D8" s="999">
        <f>ROUND(C8*0.8,0)</f>
        <v>14400</v>
      </c>
      <c r="E8" s="999">
        <f ca="1">'不动产收益法--住宅自持'!B3</f>
        <v>8283</v>
      </c>
      <c r="F8" s="999"/>
      <c r="G8" s="999"/>
      <c r="H8" s="999"/>
      <c r="I8" s="999"/>
      <c r="J8" s="999"/>
      <c r="K8" s="1080"/>
      <c r="AA8" s="981"/>
      <c r="AB8" s="981"/>
      <c r="AC8" s="981"/>
      <c r="AD8" s="981"/>
      <c r="AE8" s="981"/>
    </row>
    <row r="9" s="971" customFormat="1" ht="13.5" customHeight="1" spans="1:31">
      <c r="A9" s="998" t="s">
        <v>857</v>
      </c>
      <c r="B9" s="785" t="s">
        <v>470</v>
      </c>
      <c r="C9" s="1001">
        <f>SUMIF('数据-汇总表'!$C19:$C33,'剩余法-待开发-住宅'!C7,'数据-汇总表'!$E19:$E33)</f>
        <v>74784.84</v>
      </c>
      <c r="D9" s="1001">
        <f>SUMIF('数据-汇总表'!$C19:$C33,'剩余法-待开发-住宅'!D7,'数据-汇总表'!$E19:$E33)</f>
        <v>56088.63</v>
      </c>
      <c r="E9" s="1001">
        <f>SUMIF('数据-汇总表'!$C19:$C33,'剩余法-待开发-住宅'!E7,'数据-汇总表'!$E19:$E33)</f>
        <v>56088.64</v>
      </c>
      <c r="F9" s="1001">
        <f>SUMIF('数据-汇总表'!$C19:$C33,'剩余法-待开发-住宅'!F7,'数据-汇总表'!$E19:$E33)</f>
        <v>0</v>
      </c>
      <c r="G9" s="1001">
        <f>SUMIF('数据-汇总表'!$C19:$C33,'剩余法-待开发-住宅'!G7,'数据-汇总表'!$E19:$E33)</f>
        <v>0</v>
      </c>
      <c r="H9" s="1001">
        <f>SUMIF('数据-汇总表'!$C19:$C33,'剩余法-待开发-住宅'!H7,'数据-汇总表'!$E19:$E33)</f>
        <v>0</v>
      </c>
      <c r="I9" s="1001">
        <f>SUMIF('数据-汇总表'!$C19:$C33,'剩余法-待开发-住宅'!I7,'数据-汇总表'!$E19:$E33)</f>
        <v>0</v>
      </c>
      <c r="J9" s="1001">
        <f>SUMIF('数据-汇总表'!$C19:$C33,'剩余法-待开发-住宅'!J7,'数据-汇总表'!$E19:$E33)</f>
        <v>0</v>
      </c>
      <c r="K9" s="1081">
        <f>SUMIF('数据-汇总表'!$C19:$C33,'剩余法-待开发-住宅'!K7,'数据-汇总表'!$E19:$E33)</f>
        <v>0</v>
      </c>
      <c r="AA9" s="981"/>
      <c r="AB9" s="981"/>
      <c r="AC9" s="981"/>
      <c r="AD9" s="981"/>
      <c r="AE9" s="981"/>
    </row>
    <row r="10" s="971" customFormat="1" ht="13.5" customHeight="1" spans="1:31">
      <c r="A10" s="1002" t="s">
        <v>1061</v>
      </c>
      <c r="B10" s="1003" t="s">
        <v>1062</v>
      </c>
      <c r="C10" s="1143">
        <f>ROUND(C8*C9/10000,2)</f>
        <v>134612.71</v>
      </c>
      <c r="D10" s="1143">
        <f>ROUND(D8*D9/10000,2)</f>
        <v>80767.63</v>
      </c>
      <c r="E10" s="1143">
        <f ca="1">ROUND(E8*E9/10000,2)</f>
        <v>46458.22</v>
      </c>
      <c r="F10" s="1143"/>
      <c r="G10" s="1005"/>
      <c r="H10" s="1005"/>
      <c r="I10" s="1005"/>
      <c r="J10" s="1005"/>
      <c r="K10" s="1082"/>
      <c r="N10" s="971" t="s">
        <v>2341</v>
      </c>
      <c r="AA10" s="981"/>
      <c r="AB10" s="981"/>
      <c r="AC10" s="981"/>
      <c r="AD10" s="981"/>
      <c r="AE10" s="981"/>
    </row>
    <row r="11" s="969" customFormat="1" ht="16.5" customHeight="1" spans="1:26">
      <c r="A11" s="1006" t="s">
        <v>2090</v>
      </c>
      <c r="B11" s="993"/>
      <c r="C11" s="993"/>
      <c r="D11" s="993"/>
      <c r="E11" s="993"/>
      <c r="F11" s="993"/>
      <c r="G11" s="993"/>
      <c r="H11" s="993"/>
      <c r="I11" s="993"/>
      <c r="J11" s="993"/>
      <c r="K11" s="1077"/>
      <c r="L11" s="1078"/>
      <c r="M11" s="1078"/>
      <c r="N11" s="1078"/>
      <c r="O11" s="1078"/>
      <c r="P11" s="1078"/>
      <c r="Q11" s="1078"/>
      <c r="R11" s="1078"/>
      <c r="S11" s="1078"/>
      <c r="T11" s="1078"/>
      <c r="U11" s="1078"/>
      <c r="V11" s="1078"/>
      <c r="W11" s="1078"/>
      <c r="X11" s="1078"/>
      <c r="Y11" s="1078"/>
      <c r="Z11" s="1078"/>
    </row>
    <row r="12" s="837" customFormat="1" ht="13.5" customHeight="1" spans="1:26">
      <c r="A12" s="1007" t="s">
        <v>1058</v>
      </c>
      <c r="B12" s="1008" t="s">
        <v>1059</v>
      </c>
      <c r="C12" s="1009" t="s">
        <v>1064</v>
      </c>
      <c r="D12" s="1010" t="s">
        <v>1065</v>
      </c>
      <c r="E12" s="1010" t="s">
        <v>1066</v>
      </c>
      <c r="F12" s="1010" t="s">
        <v>1067</v>
      </c>
      <c r="G12" s="1008"/>
      <c r="H12" s="1011"/>
      <c r="I12" s="1011"/>
      <c r="J12" s="1011"/>
      <c r="K12" s="1083"/>
      <c r="L12" s="1084"/>
      <c r="M12" s="1084"/>
      <c r="N12" s="1084"/>
      <c r="O12" s="1084"/>
      <c r="P12" s="1084"/>
      <c r="Q12" s="1084"/>
      <c r="R12" s="1084"/>
      <c r="S12" s="1084"/>
      <c r="T12" s="1084"/>
      <c r="U12" s="1084"/>
      <c r="V12" s="1084"/>
      <c r="W12" s="1084"/>
      <c r="X12" s="1084"/>
      <c r="Y12" s="1084"/>
      <c r="Z12" s="1084"/>
    </row>
    <row r="13" s="972" customFormat="1" ht="13.5" customHeight="1" spans="1:26">
      <c r="A13" s="1012" t="s">
        <v>879</v>
      </c>
      <c r="B13" s="1013" t="s">
        <v>1068</v>
      </c>
      <c r="C13" s="1102">
        <f>ROUND('数据-取费表'!P6+'数据-取费表'!P7+'数据-取费表'!P8+'数据-取费表'!P15,2)</f>
        <v>78624.85</v>
      </c>
      <c r="D13" s="1015"/>
      <c r="E13" s="80"/>
      <c r="F13" s="1016"/>
      <c r="G13" s="1008"/>
      <c r="H13" s="1011"/>
      <c r="I13" s="1011"/>
      <c r="J13" s="1011"/>
      <c r="K13" s="1083"/>
      <c r="L13" s="973"/>
      <c r="M13" s="973"/>
      <c r="N13" s="973"/>
      <c r="O13" s="973"/>
      <c r="P13" s="973"/>
      <c r="Q13" s="973"/>
      <c r="R13" s="973"/>
      <c r="S13" s="973"/>
      <c r="T13" s="973"/>
      <c r="U13" s="973"/>
      <c r="V13" s="973"/>
      <c r="W13" s="973"/>
      <c r="X13" s="973"/>
      <c r="Y13" s="973"/>
      <c r="Z13" s="973"/>
    </row>
    <row r="14" s="972" customFormat="1" ht="13.5" customHeight="1" spans="1:26">
      <c r="A14" s="1012" t="s">
        <v>1069</v>
      </c>
      <c r="B14" s="1013" t="s">
        <v>1070</v>
      </c>
      <c r="C14" s="125">
        <f>ROUND(C13*F14,2)</f>
        <v>2358.75</v>
      </c>
      <c r="D14" s="1015"/>
      <c r="E14" s="80"/>
      <c r="F14" s="1017">
        <f>'数据-取费表'!B33</f>
        <v>0.03</v>
      </c>
      <c r="G14" s="1008" t="s">
        <v>1071</v>
      </c>
      <c r="H14" s="1011"/>
      <c r="I14" s="1011"/>
      <c r="J14" s="1011"/>
      <c r="K14" s="1083"/>
      <c r="L14" s="973"/>
      <c r="M14" s="973"/>
      <c r="N14" s="973"/>
      <c r="O14" s="973"/>
      <c r="P14" s="973"/>
      <c r="Q14" s="973"/>
      <c r="R14" s="973"/>
      <c r="S14" s="973"/>
      <c r="T14" s="973"/>
      <c r="U14" s="973"/>
      <c r="V14" s="973"/>
      <c r="W14" s="973"/>
      <c r="X14" s="973"/>
      <c r="Y14" s="973"/>
      <c r="Z14" s="973"/>
    </row>
    <row r="15" s="972" customFormat="1" ht="13.5" customHeight="1" spans="1:26">
      <c r="A15" s="1012" t="s">
        <v>1072</v>
      </c>
      <c r="B15" s="1013" t="s">
        <v>1073</v>
      </c>
      <c r="C15" s="125">
        <f>ROUND(C13*F15,2)</f>
        <v>3931.24</v>
      </c>
      <c r="D15" s="1015"/>
      <c r="E15" s="80"/>
      <c r="F15" s="1017">
        <f>'数据-取费表'!B34</f>
        <v>0.05</v>
      </c>
      <c r="G15" s="1008" t="s">
        <v>2091</v>
      </c>
      <c r="H15" s="1011"/>
      <c r="I15" s="1011"/>
      <c r="J15" s="1011"/>
      <c r="K15" s="1083"/>
      <c r="L15" s="973"/>
      <c r="M15" s="973"/>
      <c r="N15" s="973"/>
      <c r="O15" s="973"/>
      <c r="P15" s="973"/>
      <c r="Q15" s="973"/>
      <c r="R15" s="973"/>
      <c r="S15" s="973"/>
      <c r="T15" s="973"/>
      <c r="U15" s="973"/>
      <c r="V15" s="973"/>
      <c r="W15" s="973"/>
      <c r="X15" s="973"/>
      <c r="Y15" s="973"/>
      <c r="Z15" s="973"/>
    </row>
    <row r="16" s="973" customFormat="1" ht="13.5" customHeight="1" spans="1:31">
      <c r="A16" s="1012" t="s">
        <v>1074</v>
      </c>
      <c r="B16" s="1013" t="s">
        <v>1075</v>
      </c>
      <c r="C16" s="125">
        <f>ROUND(D16*E16/10000,2)</f>
        <v>5702.34</v>
      </c>
      <c r="D16" s="1015">
        <f>地块信息表!M23</f>
        <v>186962.11</v>
      </c>
      <c r="E16" s="125">
        <f>'数据-取费表'!B35</f>
        <v>305</v>
      </c>
      <c r="F16" s="1017"/>
      <c r="G16" s="1008"/>
      <c r="H16" s="1011"/>
      <c r="I16" s="1011"/>
      <c r="J16" s="1011"/>
      <c r="K16" s="1083"/>
      <c r="AA16" s="972"/>
      <c r="AB16" s="972"/>
      <c r="AC16" s="972"/>
      <c r="AD16" s="972"/>
      <c r="AE16" s="972"/>
    </row>
    <row r="17" s="972" customFormat="1" ht="13.5" customHeight="1" spans="1:26">
      <c r="A17" s="1012" t="s">
        <v>1076</v>
      </c>
      <c r="B17" s="1013" t="s">
        <v>1077</v>
      </c>
      <c r="C17" s="1015">
        <f>ROUND(C13*F17,2)</f>
        <v>1179.37</v>
      </c>
      <c r="D17" s="1019"/>
      <c r="E17" s="1018"/>
      <c r="F17" s="1020">
        <f>'数据-取费表'!B36</f>
        <v>0.015</v>
      </c>
      <c r="G17" s="785" t="s">
        <v>2092</v>
      </c>
      <c r="H17" s="1021"/>
      <c r="I17" s="1021"/>
      <c r="J17" s="1021"/>
      <c r="K17" s="1085"/>
      <c r="L17" s="973"/>
      <c r="M17" s="973"/>
      <c r="N17" s="973"/>
      <c r="O17" s="973"/>
      <c r="P17" s="973"/>
      <c r="Q17" s="973"/>
      <c r="R17" s="973"/>
      <c r="S17" s="973"/>
      <c r="T17" s="973"/>
      <c r="U17" s="973"/>
      <c r="V17" s="973"/>
      <c r="W17" s="973"/>
      <c r="X17" s="973"/>
      <c r="Y17" s="973"/>
      <c r="Z17" s="973"/>
    </row>
    <row r="18" s="972" customFormat="1" ht="13.5" customHeight="1" spans="1:26">
      <c r="A18" s="1022" t="s">
        <v>1078</v>
      </c>
      <c r="B18" s="1023" t="s">
        <v>1079</v>
      </c>
      <c r="C18" s="1029">
        <f>ROUND(SUM(C13:C17),2)</f>
        <v>91796.55</v>
      </c>
      <c r="D18" s="1025"/>
      <c r="E18" s="1026"/>
      <c r="F18" s="1026"/>
      <c r="G18" s="1027" t="s">
        <v>2093</v>
      </c>
      <c r="H18" s="1028"/>
      <c r="I18" s="1028"/>
      <c r="J18" s="1028"/>
      <c r="K18" s="1086"/>
      <c r="L18" s="973"/>
      <c r="M18" s="973">
        <v>55</v>
      </c>
      <c r="N18" s="973"/>
      <c r="O18" s="973"/>
      <c r="P18" s="973"/>
      <c r="Q18" s="973"/>
      <c r="R18" s="973"/>
      <c r="S18" s="973"/>
      <c r="T18" s="973"/>
      <c r="U18" s="973"/>
      <c r="V18" s="973"/>
      <c r="W18" s="973"/>
      <c r="X18" s="973"/>
      <c r="Y18" s="973"/>
      <c r="Z18" s="973"/>
    </row>
    <row r="19" s="972" customFormat="1" ht="13.5" customHeight="1" spans="1:26">
      <c r="A19" s="1022" t="s">
        <v>1081</v>
      </c>
      <c r="B19" s="1023" t="s">
        <v>2094</v>
      </c>
      <c r="C19" s="1010">
        <f t="shared" ref="C19" si="0">ROUND(D19*E19/10000,0)</f>
        <v>0</v>
      </c>
      <c r="D19" s="1029">
        <f>D16</f>
        <v>186962.11</v>
      </c>
      <c r="E19" s="1010">
        <f>'数据-取费表'!B32</f>
        <v>0</v>
      </c>
      <c r="F19" s="1026"/>
      <c r="G19" s="1008" t="s">
        <v>2095</v>
      </c>
      <c r="H19" s="1011"/>
      <c r="I19" s="1028"/>
      <c r="J19" s="1028"/>
      <c r="K19" s="1086"/>
      <c r="L19" s="973"/>
      <c r="M19" s="973">
        <v>60</v>
      </c>
      <c r="N19" s="973"/>
      <c r="O19" s="973"/>
      <c r="P19" s="973"/>
      <c r="Q19" s="973"/>
      <c r="R19" s="973"/>
      <c r="S19" s="973"/>
      <c r="T19" s="973"/>
      <c r="U19" s="973"/>
      <c r="V19" s="973"/>
      <c r="W19" s="973"/>
      <c r="X19" s="973"/>
      <c r="Y19" s="973"/>
      <c r="Z19" s="973"/>
    </row>
    <row r="20" s="972" customFormat="1" ht="13.5" customHeight="1" spans="1:26">
      <c r="A20" s="1022" t="s">
        <v>1084</v>
      </c>
      <c r="B20" s="1023" t="s">
        <v>2096</v>
      </c>
      <c r="C20" s="1010">
        <f ca="1">C21+C22-IF(B1="",'数据-取费表'!B29,IF(G20="已全部缴纳",C21+C22,H20))</f>
        <v>3574.92</v>
      </c>
      <c r="D20" s="1029"/>
      <c r="E20" s="1010"/>
      <c r="F20" s="1030"/>
      <c r="G20" s="1031" t="s">
        <v>2097</v>
      </c>
      <c r="H20" s="1032">
        <v>0</v>
      </c>
      <c r="I20" s="1087" t="s">
        <v>1112</v>
      </c>
      <c r="J20" s="1028"/>
      <c r="K20" s="1086"/>
      <c r="L20" s="973"/>
      <c r="M20" s="973">
        <f>M18/M19</f>
        <v>0.916666666666667</v>
      </c>
      <c r="N20" s="973"/>
      <c r="O20" s="973"/>
      <c r="P20" s="973"/>
      <c r="Q20" s="973"/>
      <c r="R20" s="973"/>
      <c r="S20" s="973"/>
      <c r="T20" s="973"/>
      <c r="U20" s="973"/>
      <c r="V20" s="973"/>
      <c r="W20" s="973"/>
      <c r="X20" s="973"/>
      <c r="Y20" s="973"/>
      <c r="Z20" s="973"/>
    </row>
    <row r="21" s="972" customFormat="1" ht="13.5" customHeight="1" spans="1:26">
      <c r="A21" s="1012" t="s">
        <v>879</v>
      </c>
      <c r="B21" s="1013" t="s">
        <v>2098</v>
      </c>
      <c r="C21" s="125">
        <f ca="1">ROUND(D21*E21/10000,2)</f>
        <v>3365.32</v>
      </c>
      <c r="D21" s="1015">
        <f ca="1">IF(B1="",'数据-汇总表'!E5,IF(INDIRECT("'数据-取费表'!c"&amp;$K$1)="住宅",INDIRECT("'数据-取费表'!k"&amp;$K$1),0))</f>
        <v>186962.11</v>
      </c>
      <c r="E21" s="125">
        <f>'数据-取费表'!B27</f>
        <v>180</v>
      </c>
      <c r="F21" s="1017"/>
      <c r="G21" s="857"/>
      <c r="H21" s="1033"/>
      <c r="I21" s="1033"/>
      <c r="J21" s="1033"/>
      <c r="K21" s="1088"/>
      <c r="L21" s="973"/>
      <c r="M21" s="973"/>
      <c r="N21" s="973"/>
      <c r="O21" s="973"/>
      <c r="P21" s="973"/>
      <c r="Q21" s="973"/>
      <c r="R21" s="973"/>
      <c r="S21" s="973"/>
      <c r="T21" s="973"/>
      <c r="U21" s="973"/>
      <c r="V21" s="973"/>
      <c r="W21" s="973"/>
      <c r="X21" s="973"/>
      <c r="Y21" s="973"/>
      <c r="Z21" s="973"/>
    </row>
    <row r="22" s="972" customFormat="1" ht="13.5" customHeight="1" spans="1:26">
      <c r="A22" s="1012" t="s">
        <v>883</v>
      </c>
      <c r="B22" s="1013" t="s">
        <v>2099</v>
      </c>
      <c r="C22" s="125">
        <f>ROUND(D22*E22/10000,2)</f>
        <v>209.6</v>
      </c>
      <c r="D22" s="1015">
        <f>地块信息表!I17+地块信息表!H26</f>
        <v>13100</v>
      </c>
      <c r="E22" s="125">
        <f>'数据-取费表'!B28</f>
        <v>160</v>
      </c>
      <c r="F22" s="1017"/>
      <c r="G22" s="857"/>
      <c r="H22" s="1033"/>
      <c r="I22" s="1033"/>
      <c r="J22" s="1033"/>
      <c r="K22" s="1088"/>
      <c r="L22" s="973"/>
      <c r="M22" s="973"/>
      <c r="N22" s="973"/>
      <c r="O22" s="973"/>
      <c r="P22" s="973"/>
      <c r="Q22" s="973"/>
      <c r="R22" s="973"/>
      <c r="S22" s="973"/>
      <c r="T22" s="973"/>
      <c r="U22" s="973"/>
      <c r="V22" s="973"/>
      <c r="W22" s="973"/>
      <c r="X22" s="973"/>
      <c r="Y22" s="973"/>
      <c r="Z22" s="973"/>
    </row>
    <row r="23" s="972" customFormat="1" ht="13.5" customHeight="1" spans="1:26">
      <c r="A23" s="1022" t="s">
        <v>2100</v>
      </c>
      <c r="B23" s="1034" t="s">
        <v>2101</v>
      </c>
      <c r="C23" s="1029">
        <f ca="1">ROUND((C18+C19+C20)*F23,2)</f>
        <v>2861.14</v>
      </c>
      <c r="D23" s="1026"/>
      <c r="E23" s="1026"/>
      <c r="F23" s="1144">
        <f>'数据-取费表'!B37</f>
        <v>0.03</v>
      </c>
      <c r="G23" s="1008" t="s">
        <v>2102</v>
      </c>
      <c r="H23" s="1011"/>
      <c r="I23" s="1011"/>
      <c r="J23" s="1011"/>
      <c r="K23" s="1083"/>
      <c r="L23" s="1089"/>
      <c r="M23" s="1089"/>
      <c r="N23" s="1089"/>
      <c r="O23" s="973"/>
      <c r="P23" s="973"/>
      <c r="Q23" s="973"/>
      <c r="R23" s="973"/>
      <c r="S23" s="973"/>
      <c r="T23" s="973"/>
      <c r="U23" s="973"/>
      <c r="V23" s="973"/>
      <c r="W23" s="973"/>
      <c r="X23" s="973"/>
      <c r="Y23" s="973"/>
      <c r="Z23" s="973"/>
    </row>
    <row r="24" s="972" customFormat="1" ht="13.5" customHeight="1" spans="1:26">
      <c r="A24" s="1022" t="s">
        <v>1089</v>
      </c>
      <c r="B24" s="1034" t="s">
        <v>2103</v>
      </c>
      <c r="C24" s="1145">
        <f ca="1">ROUND(C6*F24,2)</f>
        <v>7855.16</v>
      </c>
      <c r="D24" s="1019"/>
      <c r="E24" s="1036"/>
      <c r="F24" s="1144">
        <f>'数据-取费表'!B38</f>
        <v>0.03</v>
      </c>
      <c r="G24" s="1037" t="s">
        <v>2104</v>
      </c>
      <c r="H24" s="1021"/>
      <c r="I24" s="1021"/>
      <c r="J24" s="1021"/>
      <c r="K24" s="1085"/>
      <c r="L24" s="1089"/>
      <c r="M24" s="1089"/>
      <c r="N24" s="1089"/>
      <c r="O24" s="973"/>
      <c r="P24" s="973"/>
      <c r="Q24" s="973"/>
      <c r="R24" s="973"/>
      <c r="S24" s="973"/>
      <c r="T24" s="973"/>
      <c r="U24" s="973"/>
      <c r="V24" s="973"/>
      <c r="W24" s="973"/>
      <c r="X24" s="973"/>
      <c r="Y24" s="973"/>
      <c r="Z24" s="973"/>
    </row>
    <row r="25" s="974" customFormat="1" ht="13.5" customHeight="1" spans="1:26">
      <c r="A25" s="1022" t="s">
        <v>1091</v>
      </c>
      <c r="B25" s="1034" t="s">
        <v>2105</v>
      </c>
      <c r="C25" s="1038">
        <f>F25</f>
        <v>0.0305</v>
      </c>
      <c r="D25" s="1039" t="s">
        <v>2106</v>
      </c>
      <c r="E25" s="1040"/>
      <c r="F25" s="1035">
        <f>'数据-取费表'!B48+'数据-取费表'!B49</f>
        <v>0.0305</v>
      </c>
      <c r="G25" s="1041" t="s">
        <v>2107</v>
      </c>
      <c r="H25" s="1011"/>
      <c r="I25" s="1011"/>
      <c r="J25" s="1011"/>
      <c r="K25" s="1083"/>
      <c r="L25" s="1090"/>
      <c r="M25" s="1090"/>
      <c r="N25" s="1090"/>
      <c r="O25" s="1090"/>
      <c r="P25" s="1090"/>
      <c r="Q25" s="1090"/>
      <c r="R25" s="1090"/>
      <c r="S25" s="1090"/>
      <c r="T25" s="1090"/>
      <c r="U25" s="1090"/>
      <c r="V25" s="1090"/>
      <c r="W25" s="1090"/>
      <c r="X25" s="1090"/>
      <c r="Y25" s="1090"/>
      <c r="Z25" s="1090"/>
    </row>
    <row r="26" s="975" customFormat="1" ht="13.5" customHeight="1" spans="1:26">
      <c r="A26" s="1022" t="s">
        <v>2108</v>
      </c>
      <c r="B26" s="1042" t="s">
        <v>2109</v>
      </c>
      <c r="C26" s="1043">
        <f ca="1">C28</f>
        <v>5039.17</v>
      </c>
      <c r="D26" s="1044">
        <f ca="1">C27</f>
        <v>0.1002</v>
      </c>
      <c r="E26" s="1040" t="s">
        <v>2106</v>
      </c>
      <c r="F26" s="1045">
        <f ca="1">'数据-取费表'!B40</f>
        <v>0.0475</v>
      </c>
      <c r="G26" s="790" t="str">
        <f>IF('数据-取费表'!B22&lt;=1,"单利计息。","复利计息。")&amp;"后续开发成本、管理费用及销售费用产生的利息。"</f>
        <v>复利计息。后续开发成本、管理费用及销售费用产生的利息。</v>
      </c>
      <c r="H26" s="1028"/>
      <c r="I26" s="1028"/>
      <c r="J26" s="1028"/>
      <c r="K26" s="1086"/>
      <c r="L26" s="1089"/>
      <c r="M26" s="1089"/>
      <c r="N26" s="1089"/>
      <c r="O26" s="1089"/>
      <c r="P26" s="1089"/>
      <c r="Q26" s="1089"/>
      <c r="R26" s="1089"/>
      <c r="S26" s="1089"/>
      <c r="T26" s="1089"/>
      <c r="U26" s="1089"/>
      <c r="V26" s="1089"/>
      <c r="W26" s="1089"/>
      <c r="X26" s="1089"/>
      <c r="Y26" s="1089"/>
      <c r="Z26" s="1089"/>
    </row>
    <row r="27" s="976" customFormat="1" ht="13.5" customHeight="1" spans="1:26">
      <c r="A27" s="998" t="s">
        <v>879</v>
      </c>
      <c r="B27" s="1046" t="s">
        <v>2110</v>
      </c>
      <c r="C27" s="1047">
        <f ca="1">ROUND(IF('数据-取费表'!B22&lt;=1,(1+C25)*F26*'数据-取费表'!B24,(1+C25)*(POWER((1+F26),'数据-取费表'!B24)-1)),4)</f>
        <v>0.1002</v>
      </c>
      <c r="D27" s="1048"/>
      <c r="E27" s="1036"/>
      <c r="F27" s="1049"/>
      <c r="G27" s="790" t="str">
        <f>IF('数据-取费表'!B22&lt;=1,"（1+取得税费率/(1+5%)）×年利率×建设期","（1+取得税费率）/(1+5%)×((1+年利率)^建设期-1)")</f>
        <v>（1+取得税费率）/(1+5%)×((1+年利率)^建设期-1)</v>
      </c>
      <c r="H27" s="1021"/>
      <c r="I27" s="1021"/>
      <c r="J27" s="1021"/>
      <c r="K27" s="1085"/>
      <c r="L27" s="1091"/>
      <c r="M27" s="1091"/>
      <c r="N27" s="1091"/>
      <c r="O27" s="1091"/>
      <c r="P27" s="1091"/>
      <c r="Q27" s="1091"/>
      <c r="R27" s="1091"/>
      <c r="S27" s="1091"/>
      <c r="T27" s="1091"/>
      <c r="U27" s="1091"/>
      <c r="V27" s="1091"/>
      <c r="W27" s="1091"/>
      <c r="X27" s="1091"/>
      <c r="Y27" s="1091"/>
      <c r="Z27" s="1091"/>
    </row>
    <row r="28" s="976" customFormat="1" ht="13.5" customHeight="1" spans="1:26">
      <c r="A28" s="998" t="s">
        <v>883</v>
      </c>
      <c r="B28" s="1046" t="s">
        <v>2111</v>
      </c>
      <c r="C28" s="1147">
        <f ca="1">ROUND(IF('数据-取费表'!B22&lt;=1,(C18+C19+C20+C23+C24)*F26*'数据-取费表'!B24/2,(C18+C19+C20+C23+C24)*(POWER((1+F26),'数据-取费表'!B24/2)-1)),2)</f>
        <v>5039.17</v>
      </c>
      <c r="D28" s="1048"/>
      <c r="E28" s="1036"/>
      <c r="F28" s="1049"/>
      <c r="G28" s="790" t="str">
        <f>IF('数据-取费表'!B22&lt;=1,"（1）-（4）项×年利率×建设期÷2","（1）-（4）项×((1+年利率)^(建设期÷2)-1)")</f>
        <v>（1）-（4）项×((1+年利率)^(建设期÷2)-1)</v>
      </c>
      <c r="H28" s="1021"/>
      <c r="I28" s="1021"/>
      <c r="J28" s="1021"/>
      <c r="K28" s="1085"/>
      <c r="L28" s="1091"/>
      <c r="M28" s="1091"/>
      <c r="N28" s="1091"/>
      <c r="O28" s="1091"/>
      <c r="P28" s="1091"/>
      <c r="Q28" s="1091"/>
      <c r="R28" s="1091"/>
      <c r="S28" s="1091"/>
      <c r="T28" s="1091"/>
      <c r="U28" s="1091"/>
      <c r="V28" s="1091"/>
      <c r="W28" s="1091"/>
      <c r="X28" s="1091"/>
      <c r="Y28" s="1091"/>
      <c r="Z28" s="1091"/>
    </row>
    <row r="29" s="976" customFormat="1" ht="13.5" customHeight="1" spans="1:26">
      <c r="A29" s="1051" t="s">
        <v>2112</v>
      </c>
      <c r="B29" s="1023" t="s">
        <v>2113</v>
      </c>
      <c r="C29" s="1237">
        <f>ROUND((C10+D10)*F29/(1+'数据-取费表'!C42),2)</f>
        <v>11486.95</v>
      </c>
      <c r="D29" s="1026"/>
      <c r="E29" s="1026"/>
      <c r="F29" s="1052">
        <f>'数据-取费表'!B41</f>
        <v>0.056</v>
      </c>
      <c r="G29" s="1037" t="s">
        <v>2114</v>
      </c>
      <c r="H29" s="1011"/>
      <c r="I29" s="1011"/>
      <c r="J29" s="1011"/>
      <c r="K29" s="1083"/>
      <c r="L29" s="1091"/>
      <c r="M29" s="1091"/>
      <c r="N29" s="1091"/>
      <c r="O29" s="1091"/>
      <c r="P29" s="1091"/>
      <c r="Q29" s="1091"/>
      <c r="R29" s="1091"/>
      <c r="S29" s="1091"/>
      <c r="T29" s="1091"/>
      <c r="U29" s="1091"/>
      <c r="V29" s="1091"/>
      <c r="W29" s="1091"/>
      <c r="X29" s="1091"/>
      <c r="Y29" s="1091"/>
      <c r="Z29" s="1091"/>
    </row>
    <row r="30" s="977" customFormat="1" ht="13.5" customHeight="1" spans="1:26">
      <c r="A30" s="1053" t="s">
        <v>2115</v>
      </c>
      <c r="B30" s="1054" t="s">
        <v>2116</v>
      </c>
      <c r="C30" s="1043">
        <f ca="1">C31</f>
        <v>122613.89</v>
      </c>
      <c r="D30" s="1055">
        <f ca="1">C32</f>
        <v>0.1307</v>
      </c>
      <c r="E30" s="1040" t="s">
        <v>2106</v>
      </c>
      <c r="F30" s="1045"/>
      <c r="G30" s="1041" t="s">
        <v>2117</v>
      </c>
      <c r="H30" s="1011"/>
      <c r="I30" s="1011"/>
      <c r="J30" s="1011"/>
      <c r="K30" s="1083"/>
      <c r="L30" s="1092"/>
      <c r="M30" s="1092"/>
      <c r="N30" s="1092"/>
      <c r="O30" s="1092"/>
      <c r="P30" s="1092"/>
      <c r="Q30" s="1092"/>
      <c r="R30" s="1092"/>
      <c r="S30" s="1092"/>
      <c r="T30" s="1092"/>
      <c r="U30" s="1092"/>
      <c r="V30" s="1092"/>
      <c r="W30" s="1092"/>
      <c r="X30" s="1092"/>
      <c r="Y30" s="1092"/>
      <c r="Z30" s="1092"/>
    </row>
    <row r="31" s="976" customFormat="1" ht="13.5" customHeight="1" spans="1:26">
      <c r="A31" s="998" t="s">
        <v>879</v>
      </c>
      <c r="B31" s="1046"/>
      <c r="C31" s="1102">
        <f ca="1">ROUND(C18+C19+C20+C23+C24+C26+C29,2)</f>
        <v>122613.89</v>
      </c>
      <c r="D31" s="1048"/>
      <c r="E31" s="1036"/>
      <c r="F31" s="1049"/>
      <c r="G31" s="785"/>
      <c r="H31" s="1021"/>
      <c r="I31" s="1021"/>
      <c r="J31" s="1021"/>
      <c r="K31" s="1085"/>
      <c r="L31" s="1091"/>
      <c r="M31" s="1091"/>
      <c r="N31" s="1091"/>
      <c r="O31" s="1091"/>
      <c r="P31" s="1091"/>
      <c r="Q31" s="1091"/>
      <c r="R31" s="1091"/>
      <c r="S31" s="1091"/>
      <c r="T31" s="1091"/>
      <c r="U31" s="1091"/>
      <c r="V31" s="1091"/>
      <c r="W31" s="1091"/>
      <c r="X31" s="1091"/>
      <c r="Y31" s="1091"/>
      <c r="Z31" s="1091"/>
    </row>
    <row r="32" s="976" customFormat="1" ht="13.5" customHeight="1" spans="1:26">
      <c r="A32" s="998" t="s">
        <v>883</v>
      </c>
      <c r="B32" s="1046"/>
      <c r="C32" s="125">
        <f ca="1">ROUND(C25+D26,4)</f>
        <v>0.1307</v>
      </c>
      <c r="D32" s="1048"/>
      <c r="E32" s="1036"/>
      <c r="F32" s="1049"/>
      <c r="G32" s="785"/>
      <c r="H32" s="1021"/>
      <c r="I32" s="1021"/>
      <c r="J32" s="1021"/>
      <c r="K32" s="1085"/>
      <c r="L32" s="1091"/>
      <c r="M32" s="1091"/>
      <c r="N32" s="1091"/>
      <c r="O32" s="1091"/>
      <c r="P32" s="1091"/>
      <c r="Q32" s="1091"/>
      <c r="R32" s="1091"/>
      <c r="S32" s="1091"/>
      <c r="T32" s="1091"/>
      <c r="U32" s="1091"/>
      <c r="V32" s="1091"/>
      <c r="W32" s="1091"/>
      <c r="X32" s="1091"/>
      <c r="Y32" s="1091"/>
      <c r="Z32" s="1091"/>
    </row>
    <row r="33" s="978" customFormat="1" ht="13.5" customHeight="1" spans="1:26">
      <c r="A33" s="1056" t="s">
        <v>2118</v>
      </c>
      <c r="B33" s="1057" t="s">
        <v>1087</v>
      </c>
      <c r="C33" s="1238">
        <f ca="1">C35</f>
        <v>15913.17</v>
      </c>
      <c r="D33" s="1044">
        <f>C34</f>
        <v>0.1546</v>
      </c>
      <c r="E33" s="1040" t="s">
        <v>2106</v>
      </c>
      <c r="F33" s="1059">
        <v>0.15</v>
      </c>
      <c r="G33" s="1027"/>
      <c r="H33" s="1028"/>
      <c r="I33" s="1028"/>
      <c r="J33" s="1028"/>
      <c r="K33" s="1086"/>
      <c r="L33" s="1093"/>
      <c r="M33" s="1093"/>
      <c r="N33" s="1093"/>
      <c r="O33" s="1093"/>
      <c r="P33" s="1093"/>
      <c r="Q33" s="1093"/>
      <c r="R33" s="1093"/>
      <c r="S33" s="1093"/>
      <c r="T33" s="1093"/>
      <c r="U33" s="1093"/>
      <c r="V33" s="1093"/>
      <c r="W33" s="1093"/>
      <c r="X33" s="1093"/>
      <c r="Y33" s="1093"/>
      <c r="Z33" s="1093"/>
    </row>
    <row r="34" s="979" customFormat="1" ht="13.5" customHeight="1" spans="1:26">
      <c r="A34" s="1060" t="s">
        <v>879</v>
      </c>
      <c r="B34" s="1061" t="s">
        <v>2119</v>
      </c>
      <c r="C34" s="1048">
        <f>ROUND((1+C25)*F33,4)</f>
        <v>0.1546</v>
      </c>
      <c r="D34" s="1048"/>
      <c r="E34" s="1036"/>
      <c r="F34" s="1062"/>
      <c r="G34" s="785" t="s">
        <v>2120</v>
      </c>
      <c r="H34" s="1021"/>
      <c r="I34" s="1021"/>
      <c r="J34" s="1021"/>
      <c r="K34" s="1085"/>
      <c r="L34" s="1094"/>
      <c r="M34" s="1094"/>
      <c r="N34" s="1094"/>
      <c r="O34" s="1094"/>
      <c r="P34" s="1094"/>
      <c r="Q34" s="1094"/>
      <c r="R34" s="1094"/>
      <c r="S34" s="1094"/>
      <c r="T34" s="1094"/>
      <c r="U34" s="1094"/>
      <c r="V34" s="1094"/>
      <c r="W34" s="1094"/>
      <c r="X34" s="1094"/>
      <c r="Y34" s="1094"/>
      <c r="Z34" s="1094"/>
    </row>
    <row r="35" s="979" customFormat="1" ht="13.5" customHeight="1" spans="1:26">
      <c r="A35" s="1063" t="s">
        <v>883</v>
      </c>
      <c r="B35" s="1064" t="s">
        <v>2121</v>
      </c>
      <c r="C35" s="1148">
        <f ca="1">ROUND((C18+C19+C20+C23+C24)*F33,2)</f>
        <v>15913.17</v>
      </c>
      <c r="D35" s="1066"/>
      <c r="E35" s="1067"/>
      <c r="F35" s="1068"/>
      <c r="G35" s="1003"/>
      <c r="H35" s="1069"/>
      <c r="I35" s="1069"/>
      <c r="J35" s="1069"/>
      <c r="K35" s="1095"/>
      <c r="L35" s="1094"/>
      <c r="M35" s="1094"/>
      <c r="N35" s="1094"/>
      <c r="O35" s="1094"/>
      <c r="P35" s="1094"/>
      <c r="Q35" s="1094"/>
      <c r="R35" s="1094"/>
      <c r="S35" s="1094"/>
      <c r="T35" s="1094"/>
      <c r="U35" s="1094"/>
      <c r="V35" s="1094"/>
      <c r="W35" s="1094"/>
      <c r="X35" s="1094"/>
      <c r="Y35" s="1094"/>
      <c r="Z35" s="1094"/>
    </row>
    <row r="36" s="837" customFormat="1" ht="13.5" customHeight="1" spans="1:26">
      <c r="A36" s="350" t="s">
        <v>2122</v>
      </c>
      <c r="B36" s="1070"/>
      <c r="C36" s="1239">
        <f ca="1">ROUND((C6-C30-C33)/(1+D30+D33),2)</f>
        <v>95939.86</v>
      </c>
      <c r="D36" s="1070"/>
      <c r="E36" s="1070"/>
      <c r="F36" s="1070"/>
      <c r="G36" s="1072" t="s">
        <v>2123</v>
      </c>
      <c r="H36" s="1070"/>
      <c r="I36" s="1070"/>
      <c r="J36" s="1070"/>
      <c r="K36" s="1096"/>
      <c r="L36" s="1084"/>
      <c r="M36" s="1084"/>
      <c r="N36" s="1084"/>
      <c r="O36" s="1084"/>
      <c r="P36" s="1084"/>
      <c r="Q36" s="1084"/>
      <c r="R36" s="1084"/>
      <c r="S36" s="1084"/>
      <c r="T36" s="1084"/>
      <c r="U36" s="1084"/>
      <c r="V36" s="1084"/>
      <c r="W36" s="1084"/>
      <c r="X36" s="1084"/>
      <c r="Y36" s="1084"/>
      <c r="Z36" s="1084"/>
    </row>
    <row r="37" s="971" customFormat="1" spans="1:5">
      <c r="A37" s="1073"/>
      <c r="C37" s="1240"/>
      <c r="E37" s="1073"/>
    </row>
    <row r="38" s="971" customFormat="1" customHeight="1" spans="1:5">
      <c r="A38" s="1073"/>
      <c r="C38" s="1074"/>
      <c r="E38" s="1073"/>
    </row>
    <row r="39" s="971" customFormat="1" spans="1:5">
      <c r="A39" s="1073"/>
      <c r="B39" s="1075"/>
      <c r="C39" s="1074"/>
      <c r="E39" s="1073"/>
    </row>
    <row r="40" s="971" customFormat="1" spans="1:5">
      <c r="A40" s="1073"/>
      <c r="C40" s="1076" t="s">
        <v>2342</v>
      </c>
      <c r="D40" s="971">
        <f ca="1">ROUND(C36*10000/D16,0)</f>
        <v>5132</v>
      </c>
      <c r="E40" s="1073"/>
    </row>
    <row r="41" s="971" customFormat="1" spans="1:5">
      <c r="A41" s="1073"/>
      <c r="C41" s="1076" t="s">
        <v>2343</v>
      </c>
      <c r="D41" s="971">
        <f ca="1">ROUND(C36*10000/地块信息表!D24,0)</f>
        <v>10518</v>
      </c>
      <c r="E41" s="1073"/>
    </row>
    <row r="42" s="971" customFormat="1" spans="1:5">
      <c r="A42" s="1073"/>
      <c r="C42" s="1076" t="s">
        <v>2344</v>
      </c>
      <c r="D42" s="72">
        <f ca="1">D41/15</f>
        <v>701.2</v>
      </c>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row r="213" s="971" customFormat="1" spans="1:5">
      <c r="A213" s="1073"/>
      <c r="C213" s="1074"/>
      <c r="E213" s="1073"/>
    </row>
    <row r="214" s="971" customFormat="1" spans="1:5">
      <c r="A214" s="1073"/>
      <c r="C214" s="1074"/>
      <c r="E214" s="1073"/>
    </row>
    <row r="215" s="971" customFormat="1" spans="1:5">
      <c r="A215" s="1073"/>
      <c r="C215" s="1074"/>
      <c r="E215" s="1073"/>
    </row>
    <row r="216" s="971" customFormat="1" spans="1:5">
      <c r="A216" s="1073"/>
      <c r="C216" s="1074"/>
      <c r="E216" s="1073"/>
    </row>
    <row r="217" s="971" customFormat="1" spans="1:5">
      <c r="A217" s="1073"/>
      <c r="C217" s="1074"/>
      <c r="E217" s="1073"/>
    </row>
    <row r="218" s="971" customFormat="1" spans="1:5">
      <c r="A218" s="1073"/>
      <c r="C218" s="1074"/>
      <c r="E218" s="1073"/>
    </row>
    <row r="219" s="971" customFormat="1" spans="1:5">
      <c r="A219" s="1073"/>
      <c r="C219" s="1074"/>
      <c r="E219" s="1073"/>
    </row>
    <row r="220" s="971" customFormat="1" spans="1:5">
      <c r="A220" s="1073"/>
      <c r="C220" s="1074"/>
      <c r="E220" s="1073"/>
    </row>
    <row r="221" s="971" customFormat="1" spans="1:5">
      <c r="A221" s="1073"/>
      <c r="C221" s="1074"/>
      <c r="E221" s="1073"/>
    </row>
    <row r="222" s="971" customFormat="1" spans="1:5">
      <c r="A222" s="1073"/>
      <c r="C222" s="1074"/>
      <c r="E222" s="1073"/>
    </row>
    <row r="223" s="971" customFormat="1" spans="1:5">
      <c r="A223" s="1073"/>
      <c r="C223" s="1074"/>
      <c r="E223" s="1073"/>
    </row>
    <row r="224" s="971" customFormat="1" spans="1:5">
      <c r="A224" s="1073"/>
      <c r="C224" s="1074"/>
      <c r="E224" s="1073"/>
    </row>
    <row r="225" s="971" customFormat="1" spans="1:5">
      <c r="A225" s="1073"/>
      <c r="C225" s="1074"/>
      <c r="E225" s="1073"/>
    </row>
    <row r="226" s="971" customFormat="1" spans="1:5">
      <c r="A226" s="1073"/>
      <c r="C226" s="1074"/>
      <c r="E226" s="1073"/>
    </row>
    <row r="227" s="971" customFormat="1" spans="1:5">
      <c r="A227" s="1073"/>
      <c r="C227" s="1074"/>
      <c r="E227" s="1073"/>
    </row>
    <row r="228" s="971" customFormat="1" spans="1:5">
      <c r="A228" s="1073"/>
      <c r="C228" s="1074"/>
      <c r="E228" s="1073"/>
    </row>
    <row r="229" s="971" customFormat="1" spans="1:5">
      <c r="A229" s="1073"/>
      <c r="C229" s="1074"/>
      <c r="E229" s="1073"/>
    </row>
    <row r="230" s="971" customFormat="1" spans="1:5">
      <c r="A230" s="1073"/>
      <c r="C230" s="1074"/>
      <c r="E230" s="1073"/>
    </row>
    <row r="231" s="971" customFormat="1" spans="1:5">
      <c r="A231" s="1073"/>
      <c r="C231" s="1074"/>
      <c r="E231" s="1073"/>
    </row>
    <row r="232" s="971" customFormat="1" spans="1:5">
      <c r="A232" s="1073"/>
      <c r="C232" s="1074"/>
      <c r="E232" s="1073"/>
    </row>
    <row r="233" s="971" customFormat="1" spans="1:5">
      <c r="A233" s="1073"/>
      <c r="C233" s="1074"/>
      <c r="E233" s="1073"/>
    </row>
    <row r="234" s="971" customFormat="1" spans="1:5">
      <c r="A234" s="1073"/>
      <c r="C234" s="1074"/>
      <c r="E234" s="1073"/>
    </row>
    <row r="235" s="971" customFormat="1" spans="1:5">
      <c r="A235" s="1073"/>
      <c r="C235" s="1074"/>
      <c r="E235" s="1073"/>
    </row>
    <row r="236" s="971" customFormat="1" spans="1:5">
      <c r="A236" s="1073"/>
      <c r="C236" s="1074"/>
      <c r="E236" s="1073"/>
    </row>
    <row r="237" s="971" customFormat="1" spans="1:5">
      <c r="A237" s="1073"/>
      <c r="C237" s="1074"/>
      <c r="E237" s="1073"/>
    </row>
    <row r="238" s="971" customFormat="1" spans="1:5">
      <c r="A238" s="1073"/>
      <c r="C238" s="1074"/>
      <c r="E238" s="1073"/>
    </row>
    <row r="239" s="971" customFormat="1" spans="1:5">
      <c r="A239" s="1073"/>
      <c r="C239" s="1074"/>
      <c r="E239" s="1073"/>
    </row>
    <row r="240" s="971" customFormat="1" spans="1:5">
      <c r="A240" s="1073"/>
      <c r="C240" s="1074"/>
      <c r="E240" s="1073"/>
    </row>
    <row r="241" s="971" customFormat="1" spans="1:5">
      <c r="A241" s="1073"/>
      <c r="C241" s="1074"/>
      <c r="E241" s="1073"/>
    </row>
    <row r="242" s="971" customFormat="1" spans="1:5">
      <c r="A242" s="1073"/>
      <c r="C242" s="1074"/>
      <c r="E242" s="1073"/>
    </row>
    <row r="243" s="971" customFormat="1" spans="1:5">
      <c r="A243" s="1073"/>
      <c r="C243" s="1074"/>
      <c r="E243" s="1073"/>
    </row>
    <row r="244" s="971" customFormat="1" spans="1:5">
      <c r="A244" s="1073"/>
      <c r="C244" s="1074"/>
      <c r="E244" s="1073"/>
    </row>
    <row r="245" s="971" customFormat="1" spans="1:5">
      <c r="A245" s="1073"/>
      <c r="C245" s="1074"/>
      <c r="E245" s="1073"/>
    </row>
    <row r="246" s="971" customFormat="1" spans="1:5">
      <c r="A246" s="1073"/>
      <c r="C246" s="1074"/>
      <c r="E246" s="1073"/>
    </row>
    <row r="247" s="971" customFormat="1" spans="1:5">
      <c r="A247" s="1073"/>
      <c r="C247" s="1074"/>
      <c r="E247" s="1073"/>
    </row>
    <row r="248" s="971" customFormat="1" spans="1:5">
      <c r="A248" s="1073"/>
      <c r="C248" s="1074"/>
      <c r="E248" s="1073"/>
    </row>
    <row r="249" s="971" customFormat="1" spans="1:5">
      <c r="A249" s="1073"/>
      <c r="C249" s="1074"/>
      <c r="E249" s="1073"/>
    </row>
    <row r="250" s="971" customFormat="1" spans="1:5">
      <c r="A250" s="1073"/>
      <c r="C250" s="1074"/>
      <c r="E250" s="1073"/>
    </row>
    <row r="251" s="971" customFormat="1" spans="1:5">
      <c r="A251" s="1073"/>
      <c r="C251" s="1074"/>
      <c r="E251" s="1073"/>
    </row>
    <row r="252" s="971" customFormat="1" spans="1:5">
      <c r="A252" s="1073"/>
      <c r="C252" s="1074"/>
      <c r="E252" s="1073"/>
    </row>
    <row r="253" s="971" customFormat="1" spans="1:5">
      <c r="A253" s="1073"/>
      <c r="C253" s="1074"/>
      <c r="E253" s="1073"/>
    </row>
    <row r="254" s="971" customFormat="1" spans="1:5">
      <c r="A254" s="1073"/>
      <c r="C254" s="1074"/>
      <c r="E254" s="1073"/>
    </row>
    <row r="255" s="971" customFormat="1" spans="1:5">
      <c r="A255" s="1073"/>
      <c r="C255" s="1074"/>
      <c r="E255" s="1073"/>
    </row>
    <row r="256" s="971" customFormat="1" spans="1:5">
      <c r="A256" s="1073"/>
      <c r="C256" s="1074"/>
      <c r="E256" s="1073"/>
    </row>
    <row r="257" s="971" customFormat="1" spans="1:5">
      <c r="A257" s="1073"/>
      <c r="C257" s="1074"/>
      <c r="E257" s="1073"/>
    </row>
    <row r="258" s="971" customFormat="1" spans="1:5">
      <c r="A258" s="1073"/>
      <c r="C258" s="1074"/>
      <c r="E258" s="1073"/>
    </row>
    <row r="259" s="971" customFormat="1" spans="1:5">
      <c r="A259" s="1073"/>
      <c r="C259" s="1074"/>
      <c r="E259" s="1073"/>
    </row>
    <row r="260" s="971" customFormat="1" spans="1:5">
      <c r="A260" s="1073"/>
      <c r="C260" s="1074"/>
      <c r="E260" s="1073"/>
    </row>
    <row r="261" s="971" customFormat="1" spans="1:5">
      <c r="A261" s="1073"/>
      <c r="C261" s="1074"/>
      <c r="E261" s="1073"/>
    </row>
    <row r="262" s="971" customFormat="1" spans="1:5">
      <c r="A262" s="1073"/>
      <c r="C262" s="1074"/>
      <c r="E262" s="1073"/>
    </row>
    <row r="263" s="971" customFormat="1" spans="1:5">
      <c r="A263" s="1073"/>
      <c r="C263" s="1074"/>
      <c r="E263" s="1073"/>
    </row>
    <row r="264" s="971" customFormat="1" spans="1:5">
      <c r="A264" s="1073"/>
      <c r="C264" s="1074"/>
      <c r="E264" s="1073"/>
    </row>
    <row r="265" s="971" customFormat="1" spans="1:5">
      <c r="A265" s="1073"/>
      <c r="C265" s="1074"/>
      <c r="E265" s="1073"/>
    </row>
    <row r="266" s="971" customFormat="1" spans="1:5">
      <c r="A266" s="1073"/>
      <c r="C266" s="1074"/>
      <c r="E266" s="1073"/>
    </row>
    <row r="267" s="971" customFormat="1" spans="1:5">
      <c r="A267" s="1073"/>
      <c r="C267" s="1074"/>
      <c r="E267" s="1073"/>
    </row>
    <row r="268" s="971" customFormat="1" spans="1:5">
      <c r="A268" s="1073"/>
      <c r="C268" s="1074"/>
      <c r="E268" s="1073"/>
    </row>
    <row r="269" s="971" customFormat="1" spans="1:5">
      <c r="A269" s="1073"/>
      <c r="C269" s="1074"/>
      <c r="E269" s="1073"/>
    </row>
    <row r="270" s="971" customFormat="1" spans="1:5">
      <c r="A270" s="1073"/>
      <c r="C270" s="1074"/>
      <c r="E270" s="1073"/>
    </row>
    <row r="271" s="971" customFormat="1" spans="1:5">
      <c r="A271" s="1073"/>
      <c r="C271" s="1074"/>
      <c r="E271" s="1073"/>
    </row>
    <row r="272" s="971" customFormat="1" spans="1:5">
      <c r="A272" s="1073"/>
      <c r="C272" s="1074"/>
      <c r="E272" s="1073"/>
    </row>
    <row r="273" s="971" customFormat="1" spans="1:5">
      <c r="A273" s="1073"/>
      <c r="C273" s="1074"/>
      <c r="E273" s="1073"/>
    </row>
    <row r="274" s="971" customFormat="1" spans="1:5">
      <c r="A274" s="1073"/>
      <c r="C274" s="1074"/>
      <c r="E274" s="1073"/>
    </row>
    <row r="275" s="971" customFormat="1" spans="1:5">
      <c r="A275" s="1073"/>
      <c r="C275" s="1074"/>
      <c r="E275" s="1073"/>
    </row>
    <row r="276" s="971" customFormat="1" spans="1:5">
      <c r="A276" s="1073"/>
      <c r="C276" s="1074"/>
      <c r="E276" s="1073"/>
    </row>
    <row r="277" s="971" customFormat="1" spans="1:5">
      <c r="A277" s="1073"/>
      <c r="C277" s="1074"/>
      <c r="E277" s="1073"/>
    </row>
    <row r="278" s="971" customFormat="1" spans="1:5">
      <c r="A278" s="1073"/>
      <c r="C278" s="1074"/>
      <c r="E278" s="1073"/>
    </row>
    <row r="279" s="971" customFormat="1" spans="1:5">
      <c r="A279" s="1073"/>
      <c r="C279" s="1074"/>
      <c r="E279" s="1073"/>
    </row>
    <row r="280" s="971" customFormat="1" spans="1:5">
      <c r="A280" s="1073"/>
      <c r="C280" s="1074"/>
      <c r="E280" s="1073"/>
    </row>
    <row r="281" s="971" customFormat="1" spans="1:5">
      <c r="A281" s="1073"/>
      <c r="C281" s="1074"/>
      <c r="E281" s="1073"/>
    </row>
    <row r="282" s="971" customFormat="1" spans="1:5">
      <c r="A282" s="1073"/>
      <c r="C282" s="1074"/>
      <c r="E282" s="1073"/>
    </row>
    <row r="283" s="971" customFormat="1" spans="1:5">
      <c r="A283" s="1073"/>
      <c r="C283" s="1074"/>
      <c r="E283" s="1073"/>
    </row>
    <row r="284" s="971" customFormat="1" spans="1:5">
      <c r="A284" s="1073"/>
      <c r="C284" s="1074"/>
      <c r="E284" s="1073"/>
    </row>
    <row r="285" s="971" customFormat="1" spans="1:5">
      <c r="A285" s="1073"/>
      <c r="C285" s="1074"/>
      <c r="E285" s="1073"/>
    </row>
    <row r="286" s="971" customFormat="1" spans="1:5">
      <c r="A286" s="1073"/>
      <c r="C286" s="1074"/>
      <c r="E286" s="1073"/>
    </row>
    <row r="287" s="971" customFormat="1" spans="1:5">
      <c r="A287" s="1073"/>
      <c r="C287" s="1074"/>
      <c r="E287" s="1073"/>
    </row>
    <row r="288" s="971" customFormat="1" spans="1:5">
      <c r="A288" s="1073"/>
      <c r="C288" s="1074"/>
      <c r="E288" s="1073"/>
    </row>
    <row r="289" s="971" customFormat="1" spans="1:5">
      <c r="A289" s="1073"/>
      <c r="C289" s="1074"/>
      <c r="E289" s="1073"/>
    </row>
    <row r="290" s="971" customFormat="1" spans="1:5">
      <c r="A290" s="1073"/>
      <c r="C290" s="1074"/>
      <c r="E290" s="1073"/>
    </row>
    <row r="291" s="971" customFormat="1" spans="1:5">
      <c r="A291" s="1073"/>
      <c r="C291" s="1074"/>
      <c r="E291" s="1073"/>
    </row>
    <row r="292" s="971" customFormat="1" spans="1:5">
      <c r="A292" s="1073"/>
      <c r="C292" s="1074"/>
      <c r="E292" s="1073"/>
    </row>
    <row r="293" s="971" customFormat="1" spans="1:5">
      <c r="A293" s="1073"/>
      <c r="C293" s="1074"/>
      <c r="E293" s="1073"/>
    </row>
    <row r="294" s="971" customFormat="1" spans="1:5">
      <c r="A294" s="1073"/>
      <c r="C294" s="1074"/>
      <c r="E294" s="1073"/>
    </row>
    <row r="295" s="971" customFormat="1" spans="1:5">
      <c r="A295" s="1073"/>
      <c r="C295" s="1074"/>
      <c r="E295" s="1073"/>
    </row>
    <row r="296" s="971" customFormat="1" spans="1:5">
      <c r="A296" s="1073"/>
      <c r="C296" s="1074"/>
      <c r="E296" s="1073"/>
    </row>
    <row r="297" s="971" customFormat="1" spans="1:5">
      <c r="A297" s="1073"/>
      <c r="C297" s="1074"/>
      <c r="E297" s="1073"/>
    </row>
    <row r="298" s="971" customFormat="1" spans="1:5">
      <c r="A298" s="1073"/>
      <c r="C298" s="1074"/>
      <c r="E298" s="1073"/>
    </row>
    <row r="299" s="971" customFormat="1" spans="1:5">
      <c r="A299" s="1073"/>
      <c r="C299" s="1074"/>
      <c r="E299" s="1073"/>
    </row>
    <row r="300" s="971" customFormat="1" spans="1:5">
      <c r="A300" s="1073"/>
      <c r="C300" s="1074"/>
      <c r="E300" s="1073"/>
    </row>
    <row r="301" s="971" customFormat="1" spans="1:5">
      <c r="A301" s="1073"/>
      <c r="C301" s="1074"/>
      <c r="E301" s="1073"/>
    </row>
    <row r="302" s="971" customFormat="1" spans="1:5">
      <c r="A302" s="1073"/>
      <c r="C302" s="1074"/>
      <c r="E302" s="1073"/>
    </row>
    <row r="303" s="971" customFormat="1" spans="1:5">
      <c r="A303" s="1073"/>
      <c r="C303" s="1074"/>
      <c r="E303" s="1073"/>
    </row>
    <row r="304" s="971" customFormat="1" spans="1:5">
      <c r="A304" s="1073"/>
      <c r="C304" s="1074"/>
      <c r="E304" s="1073"/>
    </row>
    <row r="305" s="971" customFormat="1" spans="1:5">
      <c r="A305" s="1073"/>
      <c r="C305" s="1074"/>
      <c r="E305" s="1073"/>
    </row>
    <row r="306" s="971" customFormat="1" spans="1:5">
      <c r="A306" s="1073"/>
      <c r="C306" s="1074"/>
      <c r="E306" s="1073"/>
    </row>
    <row r="307" s="971" customFormat="1" spans="1:5">
      <c r="A307" s="1073"/>
      <c r="C307" s="1074"/>
      <c r="E307" s="1073"/>
    </row>
    <row r="308" s="971" customFormat="1" spans="1:5">
      <c r="A308" s="1073"/>
      <c r="C308" s="1074"/>
      <c r="E308" s="1073"/>
    </row>
    <row r="309" s="971" customFormat="1" spans="1:5">
      <c r="A309" s="1073"/>
      <c r="C309" s="1074"/>
      <c r="E309" s="1073"/>
    </row>
    <row r="310" s="971" customFormat="1" spans="1:5">
      <c r="A310" s="1073"/>
      <c r="C310" s="1074"/>
      <c r="E310" s="1073"/>
    </row>
    <row r="311" s="971" customFormat="1" spans="1:5">
      <c r="A311" s="1073"/>
      <c r="C311" s="1074"/>
      <c r="E311" s="1073"/>
    </row>
    <row r="312" s="971" customFormat="1" spans="1:5">
      <c r="A312" s="1073"/>
      <c r="C312" s="1074"/>
      <c r="E312" s="1073"/>
    </row>
    <row r="313" s="971" customFormat="1" spans="1:5">
      <c r="A313" s="1073"/>
      <c r="C313" s="1074"/>
      <c r="E313" s="1073"/>
    </row>
    <row r="314" s="971" customFormat="1" spans="1:5">
      <c r="A314" s="1073"/>
      <c r="C314" s="1074"/>
      <c r="E314" s="1073"/>
    </row>
    <row r="315" s="971" customFormat="1" spans="1:5">
      <c r="A315" s="1073"/>
      <c r="C315" s="1074"/>
      <c r="E315" s="1073"/>
    </row>
    <row r="316" s="971" customFormat="1" spans="1:5">
      <c r="A316" s="1073"/>
      <c r="C316" s="1074"/>
      <c r="E316" s="1073"/>
    </row>
    <row r="317" s="971" customFormat="1" spans="1:5">
      <c r="A317" s="1073"/>
      <c r="C317" s="1074"/>
      <c r="E317" s="1073"/>
    </row>
    <row r="318" s="971" customFormat="1" spans="1:5">
      <c r="A318" s="1073"/>
      <c r="C318" s="1074"/>
      <c r="E318" s="1073"/>
    </row>
    <row r="319" s="971" customFormat="1" spans="1:5">
      <c r="A319" s="1073"/>
      <c r="C319" s="1074"/>
      <c r="E319" s="1073"/>
    </row>
    <row r="320" s="971" customFormat="1" spans="1:5">
      <c r="A320" s="1073"/>
      <c r="C320" s="1074"/>
      <c r="E320" s="1073"/>
    </row>
    <row r="321" s="971" customFormat="1" spans="1:5">
      <c r="A321" s="1073"/>
      <c r="C321" s="1074"/>
      <c r="E321" s="1073"/>
    </row>
    <row r="322" s="971" customFormat="1" spans="1:5">
      <c r="A322" s="1073"/>
      <c r="C322" s="1074"/>
      <c r="E322" s="1073"/>
    </row>
    <row r="323" s="971" customFormat="1" spans="1:5">
      <c r="A323" s="1073"/>
      <c r="C323" s="1074"/>
      <c r="E323" s="1073"/>
    </row>
    <row r="324" s="971" customFormat="1" spans="1:5">
      <c r="A324" s="1073"/>
      <c r="C324" s="1074"/>
      <c r="E324" s="1073"/>
    </row>
    <row r="325" s="971" customFormat="1" spans="1:5">
      <c r="A325" s="1073"/>
      <c r="C325" s="1074"/>
      <c r="E325" s="1073"/>
    </row>
    <row r="326" s="971" customFormat="1" spans="1:5">
      <c r="A326" s="1073"/>
      <c r="C326" s="1074"/>
      <c r="E326" s="1073"/>
    </row>
    <row r="327" s="971" customFormat="1" spans="1:5">
      <c r="A327" s="1073"/>
      <c r="C327" s="1074"/>
      <c r="E327" s="1073"/>
    </row>
    <row r="328" s="971" customFormat="1" spans="1:5">
      <c r="A328" s="1073"/>
      <c r="C328" s="1074"/>
      <c r="E328" s="1073"/>
    </row>
    <row r="329" s="971" customFormat="1" spans="1:5">
      <c r="A329" s="1073"/>
      <c r="C329" s="1074"/>
      <c r="E329" s="1073"/>
    </row>
    <row r="330" s="971" customFormat="1" spans="1:5">
      <c r="A330" s="1073"/>
      <c r="C330" s="1074"/>
      <c r="E330" s="1073"/>
    </row>
    <row r="331" s="971" customFormat="1" spans="1:5">
      <c r="A331" s="1073"/>
      <c r="C331" s="1074"/>
      <c r="E331" s="1073"/>
    </row>
    <row r="332" s="971" customFormat="1" spans="1:5">
      <c r="A332" s="1073"/>
      <c r="C332" s="1074"/>
      <c r="E332" s="1073"/>
    </row>
    <row r="333" s="971" customFormat="1" spans="1:5">
      <c r="A333" s="1073"/>
      <c r="C333" s="1074"/>
      <c r="E333" s="1073"/>
    </row>
    <row r="334" s="971" customFormat="1" spans="1:5">
      <c r="A334" s="1073"/>
      <c r="C334" s="1074"/>
      <c r="E334" s="1073"/>
    </row>
    <row r="335" s="971" customFormat="1" spans="1:5">
      <c r="A335" s="1073"/>
      <c r="C335" s="1074"/>
      <c r="E335" s="1073"/>
    </row>
    <row r="336" s="971" customFormat="1" spans="1:5">
      <c r="A336" s="1073"/>
      <c r="C336" s="1074"/>
      <c r="E336" s="1073"/>
    </row>
    <row r="337" s="971" customFormat="1" spans="1:5">
      <c r="A337" s="1073"/>
      <c r="C337" s="1074"/>
      <c r="E337" s="1073"/>
    </row>
    <row r="338" s="971" customFormat="1" spans="1:5">
      <c r="A338" s="1073"/>
      <c r="C338" s="1074"/>
      <c r="E338" s="1073"/>
    </row>
    <row r="339" s="971" customFormat="1" spans="1:5">
      <c r="A339" s="1073"/>
      <c r="C339" s="1074"/>
      <c r="E339" s="1073"/>
    </row>
    <row r="340" s="971" customFormat="1" spans="1:5">
      <c r="A340" s="1073"/>
      <c r="C340" s="1074"/>
      <c r="E340" s="1073"/>
    </row>
    <row r="341" s="971" customFormat="1" spans="1:5">
      <c r="A341" s="1073"/>
      <c r="C341" s="1074"/>
      <c r="E341" s="1073"/>
    </row>
    <row r="342" s="971" customFormat="1" spans="1:5">
      <c r="A342" s="1073"/>
      <c r="C342" s="1074"/>
      <c r="E342" s="1073"/>
    </row>
    <row r="343" s="971" customFormat="1" spans="1:5">
      <c r="A343" s="1073"/>
      <c r="C343" s="1074"/>
      <c r="E343" s="1073"/>
    </row>
    <row r="344" s="971" customFormat="1" spans="1:5">
      <c r="A344" s="1073"/>
      <c r="C344" s="1074"/>
      <c r="E344" s="1073"/>
    </row>
    <row r="345" s="971" customFormat="1" spans="1:5">
      <c r="A345" s="1073"/>
      <c r="C345" s="1074"/>
      <c r="E345" s="1073"/>
    </row>
    <row r="346" s="971" customFormat="1" spans="1:5">
      <c r="A346" s="1073"/>
      <c r="C346" s="1074"/>
      <c r="E346" s="1073"/>
    </row>
    <row r="347" s="971" customFormat="1" spans="1:5">
      <c r="A347" s="1073"/>
      <c r="C347" s="1074"/>
      <c r="E347" s="1073"/>
    </row>
    <row r="348" s="971" customFormat="1" spans="1:5">
      <c r="A348" s="1073"/>
      <c r="C348" s="1074"/>
      <c r="E348" s="1073"/>
    </row>
    <row r="349" s="971" customFormat="1" spans="1:5">
      <c r="A349" s="1073"/>
      <c r="C349" s="1074"/>
      <c r="E349" s="1073"/>
    </row>
    <row r="350" s="971" customFormat="1" spans="1:5">
      <c r="A350" s="1073"/>
      <c r="C350" s="1074"/>
      <c r="E350" s="1073"/>
    </row>
    <row r="351" s="971" customFormat="1" spans="1:5">
      <c r="A351" s="1073"/>
      <c r="C351" s="1074"/>
      <c r="E351" s="1073"/>
    </row>
    <row r="352" s="971" customFormat="1" spans="1:5">
      <c r="A352" s="1073"/>
      <c r="C352" s="1074"/>
      <c r="E352" s="1073"/>
    </row>
    <row r="353" s="971" customFormat="1" spans="1:5">
      <c r="A353" s="1073"/>
      <c r="C353" s="1074"/>
      <c r="E353" s="1073"/>
    </row>
    <row r="354" s="971" customFormat="1" spans="1:5">
      <c r="A354" s="1073"/>
      <c r="C354" s="1074"/>
      <c r="E354" s="1073"/>
    </row>
    <row r="355" s="971" customFormat="1" spans="1:5">
      <c r="A355" s="1073"/>
      <c r="C355" s="1074"/>
      <c r="E355" s="1073"/>
    </row>
    <row r="356" s="971" customFormat="1" spans="1:5">
      <c r="A356" s="1073"/>
      <c r="C356" s="1074"/>
      <c r="E356" s="1073"/>
    </row>
    <row r="357" s="971" customFormat="1" spans="1:5">
      <c r="A357" s="1073"/>
      <c r="C357" s="1074"/>
      <c r="E357" s="1073"/>
    </row>
    <row r="358" s="971" customFormat="1" spans="1:5">
      <c r="A358" s="1073"/>
      <c r="C358" s="1074"/>
      <c r="E358" s="1073"/>
    </row>
    <row r="359" s="971" customFormat="1" spans="1:5">
      <c r="A359" s="1073"/>
      <c r="C359" s="1074"/>
      <c r="E359" s="1073"/>
    </row>
    <row r="360" s="971" customFormat="1" spans="1:5">
      <c r="A360" s="1073"/>
      <c r="C360" s="1074"/>
      <c r="E360" s="1073"/>
    </row>
    <row r="361" s="971" customFormat="1" spans="1:5">
      <c r="A361" s="1073"/>
      <c r="C361" s="1074"/>
      <c r="E361" s="1073"/>
    </row>
    <row r="362" s="971" customFormat="1" spans="1:5">
      <c r="A362" s="1073"/>
      <c r="C362" s="1074"/>
      <c r="E362" s="1073"/>
    </row>
    <row r="363" s="971" customFormat="1" spans="1:5">
      <c r="A363" s="1073"/>
      <c r="C363" s="1074"/>
      <c r="E363" s="1073"/>
    </row>
    <row r="364" s="971" customFormat="1" spans="1:5">
      <c r="A364" s="1073"/>
      <c r="C364" s="1074"/>
      <c r="E364" s="1073"/>
    </row>
    <row r="365" s="971" customFormat="1" spans="1:5">
      <c r="A365" s="1073"/>
      <c r="C365" s="1074"/>
      <c r="E365" s="1073"/>
    </row>
    <row r="366" s="971" customFormat="1" spans="1:5">
      <c r="A366" s="1073"/>
      <c r="C366" s="1074"/>
      <c r="E366" s="1073"/>
    </row>
    <row r="367" s="971" customFormat="1" spans="1:5">
      <c r="A367" s="1073"/>
      <c r="C367" s="1074"/>
      <c r="E367" s="1073"/>
    </row>
    <row r="368" s="971" customFormat="1" spans="1:5">
      <c r="A368" s="1073"/>
      <c r="C368" s="1074"/>
      <c r="E368" s="1073"/>
    </row>
    <row r="369" s="971" customFormat="1" spans="1:5">
      <c r="A369" s="1073"/>
      <c r="C369" s="1074"/>
      <c r="E369" s="1073"/>
    </row>
    <row r="370" s="971" customFormat="1" spans="1:5">
      <c r="A370" s="1073"/>
      <c r="C370" s="1074"/>
      <c r="E370" s="1073"/>
    </row>
    <row r="371" s="971" customFormat="1" spans="1:5">
      <c r="A371" s="1073"/>
      <c r="C371" s="1074"/>
      <c r="E371" s="1073"/>
    </row>
    <row r="372" s="971" customFormat="1" spans="1:5">
      <c r="A372" s="1073"/>
      <c r="C372" s="1074"/>
      <c r="E372" s="1073"/>
    </row>
    <row r="373" s="971" customFormat="1" spans="1:5">
      <c r="A373" s="1073"/>
      <c r="C373" s="1074"/>
      <c r="E373" s="1073"/>
    </row>
    <row r="374" s="971" customFormat="1" spans="1:5">
      <c r="A374" s="1073"/>
      <c r="C374" s="1074"/>
      <c r="E374" s="1073"/>
    </row>
    <row r="375" s="971" customFormat="1" spans="1:5">
      <c r="A375" s="1073"/>
      <c r="C375" s="1074"/>
      <c r="E375" s="1073"/>
    </row>
    <row r="376" s="971" customFormat="1" spans="1:5">
      <c r="A376" s="1073"/>
      <c r="C376" s="1074"/>
      <c r="E376" s="1073"/>
    </row>
    <row r="377" s="971" customFormat="1" spans="1:5">
      <c r="A377" s="1073"/>
      <c r="C377" s="1074"/>
      <c r="E377" s="1073"/>
    </row>
    <row r="378" s="971" customFormat="1" spans="1:5">
      <c r="A378" s="1073"/>
      <c r="C378" s="1074"/>
      <c r="E378" s="1073"/>
    </row>
    <row r="379" s="971" customFormat="1" spans="1:5">
      <c r="A379" s="1073"/>
      <c r="C379" s="1074"/>
      <c r="E379" s="1073"/>
    </row>
    <row r="380" s="971" customFormat="1" spans="1:5">
      <c r="A380" s="1073"/>
      <c r="C380" s="1074"/>
      <c r="E380" s="1073"/>
    </row>
    <row r="381" s="971" customFormat="1" spans="1:5">
      <c r="A381" s="1073"/>
      <c r="C381" s="1074"/>
      <c r="E381" s="1073"/>
    </row>
    <row r="382" s="971" customFormat="1" spans="1:5">
      <c r="A382" s="1073"/>
      <c r="C382" s="1074"/>
      <c r="E382" s="1073"/>
    </row>
    <row r="383" s="971" customFormat="1" spans="1:5">
      <c r="A383" s="1073"/>
      <c r="C383" s="1074"/>
      <c r="E383" s="1073"/>
    </row>
    <row r="384" s="971" customFormat="1" spans="1:5">
      <c r="A384" s="1073"/>
      <c r="C384" s="1074"/>
      <c r="E384" s="1073"/>
    </row>
    <row r="385" s="971" customFormat="1" spans="1:5">
      <c r="A385" s="1073"/>
      <c r="C385" s="1074"/>
      <c r="E385" s="1073"/>
    </row>
    <row r="386" s="971" customFormat="1" spans="1:5">
      <c r="A386" s="1073"/>
      <c r="C386" s="1074"/>
      <c r="E386" s="1073"/>
    </row>
    <row r="387" s="971" customFormat="1" spans="1:5">
      <c r="A387" s="1073"/>
      <c r="C387" s="1074"/>
      <c r="E387" s="1073"/>
    </row>
    <row r="388" s="971" customFormat="1" spans="1:5">
      <c r="A388" s="1073"/>
      <c r="C388" s="1074"/>
      <c r="E388" s="1073"/>
    </row>
    <row r="389" s="971" customFormat="1" spans="1:5">
      <c r="A389" s="1073"/>
      <c r="C389" s="1074"/>
      <c r="E389" s="1073"/>
    </row>
    <row r="390" s="971" customFormat="1" spans="1:5">
      <c r="A390" s="1073"/>
      <c r="C390" s="1074"/>
      <c r="E390" s="1073"/>
    </row>
    <row r="391" s="971" customFormat="1" spans="1:5">
      <c r="A391" s="1073"/>
      <c r="C391" s="1074"/>
      <c r="E391" s="1073"/>
    </row>
    <row r="392" s="971" customFormat="1" spans="1:5">
      <c r="A392" s="1073"/>
      <c r="C392" s="1074"/>
      <c r="E392" s="1073"/>
    </row>
    <row r="393" s="971" customFormat="1" spans="1:5">
      <c r="A393" s="1073"/>
      <c r="C393" s="1074"/>
      <c r="E393" s="1073"/>
    </row>
    <row r="394" s="971" customFormat="1" spans="1:5">
      <c r="A394" s="1073"/>
      <c r="C394" s="1074"/>
      <c r="E394" s="1073"/>
    </row>
    <row r="395" s="971" customFormat="1" spans="1:5">
      <c r="A395" s="1073"/>
      <c r="C395" s="1074"/>
      <c r="E395" s="1073"/>
    </row>
    <row r="396" s="971" customFormat="1" spans="1:5">
      <c r="A396" s="1073"/>
      <c r="C396" s="1074"/>
      <c r="E396" s="1073"/>
    </row>
    <row r="397" s="971" customFormat="1" spans="1:5">
      <c r="A397" s="1073"/>
      <c r="C397" s="1074"/>
      <c r="E397" s="1073"/>
    </row>
    <row r="398" s="971" customFormat="1" spans="1:5">
      <c r="A398" s="1073"/>
      <c r="C398" s="1074"/>
      <c r="E398" s="1073"/>
    </row>
    <row r="399" s="971" customFormat="1" spans="1:5">
      <c r="A399" s="1073"/>
      <c r="C399" s="1074"/>
      <c r="E399" s="1073"/>
    </row>
    <row r="400" s="971" customFormat="1" spans="1:5">
      <c r="A400" s="1073"/>
      <c r="C400" s="1074"/>
      <c r="E400" s="1073"/>
    </row>
    <row r="401" s="971" customFormat="1" spans="1:5">
      <c r="A401" s="1073"/>
      <c r="C401" s="1074"/>
      <c r="E401" s="1073"/>
    </row>
    <row r="402" s="971" customFormat="1" spans="1:5">
      <c r="A402" s="1073"/>
      <c r="C402" s="1074"/>
      <c r="E402" s="1073"/>
    </row>
    <row r="403" s="971" customFormat="1" spans="1:5">
      <c r="A403" s="1073"/>
      <c r="C403" s="1074"/>
      <c r="E403" s="1073"/>
    </row>
    <row r="404" s="971" customFormat="1" spans="1:5">
      <c r="A404" s="1073"/>
      <c r="C404" s="1074"/>
      <c r="E404" s="1073"/>
    </row>
    <row r="405" s="971" customFormat="1" spans="1:5">
      <c r="A405" s="1073"/>
      <c r="C405" s="1074"/>
      <c r="E405" s="1073"/>
    </row>
    <row r="406" s="971" customFormat="1" spans="1:5">
      <c r="A406" s="1073"/>
      <c r="C406" s="1074"/>
      <c r="E406" s="1073"/>
    </row>
    <row r="407" s="971" customFormat="1" spans="1:5">
      <c r="A407" s="1073"/>
      <c r="C407" s="1074"/>
      <c r="E407" s="1073"/>
    </row>
    <row r="408" s="971" customFormat="1" spans="1:5">
      <c r="A408" s="1073"/>
      <c r="C408" s="1074"/>
      <c r="E408" s="1073"/>
    </row>
    <row r="409" s="971" customFormat="1" spans="1:5">
      <c r="A409" s="1073"/>
      <c r="C409" s="1074"/>
      <c r="E409" s="1073"/>
    </row>
    <row r="410" s="971" customFormat="1" spans="1:5">
      <c r="A410" s="1073"/>
      <c r="C410" s="1074"/>
      <c r="E410" s="1073"/>
    </row>
    <row r="411" s="971" customFormat="1" spans="1:5">
      <c r="A411" s="1073"/>
      <c r="C411" s="1074"/>
      <c r="E411" s="1073"/>
    </row>
    <row r="412" s="971" customFormat="1" spans="1:5">
      <c r="A412" s="1073"/>
      <c r="C412" s="1074"/>
      <c r="E412" s="1073"/>
    </row>
    <row r="413" s="971" customFormat="1" spans="1:5">
      <c r="A413" s="1073"/>
      <c r="C413" s="1074"/>
      <c r="E413" s="1073"/>
    </row>
    <row r="414" s="971" customFormat="1" spans="1:5">
      <c r="A414" s="1073"/>
      <c r="C414" s="1074"/>
      <c r="E414" s="1073"/>
    </row>
    <row r="415" s="971" customFormat="1" spans="1:5">
      <c r="A415" s="1073"/>
      <c r="C415" s="1074"/>
      <c r="E415" s="1073"/>
    </row>
    <row r="416" s="971" customFormat="1" spans="1:5">
      <c r="A416" s="1073"/>
      <c r="C416" s="1074"/>
      <c r="E416" s="1073"/>
    </row>
    <row r="417" s="971" customFormat="1" spans="1:5">
      <c r="A417" s="1073"/>
      <c r="C417" s="1074"/>
      <c r="E417" s="1073"/>
    </row>
    <row r="418" s="971" customFormat="1" spans="1:5">
      <c r="A418" s="1073"/>
      <c r="C418" s="1074"/>
      <c r="E418" s="1073"/>
    </row>
    <row r="419" s="971" customFormat="1" spans="1:5">
      <c r="A419" s="1073"/>
      <c r="C419" s="1074"/>
      <c r="E419" s="1073"/>
    </row>
    <row r="420" s="971" customFormat="1" spans="1:5">
      <c r="A420" s="1073"/>
      <c r="C420" s="1074"/>
      <c r="E420" s="1073"/>
    </row>
    <row r="421" s="971" customFormat="1" spans="1:5">
      <c r="A421" s="1073"/>
      <c r="C421" s="1074"/>
      <c r="E421" s="1073"/>
    </row>
    <row r="422" s="971" customFormat="1" spans="1:5">
      <c r="A422" s="1073"/>
      <c r="C422" s="1074"/>
      <c r="E422" s="1073"/>
    </row>
    <row r="423" s="971" customFormat="1" spans="1:5">
      <c r="A423" s="1073"/>
      <c r="C423" s="1074"/>
      <c r="E423" s="1073"/>
    </row>
    <row r="424" s="971" customFormat="1" spans="1:5">
      <c r="A424" s="1073"/>
      <c r="C424" s="1074"/>
      <c r="E424" s="1073"/>
    </row>
    <row r="425" s="971" customFormat="1" spans="1:5">
      <c r="A425" s="1073"/>
      <c r="C425" s="1074"/>
      <c r="E425" s="1073"/>
    </row>
    <row r="426" s="971" customFormat="1" spans="1:5">
      <c r="A426" s="1073"/>
      <c r="C426" s="1074"/>
      <c r="E426" s="1073"/>
    </row>
    <row r="427" s="971" customFormat="1" spans="1:5">
      <c r="A427" s="1073"/>
      <c r="C427" s="1074"/>
      <c r="E427" s="1073"/>
    </row>
    <row r="428" s="971" customFormat="1" spans="1:5">
      <c r="A428" s="1073"/>
      <c r="C428" s="1074"/>
      <c r="E428" s="1073"/>
    </row>
    <row r="429" s="971" customFormat="1" spans="1:5">
      <c r="A429" s="1073"/>
      <c r="C429" s="1074"/>
      <c r="E429" s="1073"/>
    </row>
    <row r="430" s="971" customFormat="1" spans="1:5">
      <c r="A430" s="1073"/>
      <c r="C430" s="1074"/>
      <c r="E430" s="1073"/>
    </row>
    <row r="431" s="971" customFormat="1" spans="1:5">
      <c r="A431" s="1073"/>
      <c r="C431" s="1074"/>
      <c r="E431" s="1073"/>
    </row>
    <row r="432" s="971" customFormat="1" spans="1:5">
      <c r="A432" s="1073"/>
      <c r="C432" s="1074"/>
      <c r="E432" s="1073"/>
    </row>
    <row r="433" s="971" customFormat="1" spans="1:5">
      <c r="A433" s="1073"/>
      <c r="C433" s="1074"/>
      <c r="E433" s="1073"/>
    </row>
    <row r="434" s="971" customFormat="1" spans="1:5">
      <c r="A434" s="1073"/>
      <c r="C434" s="1074"/>
      <c r="E434" s="1073"/>
    </row>
    <row r="435" s="971" customFormat="1" spans="1:5">
      <c r="A435" s="1073"/>
      <c r="C435" s="1074"/>
      <c r="E435" s="1073"/>
    </row>
    <row r="436" s="971" customFormat="1" spans="1:5">
      <c r="A436" s="1073"/>
      <c r="C436" s="1074"/>
      <c r="E436" s="1073"/>
    </row>
    <row r="437" s="971" customFormat="1" spans="1:5">
      <c r="A437" s="1073"/>
      <c r="C437" s="1074"/>
      <c r="E437" s="1073"/>
    </row>
    <row r="438" s="971" customFormat="1" spans="1:5">
      <c r="A438" s="1073"/>
      <c r="C438" s="1074"/>
      <c r="E438" s="1073"/>
    </row>
    <row r="439" s="971" customFormat="1" spans="1:5">
      <c r="A439" s="1073"/>
      <c r="C439" s="1074"/>
      <c r="E439" s="1073"/>
    </row>
    <row r="440" s="971" customFormat="1" spans="1:5">
      <c r="A440" s="1073"/>
      <c r="C440" s="1074"/>
      <c r="E440" s="1073"/>
    </row>
    <row r="441" s="971" customFormat="1" spans="1:5">
      <c r="A441" s="1073"/>
      <c r="C441" s="1074"/>
      <c r="E441" s="1073"/>
    </row>
    <row r="442" s="971" customFormat="1" spans="1:5">
      <c r="A442" s="1073"/>
      <c r="C442" s="1074"/>
      <c r="E442" s="1073"/>
    </row>
    <row r="443" s="971" customFormat="1" spans="1:5">
      <c r="A443" s="1073"/>
      <c r="C443" s="1074"/>
      <c r="E443" s="1073"/>
    </row>
    <row r="444" s="971" customFormat="1" spans="1:5">
      <c r="A444" s="1073"/>
      <c r="C444" s="1074"/>
      <c r="E444" s="1073"/>
    </row>
    <row r="445" s="971" customFormat="1" spans="1:5">
      <c r="A445" s="1073"/>
      <c r="C445" s="1074"/>
      <c r="E445" s="1073"/>
    </row>
    <row r="446" s="971" customFormat="1" spans="1:5">
      <c r="A446" s="1073"/>
      <c r="C446" s="1074"/>
      <c r="E446" s="1073"/>
    </row>
    <row r="447" s="971" customFormat="1" spans="1:5">
      <c r="A447" s="1073"/>
      <c r="C447" s="1074"/>
      <c r="E447" s="1073"/>
    </row>
    <row r="448" s="971" customFormat="1" spans="1:5">
      <c r="A448" s="1073"/>
      <c r="C448" s="1074"/>
      <c r="E448" s="1073"/>
    </row>
    <row r="449" s="971" customFormat="1" spans="1:5">
      <c r="A449" s="1073"/>
      <c r="C449" s="1074"/>
      <c r="E449" s="1073"/>
    </row>
    <row r="450" s="971" customFormat="1" spans="1:5">
      <c r="A450" s="1073"/>
      <c r="C450" s="1074"/>
      <c r="E450" s="1073"/>
    </row>
    <row r="451" s="971" customFormat="1" spans="1:5">
      <c r="A451" s="1073"/>
      <c r="C451" s="1074"/>
      <c r="E451" s="1073"/>
    </row>
    <row r="452" s="971" customFormat="1" spans="1:5">
      <c r="A452" s="1073"/>
      <c r="C452" s="1074"/>
      <c r="E452" s="1073"/>
    </row>
    <row r="453" s="971" customFormat="1" spans="1:5">
      <c r="A453" s="1073"/>
      <c r="C453" s="1074"/>
      <c r="E453" s="1073"/>
    </row>
    <row r="454" s="971" customFormat="1" spans="1:5">
      <c r="A454" s="1073"/>
      <c r="C454" s="1074"/>
      <c r="E454" s="1073"/>
    </row>
    <row r="455" s="971" customFormat="1" spans="1:5">
      <c r="A455" s="1073"/>
      <c r="C455" s="1074"/>
      <c r="E455" s="1073"/>
    </row>
    <row r="456" s="971" customFormat="1" spans="1:5">
      <c r="A456" s="1073"/>
      <c r="C456" s="1074"/>
      <c r="E456" s="1073"/>
    </row>
    <row r="457" s="971" customFormat="1" spans="1:5">
      <c r="A457" s="1073"/>
      <c r="C457" s="1074"/>
      <c r="E457" s="1073"/>
    </row>
    <row r="458" s="971" customFormat="1" spans="1:5">
      <c r="A458" s="1073"/>
      <c r="C458" s="1074"/>
      <c r="E458" s="1073"/>
    </row>
    <row r="459" s="971" customFormat="1" spans="1:5">
      <c r="A459" s="1073"/>
      <c r="C459" s="1074"/>
      <c r="E459" s="1073"/>
    </row>
    <row r="460" s="971" customFormat="1" spans="1:5">
      <c r="A460" s="1073"/>
      <c r="C460" s="1074"/>
      <c r="E460" s="1073"/>
    </row>
    <row r="461" s="971" customFormat="1" spans="1:5">
      <c r="A461" s="1073"/>
      <c r="C461" s="1074"/>
      <c r="E461" s="1073"/>
    </row>
    <row r="462" s="971" customFormat="1" spans="1:5">
      <c r="A462" s="1073"/>
      <c r="C462" s="1074"/>
      <c r="E462" s="1073"/>
    </row>
    <row r="463" s="971" customFormat="1" spans="1:5">
      <c r="A463" s="1073"/>
      <c r="C463" s="1074"/>
      <c r="E463" s="1073"/>
    </row>
    <row r="464" s="971" customFormat="1" spans="1:5">
      <c r="A464" s="1073"/>
      <c r="C464" s="1074"/>
      <c r="E464" s="1073"/>
    </row>
    <row r="465" s="971" customFormat="1" spans="1:5">
      <c r="A465" s="1073"/>
      <c r="C465" s="1074"/>
      <c r="E465" s="1073"/>
    </row>
    <row r="466" s="971" customFormat="1" spans="1:5">
      <c r="A466" s="1073"/>
      <c r="C466" s="1074"/>
      <c r="E466" s="1073"/>
    </row>
    <row r="467" s="971" customFormat="1" spans="1:5">
      <c r="A467" s="1073"/>
      <c r="C467" s="1074"/>
      <c r="E467" s="1073"/>
    </row>
    <row r="468" s="971" customFormat="1" spans="1:5">
      <c r="A468" s="1073"/>
      <c r="C468" s="1074"/>
      <c r="E468" s="1073"/>
    </row>
    <row r="469" s="971" customFormat="1" spans="1:5">
      <c r="A469" s="1073"/>
      <c r="C469" s="1074"/>
      <c r="E469" s="1073"/>
    </row>
    <row r="470" s="971" customFormat="1" spans="1:5">
      <c r="A470" s="1073"/>
      <c r="C470" s="1074"/>
      <c r="E470" s="1073"/>
    </row>
    <row r="471" s="971" customFormat="1" spans="1:5">
      <c r="A471" s="1073"/>
      <c r="C471" s="1074"/>
      <c r="E471" s="1073"/>
    </row>
    <row r="472" s="971" customFormat="1" spans="1:5">
      <c r="A472" s="1073"/>
      <c r="C472" s="1074"/>
      <c r="E472" s="1073"/>
    </row>
    <row r="473" s="971" customFormat="1" spans="1:5">
      <c r="A473" s="1073"/>
      <c r="C473" s="1074"/>
      <c r="E473" s="1073"/>
    </row>
    <row r="474" s="971" customFormat="1" spans="1:5">
      <c r="A474" s="1073"/>
      <c r="C474" s="1074"/>
      <c r="E474" s="1073"/>
    </row>
    <row r="475" s="971" customFormat="1" spans="1:5">
      <c r="A475" s="1073"/>
      <c r="C475" s="1074"/>
      <c r="E475" s="1073"/>
    </row>
    <row r="476" s="971" customFormat="1" spans="1:5">
      <c r="A476" s="1073"/>
      <c r="C476" s="1074"/>
      <c r="E476" s="1073"/>
    </row>
    <row r="477" s="971" customFormat="1" spans="1:5">
      <c r="A477" s="1073"/>
      <c r="C477" s="1074"/>
      <c r="E477" s="1073"/>
    </row>
    <row r="478" s="971" customFormat="1" spans="1:5">
      <c r="A478" s="1073"/>
      <c r="C478" s="1074"/>
      <c r="E478" s="1073"/>
    </row>
    <row r="479" s="971" customFormat="1" spans="1:5">
      <c r="A479" s="1073"/>
      <c r="C479" s="1074"/>
      <c r="E479" s="1073"/>
    </row>
    <row r="480" s="971" customFormat="1" spans="1:5">
      <c r="A480" s="1073"/>
      <c r="C480" s="1074"/>
      <c r="E480" s="1073"/>
    </row>
    <row r="481" s="971" customFormat="1" spans="1:5">
      <c r="A481" s="1073"/>
      <c r="C481" s="1074"/>
      <c r="E481" s="1073"/>
    </row>
    <row r="482" s="971" customFormat="1" spans="1:5">
      <c r="A482" s="1073"/>
      <c r="C482" s="1074"/>
      <c r="E482" s="1073"/>
    </row>
    <row r="483" s="971" customFormat="1" spans="1:5">
      <c r="A483" s="1073"/>
      <c r="C483" s="1074"/>
      <c r="E483" s="1073"/>
    </row>
    <row r="484" s="971" customFormat="1" spans="1:5">
      <c r="A484" s="1073"/>
      <c r="C484" s="1074"/>
      <c r="E484" s="1073"/>
    </row>
    <row r="485" s="971" customFormat="1" spans="1:5">
      <c r="A485" s="1073"/>
      <c r="C485" s="1074"/>
      <c r="E485" s="1073"/>
    </row>
    <row r="486" s="971" customFormat="1" spans="1:5">
      <c r="A486" s="1073"/>
      <c r="C486" s="1074"/>
      <c r="E486" s="1073"/>
    </row>
    <row r="487" s="971" customFormat="1" spans="1:5">
      <c r="A487" s="1073"/>
      <c r="C487" s="1074"/>
      <c r="E487" s="1073"/>
    </row>
    <row r="488" s="971" customFormat="1" spans="1:5">
      <c r="A488" s="1073"/>
      <c r="C488" s="1074"/>
      <c r="E488" s="1073"/>
    </row>
    <row r="489" s="971" customFormat="1" spans="1:5">
      <c r="A489" s="1073"/>
      <c r="C489" s="1074"/>
      <c r="E489" s="1073"/>
    </row>
    <row r="490" s="971" customFormat="1" spans="1:5">
      <c r="A490" s="1073"/>
      <c r="C490" s="1074"/>
      <c r="E490" s="1073"/>
    </row>
  </sheetData>
  <sheetProtection formatCells="0" formatColumns="0" formatRows="0"/>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4" fitToHeight="0" orientation="portrait"/>
  <headerFooter/>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3" tint="0.399884029663991"/>
    <pageSetUpPr fitToPage="1"/>
  </sheetPr>
  <dimension ref="A1:AE490"/>
  <sheetViews>
    <sheetView view="pageBreakPreview" zoomScale="80" zoomScaleNormal="80" workbookViewId="0">
      <selection activeCell="K48" sqref="K48"/>
    </sheetView>
  </sheetViews>
  <sheetFormatPr defaultColWidth="6.63333333333333" defaultRowHeight="12.75"/>
  <cols>
    <col min="1" max="1" width="9.725" style="980" customWidth="1"/>
    <col min="2" max="2" width="32.45" style="981" customWidth="1"/>
    <col min="3" max="3" width="10.3666666666667" style="982" customWidth="1"/>
    <col min="4" max="4" width="12" style="981" customWidth="1"/>
    <col min="5" max="5" width="9.45" style="980" customWidth="1"/>
    <col min="6" max="6" width="10.0916666666667" style="981" customWidth="1"/>
    <col min="7" max="7" width="11.6333333333333"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983" t="s">
        <v>1055</v>
      </c>
      <c r="B1" s="1140" t="s">
        <v>548</v>
      </c>
      <c r="C1" s="985"/>
      <c r="D1" s="985"/>
      <c r="E1" s="985"/>
      <c r="F1" s="985"/>
      <c r="G1" s="985"/>
      <c r="H1" s="985"/>
      <c r="I1" s="985"/>
      <c r="J1" s="985"/>
      <c r="K1" s="991">
        <f>MATCH(B1,'数据-取费表'!A6:A16,0)+5</f>
        <v>6</v>
      </c>
      <c r="L1" s="72"/>
      <c r="M1" s="72"/>
      <c r="N1" s="72"/>
      <c r="O1" s="72"/>
      <c r="P1" s="72"/>
      <c r="Q1" s="72"/>
      <c r="R1" s="72"/>
      <c r="S1" s="72"/>
      <c r="T1" s="72"/>
      <c r="U1" s="72"/>
      <c r="V1" s="72"/>
      <c r="W1" s="72"/>
      <c r="X1" s="72"/>
      <c r="Y1" s="72"/>
      <c r="Z1" s="72"/>
    </row>
    <row r="2" s="157" customFormat="1" ht="18" customHeight="1" spans="1:26">
      <c r="A2" s="986" t="s">
        <v>919</v>
      </c>
      <c r="B2" s="987">
        <f ca="1">C36</f>
        <v>70979</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988" t="s">
        <v>920</v>
      </c>
      <c r="B3" s="989">
        <f ca="1">ROUND(B2*10000/IF(B1="",'数据-汇总表'!E3,INDIRECT("'数据-取费表'!K"&amp;$K$1)),0)</f>
        <v>9491</v>
      </c>
      <c r="C3" s="985">
        <f ca="1">ROUND(B2*10000/C9,0)</f>
        <v>9491</v>
      </c>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t="e">
        <f ca="1">ROUND(B2*10000/IF(B1="",'数据-汇总表'!D3,INDIRECT("'数据-取费表'!R"&amp;$K$1)),0)</f>
        <v>#VALUE!</v>
      </c>
      <c r="C4" s="990"/>
      <c r="D4" s="991"/>
      <c r="E4" s="991"/>
      <c r="F4" s="991"/>
      <c r="G4" s="991"/>
      <c r="H4" s="991"/>
      <c r="I4" s="991"/>
      <c r="J4" s="991"/>
      <c r="K4" s="991"/>
      <c r="L4" s="72"/>
      <c r="M4" s="72"/>
      <c r="N4" s="72"/>
      <c r="O4" s="72"/>
      <c r="P4" s="72"/>
      <c r="Q4" s="72"/>
      <c r="R4" s="72"/>
      <c r="S4" s="72"/>
      <c r="T4" s="72"/>
      <c r="U4" s="72"/>
      <c r="V4" s="72"/>
      <c r="W4" s="72"/>
      <c r="X4" s="72"/>
      <c r="Y4" s="72"/>
      <c r="Z4" s="72"/>
    </row>
    <row r="5" s="157" customFormat="1" ht="18" customHeight="1" spans="1:26">
      <c r="A5" s="650"/>
      <c r="B5" s="651" t="e">
        <f ca="1">ROUND(B2/(IF(B1="",'数据-汇总表'!D3,INDIRECT("'数据-取费表'!R"&amp;$K$1))/666.67),0)</f>
        <v>#VALUE!</v>
      </c>
      <c r="C5" s="652" t="s">
        <v>922</v>
      </c>
      <c r="D5" s="991"/>
      <c r="E5" s="991"/>
      <c r="F5" s="991"/>
      <c r="G5" s="991"/>
      <c r="H5" s="991"/>
      <c r="I5" s="991"/>
      <c r="J5" s="991"/>
      <c r="K5" s="991"/>
      <c r="L5" s="72"/>
      <c r="M5" s="72"/>
      <c r="N5" s="72"/>
      <c r="O5" s="72"/>
      <c r="P5" s="72"/>
      <c r="Q5" s="72"/>
      <c r="R5" s="72"/>
      <c r="S5" s="72"/>
      <c r="T5" s="72"/>
      <c r="U5" s="72"/>
      <c r="V5" s="72"/>
      <c r="W5" s="72"/>
      <c r="X5" s="72"/>
      <c r="Y5" s="72"/>
      <c r="Z5" s="72"/>
    </row>
    <row r="6" s="969" customFormat="1" ht="16.5" customHeight="1" spans="1:26">
      <c r="A6" s="992" t="s">
        <v>2089</v>
      </c>
      <c r="B6" s="993"/>
      <c r="C6" s="994">
        <f>SUM(C10:K10)</f>
        <v>149443</v>
      </c>
      <c r="D6" s="993"/>
      <c r="E6" s="993"/>
      <c r="F6" s="993"/>
      <c r="G6" s="993"/>
      <c r="H6" s="993"/>
      <c r="I6" s="993"/>
      <c r="J6" s="993"/>
      <c r="K6" s="1077"/>
      <c r="L6" s="1078"/>
      <c r="M6" s="1078"/>
      <c r="N6" s="1078"/>
      <c r="O6" s="1078"/>
      <c r="P6" s="1078"/>
      <c r="Q6" s="1078"/>
      <c r="R6" s="1078"/>
      <c r="S6" s="1078"/>
      <c r="T6" s="1078"/>
      <c r="U6" s="1078"/>
      <c r="V6" s="1078"/>
      <c r="W6" s="1078"/>
      <c r="X6" s="1078"/>
      <c r="Y6" s="1078"/>
      <c r="Z6" s="1078"/>
    </row>
    <row r="7" s="970" customFormat="1" ht="15" spans="1:31">
      <c r="A7" s="995" t="s">
        <v>1058</v>
      </c>
      <c r="B7" s="996" t="s">
        <v>1059</v>
      </c>
      <c r="C7" s="997" t="s">
        <v>548</v>
      </c>
      <c r="D7" s="997"/>
      <c r="E7" s="997"/>
      <c r="F7" s="997"/>
      <c r="G7" s="997"/>
      <c r="H7" s="997"/>
      <c r="I7" s="997"/>
      <c r="J7" s="997"/>
      <c r="K7" s="1079"/>
      <c r="AA7" s="1097"/>
      <c r="AB7" s="1097"/>
      <c r="AC7" s="1097"/>
      <c r="AD7" s="1097"/>
      <c r="AE7" s="1097"/>
    </row>
    <row r="8" s="971" customFormat="1" ht="13.5" customHeight="1" spans="1:31">
      <c r="A8" s="998" t="s">
        <v>855</v>
      </c>
      <c r="B8" s="785" t="s">
        <v>1060</v>
      </c>
      <c r="C8" s="999">
        <f>'不动产比较法-住宅'!C49</f>
        <v>19983</v>
      </c>
      <c r="D8" s="999"/>
      <c r="E8" s="999"/>
      <c r="F8" s="999"/>
      <c r="G8" s="999"/>
      <c r="H8" s="999"/>
      <c r="I8" s="999"/>
      <c r="J8" s="999"/>
      <c r="K8" s="1080"/>
      <c r="AA8" s="981"/>
      <c r="AB8" s="981"/>
      <c r="AC8" s="981"/>
      <c r="AD8" s="981"/>
      <c r="AE8" s="981"/>
    </row>
    <row r="9" s="971" customFormat="1" ht="13.5" customHeight="1" spans="1:31">
      <c r="A9" s="998" t="s">
        <v>857</v>
      </c>
      <c r="B9" s="785" t="s">
        <v>470</v>
      </c>
      <c r="C9" s="1001">
        <f>SUMIF('数据-汇总表'!$C19:$C33,'剩余法-待开发-住宅可售'!C7,'数据-汇总表'!$E19:$E33)</f>
        <v>74784.84</v>
      </c>
      <c r="D9" s="1001">
        <f>SUMIF('数据-汇总表'!$C19:$C33,'剩余法-待开发-住宅可售'!D7,'数据-汇总表'!$E19:$E33)</f>
        <v>0</v>
      </c>
      <c r="E9" s="1001">
        <f>SUMIF('数据-汇总表'!$C19:$C33,'剩余法-待开发-住宅可售'!E7,'数据-汇总表'!$E19:$E33)</f>
        <v>0</v>
      </c>
      <c r="F9" s="1001">
        <f>SUMIF('数据-汇总表'!$C19:$C33,'剩余法-待开发-住宅可售'!F7,'数据-汇总表'!$E19:$E33)</f>
        <v>0</v>
      </c>
      <c r="G9" s="1001">
        <f>SUMIF('数据-汇总表'!$C19:$C33,'剩余法-待开发-住宅可售'!G7,'数据-汇总表'!$E19:$E33)</f>
        <v>0</v>
      </c>
      <c r="H9" s="1001">
        <f>SUMIF('数据-汇总表'!$C19:$C33,'剩余法-待开发-住宅可售'!H7,'数据-汇总表'!$E19:$E33)</f>
        <v>0</v>
      </c>
      <c r="I9" s="1001">
        <f>SUMIF('数据-汇总表'!$C19:$C33,'剩余法-待开发-住宅可售'!I7,'数据-汇总表'!$E19:$E33)</f>
        <v>0</v>
      </c>
      <c r="J9" s="1001">
        <f>SUMIF('数据-汇总表'!$C19:$C33,'剩余法-待开发-住宅可售'!J7,'数据-汇总表'!$E19:$E33)</f>
        <v>0</v>
      </c>
      <c r="K9" s="1081">
        <f>SUMIF('数据-汇总表'!$C19:$C33,'剩余法-待开发-住宅可售'!K7,'数据-汇总表'!$E19:$E33)</f>
        <v>0</v>
      </c>
      <c r="AA9" s="981"/>
      <c r="AB9" s="981"/>
      <c r="AC9" s="981"/>
      <c r="AD9" s="981"/>
      <c r="AE9" s="981"/>
    </row>
    <row r="10" s="971" customFormat="1" ht="13.5" customHeight="1" spans="1:31">
      <c r="A10" s="1002" t="s">
        <v>1061</v>
      </c>
      <c r="B10" s="1003" t="s">
        <v>1062</v>
      </c>
      <c r="C10" s="1143">
        <f>ROUND(C8*C9/10000,0)</f>
        <v>149443</v>
      </c>
      <c r="D10" s="1143"/>
      <c r="E10" s="1143"/>
      <c r="F10" s="1143"/>
      <c r="G10" s="1005"/>
      <c r="H10" s="1005"/>
      <c r="I10" s="1005"/>
      <c r="J10" s="1005"/>
      <c r="K10" s="1082"/>
      <c r="N10" s="971" t="s">
        <v>2341</v>
      </c>
      <c r="AA10" s="981"/>
      <c r="AB10" s="981"/>
      <c r="AC10" s="981"/>
      <c r="AD10" s="981"/>
      <c r="AE10" s="981"/>
    </row>
    <row r="11" s="969" customFormat="1" ht="16.5" customHeight="1" spans="1:26">
      <c r="A11" s="1006" t="s">
        <v>2090</v>
      </c>
      <c r="B11" s="993"/>
      <c r="C11" s="993"/>
      <c r="D11" s="993"/>
      <c r="E11" s="993"/>
      <c r="F11" s="993"/>
      <c r="G11" s="993"/>
      <c r="H11" s="993"/>
      <c r="I11" s="993"/>
      <c r="J11" s="993"/>
      <c r="K11" s="1077"/>
      <c r="L11" s="1078"/>
      <c r="M11" s="1078"/>
      <c r="N11" s="1078"/>
      <c r="O11" s="1078"/>
      <c r="P11" s="1078"/>
      <c r="Q11" s="1078"/>
      <c r="R11" s="1078"/>
      <c r="S11" s="1078"/>
      <c r="T11" s="1078"/>
      <c r="U11" s="1078"/>
      <c r="V11" s="1078"/>
      <c r="W11" s="1078"/>
      <c r="X11" s="1078"/>
      <c r="Y11" s="1078"/>
      <c r="Z11" s="1078"/>
    </row>
    <row r="12" s="837" customFormat="1" ht="13.5" customHeight="1" spans="1:26">
      <c r="A12" s="1007" t="s">
        <v>1058</v>
      </c>
      <c r="B12" s="1008" t="s">
        <v>1059</v>
      </c>
      <c r="C12" s="1009" t="s">
        <v>1064</v>
      </c>
      <c r="D12" s="1010" t="s">
        <v>1065</v>
      </c>
      <c r="E12" s="1010" t="s">
        <v>1066</v>
      </c>
      <c r="F12" s="1010" t="s">
        <v>1067</v>
      </c>
      <c r="G12" s="1008"/>
      <c r="H12" s="1011"/>
      <c r="I12" s="1011"/>
      <c r="J12" s="1011"/>
      <c r="K12" s="1083"/>
      <c r="L12" s="1084"/>
      <c r="M12" s="1084"/>
      <c r="N12" s="1084"/>
      <c r="O12" s="1084"/>
      <c r="P12" s="1084"/>
      <c r="Q12" s="1084"/>
      <c r="R12" s="1084"/>
      <c r="S12" s="1084"/>
      <c r="T12" s="1084"/>
      <c r="U12" s="1084"/>
      <c r="V12" s="1084"/>
      <c r="W12" s="1084"/>
      <c r="X12" s="1084"/>
      <c r="Y12" s="1084"/>
      <c r="Z12" s="1084"/>
    </row>
    <row r="13" s="972" customFormat="1" ht="13.5" customHeight="1" spans="1:26">
      <c r="A13" s="1012" t="s">
        <v>879</v>
      </c>
      <c r="B13" s="1013" t="s">
        <v>1068</v>
      </c>
      <c r="C13" s="1014">
        <f>ROUND(('数据-取费表'!K6+'数据-取费表'!L24)*'数据-取费表'!L14/10000,0)</f>
        <v>29914</v>
      </c>
      <c r="D13" s="1015"/>
      <c r="E13" s="80"/>
      <c r="F13" s="1016"/>
      <c r="G13" s="1008"/>
      <c r="H13" s="1011"/>
      <c r="I13" s="1011"/>
      <c r="J13" s="1011"/>
      <c r="K13" s="1083"/>
      <c r="L13" s="973"/>
      <c r="M13" s="973"/>
      <c r="N13" s="973"/>
      <c r="O13" s="973"/>
      <c r="P13" s="973"/>
      <c r="Q13" s="973"/>
      <c r="R13" s="973"/>
      <c r="S13" s="973"/>
      <c r="T13" s="973"/>
      <c r="U13" s="973"/>
      <c r="V13" s="973"/>
      <c r="W13" s="973"/>
      <c r="X13" s="973"/>
      <c r="Y13" s="973"/>
      <c r="Z13" s="973"/>
    </row>
    <row r="14" s="972" customFormat="1" ht="13.5" customHeight="1" spans="1:26">
      <c r="A14" s="1012" t="s">
        <v>1069</v>
      </c>
      <c r="B14" s="1013" t="s">
        <v>1070</v>
      </c>
      <c r="C14" s="125">
        <f>ROUND(C13*F14,0)</f>
        <v>897</v>
      </c>
      <c r="D14" s="1015"/>
      <c r="E14" s="80"/>
      <c r="F14" s="1017">
        <f>'数据-取费表'!B33</f>
        <v>0.03</v>
      </c>
      <c r="G14" s="1008" t="s">
        <v>1071</v>
      </c>
      <c r="H14" s="1011"/>
      <c r="I14" s="1011"/>
      <c r="J14" s="1011"/>
      <c r="K14" s="1083"/>
      <c r="L14" s="973"/>
      <c r="M14" s="973"/>
      <c r="N14" s="973"/>
      <c r="O14" s="973"/>
      <c r="P14" s="973"/>
      <c r="Q14" s="973"/>
      <c r="R14" s="973"/>
      <c r="S14" s="973"/>
      <c r="T14" s="973"/>
      <c r="U14" s="973"/>
      <c r="V14" s="973"/>
      <c r="W14" s="973"/>
      <c r="X14" s="973"/>
      <c r="Y14" s="973"/>
      <c r="Z14" s="973"/>
    </row>
    <row r="15" s="972" customFormat="1" ht="13.5" customHeight="1" spans="1:26">
      <c r="A15" s="1012" t="s">
        <v>1072</v>
      </c>
      <c r="B15" s="1013" t="s">
        <v>1073</v>
      </c>
      <c r="C15" s="125">
        <f ca="1">ROUND(IF(B1="",SUMIF('数据-取费表'!C:C,"住宅",'数据-取费表'!P:P)*F15,IF(INDIRECT("'数据-取费表'!c"&amp;$K$1)="住宅",INDIRECT("'数据-取费表'!P"&amp;$K$1)*F15,0)),0)</f>
        <v>1496</v>
      </c>
      <c r="D15" s="1015"/>
      <c r="E15" s="80"/>
      <c r="F15" s="1017">
        <f>'数据-取费表'!B34</f>
        <v>0.05</v>
      </c>
      <c r="G15" s="1008" t="s">
        <v>2091</v>
      </c>
      <c r="H15" s="1011"/>
      <c r="I15" s="1011"/>
      <c r="J15" s="1011"/>
      <c r="K15" s="1083"/>
      <c r="L15" s="973"/>
      <c r="M15" s="973"/>
      <c r="N15" s="973"/>
      <c r="O15" s="973"/>
      <c r="P15" s="973"/>
      <c r="Q15" s="973"/>
      <c r="R15" s="973"/>
      <c r="S15" s="973"/>
      <c r="T15" s="973"/>
      <c r="U15" s="973"/>
      <c r="V15" s="973"/>
      <c r="W15" s="973"/>
      <c r="X15" s="973"/>
      <c r="Y15" s="973"/>
      <c r="Z15" s="973"/>
    </row>
    <row r="16" s="973" customFormat="1" ht="13.5" customHeight="1" spans="1:31">
      <c r="A16" s="1012" t="s">
        <v>1074</v>
      </c>
      <c r="B16" s="1013" t="s">
        <v>1075</v>
      </c>
      <c r="C16" s="125">
        <f t="shared" ref="C16:C22" si="0">ROUND(D16*E16/10000,0)</f>
        <v>2281</v>
      </c>
      <c r="D16" s="1015">
        <f>'数据-取费表'!K6</f>
        <v>74784.84</v>
      </c>
      <c r="E16" s="125">
        <f>'数据-取费表'!B35</f>
        <v>305</v>
      </c>
      <c r="F16" s="1017"/>
      <c r="G16" s="1008"/>
      <c r="H16" s="1011"/>
      <c r="I16" s="1011"/>
      <c r="J16" s="1011"/>
      <c r="K16" s="1083"/>
      <c r="AA16" s="972"/>
      <c r="AB16" s="972"/>
      <c r="AC16" s="972"/>
      <c r="AD16" s="972"/>
      <c r="AE16" s="972"/>
    </row>
    <row r="17" s="972" customFormat="1" ht="13.5" customHeight="1" spans="1:26">
      <c r="A17" s="1012" t="s">
        <v>1076</v>
      </c>
      <c r="B17" s="1013" t="s">
        <v>1077</v>
      </c>
      <c r="C17" s="1018">
        <f>ROUND(C13*F17,0)</f>
        <v>449</v>
      </c>
      <c r="D17" s="1019"/>
      <c r="E17" s="1018"/>
      <c r="F17" s="1020">
        <f>'数据-取费表'!B36</f>
        <v>0.015</v>
      </c>
      <c r="G17" s="785" t="s">
        <v>2092</v>
      </c>
      <c r="H17" s="1021"/>
      <c r="I17" s="1021"/>
      <c r="J17" s="1021"/>
      <c r="K17" s="1085"/>
      <c r="L17" s="973"/>
      <c r="M17" s="973"/>
      <c r="N17" s="973"/>
      <c r="O17" s="973"/>
      <c r="P17" s="973"/>
      <c r="Q17" s="973"/>
      <c r="R17" s="973"/>
      <c r="S17" s="973"/>
      <c r="T17" s="973"/>
      <c r="U17" s="973"/>
      <c r="V17" s="973"/>
      <c r="W17" s="973"/>
      <c r="X17" s="973"/>
      <c r="Y17" s="973"/>
      <c r="Z17" s="973"/>
    </row>
    <row r="18" s="972" customFormat="1" ht="13.5" customHeight="1" spans="1:26">
      <c r="A18" s="1022" t="s">
        <v>1078</v>
      </c>
      <c r="B18" s="1023" t="s">
        <v>1079</v>
      </c>
      <c r="C18" s="1024">
        <f ca="1">SUM(C13:C17)</f>
        <v>35037</v>
      </c>
      <c r="D18" s="1025"/>
      <c r="E18" s="1026"/>
      <c r="F18" s="1026"/>
      <c r="G18" s="1027" t="s">
        <v>2093</v>
      </c>
      <c r="H18" s="1028"/>
      <c r="I18" s="1028"/>
      <c r="J18" s="1028"/>
      <c r="K18" s="1086"/>
      <c r="L18" s="973"/>
      <c r="M18" s="973">
        <v>55</v>
      </c>
      <c r="N18" s="973"/>
      <c r="O18" s="973"/>
      <c r="P18" s="973"/>
      <c r="Q18" s="973"/>
      <c r="R18" s="973"/>
      <c r="S18" s="973"/>
      <c r="T18" s="973"/>
      <c r="U18" s="973"/>
      <c r="V18" s="973"/>
      <c r="W18" s="973"/>
      <c r="X18" s="973"/>
      <c r="Y18" s="973"/>
      <c r="Z18" s="973"/>
    </row>
    <row r="19" s="972" customFormat="1" ht="13.5" customHeight="1" spans="1:26">
      <c r="A19" s="1022" t="s">
        <v>1081</v>
      </c>
      <c r="B19" s="1023" t="s">
        <v>2094</v>
      </c>
      <c r="C19" s="1010">
        <f t="shared" si="0"/>
        <v>0</v>
      </c>
      <c r="D19" s="1029">
        <f>D16</f>
        <v>74784.84</v>
      </c>
      <c r="E19" s="1010">
        <f>'数据-取费表'!B32</f>
        <v>0</v>
      </c>
      <c r="F19" s="1026"/>
      <c r="G19" s="1008" t="s">
        <v>2095</v>
      </c>
      <c r="H19" s="1011"/>
      <c r="I19" s="1028"/>
      <c r="J19" s="1028"/>
      <c r="K19" s="1086"/>
      <c r="L19" s="973"/>
      <c r="M19" s="973">
        <v>60</v>
      </c>
      <c r="N19" s="973"/>
      <c r="O19" s="973"/>
      <c r="P19" s="973"/>
      <c r="Q19" s="973"/>
      <c r="R19" s="973"/>
      <c r="S19" s="973"/>
      <c r="T19" s="973"/>
      <c r="U19" s="973"/>
      <c r="V19" s="973"/>
      <c r="W19" s="973"/>
      <c r="X19" s="973"/>
      <c r="Y19" s="973"/>
      <c r="Z19" s="973"/>
    </row>
    <row r="20" s="972" customFormat="1" ht="13.5" customHeight="1" spans="1:26">
      <c r="A20" s="1022" t="s">
        <v>1084</v>
      </c>
      <c r="B20" s="1023" t="s">
        <v>2096</v>
      </c>
      <c r="C20" s="1010">
        <f ca="1">C21+C22-IF(B1="",'数据-取费表'!B29,IF(G20="已全部缴纳",C21+C22,H20))</f>
        <v>1346</v>
      </c>
      <c r="D20" s="1029"/>
      <c r="E20" s="1010"/>
      <c r="F20" s="1030"/>
      <c r="G20" s="1031" t="s">
        <v>2097</v>
      </c>
      <c r="H20" s="1032">
        <v>0</v>
      </c>
      <c r="I20" s="1087" t="s">
        <v>1112</v>
      </c>
      <c r="J20" s="1028"/>
      <c r="K20" s="1086"/>
      <c r="L20" s="973"/>
      <c r="M20" s="973">
        <f>M18/M19</f>
        <v>0.916666666666667</v>
      </c>
      <c r="N20" s="973"/>
      <c r="O20" s="973"/>
      <c r="P20" s="973"/>
      <c r="Q20" s="973"/>
      <c r="R20" s="973"/>
      <c r="S20" s="973"/>
      <c r="T20" s="973"/>
      <c r="U20" s="973"/>
      <c r="V20" s="973"/>
      <c r="W20" s="973"/>
      <c r="X20" s="973"/>
      <c r="Y20" s="973"/>
      <c r="Z20" s="973"/>
    </row>
    <row r="21" s="972" customFormat="1" ht="13.5" customHeight="1" spans="1:26">
      <c r="A21" s="1012" t="s">
        <v>879</v>
      </c>
      <c r="B21" s="1013" t="s">
        <v>2098</v>
      </c>
      <c r="C21" s="125">
        <f ca="1" t="shared" si="0"/>
        <v>1346</v>
      </c>
      <c r="D21" s="1015">
        <f ca="1">IF(B1="",'数据-汇总表'!E5,IF(INDIRECT("'数据-取费表'!c"&amp;$K$1)="住宅",INDIRECT("'数据-取费表'!k"&amp;$K$1),0))</f>
        <v>74784.84</v>
      </c>
      <c r="E21" s="125">
        <f>'数据-取费表'!B27</f>
        <v>180</v>
      </c>
      <c r="F21" s="1017"/>
      <c r="G21" s="857"/>
      <c r="H21" s="1033"/>
      <c r="I21" s="1033"/>
      <c r="J21" s="1033"/>
      <c r="K21" s="1088"/>
      <c r="L21" s="973"/>
      <c r="M21" s="973"/>
      <c r="N21" s="973"/>
      <c r="O21" s="973"/>
      <c r="P21" s="973"/>
      <c r="Q21" s="973"/>
      <c r="R21" s="973"/>
      <c r="S21" s="973"/>
      <c r="T21" s="973"/>
      <c r="U21" s="973"/>
      <c r="V21" s="973"/>
      <c r="W21" s="973"/>
      <c r="X21" s="973"/>
      <c r="Y21" s="973"/>
      <c r="Z21" s="973"/>
    </row>
    <row r="22" s="972" customFormat="1" ht="13.5" customHeight="1" spans="1:26">
      <c r="A22" s="1012" t="s">
        <v>883</v>
      </c>
      <c r="B22" s="1013" t="s">
        <v>2099</v>
      </c>
      <c r="C22" s="125">
        <f t="shared" si="0"/>
        <v>0</v>
      </c>
      <c r="D22" s="1015">
        <f>'数据-取费表'!L24</f>
        <v>0</v>
      </c>
      <c r="E22" s="125">
        <f>'数据-取费表'!B28</f>
        <v>160</v>
      </c>
      <c r="F22" s="1017"/>
      <c r="G22" s="857"/>
      <c r="H22" s="1033"/>
      <c r="I22" s="1033"/>
      <c r="J22" s="1033"/>
      <c r="K22" s="1088"/>
      <c r="L22" s="973"/>
      <c r="M22" s="973"/>
      <c r="N22" s="973"/>
      <c r="O22" s="973"/>
      <c r="P22" s="973"/>
      <c r="Q22" s="973"/>
      <c r="R22" s="973"/>
      <c r="S22" s="973"/>
      <c r="T22" s="973"/>
      <c r="U22" s="973"/>
      <c r="V22" s="973"/>
      <c r="W22" s="973"/>
      <c r="X22" s="973"/>
      <c r="Y22" s="973"/>
      <c r="Z22" s="973"/>
    </row>
    <row r="23" s="972" customFormat="1" ht="13.5" customHeight="1" spans="1:26">
      <c r="A23" s="1022" t="s">
        <v>2100</v>
      </c>
      <c r="B23" s="1034" t="s">
        <v>2101</v>
      </c>
      <c r="C23" s="1024">
        <f ca="1">ROUND((C18+C19+C20)*F23,0)</f>
        <v>1091</v>
      </c>
      <c r="D23" s="1026"/>
      <c r="E23" s="1026"/>
      <c r="F23" s="1144">
        <f>'数据-取费表'!B37</f>
        <v>0.03</v>
      </c>
      <c r="G23" s="1008" t="s">
        <v>2102</v>
      </c>
      <c r="H23" s="1011"/>
      <c r="I23" s="1011"/>
      <c r="J23" s="1011"/>
      <c r="K23" s="1083"/>
      <c r="L23" s="1089"/>
      <c r="M23" s="1089"/>
      <c r="N23" s="1089"/>
      <c r="O23" s="973"/>
      <c r="P23" s="973"/>
      <c r="Q23" s="973"/>
      <c r="R23" s="973"/>
      <c r="S23" s="973"/>
      <c r="T23" s="973"/>
      <c r="U23" s="973"/>
      <c r="V23" s="973"/>
      <c r="W23" s="973"/>
      <c r="X23" s="973"/>
      <c r="Y23" s="973"/>
      <c r="Z23" s="973"/>
    </row>
    <row r="24" s="972" customFormat="1" ht="13.5" customHeight="1" spans="1:26">
      <c r="A24" s="1022" t="s">
        <v>1089</v>
      </c>
      <c r="B24" s="1034" t="s">
        <v>2103</v>
      </c>
      <c r="C24" s="1235">
        <f>ROUND(C6*F24,0)</f>
        <v>4483</v>
      </c>
      <c r="D24" s="1019"/>
      <c r="E24" s="1036"/>
      <c r="F24" s="1144">
        <f>'数据-取费表'!B38</f>
        <v>0.03</v>
      </c>
      <c r="G24" s="1037" t="s">
        <v>2104</v>
      </c>
      <c r="H24" s="1021"/>
      <c r="I24" s="1021"/>
      <c r="J24" s="1021"/>
      <c r="K24" s="1085"/>
      <c r="L24" s="1089"/>
      <c r="M24" s="1089"/>
      <c r="N24" s="1089"/>
      <c r="O24" s="973"/>
      <c r="P24" s="973"/>
      <c r="Q24" s="973"/>
      <c r="R24" s="973"/>
      <c r="S24" s="973"/>
      <c r="T24" s="973"/>
      <c r="U24" s="973"/>
      <c r="V24" s="973"/>
      <c r="W24" s="973"/>
      <c r="X24" s="973"/>
      <c r="Y24" s="973"/>
      <c r="Z24" s="973"/>
    </row>
    <row r="25" s="974" customFormat="1" ht="13.5" customHeight="1" spans="1:26">
      <c r="A25" s="1022" t="s">
        <v>1091</v>
      </c>
      <c r="B25" s="1034" t="s">
        <v>2105</v>
      </c>
      <c r="C25" s="1038">
        <f>F25</f>
        <v>0.0305</v>
      </c>
      <c r="D25" s="1039" t="s">
        <v>2106</v>
      </c>
      <c r="E25" s="1040"/>
      <c r="F25" s="1035">
        <f>'数据-取费表'!B48+'数据-取费表'!B49</f>
        <v>0.0305</v>
      </c>
      <c r="G25" s="1041" t="s">
        <v>2107</v>
      </c>
      <c r="H25" s="1011"/>
      <c r="I25" s="1011"/>
      <c r="J25" s="1011"/>
      <c r="K25" s="1083"/>
      <c r="L25" s="1090"/>
      <c r="M25" s="1090"/>
      <c r="N25" s="1090"/>
      <c r="O25" s="1090"/>
      <c r="P25" s="1090"/>
      <c r="Q25" s="1090"/>
      <c r="R25" s="1090"/>
      <c r="S25" s="1090"/>
      <c r="T25" s="1090"/>
      <c r="U25" s="1090"/>
      <c r="V25" s="1090"/>
      <c r="W25" s="1090"/>
      <c r="X25" s="1090"/>
      <c r="Y25" s="1090"/>
      <c r="Z25" s="1090"/>
    </row>
    <row r="26" s="975" customFormat="1" ht="13.5" customHeight="1" spans="1:26">
      <c r="A26" s="1022" t="s">
        <v>2108</v>
      </c>
      <c r="B26" s="1042" t="s">
        <v>2109</v>
      </c>
      <c r="C26" s="1043">
        <f ca="1">C28</f>
        <v>1993</v>
      </c>
      <c r="D26" s="1044">
        <f ca="1">C27</f>
        <v>0.1002</v>
      </c>
      <c r="E26" s="1040" t="s">
        <v>2106</v>
      </c>
      <c r="F26" s="1045">
        <f ca="1">'数据-取费表'!B40</f>
        <v>0.0475</v>
      </c>
      <c r="G26" s="790" t="str">
        <f>IF('数据-取费表'!B22&lt;=1,"单利计息。","复利计息。")&amp;"后续开发成本、管理费用及销售费用产生的利息。"</f>
        <v>复利计息。后续开发成本、管理费用及销售费用产生的利息。</v>
      </c>
      <c r="H26" s="1028"/>
      <c r="I26" s="1028"/>
      <c r="J26" s="1028"/>
      <c r="K26" s="1086"/>
      <c r="L26" s="1089"/>
      <c r="M26" s="1089"/>
      <c r="N26" s="1089"/>
      <c r="O26" s="1089"/>
      <c r="P26" s="1089"/>
      <c r="Q26" s="1089"/>
      <c r="R26" s="1089"/>
      <c r="S26" s="1089"/>
      <c r="T26" s="1089"/>
      <c r="U26" s="1089"/>
      <c r="V26" s="1089"/>
      <c r="W26" s="1089"/>
      <c r="X26" s="1089"/>
      <c r="Y26" s="1089"/>
      <c r="Z26" s="1089"/>
    </row>
    <row r="27" s="976" customFormat="1" ht="13.5" customHeight="1" spans="1:26">
      <c r="A27" s="998" t="s">
        <v>879</v>
      </c>
      <c r="B27" s="1046" t="s">
        <v>2110</v>
      </c>
      <c r="C27" s="1047">
        <f ca="1">ROUND(IF('数据-取费表'!B22&lt;=1,(1+C25)*F26*'数据-取费表'!B24,(1+C25)*(POWER((1+F26),'数据-取费表'!B24)-1)),4)</f>
        <v>0.1002</v>
      </c>
      <c r="D27" s="1048"/>
      <c r="E27" s="1036"/>
      <c r="F27" s="1049"/>
      <c r="G27" s="790" t="str">
        <f>IF('数据-取费表'!B22&lt;=1,"（1+取得税费率/(1+5%)）×年利率×建设期","（1+取得税费率）/(1+5%)×((1+年利率)^建设期-1)")</f>
        <v>（1+取得税费率）/(1+5%)×((1+年利率)^建设期-1)</v>
      </c>
      <c r="H27" s="1021"/>
      <c r="I27" s="1021"/>
      <c r="J27" s="1021"/>
      <c r="K27" s="1085"/>
      <c r="L27" s="1091"/>
      <c r="M27" s="1091"/>
      <c r="N27" s="1091"/>
      <c r="O27" s="1091"/>
      <c r="P27" s="1091"/>
      <c r="Q27" s="1091"/>
      <c r="R27" s="1091"/>
      <c r="S27" s="1091"/>
      <c r="T27" s="1091"/>
      <c r="U27" s="1091"/>
      <c r="V27" s="1091"/>
      <c r="W27" s="1091"/>
      <c r="X27" s="1091"/>
      <c r="Y27" s="1091"/>
      <c r="Z27" s="1091"/>
    </row>
    <row r="28" s="976" customFormat="1" ht="13.5" customHeight="1" spans="1:26">
      <c r="A28" s="998" t="s">
        <v>883</v>
      </c>
      <c r="B28" s="1046" t="s">
        <v>2111</v>
      </c>
      <c r="C28" s="1050">
        <f ca="1">ROUND(IF('数据-取费表'!B22&lt;=1,(C18+C19+C20+C23+C24)*F26*'数据-取费表'!B24/2,(C18+C19+C20+C23+C24)*(POWER((1+F26),'数据-取费表'!B24/2)-1)),0)</f>
        <v>1993</v>
      </c>
      <c r="D28" s="1048"/>
      <c r="E28" s="1036"/>
      <c r="F28" s="1049"/>
      <c r="G28" s="790" t="str">
        <f>IF('数据-取费表'!B22&lt;=1,"（1）-（4）项×年利率×建设期÷2","（1）-（4）项×((1+年利率)^(建设期÷2)-1)")</f>
        <v>（1）-（4）项×((1+年利率)^(建设期÷2)-1)</v>
      </c>
      <c r="H28" s="1021"/>
      <c r="I28" s="1021"/>
      <c r="J28" s="1021"/>
      <c r="K28" s="1085"/>
      <c r="L28" s="1091"/>
      <c r="M28" s="1091"/>
      <c r="N28" s="1091"/>
      <c r="O28" s="1091"/>
      <c r="P28" s="1091"/>
      <c r="Q28" s="1091"/>
      <c r="R28" s="1091"/>
      <c r="S28" s="1091"/>
      <c r="T28" s="1091"/>
      <c r="U28" s="1091"/>
      <c r="V28" s="1091"/>
      <c r="W28" s="1091"/>
      <c r="X28" s="1091"/>
      <c r="Y28" s="1091"/>
      <c r="Z28" s="1091"/>
    </row>
    <row r="29" s="976" customFormat="1" ht="13.5" customHeight="1" spans="1:26">
      <c r="A29" s="1051" t="s">
        <v>2112</v>
      </c>
      <c r="B29" s="1023" t="s">
        <v>2113</v>
      </c>
      <c r="C29" s="1235">
        <f>ROUND(C6*F29/(1+'数据-取费表'!C42),0)</f>
        <v>7970</v>
      </c>
      <c r="D29" s="1026"/>
      <c r="E29" s="1026"/>
      <c r="F29" s="1052">
        <f>'数据-取费表'!B41</f>
        <v>0.056</v>
      </c>
      <c r="G29" s="1037" t="s">
        <v>2114</v>
      </c>
      <c r="H29" s="1011"/>
      <c r="I29" s="1011"/>
      <c r="J29" s="1011"/>
      <c r="K29" s="1083"/>
      <c r="L29" s="1091"/>
      <c r="M29" s="1091"/>
      <c r="N29" s="1091"/>
      <c r="O29" s="1091"/>
      <c r="P29" s="1091"/>
      <c r="Q29" s="1091"/>
      <c r="R29" s="1091"/>
      <c r="S29" s="1091"/>
      <c r="T29" s="1091"/>
      <c r="U29" s="1091"/>
      <c r="V29" s="1091"/>
      <c r="W29" s="1091"/>
      <c r="X29" s="1091"/>
      <c r="Y29" s="1091"/>
      <c r="Z29" s="1091"/>
    </row>
    <row r="30" s="977" customFormat="1" ht="13.5" customHeight="1" spans="1:26">
      <c r="A30" s="1053" t="s">
        <v>2115</v>
      </c>
      <c r="B30" s="1054" t="s">
        <v>2116</v>
      </c>
      <c r="C30" s="1043">
        <f ca="1">C31</f>
        <v>51920</v>
      </c>
      <c r="D30" s="1055">
        <f ca="1">C32</f>
        <v>0.1307</v>
      </c>
      <c r="E30" s="1040" t="s">
        <v>2106</v>
      </c>
      <c r="F30" s="1045"/>
      <c r="G30" s="1041" t="s">
        <v>2117</v>
      </c>
      <c r="H30" s="1011"/>
      <c r="I30" s="1011"/>
      <c r="J30" s="1011"/>
      <c r="K30" s="1083"/>
      <c r="L30" s="1092"/>
      <c r="M30" s="1092"/>
      <c r="N30" s="1092"/>
      <c r="O30" s="1092"/>
      <c r="P30" s="1092"/>
      <c r="Q30" s="1092"/>
      <c r="R30" s="1092"/>
      <c r="S30" s="1092"/>
      <c r="T30" s="1092"/>
      <c r="U30" s="1092"/>
      <c r="V30" s="1092"/>
      <c r="W30" s="1092"/>
      <c r="X30" s="1092"/>
      <c r="Y30" s="1092"/>
      <c r="Z30" s="1092"/>
    </row>
    <row r="31" s="976" customFormat="1" ht="13.5" customHeight="1" spans="1:26">
      <c r="A31" s="998" t="s">
        <v>879</v>
      </c>
      <c r="B31" s="1046"/>
      <c r="C31" s="1014">
        <f ca="1">C18+C19+C20+C23+C24+C26+C29</f>
        <v>51920</v>
      </c>
      <c r="D31" s="1048"/>
      <c r="E31" s="1036"/>
      <c r="F31" s="1049"/>
      <c r="G31" s="785"/>
      <c r="H31" s="1021"/>
      <c r="I31" s="1021"/>
      <c r="J31" s="1021"/>
      <c r="K31" s="1085"/>
      <c r="L31" s="1091"/>
      <c r="M31" s="1091"/>
      <c r="N31" s="1091"/>
      <c r="O31" s="1091"/>
      <c r="P31" s="1091"/>
      <c r="Q31" s="1091"/>
      <c r="R31" s="1091"/>
      <c r="S31" s="1091"/>
      <c r="T31" s="1091"/>
      <c r="U31" s="1091"/>
      <c r="V31" s="1091"/>
      <c r="W31" s="1091"/>
      <c r="X31" s="1091"/>
      <c r="Y31" s="1091"/>
      <c r="Z31" s="1091"/>
    </row>
    <row r="32" s="976" customFormat="1" ht="13.5" customHeight="1" spans="1:26">
      <c r="A32" s="998" t="s">
        <v>883</v>
      </c>
      <c r="B32" s="1046"/>
      <c r="C32" s="125">
        <f ca="1">ROUND(C25+D26,4)</f>
        <v>0.1307</v>
      </c>
      <c r="D32" s="1048"/>
      <c r="E32" s="1036"/>
      <c r="F32" s="1049"/>
      <c r="G32" s="785"/>
      <c r="H32" s="1021"/>
      <c r="I32" s="1021"/>
      <c r="J32" s="1021"/>
      <c r="K32" s="1085"/>
      <c r="L32" s="1091"/>
      <c r="M32" s="1091"/>
      <c r="N32" s="1091"/>
      <c r="O32" s="1091"/>
      <c r="P32" s="1091"/>
      <c r="Q32" s="1091"/>
      <c r="R32" s="1091"/>
      <c r="S32" s="1091"/>
      <c r="T32" s="1091"/>
      <c r="U32" s="1091"/>
      <c r="V32" s="1091"/>
      <c r="W32" s="1091"/>
      <c r="X32" s="1091"/>
      <c r="Y32" s="1091"/>
      <c r="Z32" s="1091"/>
    </row>
    <row r="33" s="978" customFormat="1" ht="13.5" customHeight="1" spans="1:26">
      <c r="A33" s="1056" t="s">
        <v>2118</v>
      </c>
      <c r="B33" s="1057" t="s">
        <v>1087</v>
      </c>
      <c r="C33" s="1058">
        <f ca="1">C35</f>
        <v>6294</v>
      </c>
      <c r="D33" s="1044">
        <f ca="1">C34</f>
        <v>0.1546</v>
      </c>
      <c r="E33" s="1040" t="s">
        <v>2106</v>
      </c>
      <c r="F33" s="1059">
        <f ca="1">IF(B1="",'数据-取费表'!Q16,INDIRECT("'数据-取费表'!q"&amp;$K$1))</f>
        <v>0.15</v>
      </c>
      <c r="G33" s="1027"/>
      <c r="H33" s="1028"/>
      <c r="I33" s="1028"/>
      <c r="J33" s="1028"/>
      <c r="K33" s="1086"/>
      <c r="L33" s="1093"/>
      <c r="M33" s="1093"/>
      <c r="N33" s="1093"/>
      <c r="O33" s="1093"/>
      <c r="P33" s="1093"/>
      <c r="Q33" s="1093"/>
      <c r="R33" s="1093"/>
      <c r="S33" s="1093"/>
      <c r="T33" s="1093"/>
      <c r="U33" s="1093"/>
      <c r="V33" s="1093"/>
      <c r="W33" s="1093"/>
      <c r="X33" s="1093"/>
      <c r="Y33" s="1093"/>
      <c r="Z33" s="1093"/>
    </row>
    <row r="34" s="979" customFormat="1" ht="13.5" customHeight="1" spans="1:26">
      <c r="A34" s="1060" t="s">
        <v>879</v>
      </c>
      <c r="B34" s="1061" t="s">
        <v>2119</v>
      </c>
      <c r="C34" s="1048">
        <f ca="1">ROUND((1+C25)*F33,4)</f>
        <v>0.1546</v>
      </c>
      <c r="D34" s="1048"/>
      <c r="E34" s="1036"/>
      <c r="F34" s="1062"/>
      <c r="G34" s="785" t="s">
        <v>2120</v>
      </c>
      <c r="H34" s="1021"/>
      <c r="I34" s="1021"/>
      <c r="J34" s="1021"/>
      <c r="K34" s="1085"/>
      <c r="L34" s="1094"/>
      <c r="M34" s="1094"/>
      <c r="N34" s="1094"/>
      <c r="O34" s="1094"/>
      <c r="P34" s="1094"/>
      <c r="Q34" s="1094"/>
      <c r="R34" s="1094"/>
      <c r="S34" s="1094"/>
      <c r="T34" s="1094"/>
      <c r="U34" s="1094"/>
      <c r="V34" s="1094"/>
      <c r="W34" s="1094"/>
      <c r="X34" s="1094"/>
      <c r="Y34" s="1094"/>
      <c r="Z34" s="1094"/>
    </row>
    <row r="35" s="979" customFormat="1" ht="13.5" customHeight="1" spans="1:26">
      <c r="A35" s="1063" t="s">
        <v>883</v>
      </c>
      <c r="B35" s="1064" t="s">
        <v>2121</v>
      </c>
      <c r="C35" s="1065">
        <f ca="1">ROUND((C18+C19+C20+C23+C24)*F33,0)</f>
        <v>6294</v>
      </c>
      <c r="D35" s="1066"/>
      <c r="E35" s="1067"/>
      <c r="F35" s="1068"/>
      <c r="G35" s="1003"/>
      <c r="H35" s="1069"/>
      <c r="I35" s="1069"/>
      <c r="J35" s="1069"/>
      <c r="K35" s="1095"/>
      <c r="L35" s="1094"/>
      <c r="M35" s="1094"/>
      <c r="N35" s="1094"/>
      <c r="O35" s="1094"/>
      <c r="P35" s="1094"/>
      <c r="Q35" s="1094"/>
      <c r="R35" s="1094"/>
      <c r="S35" s="1094"/>
      <c r="T35" s="1094"/>
      <c r="U35" s="1094"/>
      <c r="V35" s="1094"/>
      <c r="W35" s="1094"/>
      <c r="X35" s="1094"/>
      <c r="Y35" s="1094"/>
      <c r="Z35" s="1094"/>
    </row>
    <row r="36" s="837" customFormat="1" ht="13.5" customHeight="1" spans="1:26">
      <c r="A36" s="350" t="s">
        <v>2122</v>
      </c>
      <c r="B36" s="1070"/>
      <c r="C36" s="1071">
        <f ca="1">ROUND((C6-C30-C33)/(1+D30+D33),0)</f>
        <v>70979</v>
      </c>
      <c r="D36" s="1070"/>
      <c r="E36" s="1070"/>
      <c r="F36" s="1070"/>
      <c r="G36" s="1072" t="s">
        <v>2123</v>
      </c>
      <c r="H36" s="1070"/>
      <c r="I36" s="1070"/>
      <c r="J36" s="1070"/>
      <c r="K36" s="1096"/>
      <c r="L36" s="1084"/>
      <c r="M36" s="1084"/>
      <c r="N36" s="1084"/>
      <c r="O36" s="1084"/>
      <c r="P36" s="1084"/>
      <c r="Q36" s="1084"/>
      <c r="R36" s="1084"/>
      <c r="S36" s="1084"/>
      <c r="T36" s="1084"/>
      <c r="U36" s="1084"/>
      <c r="V36" s="1084"/>
      <c r="W36" s="1084"/>
      <c r="X36" s="1084"/>
      <c r="Y36" s="1084"/>
      <c r="Z36" s="1084"/>
    </row>
    <row r="37" s="971" customFormat="1" spans="1:5">
      <c r="A37" s="1073"/>
      <c r="C37" s="1074"/>
      <c r="E37" s="1073"/>
    </row>
    <row r="38" s="971" customFormat="1" customHeight="1" spans="1:5">
      <c r="A38" s="1073"/>
      <c r="C38" s="1074"/>
      <c r="E38" s="1073"/>
    </row>
    <row r="39" s="971" customFormat="1" spans="1:5">
      <c r="A39" s="1073"/>
      <c r="B39" s="1075"/>
      <c r="C39" s="1076" t="s">
        <v>2342</v>
      </c>
      <c r="D39" s="971">
        <f ca="1">ROUND(C36*10000/D16,0)</f>
        <v>9491</v>
      </c>
      <c r="E39" s="1073"/>
    </row>
    <row r="40" s="971" customFormat="1" spans="1:5">
      <c r="A40" s="1073"/>
      <c r="C40" s="1076"/>
      <c r="E40" s="1073"/>
    </row>
    <row r="41" s="971" customFormat="1" spans="1:5">
      <c r="A41" s="1073"/>
      <c r="C41" s="1076"/>
      <c r="E41" s="1073"/>
    </row>
    <row r="42" s="971" customFormat="1" spans="1:5">
      <c r="A42" s="1073"/>
      <c r="C42" s="1074"/>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row r="213" s="971" customFormat="1" spans="1:5">
      <c r="A213" s="1073"/>
      <c r="C213" s="1074"/>
      <c r="E213" s="1073"/>
    </row>
    <row r="214" s="971" customFormat="1" spans="1:5">
      <c r="A214" s="1073"/>
      <c r="C214" s="1074"/>
      <c r="E214" s="1073"/>
    </row>
    <row r="215" s="971" customFormat="1" spans="1:5">
      <c r="A215" s="1073"/>
      <c r="C215" s="1074"/>
      <c r="E215" s="1073"/>
    </row>
    <row r="216" s="971" customFormat="1" spans="1:5">
      <c r="A216" s="1073"/>
      <c r="C216" s="1074"/>
      <c r="E216" s="1073"/>
    </row>
    <row r="217" s="971" customFormat="1" spans="1:5">
      <c r="A217" s="1073"/>
      <c r="C217" s="1074"/>
      <c r="E217" s="1073"/>
    </row>
    <row r="218" s="971" customFormat="1" spans="1:5">
      <c r="A218" s="1073"/>
      <c r="C218" s="1074"/>
      <c r="E218" s="1073"/>
    </row>
    <row r="219" s="971" customFormat="1" spans="1:5">
      <c r="A219" s="1073"/>
      <c r="C219" s="1074"/>
      <c r="E219" s="1073"/>
    </row>
    <row r="220" s="971" customFormat="1" spans="1:5">
      <c r="A220" s="1073"/>
      <c r="C220" s="1074"/>
      <c r="E220" s="1073"/>
    </row>
    <row r="221" s="971" customFormat="1" spans="1:5">
      <c r="A221" s="1073"/>
      <c r="C221" s="1074"/>
      <c r="E221" s="1073"/>
    </row>
    <row r="222" s="971" customFormat="1" spans="1:5">
      <c r="A222" s="1073"/>
      <c r="C222" s="1074"/>
      <c r="E222" s="1073"/>
    </row>
    <row r="223" s="971" customFormat="1" spans="1:5">
      <c r="A223" s="1073"/>
      <c r="C223" s="1074"/>
      <c r="E223" s="1073"/>
    </row>
    <row r="224" s="971" customFormat="1" spans="1:5">
      <c r="A224" s="1073"/>
      <c r="C224" s="1074"/>
      <c r="E224" s="1073"/>
    </row>
    <row r="225" s="971" customFormat="1" spans="1:5">
      <c r="A225" s="1073"/>
      <c r="C225" s="1074"/>
      <c r="E225" s="1073"/>
    </row>
    <row r="226" s="971" customFormat="1" spans="1:5">
      <c r="A226" s="1073"/>
      <c r="C226" s="1074"/>
      <c r="E226" s="1073"/>
    </row>
    <row r="227" s="971" customFormat="1" spans="1:5">
      <c r="A227" s="1073"/>
      <c r="C227" s="1074"/>
      <c r="E227" s="1073"/>
    </row>
    <row r="228" s="971" customFormat="1" spans="1:5">
      <c r="A228" s="1073"/>
      <c r="C228" s="1074"/>
      <c r="E228" s="1073"/>
    </row>
    <row r="229" s="971" customFormat="1" spans="1:5">
      <c r="A229" s="1073"/>
      <c r="C229" s="1074"/>
      <c r="E229" s="1073"/>
    </row>
    <row r="230" s="971" customFormat="1" spans="1:5">
      <c r="A230" s="1073"/>
      <c r="C230" s="1074"/>
      <c r="E230" s="1073"/>
    </row>
    <row r="231" s="971" customFormat="1" spans="1:5">
      <c r="A231" s="1073"/>
      <c r="C231" s="1074"/>
      <c r="E231" s="1073"/>
    </row>
    <row r="232" s="971" customFormat="1" spans="1:5">
      <c r="A232" s="1073"/>
      <c r="C232" s="1074"/>
      <c r="E232" s="1073"/>
    </row>
    <row r="233" s="971" customFormat="1" spans="1:5">
      <c r="A233" s="1073"/>
      <c r="C233" s="1074"/>
      <c r="E233" s="1073"/>
    </row>
    <row r="234" s="971" customFormat="1" spans="1:5">
      <c r="A234" s="1073"/>
      <c r="C234" s="1074"/>
      <c r="E234" s="1073"/>
    </row>
    <row r="235" s="971" customFormat="1" spans="1:5">
      <c r="A235" s="1073"/>
      <c r="C235" s="1074"/>
      <c r="E235" s="1073"/>
    </row>
    <row r="236" s="971" customFormat="1" spans="1:5">
      <c r="A236" s="1073"/>
      <c r="C236" s="1074"/>
      <c r="E236" s="1073"/>
    </row>
    <row r="237" s="971" customFormat="1" spans="1:5">
      <c r="A237" s="1073"/>
      <c r="C237" s="1074"/>
      <c r="E237" s="1073"/>
    </row>
    <row r="238" s="971" customFormat="1" spans="1:5">
      <c r="A238" s="1073"/>
      <c r="C238" s="1074"/>
      <c r="E238" s="1073"/>
    </row>
    <row r="239" s="971" customFormat="1" spans="1:5">
      <c r="A239" s="1073"/>
      <c r="C239" s="1074"/>
      <c r="E239" s="1073"/>
    </row>
    <row r="240" s="971" customFormat="1" spans="1:5">
      <c r="A240" s="1073"/>
      <c r="C240" s="1074"/>
      <c r="E240" s="1073"/>
    </row>
    <row r="241" s="971" customFormat="1" spans="1:5">
      <c r="A241" s="1073"/>
      <c r="C241" s="1074"/>
      <c r="E241" s="1073"/>
    </row>
    <row r="242" s="971" customFormat="1" spans="1:5">
      <c r="A242" s="1073"/>
      <c r="C242" s="1074"/>
      <c r="E242" s="1073"/>
    </row>
    <row r="243" s="971" customFormat="1" spans="1:5">
      <c r="A243" s="1073"/>
      <c r="C243" s="1074"/>
      <c r="E243" s="1073"/>
    </row>
    <row r="244" s="971" customFormat="1" spans="1:5">
      <c r="A244" s="1073"/>
      <c r="C244" s="1074"/>
      <c r="E244" s="1073"/>
    </row>
    <row r="245" s="971" customFormat="1" spans="1:5">
      <c r="A245" s="1073"/>
      <c r="C245" s="1074"/>
      <c r="E245" s="1073"/>
    </row>
    <row r="246" s="971" customFormat="1" spans="1:5">
      <c r="A246" s="1073"/>
      <c r="C246" s="1074"/>
      <c r="E246" s="1073"/>
    </row>
    <row r="247" s="971" customFormat="1" spans="1:5">
      <c r="A247" s="1073"/>
      <c r="C247" s="1074"/>
      <c r="E247" s="1073"/>
    </row>
    <row r="248" s="971" customFormat="1" spans="1:5">
      <c r="A248" s="1073"/>
      <c r="C248" s="1074"/>
      <c r="E248" s="1073"/>
    </row>
    <row r="249" s="971" customFormat="1" spans="1:5">
      <c r="A249" s="1073"/>
      <c r="C249" s="1074"/>
      <c r="E249" s="1073"/>
    </row>
    <row r="250" s="971" customFormat="1" spans="1:5">
      <c r="A250" s="1073"/>
      <c r="C250" s="1074"/>
      <c r="E250" s="1073"/>
    </row>
    <row r="251" s="971" customFormat="1" spans="1:5">
      <c r="A251" s="1073"/>
      <c r="C251" s="1074"/>
      <c r="E251" s="1073"/>
    </row>
    <row r="252" s="971" customFormat="1" spans="1:5">
      <c r="A252" s="1073"/>
      <c r="C252" s="1074"/>
      <c r="E252" s="1073"/>
    </row>
    <row r="253" s="971" customFormat="1" spans="1:5">
      <c r="A253" s="1073"/>
      <c r="C253" s="1074"/>
      <c r="E253" s="1073"/>
    </row>
    <row r="254" s="971" customFormat="1" spans="1:5">
      <c r="A254" s="1073"/>
      <c r="C254" s="1074"/>
      <c r="E254" s="1073"/>
    </row>
    <row r="255" s="971" customFormat="1" spans="1:5">
      <c r="A255" s="1073"/>
      <c r="C255" s="1074"/>
      <c r="E255" s="1073"/>
    </row>
    <row r="256" s="971" customFormat="1" spans="1:5">
      <c r="A256" s="1073"/>
      <c r="C256" s="1074"/>
      <c r="E256" s="1073"/>
    </row>
    <row r="257" s="971" customFormat="1" spans="1:5">
      <c r="A257" s="1073"/>
      <c r="C257" s="1074"/>
      <c r="E257" s="1073"/>
    </row>
    <row r="258" s="971" customFormat="1" spans="1:5">
      <c r="A258" s="1073"/>
      <c r="C258" s="1074"/>
      <c r="E258" s="1073"/>
    </row>
    <row r="259" s="971" customFormat="1" spans="1:5">
      <c r="A259" s="1073"/>
      <c r="C259" s="1074"/>
      <c r="E259" s="1073"/>
    </row>
    <row r="260" s="971" customFormat="1" spans="1:5">
      <c r="A260" s="1073"/>
      <c r="C260" s="1074"/>
      <c r="E260" s="1073"/>
    </row>
    <row r="261" s="971" customFormat="1" spans="1:5">
      <c r="A261" s="1073"/>
      <c r="C261" s="1074"/>
      <c r="E261" s="1073"/>
    </row>
    <row r="262" s="971" customFormat="1" spans="1:5">
      <c r="A262" s="1073"/>
      <c r="C262" s="1074"/>
      <c r="E262" s="1073"/>
    </row>
    <row r="263" s="971" customFormat="1" spans="1:5">
      <c r="A263" s="1073"/>
      <c r="C263" s="1074"/>
      <c r="E263" s="1073"/>
    </row>
    <row r="264" s="971" customFormat="1" spans="1:5">
      <c r="A264" s="1073"/>
      <c r="C264" s="1074"/>
      <c r="E264" s="1073"/>
    </row>
    <row r="265" s="971" customFormat="1" spans="1:5">
      <c r="A265" s="1073"/>
      <c r="C265" s="1074"/>
      <c r="E265" s="1073"/>
    </row>
    <row r="266" s="971" customFormat="1" spans="1:5">
      <c r="A266" s="1073"/>
      <c r="C266" s="1074"/>
      <c r="E266" s="1073"/>
    </row>
    <row r="267" s="971" customFormat="1" spans="1:5">
      <c r="A267" s="1073"/>
      <c r="C267" s="1074"/>
      <c r="E267" s="1073"/>
    </row>
    <row r="268" s="971" customFormat="1" spans="1:5">
      <c r="A268" s="1073"/>
      <c r="C268" s="1074"/>
      <c r="E268" s="1073"/>
    </row>
    <row r="269" s="971" customFormat="1" spans="1:5">
      <c r="A269" s="1073"/>
      <c r="C269" s="1074"/>
      <c r="E269" s="1073"/>
    </row>
    <row r="270" s="971" customFormat="1" spans="1:5">
      <c r="A270" s="1073"/>
      <c r="C270" s="1074"/>
      <c r="E270" s="1073"/>
    </row>
    <row r="271" s="971" customFormat="1" spans="1:5">
      <c r="A271" s="1073"/>
      <c r="C271" s="1074"/>
      <c r="E271" s="1073"/>
    </row>
    <row r="272" s="971" customFormat="1" spans="1:5">
      <c r="A272" s="1073"/>
      <c r="C272" s="1074"/>
      <c r="E272" s="1073"/>
    </row>
    <row r="273" s="971" customFormat="1" spans="1:5">
      <c r="A273" s="1073"/>
      <c r="C273" s="1074"/>
      <c r="E273" s="1073"/>
    </row>
    <row r="274" s="971" customFormat="1" spans="1:5">
      <c r="A274" s="1073"/>
      <c r="C274" s="1074"/>
      <c r="E274" s="1073"/>
    </row>
    <row r="275" s="971" customFormat="1" spans="1:5">
      <c r="A275" s="1073"/>
      <c r="C275" s="1074"/>
      <c r="E275" s="1073"/>
    </row>
    <row r="276" s="971" customFormat="1" spans="1:5">
      <c r="A276" s="1073"/>
      <c r="C276" s="1074"/>
      <c r="E276" s="1073"/>
    </row>
    <row r="277" s="971" customFormat="1" spans="1:5">
      <c r="A277" s="1073"/>
      <c r="C277" s="1074"/>
      <c r="E277" s="1073"/>
    </row>
    <row r="278" s="971" customFormat="1" spans="1:5">
      <c r="A278" s="1073"/>
      <c r="C278" s="1074"/>
      <c r="E278" s="1073"/>
    </row>
    <row r="279" s="971" customFormat="1" spans="1:5">
      <c r="A279" s="1073"/>
      <c r="C279" s="1074"/>
      <c r="E279" s="1073"/>
    </row>
    <row r="280" s="971" customFormat="1" spans="1:5">
      <c r="A280" s="1073"/>
      <c r="C280" s="1074"/>
      <c r="E280" s="1073"/>
    </row>
    <row r="281" s="971" customFormat="1" spans="1:5">
      <c r="A281" s="1073"/>
      <c r="C281" s="1074"/>
      <c r="E281" s="1073"/>
    </row>
    <row r="282" s="971" customFormat="1" spans="1:5">
      <c r="A282" s="1073"/>
      <c r="C282" s="1074"/>
      <c r="E282" s="1073"/>
    </row>
    <row r="283" s="971" customFormat="1" spans="1:5">
      <c r="A283" s="1073"/>
      <c r="C283" s="1074"/>
      <c r="E283" s="1073"/>
    </row>
    <row r="284" s="971" customFormat="1" spans="1:5">
      <c r="A284" s="1073"/>
      <c r="C284" s="1074"/>
      <c r="E284" s="1073"/>
    </row>
    <row r="285" s="971" customFormat="1" spans="1:5">
      <c r="A285" s="1073"/>
      <c r="C285" s="1074"/>
      <c r="E285" s="1073"/>
    </row>
    <row r="286" s="971" customFormat="1" spans="1:5">
      <c r="A286" s="1073"/>
      <c r="C286" s="1074"/>
      <c r="E286" s="1073"/>
    </row>
    <row r="287" s="971" customFormat="1" spans="1:5">
      <c r="A287" s="1073"/>
      <c r="C287" s="1074"/>
      <c r="E287" s="1073"/>
    </row>
    <row r="288" s="971" customFormat="1" spans="1:5">
      <c r="A288" s="1073"/>
      <c r="C288" s="1074"/>
      <c r="E288" s="1073"/>
    </row>
    <row r="289" s="971" customFormat="1" spans="1:5">
      <c r="A289" s="1073"/>
      <c r="C289" s="1074"/>
      <c r="E289" s="1073"/>
    </row>
    <row r="290" s="971" customFormat="1" spans="1:5">
      <c r="A290" s="1073"/>
      <c r="C290" s="1074"/>
      <c r="E290" s="1073"/>
    </row>
    <row r="291" s="971" customFormat="1" spans="1:5">
      <c r="A291" s="1073"/>
      <c r="C291" s="1074"/>
      <c r="E291" s="1073"/>
    </row>
    <row r="292" s="971" customFormat="1" spans="1:5">
      <c r="A292" s="1073"/>
      <c r="C292" s="1074"/>
      <c r="E292" s="1073"/>
    </row>
    <row r="293" s="971" customFormat="1" spans="1:5">
      <c r="A293" s="1073"/>
      <c r="C293" s="1074"/>
      <c r="E293" s="1073"/>
    </row>
    <row r="294" s="971" customFormat="1" spans="1:5">
      <c r="A294" s="1073"/>
      <c r="C294" s="1074"/>
      <c r="E294" s="1073"/>
    </row>
    <row r="295" s="971" customFormat="1" spans="1:5">
      <c r="A295" s="1073"/>
      <c r="C295" s="1074"/>
      <c r="E295" s="1073"/>
    </row>
    <row r="296" s="971" customFormat="1" spans="1:5">
      <c r="A296" s="1073"/>
      <c r="C296" s="1074"/>
      <c r="E296" s="1073"/>
    </row>
    <row r="297" s="971" customFormat="1" spans="1:5">
      <c r="A297" s="1073"/>
      <c r="C297" s="1074"/>
      <c r="E297" s="1073"/>
    </row>
    <row r="298" s="971" customFormat="1" spans="1:5">
      <c r="A298" s="1073"/>
      <c r="C298" s="1074"/>
      <c r="E298" s="1073"/>
    </row>
    <row r="299" s="971" customFormat="1" spans="1:5">
      <c r="A299" s="1073"/>
      <c r="C299" s="1074"/>
      <c r="E299" s="1073"/>
    </row>
    <row r="300" s="971" customFormat="1" spans="1:5">
      <c r="A300" s="1073"/>
      <c r="C300" s="1074"/>
      <c r="E300" s="1073"/>
    </row>
    <row r="301" s="971" customFormat="1" spans="1:5">
      <c r="A301" s="1073"/>
      <c r="C301" s="1074"/>
      <c r="E301" s="1073"/>
    </row>
    <row r="302" s="971" customFormat="1" spans="1:5">
      <c r="A302" s="1073"/>
      <c r="C302" s="1074"/>
      <c r="E302" s="1073"/>
    </row>
    <row r="303" s="971" customFormat="1" spans="1:5">
      <c r="A303" s="1073"/>
      <c r="C303" s="1074"/>
      <c r="E303" s="1073"/>
    </row>
    <row r="304" s="971" customFormat="1" spans="1:5">
      <c r="A304" s="1073"/>
      <c r="C304" s="1074"/>
      <c r="E304" s="1073"/>
    </row>
    <row r="305" s="971" customFormat="1" spans="1:5">
      <c r="A305" s="1073"/>
      <c r="C305" s="1074"/>
      <c r="E305" s="1073"/>
    </row>
    <row r="306" s="971" customFormat="1" spans="1:5">
      <c r="A306" s="1073"/>
      <c r="C306" s="1074"/>
      <c r="E306" s="1073"/>
    </row>
    <row r="307" s="971" customFormat="1" spans="1:5">
      <c r="A307" s="1073"/>
      <c r="C307" s="1074"/>
      <c r="E307" s="1073"/>
    </row>
    <row r="308" s="971" customFormat="1" spans="1:5">
      <c r="A308" s="1073"/>
      <c r="C308" s="1074"/>
      <c r="E308" s="1073"/>
    </row>
    <row r="309" s="971" customFormat="1" spans="1:5">
      <c r="A309" s="1073"/>
      <c r="C309" s="1074"/>
      <c r="E309" s="1073"/>
    </row>
    <row r="310" s="971" customFormat="1" spans="1:5">
      <c r="A310" s="1073"/>
      <c r="C310" s="1074"/>
      <c r="E310" s="1073"/>
    </row>
    <row r="311" s="971" customFormat="1" spans="1:5">
      <c r="A311" s="1073"/>
      <c r="C311" s="1074"/>
      <c r="E311" s="1073"/>
    </row>
    <row r="312" s="971" customFormat="1" spans="1:5">
      <c r="A312" s="1073"/>
      <c r="C312" s="1074"/>
      <c r="E312" s="1073"/>
    </row>
    <row r="313" s="971" customFormat="1" spans="1:5">
      <c r="A313" s="1073"/>
      <c r="C313" s="1074"/>
      <c r="E313" s="1073"/>
    </row>
    <row r="314" s="971" customFormat="1" spans="1:5">
      <c r="A314" s="1073"/>
      <c r="C314" s="1074"/>
      <c r="E314" s="1073"/>
    </row>
    <row r="315" s="971" customFormat="1" spans="1:5">
      <c r="A315" s="1073"/>
      <c r="C315" s="1074"/>
      <c r="E315" s="1073"/>
    </row>
    <row r="316" s="971" customFormat="1" spans="1:5">
      <c r="A316" s="1073"/>
      <c r="C316" s="1074"/>
      <c r="E316" s="1073"/>
    </row>
    <row r="317" s="971" customFormat="1" spans="1:5">
      <c r="A317" s="1073"/>
      <c r="C317" s="1074"/>
      <c r="E317" s="1073"/>
    </row>
    <row r="318" s="971" customFormat="1" spans="1:5">
      <c r="A318" s="1073"/>
      <c r="C318" s="1074"/>
      <c r="E318" s="1073"/>
    </row>
    <row r="319" s="971" customFormat="1" spans="1:5">
      <c r="A319" s="1073"/>
      <c r="C319" s="1074"/>
      <c r="E319" s="1073"/>
    </row>
    <row r="320" s="971" customFormat="1" spans="1:5">
      <c r="A320" s="1073"/>
      <c r="C320" s="1074"/>
      <c r="E320" s="1073"/>
    </row>
    <row r="321" s="971" customFormat="1" spans="1:5">
      <c r="A321" s="1073"/>
      <c r="C321" s="1074"/>
      <c r="E321" s="1073"/>
    </row>
    <row r="322" s="971" customFormat="1" spans="1:5">
      <c r="A322" s="1073"/>
      <c r="C322" s="1074"/>
      <c r="E322" s="1073"/>
    </row>
    <row r="323" s="971" customFormat="1" spans="1:5">
      <c r="A323" s="1073"/>
      <c r="C323" s="1074"/>
      <c r="E323" s="1073"/>
    </row>
    <row r="324" s="971" customFormat="1" spans="1:5">
      <c r="A324" s="1073"/>
      <c r="C324" s="1074"/>
      <c r="E324" s="1073"/>
    </row>
    <row r="325" s="971" customFormat="1" spans="1:5">
      <c r="A325" s="1073"/>
      <c r="C325" s="1074"/>
      <c r="E325" s="1073"/>
    </row>
    <row r="326" s="971" customFormat="1" spans="1:5">
      <c r="A326" s="1073"/>
      <c r="C326" s="1074"/>
      <c r="E326" s="1073"/>
    </row>
    <row r="327" s="971" customFormat="1" spans="1:5">
      <c r="A327" s="1073"/>
      <c r="C327" s="1074"/>
      <c r="E327" s="1073"/>
    </row>
    <row r="328" s="971" customFormat="1" spans="1:5">
      <c r="A328" s="1073"/>
      <c r="C328" s="1074"/>
      <c r="E328" s="1073"/>
    </row>
    <row r="329" s="971" customFormat="1" spans="1:5">
      <c r="A329" s="1073"/>
      <c r="C329" s="1074"/>
      <c r="E329" s="1073"/>
    </row>
    <row r="330" s="971" customFormat="1" spans="1:5">
      <c r="A330" s="1073"/>
      <c r="C330" s="1074"/>
      <c r="E330" s="1073"/>
    </row>
    <row r="331" s="971" customFormat="1" spans="1:5">
      <c r="A331" s="1073"/>
      <c r="C331" s="1074"/>
      <c r="E331" s="1073"/>
    </row>
    <row r="332" s="971" customFormat="1" spans="1:5">
      <c r="A332" s="1073"/>
      <c r="C332" s="1074"/>
      <c r="E332" s="1073"/>
    </row>
    <row r="333" s="971" customFormat="1" spans="1:5">
      <c r="A333" s="1073"/>
      <c r="C333" s="1074"/>
      <c r="E333" s="1073"/>
    </row>
    <row r="334" s="971" customFormat="1" spans="1:5">
      <c r="A334" s="1073"/>
      <c r="C334" s="1074"/>
      <c r="E334" s="1073"/>
    </row>
    <row r="335" s="971" customFormat="1" spans="1:5">
      <c r="A335" s="1073"/>
      <c r="C335" s="1074"/>
      <c r="E335" s="1073"/>
    </row>
    <row r="336" s="971" customFormat="1" spans="1:5">
      <c r="A336" s="1073"/>
      <c r="C336" s="1074"/>
      <c r="E336" s="1073"/>
    </row>
    <row r="337" s="971" customFormat="1" spans="1:5">
      <c r="A337" s="1073"/>
      <c r="C337" s="1074"/>
      <c r="E337" s="1073"/>
    </row>
    <row r="338" s="971" customFormat="1" spans="1:5">
      <c r="A338" s="1073"/>
      <c r="C338" s="1074"/>
      <c r="E338" s="1073"/>
    </row>
    <row r="339" s="971" customFormat="1" spans="1:5">
      <c r="A339" s="1073"/>
      <c r="C339" s="1074"/>
      <c r="E339" s="1073"/>
    </row>
    <row r="340" s="971" customFormat="1" spans="1:5">
      <c r="A340" s="1073"/>
      <c r="C340" s="1074"/>
      <c r="E340" s="1073"/>
    </row>
    <row r="341" s="971" customFormat="1" spans="1:5">
      <c r="A341" s="1073"/>
      <c r="C341" s="1074"/>
      <c r="E341" s="1073"/>
    </row>
    <row r="342" s="971" customFormat="1" spans="1:5">
      <c r="A342" s="1073"/>
      <c r="C342" s="1074"/>
      <c r="E342" s="1073"/>
    </row>
    <row r="343" s="971" customFormat="1" spans="1:5">
      <c r="A343" s="1073"/>
      <c r="C343" s="1074"/>
      <c r="E343" s="1073"/>
    </row>
    <row r="344" s="971" customFormat="1" spans="1:5">
      <c r="A344" s="1073"/>
      <c r="C344" s="1074"/>
      <c r="E344" s="1073"/>
    </row>
    <row r="345" s="971" customFormat="1" spans="1:5">
      <c r="A345" s="1073"/>
      <c r="C345" s="1074"/>
      <c r="E345" s="1073"/>
    </row>
    <row r="346" s="971" customFormat="1" spans="1:5">
      <c r="A346" s="1073"/>
      <c r="C346" s="1074"/>
      <c r="E346" s="1073"/>
    </row>
    <row r="347" s="971" customFormat="1" spans="1:5">
      <c r="A347" s="1073"/>
      <c r="C347" s="1074"/>
      <c r="E347" s="1073"/>
    </row>
    <row r="348" s="971" customFormat="1" spans="1:5">
      <c r="A348" s="1073"/>
      <c r="C348" s="1074"/>
      <c r="E348" s="1073"/>
    </row>
    <row r="349" s="971" customFormat="1" spans="1:5">
      <c r="A349" s="1073"/>
      <c r="C349" s="1074"/>
      <c r="E349" s="1073"/>
    </row>
    <row r="350" s="971" customFormat="1" spans="1:5">
      <c r="A350" s="1073"/>
      <c r="C350" s="1074"/>
      <c r="E350" s="1073"/>
    </row>
    <row r="351" s="971" customFormat="1" spans="1:5">
      <c r="A351" s="1073"/>
      <c r="C351" s="1074"/>
      <c r="E351" s="1073"/>
    </row>
    <row r="352" s="971" customFormat="1" spans="1:5">
      <c r="A352" s="1073"/>
      <c r="C352" s="1074"/>
      <c r="E352" s="1073"/>
    </row>
    <row r="353" s="971" customFormat="1" spans="1:5">
      <c r="A353" s="1073"/>
      <c r="C353" s="1074"/>
      <c r="E353" s="1073"/>
    </row>
    <row r="354" s="971" customFormat="1" spans="1:5">
      <c r="A354" s="1073"/>
      <c r="C354" s="1074"/>
      <c r="E354" s="1073"/>
    </row>
    <row r="355" s="971" customFormat="1" spans="1:5">
      <c r="A355" s="1073"/>
      <c r="C355" s="1074"/>
      <c r="E355" s="1073"/>
    </row>
    <row r="356" s="971" customFormat="1" spans="1:5">
      <c r="A356" s="1073"/>
      <c r="C356" s="1074"/>
      <c r="E356" s="1073"/>
    </row>
    <row r="357" s="971" customFormat="1" spans="1:5">
      <c r="A357" s="1073"/>
      <c r="C357" s="1074"/>
      <c r="E357" s="1073"/>
    </row>
    <row r="358" s="971" customFormat="1" spans="1:5">
      <c r="A358" s="1073"/>
      <c r="C358" s="1074"/>
      <c r="E358" s="1073"/>
    </row>
    <row r="359" s="971" customFormat="1" spans="1:5">
      <c r="A359" s="1073"/>
      <c r="C359" s="1074"/>
      <c r="E359" s="1073"/>
    </row>
    <row r="360" s="971" customFormat="1" spans="1:5">
      <c r="A360" s="1073"/>
      <c r="C360" s="1074"/>
      <c r="E360" s="1073"/>
    </row>
    <row r="361" s="971" customFormat="1" spans="1:5">
      <c r="A361" s="1073"/>
      <c r="C361" s="1074"/>
      <c r="E361" s="1073"/>
    </row>
    <row r="362" s="971" customFormat="1" spans="1:5">
      <c r="A362" s="1073"/>
      <c r="C362" s="1074"/>
      <c r="E362" s="1073"/>
    </row>
    <row r="363" s="971" customFormat="1" spans="1:5">
      <c r="A363" s="1073"/>
      <c r="C363" s="1074"/>
      <c r="E363" s="1073"/>
    </row>
    <row r="364" s="971" customFormat="1" spans="1:5">
      <c r="A364" s="1073"/>
      <c r="C364" s="1074"/>
      <c r="E364" s="1073"/>
    </row>
    <row r="365" s="971" customFormat="1" spans="1:5">
      <c r="A365" s="1073"/>
      <c r="C365" s="1074"/>
      <c r="E365" s="1073"/>
    </row>
    <row r="366" s="971" customFormat="1" spans="1:5">
      <c r="A366" s="1073"/>
      <c r="C366" s="1074"/>
      <c r="E366" s="1073"/>
    </row>
    <row r="367" s="971" customFormat="1" spans="1:5">
      <c r="A367" s="1073"/>
      <c r="C367" s="1074"/>
      <c r="E367" s="1073"/>
    </row>
    <row r="368" s="971" customFormat="1" spans="1:5">
      <c r="A368" s="1073"/>
      <c r="C368" s="1074"/>
      <c r="E368" s="1073"/>
    </row>
    <row r="369" s="971" customFormat="1" spans="1:5">
      <c r="A369" s="1073"/>
      <c r="C369" s="1074"/>
      <c r="E369" s="1073"/>
    </row>
    <row r="370" s="971" customFormat="1" spans="1:5">
      <c r="A370" s="1073"/>
      <c r="C370" s="1074"/>
      <c r="E370" s="1073"/>
    </row>
    <row r="371" s="971" customFormat="1" spans="1:5">
      <c r="A371" s="1073"/>
      <c r="C371" s="1074"/>
      <c r="E371" s="1073"/>
    </row>
    <row r="372" s="971" customFormat="1" spans="1:5">
      <c r="A372" s="1073"/>
      <c r="C372" s="1074"/>
      <c r="E372" s="1073"/>
    </row>
    <row r="373" s="971" customFormat="1" spans="1:5">
      <c r="A373" s="1073"/>
      <c r="C373" s="1074"/>
      <c r="E373" s="1073"/>
    </row>
    <row r="374" s="971" customFormat="1" spans="1:5">
      <c r="A374" s="1073"/>
      <c r="C374" s="1074"/>
      <c r="E374" s="1073"/>
    </row>
    <row r="375" s="971" customFormat="1" spans="1:5">
      <c r="A375" s="1073"/>
      <c r="C375" s="1074"/>
      <c r="E375" s="1073"/>
    </row>
    <row r="376" s="971" customFormat="1" spans="1:5">
      <c r="A376" s="1073"/>
      <c r="C376" s="1074"/>
      <c r="E376" s="1073"/>
    </row>
    <row r="377" s="971" customFormat="1" spans="1:5">
      <c r="A377" s="1073"/>
      <c r="C377" s="1074"/>
      <c r="E377" s="1073"/>
    </row>
    <row r="378" s="971" customFormat="1" spans="1:5">
      <c r="A378" s="1073"/>
      <c r="C378" s="1074"/>
      <c r="E378" s="1073"/>
    </row>
    <row r="379" s="971" customFormat="1" spans="1:5">
      <c r="A379" s="1073"/>
      <c r="C379" s="1074"/>
      <c r="E379" s="1073"/>
    </row>
    <row r="380" s="971" customFormat="1" spans="1:5">
      <c r="A380" s="1073"/>
      <c r="C380" s="1074"/>
      <c r="E380" s="1073"/>
    </row>
    <row r="381" s="971" customFormat="1" spans="1:5">
      <c r="A381" s="1073"/>
      <c r="C381" s="1074"/>
      <c r="E381" s="1073"/>
    </row>
    <row r="382" s="971" customFormat="1" spans="1:5">
      <c r="A382" s="1073"/>
      <c r="C382" s="1074"/>
      <c r="E382" s="1073"/>
    </row>
    <row r="383" s="971" customFormat="1" spans="1:5">
      <c r="A383" s="1073"/>
      <c r="C383" s="1074"/>
      <c r="E383" s="1073"/>
    </row>
    <row r="384" s="971" customFormat="1" spans="1:5">
      <c r="A384" s="1073"/>
      <c r="C384" s="1074"/>
      <c r="E384" s="1073"/>
    </row>
    <row r="385" s="971" customFormat="1" spans="1:5">
      <c r="A385" s="1073"/>
      <c r="C385" s="1074"/>
      <c r="E385" s="1073"/>
    </row>
    <row r="386" s="971" customFormat="1" spans="1:5">
      <c r="A386" s="1073"/>
      <c r="C386" s="1074"/>
      <c r="E386" s="1073"/>
    </row>
    <row r="387" s="971" customFormat="1" spans="1:5">
      <c r="A387" s="1073"/>
      <c r="C387" s="1074"/>
      <c r="E387" s="1073"/>
    </row>
    <row r="388" s="971" customFormat="1" spans="1:5">
      <c r="A388" s="1073"/>
      <c r="C388" s="1074"/>
      <c r="E388" s="1073"/>
    </row>
    <row r="389" s="971" customFormat="1" spans="1:5">
      <c r="A389" s="1073"/>
      <c r="C389" s="1074"/>
      <c r="E389" s="1073"/>
    </row>
    <row r="390" s="971" customFormat="1" spans="1:5">
      <c r="A390" s="1073"/>
      <c r="C390" s="1074"/>
      <c r="E390" s="1073"/>
    </row>
    <row r="391" s="971" customFormat="1" spans="1:5">
      <c r="A391" s="1073"/>
      <c r="C391" s="1074"/>
      <c r="E391" s="1073"/>
    </row>
    <row r="392" s="971" customFormat="1" spans="1:5">
      <c r="A392" s="1073"/>
      <c r="C392" s="1074"/>
      <c r="E392" s="1073"/>
    </row>
    <row r="393" s="971" customFormat="1" spans="1:5">
      <c r="A393" s="1073"/>
      <c r="C393" s="1074"/>
      <c r="E393" s="1073"/>
    </row>
    <row r="394" s="971" customFormat="1" spans="1:5">
      <c r="A394" s="1073"/>
      <c r="C394" s="1074"/>
      <c r="E394" s="1073"/>
    </row>
    <row r="395" s="971" customFormat="1" spans="1:5">
      <c r="A395" s="1073"/>
      <c r="C395" s="1074"/>
      <c r="E395" s="1073"/>
    </row>
    <row r="396" s="971" customFormat="1" spans="1:5">
      <c r="A396" s="1073"/>
      <c r="C396" s="1074"/>
      <c r="E396" s="1073"/>
    </row>
    <row r="397" s="971" customFormat="1" spans="1:5">
      <c r="A397" s="1073"/>
      <c r="C397" s="1074"/>
      <c r="E397" s="1073"/>
    </row>
    <row r="398" s="971" customFormat="1" spans="1:5">
      <c r="A398" s="1073"/>
      <c r="C398" s="1074"/>
      <c r="E398" s="1073"/>
    </row>
    <row r="399" s="971" customFormat="1" spans="1:5">
      <c r="A399" s="1073"/>
      <c r="C399" s="1074"/>
      <c r="E399" s="1073"/>
    </row>
    <row r="400" s="971" customFormat="1" spans="1:5">
      <c r="A400" s="1073"/>
      <c r="C400" s="1074"/>
      <c r="E400" s="1073"/>
    </row>
    <row r="401" s="971" customFormat="1" spans="1:5">
      <c r="A401" s="1073"/>
      <c r="C401" s="1074"/>
      <c r="E401" s="1073"/>
    </row>
    <row r="402" s="971" customFormat="1" spans="1:5">
      <c r="A402" s="1073"/>
      <c r="C402" s="1074"/>
      <c r="E402" s="1073"/>
    </row>
    <row r="403" s="971" customFormat="1" spans="1:5">
      <c r="A403" s="1073"/>
      <c r="C403" s="1074"/>
      <c r="E403" s="1073"/>
    </row>
    <row r="404" s="971" customFormat="1" spans="1:5">
      <c r="A404" s="1073"/>
      <c r="C404" s="1074"/>
      <c r="E404" s="1073"/>
    </row>
    <row r="405" s="971" customFormat="1" spans="1:5">
      <c r="A405" s="1073"/>
      <c r="C405" s="1074"/>
      <c r="E405" s="1073"/>
    </row>
    <row r="406" s="971" customFormat="1" spans="1:5">
      <c r="A406" s="1073"/>
      <c r="C406" s="1074"/>
      <c r="E406" s="1073"/>
    </row>
    <row r="407" s="971" customFormat="1" spans="1:5">
      <c r="A407" s="1073"/>
      <c r="C407" s="1074"/>
      <c r="E407" s="1073"/>
    </row>
    <row r="408" s="971" customFormat="1" spans="1:5">
      <c r="A408" s="1073"/>
      <c r="C408" s="1074"/>
      <c r="E408" s="1073"/>
    </row>
    <row r="409" s="971" customFormat="1" spans="1:5">
      <c r="A409" s="1073"/>
      <c r="C409" s="1074"/>
      <c r="E409" s="1073"/>
    </row>
    <row r="410" s="971" customFormat="1" spans="1:5">
      <c r="A410" s="1073"/>
      <c r="C410" s="1074"/>
      <c r="E410" s="1073"/>
    </row>
    <row r="411" s="971" customFormat="1" spans="1:5">
      <c r="A411" s="1073"/>
      <c r="C411" s="1074"/>
      <c r="E411" s="1073"/>
    </row>
    <row r="412" s="971" customFormat="1" spans="1:5">
      <c r="A412" s="1073"/>
      <c r="C412" s="1074"/>
      <c r="E412" s="1073"/>
    </row>
    <row r="413" s="971" customFormat="1" spans="1:5">
      <c r="A413" s="1073"/>
      <c r="C413" s="1074"/>
      <c r="E413" s="1073"/>
    </row>
    <row r="414" s="971" customFormat="1" spans="1:5">
      <c r="A414" s="1073"/>
      <c r="C414" s="1074"/>
      <c r="E414" s="1073"/>
    </row>
    <row r="415" s="971" customFormat="1" spans="1:5">
      <c r="A415" s="1073"/>
      <c r="C415" s="1074"/>
      <c r="E415" s="1073"/>
    </row>
    <row r="416" s="971" customFormat="1" spans="1:5">
      <c r="A416" s="1073"/>
      <c r="C416" s="1074"/>
      <c r="E416" s="1073"/>
    </row>
    <row r="417" s="971" customFormat="1" spans="1:5">
      <c r="A417" s="1073"/>
      <c r="C417" s="1074"/>
      <c r="E417" s="1073"/>
    </row>
    <row r="418" s="971" customFormat="1" spans="1:5">
      <c r="A418" s="1073"/>
      <c r="C418" s="1074"/>
      <c r="E418" s="1073"/>
    </row>
    <row r="419" s="971" customFormat="1" spans="1:5">
      <c r="A419" s="1073"/>
      <c r="C419" s="1074"/>
      <c r="E419" s="1073"/>
    </row>
    <row r="420" s="971" customFormat="1" spans="1:5">
      <c r="A420" s="1073"/>
      <c r="C420" s="1074"/>
      <c r="E420" s="1073"/>
    </row>
    <row r="421" s="971" customFormat="1" spans="1:5">
      <c r="A421" s="1073"/>
      <c r="C421" s="1074"/>
      <c r="E421" s="1073"/>
    </row>
    <row r="422" s="971" customFormat="1" spans="1:5">
      <c r="A422" s="1073"/>
      <c r="C422" s="1074"/>
      <c r="E422" s="1073"/>
    </row>
    <row r="423" s="971" customFormat="1" spans="1:5">
      <c r="A423" s="1073"/>
      <c r="C423" s="1074"/>
      <c r="E423" s="1073"/>
    </row>
    <row r="424" s="971" customFormat="1" spans="1:5">
      <c r="A424" s="1073"/>
      <c r="C424" s="1074"/>
      <c r="E424" s="1073"/>
    </row>
    <row r="425" s="971" customFormat="1" spans="1:5">
      <c r="A425" s="1073"/>
      <c r="C425" s="1074"/>
      <c r="E425" s="1073"/>
    </row>
    <row r="426" s="971" customFormat="1" spans="1:5">
      <c r="A426" s="1073"/>
      <c r="C426" s="1074"/>
      <c r="E426" s="1073"/>
    </row>
    <row r="427" s="971" customFormat="1" spans="1:5">
      <c r="A427" s="1073"/>
      <c r="C427" s="1074"/>
      <c r="E427" s="1073"/>
    </row>
    <row r="428" s="971" customFormat="1" spans="1:5">
      <c r="A428" s="1073"/>
      <c r="C428" s="1074"/>
      <c r="E428" s="1073"/>
    </row>
    <row r="429" s="971" customFormat="1" spans="1:5">
      <c r="A429" s="1073"/>
      <c r="C429" s="1074"/>
      <c r="E429" s="1073"/>
    </row>
    <row r="430" s="971" customFormat="1" spans="1:5">
      <c r="A430" s="1073"/>
      <c r="C430" s="1074"/>
      <c r="E430" s="1073"/>
    </row>
    <row r="431" s="971" customFormat="1" spans="1:5">
      <c r="A431" s="1073"/>
      <c r="C431" s="1074"/>
      <c r="E431" s="1073"/>
    </row>
    <row r="432" s="971" customFormat="1" spans="1:5">
      <c r="A432" s="1073"/>
      <c r="C432" s="1074"/>
      <c r="E432" s="1073"/>
    </row>
    <row r="433" s="971" customFormat="1" spans="1:5">
      <c r="A433" s="1073"/>
      <c r="C433" s="1074"/>
      <c r="E433" s="1073"/>
    </row>
    <row r="434" s="971" customFormat="1" spans="1:5">
      <c r="A434" s="1073"/>
      <c r="C434" s="1074"/>
      <c r="E434" s="1073"/>
    </row>
    <row r="435" s="971" customFormat="1" spans="1:5">
      <c r="A435" s="1073"/>
      <c r="C435" s="1074"/>
      <c r="E435" s="1073"/>
    </row>
    <row r="436" s="971" customFormat="1" spans="1:5">
      <c r="A436" s="1073"/>
      <c r="C436" s="1074"/>
      <c r="E436" s="1073"/>
    </row>
    <row r="437" s="971" customFormat="1" spans="1:5">
      <c r="A437" s="1073"/>
      <c r="C437" s="1074"/>
      <c r="E437" s="1073"/>
    </row>
    <row r="438" s="971" customFormat="1" spans="1:5">
      <c r="A438" s="1073"/>
      <c r="C438" s="1074"/>
      <c r="E438" s="1073"/>
    </row>
    <row r="439" s="971" customFormat="1" spans="1:5">
      <c r="A439" s="1073"/>
      <c r="C439" s="1074"/>
      <c r="E439" s="1073"/>
    </row>
    <row r="440" s="971" customFormat="1" spans="1:5">
      <c r="A440" s="1073"/>
      <c r="C440" s="1074"/>
      <c r="E440" s="1073"/>
    </row>
    <row r="441" s="971" customFormat="1" spans="1:5">
      <c r="A441" s="1073"/>
      <c r="C441" s="1074"/>
      <c r="E441" s="1073"/>
    </row>
    <row r="442" s="971" customFormat="1" spans="1:5">
      <c r="A442" s="1073"/>
      <c r="C442" s="1074"/>
      <c r="E442" s="1073"/>
    </row>
    <row r="443" s="971" customFormat="1" spans="1:5">
      <c r="A443" s="1073"/>
      <c r="C443" s="1074"/>
      <c r="E443" s="1073"/>
    </row>
    <row r="444" s="971" customFormat="1" spans="1:5">
      <c r="A444" s="1073"/>
      <c r="C444" s="1074"/>
      <c r="E444" s="1073"/>
    </row>
    <row r="445" s="971" customFormat="1" spans="1:5">
      <c r="A445" s="1073"/>
      <c r="C445" s="1074"/>
      <c r="E445" s="1073"/>
    </row>
    <row r="446" s="971" customFormat="1" spans="1:5">
      <c r="A446" s="1073"/>
      <c r="C446" s="1074"/>
      <c r="E446" s="1073"/>
    </row>
    <row r="447" s="971" customFormat="1" spans="1:5">
      <c r="A447" s="1073"/>
      <c r="C447" s="1074"/>
      <c r="E447" s="1073"/>
    </row>
    <row r="448" s="971" customFormat="1" spans="1:5">
      <c r="A448" s="1073"/>
      <c r="C448" s="1074"/>
      <c r="E448" s="1073"/>
    </row>
    <row r="449" s="971" customFormat="1" spans="1:5">
      <c r="A449" s="1073"/>
      <c r="C449" s="1074"/>
      <c r="E449" s="1073"/>
    </row>
    <row r="450" s="971" customFormat="1" spans="1:5">
      <c r="A450" s="1073"/>
      <c r="C450" s="1074"/>
      <c r="E450" s="1073"/>
    </row>
    <row r="451" s="971" customFormat="1" spans="1:5">
      <c r="A451" s="1073"/>
      <c r="C451" s="1074"/>
      <c r="E451" s="1073"/>
    </row>
    <row r="452" s="971" customFormat="1" spans="1:5">
      <c r="A452" s="1073"/>
      <c r="C452" s="1074"/>
      <c r="E452" s="1073"/>
    </row>
    <row r="453" s="971" customFormat="1" spans="1:5">
      <c r="A453" s="1073"/>
      <c r="C453" s="1074"/>
      <c r="E453" s="1073"/>
    </row>
    <row r="454" s="971" customFormat="1" spans="1:5">
      <c r="A454" s="1073"/>
      <c r="C454" s="1074"/>
      <c r="E454" s="1073"/>
    </row>
    <row r="455" s="971" customFormat="1" spans="1:5">
      <c r="A455" s="1073"/>
      <c r="C455" s="1074"/>
      <c r="E455" s="1073"/>
    </row>
    <row r="456" s="971" customFormat="1" spans="1:5">
      <c r="A456" s="1073"/>
      <c r="C456" s="1074"/>
      <c r="E456" s="1073"/>
    </row>
    <row r="457" s="971" customFormat="1" spans="1:5">
      <c r="A457" s="1073"/>
      <c r="C457" s="1074"/>
      <c r="E457" s="1073"/>
    </row>
    <row r="458" s="971" customFormat="1" spans="1:5">
      <c r="A458" s="1073"/>
      <c r="C458" s="1074"/>
      <c r="E458" s="1073"/>
    </row>
    <row r="459" s="971" customFormat="1" spans="1:5">
      <c r="A459" s="1073"/>
      <c r="C459" s="1074"/>
      <c r="E459" s="1073"/>
    </row>
    <row r="460" s="971" customFormat="1" spans="1:5">
      <c r="A460" s="1073"/>
      <c r="C460" s="1074"/>
      <c r="E460" s="1073"/>
    </row>
    <row r="461" s="971" customFormat="1" spans="1:5">
      <c r="A461" s="1073"/>
      <c r="C461" s="1074"/>
      <c r="E461" s="1073"/>
    </row>
    <row r="462" s="971" customFormat="1" spans="1:5">
      <c r="A462" s="1073"/>
      <c r="C462" s="1074"/>
      <c r="E462" s="1073"/>
    </row>
    <row r="463" s="971" customFormat="1" spans="1:5">
      <c r="A463" s="1073"/>
      <c r="C463" s="1074"/>
      <c r="E463" s="1073"/>
    </row>
    <row r="464" s="971" customFormat="1" spans="1:5">
      <c r="A464" s="1073"/>
      <c r="C464" s="1074"/>
      <c r="E464" s="1073"/>
    </row>
    <row r="465" s="971" customFormat="1" spans="1:5">
      <c r="A465" s="1073"/>
      <c r="C465" s="1074"/>
      <c r="E465" s="1073"/>
    </row>
    <row r="466" s="971" customFormat="1" spans="1:5">
      <c r="A466" s="1073"/>
      <c r="C466" s="1074"/>
      <c r="E466" s="1073"/>
    </row>
    <row r="467" s="971" customFormat="1" spans="1:5">
      <c r="A467" s="1073"/>
      <c r="C467" s="1074"/>
      <c r="E467" s="1073"/>
    </row>
    <row r="468" s="971" customFormat="1" spans="1:5">
      <c r="A468" s="1073"/>
      <c r="C468" s="1074"/>
      <c r="E468" s="1073"/>
    </row>
    <row r="469" s="971" customFormat="1" spans="1:5">
      <c r="A469" s="1073"/>
      <c r="C469" s="1074"/>
      <c r="E469" s="1073"/>
    </row>
    <row r="470" s="971" customFormat="1" spans="1:5">
      <c r="A470" s="1073"/>
      <c r="C470" s="1074"/>
      <c r="E470" s="1073"/>
    </row>
    <row r="471" s="971" customFormat="1" spans="1:5">
      <c r="A471" s="1073"/>
      <c r="C471" s="1074"/>
      <c r="E471" s="1073"/>
    </row>
    <row r="472" s="971" customFormat="1" spans="1:5">
      <c r="A472" s="1073"/>
      <c r="C472" s="1074"/>
      <c r="E472" s="1073"/>
    </row>
    <row r="473" s="971" customFormat="1" spans="1:5">
      <c r="A473" s="1073"/>
      <c r="C473" s="1074"/>
      <c r="E473" s="1073"/>
    </row>
    <row r="474" s="971" customFormat="1" spans="1:5">
      <c r="A474" s="1073"/>
      <c r="C474" s="1074"/>
      <c r="E474" s="1073"/>
    </row>
    <row r="475" s="971" customFormat="1" spans="1:5">
      <c r="A475" s="1073"/>
      <c r="C475" s="1074"/>
      <c r="E475" s="1073"/>
    </row>
    <row r="476" s="971" customFormat="1" spans="1:5">
      <c r="A476" s="1073"/>
      <c r="C476" s="1074"/>
      <c r="E476" s="1073"/>
    </row>
    <row r="477" s="971" customFormat="1" spans="1:5">
      <c r="A477" s="1073"/>
      <c r="C477" s="1074"/>
      <c r="E477" s="1073"/>
    </row>
    <row r="478" s="971" customFormat="1" spans="1:5">
      <c r="A478" s="1073"/>
      <c r="C478" s="1074"/>
      <c r="E478" s="1073"/>
    </row>
    <row r="479" s="971" customFormat="1" spans="1:5">
      <c r="A479" s="1073"/>
      <c r="C479" s="1074"/>
      <c r="E479" s="1073"/>
    </row>
    <row r="480" s="971" customFormat="1" spans="1:5">
      <c r="A480" s="1073"/>
      <c r="C480" s="1074"/>
      <c r="E480" s="1073"/>
    </row>
    <row r="481" s="971" customFormat="1" spans="1:5">
      <c r="A481" s="1073"/>
      <c r="C481" s="1074"/>
      <c r="E481" s="1073"/>
    </row>
    <row r="482" s="971" customFormat="1" spans="1:5">
      <c r="A482" s="1073"/>
      <c r="C482" s="1074"/>
      <c r="E482" s="1073"/>
    </row>
    <row r="483" s="971" customFormat="1" spans="1:5">
      <c r="A483" s="1073"/>
      <c r="C483" s="1074"/>
      <c r="E483" s="1073"/>
    </row>
    <row r="484" s="971" customFormat="1" spans="1:5">
      <c r="A484" s="1073"/>
      <c r="C484" s="1074"/>
      <c r="E484" s="1073"/>
    </row>
    <row r="485" s="971" customFormat="1" spans="1:5">
      <c r="A485" s="1073"/>
      <c r="C485" s="1074"/>
      <c r="E485" s="1073"/>
    </row>
    <row r="486" s="971" customFormat="1" spans="1:5">
      <c r="A486" s="1073"/>
      <c r="C486" s="1074"/>
      <c r="E486" s="1073"/>
    </row>
    <row r="487" s="971" customFormat="1" spans="1:5">
      <c r="A487" s="1073"/>
      <c r="C487" s="1074"/>
      <c r="E487" s="1073"/>
    </row>
    <row r="488" s="971" customFormat="1" spans="1:5">
      <c r="A488" s="1073"/>
      <c r="C488" s="1074"/>
      <c r="E488" s="1073"/>
    </row>
    <row r="489" s="971" customFormat="1" spans="1:5">
      <c r="A489" s="1073"/>
      <c r="C489" s="1074"/>
      <c r="E489" s="1073"/>
    </row>
    <row r="490" s="971" customFormat="1" spans="1:5">
      <c r="A490" s="1073"/>
      <c r="C490" s="1074"/>
      <c r="E490" s="1073"/>
    </row>
  </sheetData>
  <sheetProtection formatCells="0" formatColumns="0" formatRows="0"/>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6" fitToHeight="0" orientation="portrait"/>
  <headerFooter/>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3" tint="0.599993896298105"/>
    <pageSetUpPr fitToPage="1"/>
  </sheetPr>
  <dimension ref="A1:AE490"/>
  <sheetViews>
    <sheetView view="pageBreakPreview" zoomScale="80" zoomScaleNormal="80" workbookViewId="0">
      <selection activeCell="K48" sqref="K48"/>
    </sheetView>
  </sheetViews>
  <sheetFormatPr defaultColWidth="6.63333333333333" defaultRowHeight="12.75"/>
  <cols>
    <col min="1" max="1" width="9.725" style="980" customWidth="1"/>
    <col min="2" max="2" width="32.45" style="981" customWidth="1"/>
    <col min="3" max="3" width="10.3666666666667" style="982" customWidth="1"/>
    <col min="4" max="4" width="12" style="981" customWidth="1"/>
    <col min="5" max="5" width="9.45" style="980" customWidth="1"/>
    <col min="6" max="6" width="10.0916666666667" style="981" customWidth="1"/>
    <col min="7" max="7" width="11.6333333333333"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983" t="s">
        <v>1055</v>
      </c>
      <c r="B1" s="1140" t="s">
        <v>549</v>
      </c>
      <c r="C1" s="985"/>
      <c r="D1" s="985"/>
      <c r="E1" s="985"/>
      <c r="F1" s="985"/>
      <c r="G1" s="985"/>
      <c r="H1" s="985"/>
      <c r="I1" s="985"/>
      <c r="J1" s="985"/>
      <c r="K1" s="991">
        <f>MATCH(B1,'数据-取费表'!A6:A16,0)+5</f>
        <v>7</v>
      </c>
      <c r="L1" s="72"/>
      <c r="M1" s="72"/>
      <c r="N1" s="72"/>
      <c r="O1" s="72"/>
      <c r="P1" s="72"/>
      <c r="Q1" s="72"/>
      <c r="R1" s="72"/>
      <c r="S1" s="72"/>
      <c r="T1" s="72"/>
      <c r="U1" s="72"/>
      <c r="V1" s="72"/>
      <c r="W1" s="72"/>
      <c r="X1" s="72"/>
      <c r="Y1" s="72"/>
      <c r="Z1" s="72"/>
    </row>
    <row r="2" s="157" customFormat="1" ht="18" customHeight="1" spans="1:26">
      <c r="A2" s="986" t="s">
        <v>919</v>
      </c>
      <c r="B2" s="987">
        <f ca="1">C36</f>
        <v>37348</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988" t="s">
        <v>920</v>
      </c>
      <c r="B3" s="989">
        <f ca="1">ROUND(B2*10000/IF(B1="",'数据-汇总表'!E3,INDIRECT("'数据-取费表'!K"&amp;$K$1)),0)</f>
        <v>6659</v>
      </c>
      <c r="C3" s="985">
        <f ca="1">ROUND(B2*10000/C9,0)</f>
        <v>6659</v>
      </c>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t="e">
        <f ca="1">ROUND(B2*10000/IF(B1="",'数据-汇总表'!D3,INDIRECT("'数据-取费表'!R"&amp;$K$1)),0)</f>
        <v>#VALUE!</v>
      </c>
      <c r="C4" s="990"/>
      <c r="D4" s="991"/>
      <c r="E4" s="991"/>
      <c r="F4" s="991"/>
      <c r="G4" s="991"/>
      <c r="H4" s="991"/>
      <c r="I4" s="991"/>
      <c r="J4" s="991"/>
      <c r="K4" s="991"/>
      <c r="L4" s="72"/>
      <c r="M4" s="72"/>
      <c r="N4" s="72"/>
      <c r="O4" s="72"/>
      <c r="P4" s="72"/>
      <c r="Q4" s="72"/>
      <c r="R4" s="72"/>
      <c r="S4" s="72"/>
      <c r="T4" s="72"/>
      <c r="U4" s="72"/>
      <c r="V4" s="72"/>
      <c r="W4" s="72"/>
      <c r="X4" s="72"/>
      <c r="Y4" s="72"/>
      <c r="Z4" s="72"/>
    </row>
    <row r="5" s="157" customFormat="1" ht="18" customHeight="1" spans="1:26">
      <c r="A5" s="650"/>
      <c r="B5" s="651" t="e">
        <f ca="1">ROUND(B2/(IF(B1="",'数据-汇总表'!D3,INDIRECT("'数据-取费表'!R"&amp;$K$1))/666.67),0)</f>
        <v>#VALUE!</v>
      </c>
      <c r="C5" s="652" t="s">
        <v>922</v>
      </c>
      <c r="D5" s="991"/>
      <c r="E5" s="991"/>
      <c r="F5" s="991"/>
      <c r="G5" s="991"/>
      <c r="H5" s="991"/>
      <c r="I5" s="991"/>
      <c r="J5" s="991"/>
      <c r="K5" s="991"/>
      <c r="L5" s="72"/>
      <c r="M5" s="72"/>
      <c r="N5" s="72"/>
      <c r="O5" s="72"/>
      <c r="P5" s="72"/>
      <c r="Q5" s="72"/>
      <c r="R5" s="72"/>
      <c r="S5" s="72"/>
      <c r="T5" s="72"/>
      <c r="U5" s="72"/>
      <c r="V5" s="72"/>
      <c r="W5" s="72"/>
      <c r="X5" s="72"/>
      <c r="Y5" s="72"/>
      <c r="Z5" s="72"/>
    </row>
    <row r="6" s="969" customFormat="1" ht="16.5" customHeight="1" spans="1:26">
      <c r="A6" s="992" t="s">
        <v>2089</v>
      </c>
      <c r="B6" s="993"/>
      <c r="C6" s="994">
        <f>SUM(C10:K10)</f>
        <v>89666</v>
      </c>
      <c r="D6" s="993"/>
      <c r="E6" s="993"/>
      <c r="F6" s="993"/>
      <c r="G6" s="993"/>
      <c r="H6" s="993"/>
      <c r="I6" s="993"/>
      <c r="J6" s="993"/>
      <c r="K6" s="1077"/>
      <c r="L6" s="1078"/>
      <c r="M6" s="1078"/>
      <c r="N6" s="1078"/>
      <c r="O6" s="1078"/>
      <c r="P6" s="1078"/>
      <c r="Q6" s="1078"/>
      <c r="R6" s="1078"/>
      <c r="S6" s="1078"/>
      <c r="T6" s="1078"/>
      <c r="U6" s="1078"/>
      <c r="V6" s="1078"/>
      <c r="W6" s="1078"/>
      <c r="X6" s="1078"/>
      <c r="Y6" s="1078"/>
      <c r="Z6" s="1078"/>
    </row>
    <row r="7" s="970" customFormat="1" ht="15" spans="1:31">
      <c r="A7" s="995" t="s">
        <v>1058</v>
      </c>
      <c r="B7" s="996" t="s">
        <v>1059</v>
      </c>
      <c r="C7" s="997" t="s">
        <v>549</v>
      </c>
      <c r="D7" s="997"/>
      <c r="E7" s="997"/>
      <c r="F7" s="997"/>
      <c r="G7" s="997"/>
      <c r="H7" s="997"/>
      <c r="I7" s="997"/>
      <c r="J7" s="997"/>
      <c r="K7" s="1079"/>
      <c r="AA7" s="1097"/>
      <c r="AB7" s="1097"/>
      <c r="AC7" s="1097"/>
      <c r="AD7" s="1097"/>
      <c r="AE7" s="1097"/>
    </row>
    <row r="8" s="971" customFormat="1" ht="13.5" customHeight="1" spans="1:31">
      <c r="A8" s="998" t="s">
        <v>855</v>
      </c>
      <c r="B8" s="785" t="s">
        <v>1060</v>
      </c>
      <c r="C8" s="999">
        <f>'不动产比较法-住宅'!C49*0.8</f>
        <v>15986.4</v>
      </c>
      <c r="D8" s="999"/>
      <c r="E8" s="999"/>
      <c r="F8" s="999"/>
      <c r="G8" s="999"/>
      <c r="H8" s="999"/>
      <c r="I8" s="999"/>
      <c r="J8" s="999"/>
      <c r="K8" s="1080"/>
      <c r="AA8" s="981"/>
      <c r="AB8" s="981"/>
      <c r="AC8" s="981"/>
      <c r="AD8" s="981"/>
      <c r="AE8" s="981"/>
    </row>
    <row r="9" s="971" customFormat="1" ht="13.5" customHeight="1" spans="1:31">
      <c r="A9" s="998" t="s">
        <v>857</v>
      </c>
      <c r="B9" s="785" t="s">
        <v>470</v>
      </c>
      <c r="C9" s="1001">
        <f>SUMIF('数据-汇总表'!$C19:$C33,'剩余法-待开发-共有产'!C7,'数据-汇总表'!$E19:$E33)</f>
        <v>56088.63</v>
      </c>
      <c r="D9" s="1001">
        <f>SUMIF('数据-汇总表'!$C19:$C33,'剩余法-待开发-共有产'!D7,'数据-汇总表'!$E19:$E33)</f>
        <v>0</v>
      </c>
      <c r="E9" s="1001">
        <f>SUMIF('数据-汇总表'!$C19:$C33,'剩余法-待开发-共有产'!E7,'数据-汇总表'!$E19:$E33)</f>
        <v>0</v>
      </c>
      <c r="F9" s="1001">
        <f>SUMIF('数据-汇总表'!$C19:$C33,'剩余法-待开发-共有产'!F7,'数据-汇总表'!$E19:$E33)</f>
        <v>0</v>
      </c>
      <c r="G9" s="1001">
        <f>SUMIF('数据-汇总表'!$C19:$C33,'剩余法-待开发-共有产'!G7,'数据-汇总表'!$E19:$E33)</f>
        <v>0</v>
      </c>
      <c r="H9" s="1001">
        <f>SUMIF('数据-汇总表'!$C19:$C33,'剩余法-待开发-共有产'!H7,'数据-汇总表'!$E19:$E33)</f>
        <v>0</v>
      </c>
      <c r="I9" s="1001">
        <f>SUMIF('数据-汇总表'!$C19:$C33,'剩余法-待开发-共有产'!I7,'数据-汇总表'!$E19:$E33)</f>
        <v>0</v>
      </c>
      <c r="J9" s="1001">
        <f>SUMIF('数据-汇总表'!$C19:$C33,'剩余法-待开发-共有产'!J7,'数据-汇总表'!$E19:$E33)</f>
        <v>0</v>
      </c>
      <c r="K9" s="1081">
        <f>SUMIF('数据-汇总表'!$C19:$C33,'剩余法-待开发-共有产'!K7,'数据-汇总表'!$E19:$E33)</f>
        <v>0</v>
      </c>
      <c r="AA9" s="981"/>
      <c r="AB9" s="981"/>
      <c r="AC9" s="981"/>
      <c r="AD9" s="981"/>
      <c r="AE9" s="981"/>
    </row>
    <row r="10" s="971" customFormat="1" ht="13.5" customHeight="1" spans="1:31">
      <c r="A10" s="1002" t="s">
        <v>1061</v>
      </c>
      <c r="B10" s="1003" t="s">
        <v>1062</v>
      </c>
      <c r="C10" s="1143">
        <f>ROUND(C8*C9/10000,0)</f>
        <v>89666</v>
      </c>
      <c r="D10" s="1143"/>
      <c r="E10" s="1143"/>
      <c r="F10" s="1143"/>
      <c r="G10" s="1005"/>
      <c r="H10" s="1005"/>
      <c r="I10" s="1005"/>
      <c r="J10" s="1005"/>
      <c r="K10" s="1082"/>
      <c r="N10" s="971" t="s">
        <v>2341</v>
      </c>
      <c r="AA10" s="981"/>
      <c r="AB10" s="981"/>
      <c r="AC10" s="981"/>
      <c r="AD10" s="981"/>
      <c r="AE10" s="981"/>
    </row>
    <row r="11" s="969" customFormat="1" ht="16.5" customHeight="1" spans="1:26">
      <c r="A11" s="1006" t="s">
        <v>2090</v>
      </c>
      <c r="B11" s="993"/>
      <c r="C11" s="993"/>
      <c r="D11" s="993"/>
      <c r="E11" s="993"/>
      <c r="F11" s="993"/>
      <c r="G11" s="993"/>
      <c r="H11" s="993"/>
      <c r="I11" s="993"/>
      <c r="J11" s="993"/>
      <c r="K11" s="1077"/>
      <c r="L11" s="1078"/>
      <c r="M11" s="1078"/>
      <c r="N11" s="1078"/>
      <c r="O11" s="1078"/>
      <c r="P11" s="1078"/>
      <c r="Q11" s="1078"/>
      <c r="R11" s="1078"/>
      <c r="S11" s="1078"/>
      <c r="T11" s="1078"/>
      <c r="U11" s="1078"/>
      <c r="V11" s="1078"/>
      <c r="W11" s="1078"/>
      <c r="X11" s="1078"/>
      <c r="Y11" s="1078"/>
      <c r="Z11" s="1078"/>
    </row>
    <row r="12" s="837" customFormat="1" ht="13.5" customHeight="1" spans="1:26">
      <c r="A12" s="1007" t="s">
        <v>1058</v>
      </c>
      <c r="B12" s="1008" t="s">
        <v>1059</v>
      </c>
      <c r="C12" s="1009" t="s">
        <v>1064</v>
      </c>
      <c r="D12" s="1010" t="s">
        <v>1065</v>
      </c>
      <c r="E12" s="1010" t="s">
        <v>1066</v>
      </c>
      <c r="F12" s="1010" t="s">
        <v>1067</v>
      </c>
      <c r="G12" s="1008"/>
      <c r="H12" s="1011"/>
      <c r="I12" s="1011"/>
      <c r="J12" s="1011"/>
      <c r="K12" s="1083"/>
      <c r="L12" s="1084"/>
      <c r="M12" s="1084"/>
      <c r="N12" s="1084"/>
      <c r="O12" s="1084"/>
      <c r="P12" s="1084"/>
      <c r="Q12" s="1084"/>
      <c r="R12" s="1084"/>
      <c r="S12" s="1084"/>
      <c r="T12" s="1084"/>
      <c r="U12" s="1084"/>
      <c r="V12" s="1084"/>
      <c r="W12" s="1084"/>
      <c r="X12" s="1084"/>
      <c r="Y12" s="1084"/>
      <c r="Z12" s="1084"/>
    </row>
    <row r="13" s="972" customFormat="1" ht="13.5" customHeight="1" spans="1:26">
      <c r="A13" s="1012" t="s">
        <v>879</v>
      </c>
      <c r="B13" s="1013" t="s">
        <v>1068</v>
      </c>
      <c r="C13" s="1014">
        <f>ROUND(('数据-取费表'!K7+'数据-取费表'!L25)*'数据-取费表'!L7/10000,0)</f>
        <v>22435</v>
      </c>
      <c r="D13" s="1015"/>
      <c r="E13" s="80"/>
      <c r="F13" s="1016"/>
      <c r="G13" s="1008"/>
      <c r="H13" s="1011"/>
      <c r="I13" s="1011"/>
      <c r="J13" s="1011"/>
      <c r="K13" s="1083"/>
      <c r="L13" s="973"/>
      <c r="M13" s="973"/>
      <c r="N13" s="973"/>
      <c r="O13" s="973"/>
      <c r="P13" s="973"/>
      <c r="Q13" s="973"/>
      <c r="R13" s="973"/>
      <c r="S13" s="973"/>
      <c r="T13" s="973"/>
      <c r="U13" s="973"/>
      <c r="V13" s="973"/>
      <c r="W13" s="973"/>
      <c r="X13" s="973"/>
      <c r="Y13" s="973"/>
      <c r="Z13" s="973"/>
    </row>
    <row r="14" s="972" customFormat="1" ht="13.5" customHeight="1" spans="1:26">
      <c r="A14" s="1012" t="s">
        <v>1069</v>
      </c>
      <c r="B14" s="1013" t="s">
        <v>1070</v>
      </c>
      <c r="C14" s="125">
        <f>ROUND(C13*F14,0)</f>
        <v>673</v>
      </c>
      <c r="D14" s="1015"/>
      <c r="E14" s="80"/>
      <c r="F14" s="1017">
        <f>'数据-取费表'!B33</f>
        <v>0.03</v>
      </c>
      <c r="G14" s="1008" t="s">
        <v>1071</v>
      </c>
      <c r="H14" s="1011"/>
      <c r="I14" s="1011"/>
      <c r="J14" s="1011"/>
      <c r="K14" s="1083"/>
      <c r="L14" s="973"/>
      <c r="M14" s="973"/>
      <c r="N14" s="973"/>
      <c r="O14" s="973"/>
      <c r="P14" s="973"/>
      <c r="Q14" s="973"/>
      <c r="R14" s="973"/>
      <c r="S14" s="973"/>
      <c r="T14" s="973"/>
      <c r="U14" s="973"/>
      <c r="V14" s="973"/>
      <c r="W14" s="973"/>
      <c r="X14" s="973"/>
      <c r="Y14" s="973"/>
      <c r="Z14" s="973"/>
    </row>
    <row r="15" s="972" customFormat="1" ht="13.5" customHeight="1" spans="1:26">
      <c r="A15" s="1012" t="s">
        <v>1072</v>
      </c>
      <c r="B15" s="1013" t="s">
        <v>1073</v>
      </c>
      <c r="C15" s="125">
        <f ca="1">ROUND(IF(B1="",SUMIF('数据-取费表'!C:C,"住宅",'数据-取费表'!P:P)*F15,IF(INDIRECT("'数据-取费表'!c"&amp;$K$1)="住宅",INDIRECT("'数据-取费表'!P"&amp;$K$1)*F15,0)),0)</f>
        <v>1122</v>
      </c>
      <c r="D15" s="1015"/>
      <c r="E15" s="80"/>
      <c r="F15" s="1017">
        <f>'数据-取费表'!B34</f>
        <v>0.05</v>
      </c>
      <c r="G15" s="1008" t="s">
        <v>2091</v>
      </c>
      <c r="H15" s="1011"/>
      <c r="I15" s="1011"/>
      <c r="J15" s="1011"/>
      <c r="K15" s="1083"/>
      <c r="L15" s="973"/>
      <c r="M15" s="973"/>
      <c r="N15" s="973"/>
      <c r="O15" s="973"/>
      <c r="P15" s="973"/>
      <c r="Q15" s="973"/>
      <c r="R15" s="973"/>
      <c r="S15" s="973"/>
      <c r="T15" s="973"/>
      <c r="U15" s="973"/>
      <c r="V15" s="973"/>
      <c r="W15" s="973"/>
      <c r="X15" s="973"/>
      <c r="Y15" s="973"/>
      <c r="Z15" s="973"/>
    </row>
    <row r="16" s="973" customFormat="1" ht="13.5" customHeight="1" spans="1:31">
      <c r="A16" s="1012" t="s">
        <v>1074</v>
      </c>
      <c r="B16" s="1013" t="s">
        <v>1075</v>
      </c>
      <c r="C16" s="125">
        <f t="shared" ref="C16:C22" si="0">ROUND(D16*E16/10000,0)</f>
        <v>1711</v>
      </c>
      <c r="D16" s="1015">
        <f>'数据-取费表'!K7</f>
        <v>56088.63</v>
      </c>
      <c r="E16" s="125">
        <f>'数据-取费表'!B35</f>
        <v>305</v>
      </c>
      <c r="F16" s="1017"/>
      <c r="G16" s="1008"/>
      <c r="H16" s="1011"/>
      <c r="I16" s="1011"/>
      <c r="J16" s="1011"/>
      <c r="K16" s="1083"/>
      <c r="AA16" s="972"/>
      <c r="AB16" s="972"/>
      <c r="AC16" s="972"/>
      <c r="AD16" s="972"/>
      <c r="AE16" s="972"/>
    </row>
    <row r="17" s="972" customFormat="1" ht="13.5" customHeight="1" spans="1:26">
      <c r="A17" s="1012" t="s">
        <v>1076</v>
      </c>
      <c r="B17" s="1013" t="s">
        <v>1077</v>
      </c>
      <c r="C17" s="1018">
        <f>ROUND(C13*F17,0)</f>
        <v>337</v>
      </c>
      <c r="D17" s="1019"/>
      <c r="E17" s="1018"/>
      <c r="F17" s="1020">
        <f>'数据-取费表'!B36</f>
        <v>0.015</v>
      </c>
      <c r="G17" s="785" t="s">
        <v>2092</v>
      </c>
      <c r="H17" s="1021"/>
      <c r="I17" s="1021"/>
      <c r="J17" s="1021"/>
      <c r="K17" s="1085"/>
      <c r="L17" s="973"/>
      <c r="M17" s="973"/>
      <c r="N17" s="973"/>
      <c r="O17" s="973"/>
      <c r="P17" s="973"/>
      <c r="Q17" s="973"/>
      <c r="R17" s="973"/>
      <c r="S17" s="973"/>
      <c r="T17" s="973"/>
      <c r="U17" s="973"/>
      <c r="V17" s="973"/>
      <c r="W17" s="973"/>
      <c r="X17" s="973"/>
      <c r="Y17" s="973"/>
      <c r="Z17" s="973"/>
    </row>
    <row r="18" s="972" customFormat="1" ht="13.5" customHeight="1" spans="1:26">
      <c r="A18" s="1022" t="s">
        <v>1078</v>
      </c>
      <c r="B18" s="1023" t="s">
        <v>1079</v>
      </c>
      <c r="C18" s="1024">
        <f ca="1">SUM(C13:C17)</f>
        <v>26278</v>
      </c>
      <c r="D18" s="1025"/>
      <c r="E18" s="1026"/>
      <c r="F18" s="1026"/>
      <c r="G18" s="1027" t="s">
        <v>2093</v>
      </c>
      <c r="H18" s="1028"/>
      <c r="I18" s="1028"/>
      <c r="J18" s="1028"/>
      <c r="K18" s="1086"/>
      <c r="L18" s="973"/>
      <c r="M18" s="973">
        <v>55</v>
      </c>
      <c r="N18" s="973"/>
      <c r="O18" s="973"/>
      <c r="P18" s="973"/>
      <c r="Q18" s="973"/>
      <c r="R18" s="973"/>
      <c r="S18" s="973"/>
      <c r="T18" s="973"/>
      <c r="U18" s="973"/>
      <c r="V18" s="973"/>
      <c r="W18" s="973"/>
      <c r="X18" s="973"/>
      <c r="Y18" s="973"/>
      <c r="Z18" s="973"/>
    </row>
    <row r="19" s="972" customFormat="1" ht="13.5" customHeight="1" spans="1:26">
      <c r="A19" s="1022" t="s">
        <v>1081</v>
      </c>
      <c r="B19" s="1023" t="s">
        <v>2094</v>
      </c>
      <c r="C19" s="1010">
        <f t="shared" si="0"/>
        <v>0</v>
      </c>
      <c r="D19" s="1029">
        <f>D16</f>
        <v>56088.63</v>
      </c>
      <c r="E19" s="1010">
        <f>'数据-取费表'!B32</f>
        <v>0</v>
      </c>
      <c r="F19" s="1026"/>
      <c r="G19" s="1008" t="s">
        <v>2095</v>
      </c>
      <c r="H19" s="1011"/>
      <c r="I19" s="1028"/>
      <c r="J19" s="1028"/>
      <c r="K19" s="1086"/>
      <c r="L19" s="973"/>
      <c r="M19" s="973">
        <v>60</v>
      </c>
      <c r="N19" s="973"/>
      <c r="O19" s="973"/>
      <c r="P19" s="973"/>
      <c r="Q19" s="973"/>
      <c r="R19" s="973"/>
      <c r="S19" s="973"/>
      <c r="T19" s="973"/>
      <c r="U19" s="973"/>
      <c r="V19" s="973"/>
      <c r="W19" s="973"/>
      <c r="X19" s="973"/>
      <c r="Y19" s="973"/>
      <c r="Z19" s="973"/>
    </row>
    <row r="20" s="972" customFormat="1" ht="13.5" customHeight="1" spans="1:26">
      <c r="A20" s="1022" t="s">
        <v>1084</v>
      </c>
      <c r="B20" s="1023" t="s">
        <v>2096</v>
      </c>
      <c r="C20" s="1010">
        <f ca="1">C21+C22-IF(B1="",'数据-取费表'!B29,IF(G20="已全部缴纳",C21+C22,H20))</f>
        <v>1010</v>
      </c>
      <c r="D20" s="1029"/>
      <c r="E20" s="1010"/>
      <c r="F20" s="1030"/>
      <c r="G20" s="1031" t="s">
        <v>2097</v>
      </c>
      <c r="H20" s="1032">
        <v>0</v>
      </c>
      <c r="I20" s="1087" t="s">
        <v>1112</v>
      </c>
      <c r="J20" s="1028"/>
      <c r="K20" s="1086"/>
      <c r="L20" s="973"/>
      <c r="M20" s="973">
        <f>M18/M19</f>
        <v>0.916666666666667</v>
      </c>
      <c r="N20" s="973"/>
      <c r="O20" s="973"/>
      <c r="P20" s="973"/>
      <c r="Q20" s="973"/>
      <c r="R20" s="973"/>
      <c r="S20" s="973"/>
      <c r="T20" s="973"/>
      <c r="U20" s="973"/>
      <c r="V20" s="973"/>
      <c r="W20" s="973"/>
      <c r="X20" s="973"/>
      <c r="Y20" s="973"/>
      <c r="Z20" s="973"/>
    </row>
    <row r="21" s="972" customFormat="1" ht="13.5" customHeight="1" spans="1:26">
      <c r="A21" s="1012" t="s">
        <v>879</v>
      </c>
      <c r="B21" s="1013" t="s">
        <v>2098</v>
      </c>
      <c r="C21" s="125">
        <f ca="1" t="shared" si="0"/>
        <v>1010</v>
      </c>
      <c r="D21" s="1015">
        <f ca="1">IF(B1="",'数据-汇总表'!E5,IF(INDIRECT("'数据-取费表'!c"&amp;$K$1)="住宅",INDIRECT("'数据-取费表'!k"&amp;$K$1),0))</f>
        <v>56088.63</v>
      </c>
      <c r="E21" s="125">
        <f>'数据-取费表'!B27</f>
        <v>180</v>
      </c>
      <c r="F21" s="1017"/>
      <c r="G21" s="857"/>
      <c r="H21" s="1033"/>
      <c r="I21" s="1033"/>
      <c r="J21" s="1033"/>
      <c r="K21" s="1088"/>
      <c r="L21" s="973"/>
      <c r="M21" s="973"/>
      <c r="N21" s="973"/>
      <c r="O21" s="973"/>
      <c r="P21" s="973"/>
      <c r="Q21" s="973"/>
      <c r="R21" s="973"/>
      <c r="S21" s="973"/>
      <c r="T21" s="973"/>
      <c r="U21" s="973"/>
      <c r="V21" s="973"/>
      <c r="W21" s="973"/>
      <c r="X21" s="973"/>
      <c r="Y21" s="973"/>
      <c r="Z21" s="973"/>
    </row>
    <row r="22" s="972" customFormat="1" ht="13.5" customHeight="1" spans="1:26">
      <c r="A22" s="1012" t="s">
        <v>883</v>
      </c>
      <c r="B22" s="1013" t="s">
        <v>2099</v>
      </c>
      <c r="C22" s="125">
        <f t="shared" si="0"/>
        <v>0</v>
      </c>
      <c r="D22" s="1015">
        <f>'数据-取费表'!L25</f>
        <v>0</v>
      </c>
      <c r="E22" s="125">
        <f>'数据-取费表'!B28</f>
        <v>160</v>
      </c>
      <c r="F22" s="1017"/>
      <c r="G22" s="857"/>
      <c r="H22" s="1033"/>
      <c r="I22" s="1033"/>
      <c r="J22" s="1033"/>
      <c r="K22" s="1088"/>
      <c r="L22" s="973"/>
      <c r="M22" s="973"/>
      <c r="N22" s="973"/>
      <c r="O22" s="973"/>
      <c r="P22" s="973"/>
      <c r="Q22" s="973"/>
      <c r="R22" s="973"/>
      <c r="S22" s="973"/>
      <c r="T22" s="973"/>
      <c r="U22" s="973"/>
      <c r="V22" s="973"/>
      <c r="W22" s="973"/>
      <c r="X22" s="973"/>
      <c r="Y22" s="973"/>
      <c r="Z22" s="973"/>
    </row>
    <row r="23" s="972" customFormat="1" ht="13.5" customHeight="1" spans="1:26">
      <c r="A23" s="1022" t="s">
        <v>2100</v>
      </c>
      <c r="B23" s="1034" t="s">
        <v>2101</v>
      </c>
      <c r="C23" s="1024">
        <f ca="1">ROUND((C18+C19+C20)*F23,0)</f>
        <v>819</v>
      </c>
      <c r="D23" s="1026"/>
      <c r="E23" s="1026"/>
      <c r="F23" s="1144">
        <f>'数据-取费表'!B37</f>
        <v>0.03</v>
      </c>
      <c r="G23" s="1008" t="s">
        <v>2102</v>
      </c>
      <c r="H23" s="1011"/>
      <c r="I23" s="1011"/>
      <c r="J23" s="1011"/>
      <c r="K23" s="1083"/>
      <c r="L23" s="1089"/>
      <c r="M23" s="1089"/>
      <c r="N23" s="1089"/>
      <c r="O23" s="973"/>
      <c r="P23" s="973"/>
      <c r="Q23" s="973"/>
      <c r="R23" s="973"/>
      <c r="S23" s="973"/>
      <c r="T23" s="973"/>
      <c r="U23" s="973"/>
      <c r="V23" s="973"/>
      <c r="W23" s="973"/>
      <c r="X23" s="973"/>
      <c r="Y23" s="973"/>
      <c r="Z23" s="973"/>
    </row>
    <row r="24" s="972" customFormat="1" ht="13.5" customHeight="1" spans="1:26">
      <c r="A24" s="1022" t="s">
        <v>1089</v>
      </c>
      <c r="B24" s="1034" t="s">
        <v>2103</v>
      </c>
      <c r="C24" s="1235">
        <f>ROUND(C6*F24,0)</f>
        <v>2690</v>
      </c>
      <c r="D24" s="1019"/>
      <c r="E24" s="1036"/>
      <c r="F24" s="1144">
        <f>'数据-取费表'!B38</f>
        <v>0.03</v>
      </c>
      <c r="G24" s="1037" t="s">
        <v>2104</v>
      </c>
      <c r="H24" s="1021"/>
      <c r="I24" s="1021"/>
      <c r="J24" s="1021"/>
      <c r="K24" s="1085"/>
      <c r="L24" s="1089"/>
      <c r="M24" s="1089"/>
      <c r="N24" s="1089"/>
      <c r="O24" s="973"/>
      <c r="P24" s="973"/>
      <c r="Q24" s="973"/>
      <c r="R24" s="973"/>
      <c r="S24" s="973"/>
      <c r="T24" s="973"/>
      <c r="U24" s="973"/>
      <c r="V24" s="973"/>
      <c r="W24" s="973"/>
      <c r="X24" s="973"/>
      <c r="Y24" s="973"/>
      <c r="Z24" s="973"/>
    </row>
    <row r="25" s="974" customFormat="1" ht="13.5" customHeight="1" spans="1:26">
      <c r="A25" s="1022" t="s">
        <v>1091</v>
      </c>
      <c r="B25" s="1034" t="s">
        <v>2105</v>
      </c>
      <c r="C25" s="1038">
        <f>F25</f>
        <v>0.0305</v>
      </c>
      <c r="D25" s="1039" t="s">
        <v>2106</v>
      </c>
      <c r="E25" s="1040"/>
      <c r="F25" s="1035">
        <f>'数据-取费表'!B48+'数据-取费表'!B49</f>
        <v>0.0305</v>
      </c>
      <c r="G25" s="1041" t="s">
        <v>2107</v>
      </c>
      <c r="H25" s="1011"/>
      <c r="I25" s="1011"/>
      <c r="J25" s="1011"/>
      <c r="K25" s="1083"/>
      <c r="L25" s="1090"/>
      <c r="M25" s="1090"/>
      <c r="N25" s="1090"/>
      <c r="O25" s="1090"/>
      <c r="P25" s="1090"/>
      <c r="Q25" s="1090"/>
      <c r="R25" s="1090"/>
      <c r="S25" s="1090"/>
      <c r="T25" s="1090"/>
      <c r="U25" s="1090"/>
      <c r="V25" s="1090"/>
      <c r="W25" s="1090"/>
      <c r="X25" s="1090"/>
      <c r="Y25" s="1090"/>
      <c r="Z25" s="1090"/>
    </row>
    <row r="26" s="975" customFormat="1" ht="13.5" customHeight="1" spans="1:26">
      <c r="A26" s="1022" t="s">
        <v>2108</v>
      </c>
      <c r="B26" s="1042" t="s">
        <v>2109</v>
      </c>
      <c r="C26" s="1043">
        <f ca="1">C28</f>
        <v>1463</v>
      </c>
      <c r="D26" s="1044">
        <f ca="1">C27</f>
        <v>0.1002</v>
      </c>
      <c r="E26" s="1040" t="s">
        <v>2106</v>
      </c>
      <c r="F26" s="1045">
        <f ca="1">'数据-取费表'!B40</f>
        <v>0.0475</v>
      </c>
      <c r="G26" s="790" t="str">
        <f>IF('数据-取费表'!B22&lt;=1,"单利计息。","复利计息。")&amp;"后续开发成本、管理费用及销售费用产生的利息。"</f>
        <v>复利计息。后续开发成本、管理费用及销售费用产生的利息。</v>
      </c>
      <c r="H26" s="1028"/>
      <c r="I26" s="1028"/>
      <c r="J26" s="1028"/>
      <c r="K26" s="1086"/>
      <c r="L26" s="1089"/>
      <c r="M26" s="1089"/>
      <c r="N26" s="1089"/>
      <c r="O26" s="1089"/>
      <c r="P26" s="1089"/>
      <c r="Q26" s="1089"/>
      <c r="R26" s="1089"/>
      <c r="S26" s="1089"/>
      <c r="T26" s="1089"/>
      <c r="U26" s="1089"/>
      <c r="V26" s="1089"/>
      <c r="W26" s="1089"/>
      <c r="X26" s="1089"/>
      <c r="Y26" s="1089"/>
      <c r="Z26" s="1089"/>
    </row>
    <row r="27" s="976" customFormat="1" ht="13.5" customHeight="1" spans="1:26">
      <c r="A27" s="998" t="s">
        <v>879</v>
      </c>
      <c r="B27" s="1046" t="s">
        <v>2110</v>
      </c>
      <c r="C27" s="1047">
        <f ca="1">ROUND(IF('数据-取费表'!B22&lt;=1,(1+C25)*F26*'数据-取费表'!B24,(1+C25)*(POWER((1+F26),'数据-取费表'!B24)-1)),4)</f>
        <v>0.1002</v>
      </c>
      <c r="D27" s="1048"/>
      <c r="E27" s="1036"/>
      <c r="F27" s="1049"/>
      <c r="G27" s="790" t="str">
        <f>IF('数据-取费表'!B22&lt;=1,"（1+取得税费率/(1+5%)）×年利率×建设期","（1+取得税费率）/(1+5%)×((1+年利率)^建设期-1)")</f>
        <v>（1+取得税费率）/(1+5%)×((1+年利率)^建设期-1)</v>
      </c>
      <c r="H27" s="1021"/>
      <c r="I27" s="1021"/>
      <c r="J27" s="1021"/>
      <c r="K27" s="1085"/>
      <c r="L27" s="1091"/>
      <c r="M27" s="1091"/>
      <c r="N27" s="1091"/>
      <c r="O27" s="1091"/>
      <c r="P27" s="1091"/>
      <c r="Q27" s="1091"/>
      <c r="R27" s="1091"/>
      <c r="S27" s="1091"/>
      <c r="T27" s="1091"/>
      <c r="U27" s="1091"/>
      <c r="V27" s="1091"/>
      <c r="W27" s="1091"/>
      <c r="X27" s="1091"/>
      <c r="Y27" s="1091"/>
      <c r="Z27" s="1091"/>
    </row>
    <row r="28" s="976" customFormat="1" ht="13.5" customHeight="1" spans="1:26">
      <c r="A28" s="998" t="s">
        <v>883</v>
      </c>
      <c r="B28" s="1046" t="s">
        <v>2111</v>
      </c>
      <c r="C28" s="1050">
        <f ca="1">ROUND(IF('数据-取费表'!B22&lt;=1,(C18+C19+C20+C23+C24)*F26*'数据-取费表'!B24/2,(C18+C19+C20+C23+C24)*(POWER((1+F26),'数据-取费表'!B24/2)-1)),0)</f>
        <v>1463</v>
      </c>
      <c r="D28" s="1048"/>
      <c r="E28" s="1036"/>
      <c r="F28" s="1049"/>
      <c r="G28" s="790" t="str">
        <f>IF('数据-取费表'!B22&lt;=1,"（1）-（4）项×年利率×建设期÷2","（1）-（4）项×((1+年利率)^(建设期÷2)-1)")</f>
        <v>（1）-（4）项×((1+年利率)^(建设期÷2)-1)</v>
      </c>
      <c r="H28" s="1021"/>
      <c r="I28" s="1021"/>
      <c r="J28" s="1021"/>
      <c r="K28" s="1085"/>
      <c r="L28" s="1091"/>
      <c r="M28" s="1091"/>
      <c r="N28" s="1091"/>
      <c r="O28" s="1091"/>
      <c r="P28" s="1091"/>
      <c r="Q28" s="1091"/>
      <c r="R28" s="1091"/>
      <c r="S28" s="1091"/>
      <c r="T28" s="1091"/>
      <c r="U28" s="1091"/>
      <c r="V28" s="1091"/>
      <c r="W28" s="1091"/>
      <c r="X28" s="1091"/>
      <c r="Y28" s="1091"/>
      <c r="Z28" s="1091"/>
    </row>
    <row r="29" s="976" customFormat="1" ht="13.5" customHeight="1" spans="1:26">
      <c r="A29" s="1051" t="s">
        <v>2112</v>
      </c>
      <c r="B29" s="1023" t="s">
        <v>2113</v>
      </c>
      <c r="C29" s="1235">
        <f>ROUND(C6*F29/(1+'数据-取费表'!C42),0)</f>
        <v>4782</v>
      </c>
      <c r="D29" s="1026"/>
      <c r="E29" s="1026"/>
      <c r="F29" s="1052">
        <f>'数据-取费表'!B41</f>
        <v>0.056</v>
      </c>
      <c r="G29" s="1037" t="s">
        <v>2114</v>
      </c>
      <c r="H29" s="1011"/>
      <c r="I29" s="1011"/>
      <c r="J29" s="1011"/>
      <c r="K29" s="1083"/>
      <c r="L29" s="1091"/>
      <c r="M29" s="1091"/>
      <c r="N29" s="1091"/>
      <c r="O29" s="1091"/>
      <c r="P29" s="1091"/>
      <c r="Q29" s="1091"/>
      <c r="R29" s="1091"/>
      <c r="S29" s="1091"/>
      <c r="T29" s="1091"/>
      <c r="U29" s="1091"/>
      <c r="V29" s="1091"/>
      <c r="W29" s="1091"/>
      <c r="X29" s="1091"/>
      <c r="Y29" s="1091"/>
      <c r="Z29" s="1091"/>
    </row>
    <row r="30" s="977" customFormat="1" ht="13.5" customHeight="1" spans="1:26">
      <c r="A30" s="1053" t="s">
        <v>2115</v>
      </c>
      <c r="B30" s="1054" t="s">
        <v>2116</v>
      </c>
      <c r="C30" s="1043">
        <f ca="1">C31</f>
        <v>37042</v>
      </c>
      <c r="D30" s="1055">
        <f ca="1">C32</f>
        <v>0.1307</v>
      </c>
      <c r="E30" s="1040" t="s">
        <v>2106</v>
      </c>
      <c r="F30" s="1045"/>
      <c r="G30" s="1041" t="s">
        <v>2117</v>
      </c>
      <c r="H30" s="1011"/>
      <c r="I30" s="1011"/>
      <c r="J30" s="1011"/>
      <c r="K30" s="1083"/>
      <c r="L30" s="1092"/>
      <c r="M30" s="1092"/>
      <c r="N30" s="1092"/>
      <c r="O30" s="1092"/>
      <c r="P30" s="1092"/>
      <c r="Q30" s="1092"/>
      <c r="R30" s="1092"/>
      <c r="S30" s="1092"/>
      <c r="T30" s="1092"/>
      <c r="U30" s="1092"/>
      <c r="V30" s="1092"/>
      <c r="W30" s="1092"/>
      <c r="X30" s="1092"/>
      <c r="Y30" s="1092"/>
      <c r="Z30" s="1092"/>
    </row>
    <row r="31" s="976" customFormat="1" ht="13.5" customHeight="1" spans="1:26">
      <c r="A31" s="998" t="s">
        <v>879</v>
      </c>
      <c r="B31" s="1046"/>
      <c r="C31" s="1014">
        <f ca="1">C18+C19+C20+C23+C24+C26+C29</f>
        <v>37042</v>
      </c>
      <c r="D31" s="1048"/>
      <c r="E31" s="1036"/>
      <c r="F31" s="1049"/>
      <c r="G31" s="785"/>
      <c r="H31" s="1021"/>
      <c r="I31" s="1021"/>
      <c r="J31" s="1021"/>
      <c r="K31" s="1085"/>
      <c r="L31" s="1091"/>
      <c r="M31" s="1091"/>
      <c r="N31" s="1091"/>
      <c r="O31" s="1091"/>
      <c r="P31" s="1091"/>
      <c r="Q31" s="1091"/>
      <c r="R31" s="1091"/>
      <c r="S31" s="1091"/>
      <c r="T31" s="1091"/>
      <c r="U31" s="1091"/>
      <c r="V31" s="1091"/>
      <c r="W31" s="1091"/>
      <c r="X31" s="1091"/>
      <c r="Y31" s="1091"/>
      <c r="Z31" s="1091"/>
    </row>
    <row r="32" s="976" customFormat="1" ht="13.5" customHeight="1" spans="1:26">
      <c r="A32" s="998" t="s">
        <v>883</v>
      </c>
      <c r="B32" s="1046"/>
      <c r="C32" s="125">
        <f ca="1">ROUND(C25+D26,4)</f>
        <v>0.1307</v>
      </c>
      <c r="D32" s="1048"/>
      <c r="E32" s="1036"/>
      <c r="F32" s="1049"/>
      <c r="G32" s="785"/>
      <c r="H32" s="1021"/>
      <c r="I32" s="1021"/>
      <c r="J32" s="1021"/>
      <c r="K32" s="1085"/>
      <c r="L32" s="1091"/>
      <c r="M32" s="1091"/>
      <c r="N32" s="1091"/>
      <c r="O32" s="1091"/>
      <c r="P32" s="1091"/>
      <c r="Q32" s="1091"/>
      <c r="R32" s="1091"/>
      <c r="S32" s="1091"/>
      <c r="T32" s="1091"/>
      <c r="U32" s="1091"/>
      <c r="V32" s="1091"/>
      <c r="W32" s="1091"/>
      <c r="X32" s="1091"/>
      <c r="Y32" s="1091"/>
      <c r="Z32" s="1091"/>
    </row>
    <row r="33" s="978" customFormat="1" ht="13.5" customHeight="1" spans="1:26">
      <c r="A33" s="1056" t="s">
        <v>2118</v>
      </c>
      <c r="B33" s="1057" t="s">
        <v>1087</v>
      </c>
      <c r="C33" s="1058">
        <f ca="1">C35</f>
        <v>4620</v>
      </c>
      <c r="D33" s="1044">
        <f ca="1">C34</f>
        <v>0.1546</v>
      </c>
      <c r="E33" s="1040" t="s">
        <v>2106</v>
      </c>
      <c r="F33" s="1059">
        <f ca="1">IF(B1="",'数据-取费表'!Q16,INDIRECT("'数据-取费表'!q"&amp;$K$1))</f>
        <v>0.15</v>
      </c>
      <c r="G33" s="1027"/>
      <c r="H33" s="1028"/>
      <c r="I33" s="1028"/>
      <c r="J33" s="1028"/>
      <c r="K33" s="1086"/>
      <c r="L33" s="1093"/>
      <c r="M33" s="1093"/>
      <c r="N33" s="1093"/>
      <c r="O33" s="1093"/>
      <c r="P33" s="1093"/>
      <c r="Q33" s="1093"/>
      <c r="R33" s="1093"/>
      <c r="S33" s="1093"/>
      <c r="T33" s="1093"/>
      <c r="U33" s="1093"/>
      <c r="V33" s="1093"/>
      <c r="W33" s="1093"/>
      <c r="X33" s="1093"/>
      <c r="Y33" s="1093"/>
      <c r="Z33" s="1093"/>
    </row>
    <row r="34" s="979" customFormat="1" ht="13.5" customHeight="1" spans="1:26">
      <c r="A34" s="1060" t="s">
        <v>879</v>
      </c>
      <c r="B34" s="1061" t="s">
        <v>2119</v>
      </c>
      <c r="C34" s="1048">
        <f ca="1">ROUND((1+C25)*F33,4)</f>
        <v>0.1546</v>
      </c>
      <c r="D34" s="1048"/>
      <c r="E34" s="1036"/>
      <c r="F34" s="1062"/>
      <c r="G34" s="785" t="s">
        <v>2120</v>
      </c>
      <c r="H34" s="1021"/>
      <c r="I34" s="1021"/>
      <c r="J34" s="1021"/>
      <c r="K34" s="1085"/>
      <c r="L34" s="1094"/>
      <c r="M34" s="1094"/>
      <c r="N34" s="1094"/>
      <c r="O34" s="1094"/>
      <c r="P34" s="1094"/>
      <c r="Q34" s="1094"/>
      <c r="R34" s="1094"/>
      <c r="S34" s="1094"/>
      <c r="T34" s="1094"/>
      <c r="U34" s="1094"/>
      <c r="V34" s="1094"/>
      <c r="W34" s="1094"/>
      <c r="X34" s="1094"/>
      <c r="Y34" s="1094"/>
      <c r="Z34" s="1094"/>
    </row>
    <row r="35" s="979" customFormat="1" ht="13.5" customHeight="1" spans="1:26">
      <c r="A35" s="1063" t="s">
        <v>883</v>
      </c>
      <c r="B35" s="1064" t="s">
        <v>2121</v>
      </c>
      <c r="C35" s="1065">
        <f ca="1">ROUND((C18+C19+C20+C23+C24)*F33,0)</f>
        <v>4620</v>
      </c>
      <c r="D35" s="1066"/>
      <c r="E35" s="1067"/>
      <c r="F35" s="1068"/>
      <c r="G35" s="1003"/>
      <c r="H35" s="1069"/>
      <c r="I35" s="1069"/>
      <c r="J35" s="1069"/>
      <c r="K35" s="1095"/>
      <c r="L35" s="1094"/>
      <c r="M35" s="1094"/>
      <c r="N35" s="1094"/>
      <c r="O35" s="1094"/>
      <c r="P35" s="1094"/>
      <c r="Q35" s="1094"/>
      <c r="R35" s="1094"/>
      <c r="S35" s="1094"/>
      <c r="T35" s="1094"/>
      <c r="U35" s="1094"/>
      <c r="V35" s="1094"/>
      <c r="W35" s="1094"/>
      <c r="X35" s="1094"/>
      <c r="Y35" s="1094"/>
      <c r="Z35" s="1094"/>
    </row>
    <row r="36" s="837" customFormat="1" ht="13.5" customHeight="1" spans="1:26">
      <c r="A36" s="350" t="s">
        <v>2122</v>
      </c>
      <c r="B36" s="1070"/>
      <c r="C36" s="1071">
        <f ca="1">ROUND((C6-C30-C33)/(1+D30+D33),0)</f>
        <v>37348</v>
      </c>
      <c r="D36" s="1070"/>
      <c r="E36" s="1070"/>
      <c r="F36" s="1070"/>
      <c r="G36" s="1072" t="s">
        <v>2123</v>
      </c>
      <c r="H36" s="1070"/>
      <c r="I36" s="1070"/>
      <c r="J36" s="1070"/>
      <c r="K36" s="1096"/>
      <c r="L36" s="1084"/>
      <c r="M36" s="1084"/>
      <c r="N36" s="1084"/>
      <c r="O36" s="1084"/>
      <c r="P36" s="1084"/>
      <c r="Q36" s="1084"/>
      <c r="R36" s="1084"/>
      <c r="S36" s="1084"/>
      <c r="T36" s="1084"/>
      <c r="U36" s="1084"/>
      <c r="V36" s="1084"/>
      <c r="W36" s="1084"/>
      <c r="X36" s="1084"/>
      <c r="Y36" s="1084"/>
      <c r="Z36" s="1084"/>
    </row>
    <row r="37" s="971" customFormat="1" spans="1:5">
      <c r="A37" s="1073"/>
      <c r="C37" s="1074"/>
      <c r="E37" s="1073"/>
    </row>
    <row r="38" s="971" customFormat="1" customHeight="1" spans="1:5">
      <c r="A38" s="1073"/>
      <c r="C38" s="1074"/>
      <c r="E38" s="1073"/>
    </row>
    <row r="39" s="971" customFormat="1" spans="1:5">
      <c r="A39" s="1073"/>
      <c r="B39" s="1075"/>
      <c r="C39" s="1076" t="s">
        <v>2342</v>
      </c>
      <c r="D39" s="971">
        <f ca="1">ROUND(C36*10000/D16,0)</f>
        <v>6659</v>
      </c>
      <c r="E39" s="1073"/>
    </row>
    <row r="40" s="971" customFormat="1" spans="1:5">
      <c r="A40" s="1073"/>
      <c r="C40" s="1076" t="s">
        <v>2343</v>
      </c>
      <c r="D40" s="971">
        <f ca="1">ROUND(C36*10000/地块信息表!D25,0)</f>
        <v>36851</v>
      </c>
      <c r="E40" s="1073"/>
    </row>
    <row r="41" s="971" customFormat="1" spans="1:5">
      <c r="A41" s="1073"/>
      <c r="C41" s="1076" t="s">
        <v>2344</v>
      </c>
      <c r="D41" s="971">
        <f ca="1">D40/15</f>
        <v>2456.73333333333</v>
      </c>
      <c r="E41" s="1073"/>
    </row>
    <row r="42" s="971" customFormat="1" spans="1:5">
      <c r="A42" s="1073"/>
      <c r="C42" s="1074"/>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row r="213" s="971" customFormat="1" spans="1:5">
      <c r="A213" s="1073"/>
      <c r="C213" s="1074"/>
      <c r="E213" s="1073"/>
    </row>
    <row r="214" s="971" customFormat="1" spans="1:5">
      <c r="A214" s="1073"/>
      <c r="C214" s="1074"/>
      <c r="E214" s="1073"/>
    </row>
    <row r="215" s="971" customFormat="1" spans="1:5">
      <c r="A215" s="1073"/>
      <c r="C215" s="1074"/>
      <c r="E215" s="1073"/>
    </row>
    <row r="216" s="971" customFormat="1" spans="1:5">
      <c r="A216" s="1073"/>
      <c r="C216" s="1074"/>
      <c r="E216" s="1073"/>
    </row>
    <row r="217" s="971" customFormat="1" spans="1:5">
      <c r="A217" s="1073"/>
      <c r="C217" s="1074"/>
      <c r="E217" s="1073"/>
    </row>
    <row r="218" s="971" customFormat="1" spans="1:5">
      <c r="A218" s="1073"/>
      <c r="C218" s="1074"/>
      <c r="E218" s="1073"/>
    </row>
    <row r="219" s="971" customFormat="1" spans="1:5">
      <c r="A219" s="1073"/>
      <c r="C219" s="1074"/>
      <c r="E219" s="1073"/>
    </row>
    <row r="220" s="971" customFormat="1" spans="1:5">
      <c r="A220" s="1073"/>
      <c r="C220" s="1074"/>
      <c r="E220" s="1073"/>
    </row>
    <row r="221" s="971" customFormat="1" spans="1:5">
      <c r="A221" s="1073"/>
      <c r="C221" s="1074"/>
      <c r="E221" s="1073"/>
    </row>
    <row r="222" s="971" customFormat="1" spans="1:5">
      <c r="A222" s="1073"/>
      <c r="C222" s="1074"/>
      <c r="E222" s="1073"/>
    </row>
    <row r="223" s="971" customFormat="1" spans="1:5">
      <c r="A223" s="1073"/>
      <c r="C223" s="1074"/>
      <c r="E223" s="1073"/>
    </row>
    <row r="224" s="971" customFormat="1" spans="1:5">
      <c r="A224" s="1073"/>
      <c r="C224" s="1074"/>
      <c r="E224" s="1073"/>
    </row>
    <row r="225" s="971" customFormat="1" spans="1:5">
      <c r="A225" s="1073"/>
      <c r="C225" s="1074"/>
      <c r="E225" s="1073"/>
    </row>
    <row r="226" s="971" customFormat="1" spans="1:5">
      <c r="A226" s="1073"/>
      <c r="C226" s="1074"/>
      <c r="E226" s="1073"/>
    </row>
    <row r="227" s="971" customFormat="1" spans="1:5">
      <c r="A227" s="1073"/>
      <c r="C227" s="1074"/>
      <c r="E227" s="1073"/>
    </row>
    <row r="228" s="971" customFormat="1" spans="1:5">
      <c r="A228" s="1073"/>
      <c r="C228" s="1074"/>
      <c r="E228" s="1073"/>
    </row>
    <row r="229" s="971" customFormat="1" spans="1:5">
      <c r="A229" s="1073"/>
      <c r="C229" s="1074"/>
      <c r="E229" s="1073"/>
    </row>
    <row r="230" s="971" customFormat="1" spans="1:5">
      <c r="A230" s="1073"/>
      <c r="C230" s="1074"/>
      <c r="E230" s="1073"/>
    </row>
    <row r="231" s="971" customFormat="1" spans="1:5">
      <c r="A231" s="1073"/>
      <c r="C231" s="1074"/>
      <c r="E231" s="1073"/>
    </row>
    <row r="232" s="971" customFormat="1" spans="1:5">
      <c r="A232" s="1073"/>
      <c r="C232" s="1074"/>
      <c r="E232" s="1073"/>
    </row>
    <row r="233" s="971" customFormat="1" spans="1:5">
      <c r="A233" s="1073"/>
      <c r="C233" s="1074"/>
      <c r="E233" s="1073"/>
    </row>
    <row r="234" s="971" customFormat="1" spans="1:5">
      <c r="A234" s="1073"/>
      <c r="C234" s="1074"/>
      <c r="E234" s="1073"/>
    </row>
    <row r="235" s="971" customFormat="1" spans="1:5">
      <c r="A235" s="1073"/>
      <c r="C235" s="1074"/>
      <c r="E235" s="1073"/>
    </row>
    <row r="236" s="971" customFormat="1" spans="1:5">
      <c r="A236" s="1073"/>
      <c r="C236" s="1074"/>
      <c r="E236" s="1073"/>
    </row>
    <row r="237" s="971" customFormat="1" spans="1:5">
      <c r="A237" s="1073"/>
      <c r="C237" s="1074"/>
      <c r="E237" s="1073"/>
    </row>
    <row r="238" s="971" customFormat="1" spans="1:5">
      <c r="A238" s="1073"/>
      <c r="C238" s="1074"/>
      <c r="E238" s="1073"/>
    </row>
    <row r="239" s="971" customFormat="1" spans="1:5">
      <c r="A239" s="1073"/>
      <c r="C239" s="1074"/>
      <c r="E239" s="1073"/>
    </row>
    <row r="240" s="971" customFormat="1" spans="1:5">
      <c r="A240" s="1073"/>
      <c r="C240" s="1074"/>
      <c r="E240" s="1073"/>
    </row>
    <row r="241" s="971" customFormat="1" spans="1:5">
      <c r="A241" s="1073"/>
      <c r="C241" s="1074"/>
      <c r="E241" s="1073"/>
    </row>
    <row r="242" s="971" customFormat="1" spans="1:5">
      <c r="A242" s="1073"/>
      <c r="C242" s="1074"/>
      <c r="E242" s="1073"/>
    </row>
    <row r="243" s="971" customFormat="1" spans="1:5">
      <c r="A243" s="1073"/>
      <c r="C243" s="1074"/>
      <c r="E243" s="1073"/>
    </row>
    <row r="244" s="971" customFormat="1" spans="1:5">
      <c r="A244" s="1073"/>
      <c r="C244" s="1074"/>
      <c r="E244" s="1073"/>
    </row>
    <row r="245" s="971" customFormat="1" spans="1:5">
      <c r="A245" s="1073"/>
      <c r="C245" s="1074"/>
      <c r="E245" s="1073"/>
    </row>
    <row r="246" s="971" customFormat="1" spans="1:5">
      <c r="A246" s="1073"/>
      <c r="C246" s="1074"/>
      <c r="E246" s="1073"/>
    </row>
    <row r="247" s="971" customFormat="1" spans="1:5">
      <c r="A247" s="1073"/>
      <c r="C247" s="1074"/>
      <c r="E247" s="1073"/>
    </row>
    <row r="248" s="971" customFormat="1" spans="1:5">
      <c r="A248" s="1073"/>
      <c r="C248" s="1074"/>
      <c r="E248" s="1073"/>
    </row>
    <row r="249" s="971" customFormat="1" spans="1:5">
      <c r="A249" s="1073"/>
      <c r="C249" s="1074"/>
      <c r="E249" s="1073"/>
    </row>
    <row r="250" s="971" customFormat="1" spans="1:5">
      <c r="A250" s="1073"/>
      <c r="C250" s="1074"/>
      <c r="E250" s="1073"/>
    </row>
    <row r="251" s="971" customFormat="1" spans="1:5">
      <c r="A251" s="1073"/>
      <c r="C251" s="1074"/>
      <c r="E251" s="1073"/>
    </row>
    <row r="252" s="971" customFormat="1" spans="1:5">
      <c r="A252" s="1073"/>
      <c r="C252" s="1074"/>
      <c r="E252" s="1073"/>
    </row>
    <row r="253" s="971" customFormat="1" spans="1:5">
      <c r="A253" s="1073"/>
      <c r="C253" s="1074"/>
      <c r="E253" s="1073"/>
    </row>
    <row r="254" s="971" customFormat="1" spans="1:5">
      <c r="A254" s="1073"/>
      <c r="C254" s="1074"/>
      <c r="E254" s="1073"/>
    </row>
    <row r="255" s="971" customFormat="1" spans="1:5">
      <c r="A255" s="1073"/>
      <c r="C255" s="1074"/>
      <c r="E255" s="1073"/>
    </row>
    <row r="256" s="971" customFormat="1" spans="1:5">
      <c r="A256" s="1073"/>
      <c r="C256" s="1074"/>
      <c r="E256" s="1073"/>
    </row>
    <row r="257" s="971" customFormat="1" spans="1:5">
      <c r="A257" s="1073"/>
      <c r="C257" s="1074"/>
      <c r="E257" s="1073"/>
    </row>
    <row r="258" s="971" customFormat="1" spans="1:5">
      <c r="A258" s="1073"/>
      <c r="C258" s="1074"/>
      <c r="E258" s="1073"/>
    </row>
    <row r="259" s="971" customFormat="1" spans="1:5">
      <c r="A259" s="1073"/>
      <c r="C259" s="1074"/>
      <c r="E259" s="1073"/>
    </row>
    <row r="260" s="971" customFormat="1" spans="1:5">
      <c r="A260" s="1073"/>
      <c r="C260" s="1074"/>
      <c r="E260" s="1073"/>
    </row>
    <row r="261" s="971" customFormat="1" spans="1:5">
      <c r="A261" s="1073"/>
      <c r="C261" s="1074"/>
      <c r="E261" s="1073"/>
    </row>
    <row r="262" s="971" customFormat="1" spans="1:5">
      <c r="A262" s="1073"/>
      <c r="C262" s="1074"/>
      <c r="E262" s="1073"/>
    </row>
    <row r="263" s="971" customFormat="1" spans="1:5">
      <c r="A263" s="1073"/>
      <c r="C263" s="1074"/>
      <c r="E263" s="1073"/>
    </row>
    <row r="264" s="971" customFormat="1" spans="1:5">
      <c r="A264" s="1073"/>
      <c r="C264" s="1074"/>
      <c r="E264" s="1073"/>
    </row>
    <row r="265" s="971" customFormat="1" spans="1:5">
      <c r="A265" s="1073"/>
      <c r="C265" s="1074"/>
      <c r="E265" s="1073"/>
    </row>
    <row r="266" s="971" customFormat="1" spans="1:5">
      <c r="A266" s="1073"/>
      <c r="C266" s="1074"/>
      <c r="E266" s="1073"/>
    </row>
    <row r="267" s="971" customFormat="1" spans="1:5">
      <c r="A267" s="1073"/>
      <c r="C267" s="1074"/>
      <c r="E267" s="1073"/>
    </row>
    <row r="268" s="971" customFormat="1" spans="1:5">
      <c r="A268" s="1073"/>
      <c r="C268" s="1074"/>
      <c r="E268" s="1073"/>
    </row>
    <row r="269" s="971" customFormat="1" spans="1:5">
      <c r="A269" s="1073"/>
      <c r="C269" s="1074"/>
      <c r="E269" s="1073"/>
    </row>
    <row r="270" s="971" customFormat="1" spans="1:5">
      <c r="A270" s="1073"/>
      <c r="C270" s="1074"/>
      <c r="E270" s="1073"/>
    </row>
    <row r="271" s="971" customFormat="1" spans="1:5">
      <c r="A271" s="1073"/>
      <c r="C271" s="1074"/>
      <c r="E271" s="1073"/>
    </row>
    <row r="272" s="971" customFormat="1" spans="1:5">
      <c r="A272" s="1073"/>
      <c r="C272" s="1074"/>
      <c r="E272" s="1073"/>
    </row>
    <row r="273" s="971" customFormat="1" spans="1:5">
      <c r="A273" s="1073"/>
      <c r="C273" s="1074"/>
      <c r="E273" s="1073"/>
    </row>
    <row r="274" s="971" customFormat="1" spans="1:5">
      <c r="A274" s="1073"/>
      <c r="C274" s="1074"/>
      <c r="E274" s="1073"/>
    </row>
    <row r="275" s="971" customFormat="1" spans="1:5">
      <c r="A275" s="1073"/>
      <c r="C275" s="1074"/>
      <c r="E275" s="1073"/>
    </row>
    <row r="276" s="971" customFormat="1" spans="1:5">
      <c r="A276" s="1073"/>
      <c r="C276" s="1074"/>
      <c r="E276" s="1073"/>
    </row>
    <row r="277" s="971" customFormat="1" spans="1:5">
      <c r="A277" s="1073"/>
      <c r="C277" s="1074"/>
      <c r="E277" s="1073"/>
    </row>
    <row r="278" s="971" customFormat="1" spans="1:5">
      <c r="A278" s="1073"/>
      <c r="C278" s="1074"/>
      <c r="E278" s="1073"/>
    </row>
    <row r="279" s="971" customFormat="1" spans="1:5">
      <c r="A279" s="1073"/>
      <c r="C279" s="1074"/>
      <c r="E279" s="1073"/>
    </row>
    <row r="280" s="971" customFormat="1" spans="1:5">
      <c r="A280" s="1073"/>
      <c r="C280" s="1074"/>
      <c r="E280" s="1073"/>
    </row>
    <row r="281" s="971" customFormat="1" spans="1:5">
      <c r="A281" s="1073"/>
      <c r="C281" s="1074"/>
      <c r="E281" s="1073"/>
    </row>
    <row r="282" s="971" customFormat="1" spans="1:5">
      <c r="A282" s="1073"/>
      <c r="C282" s="1074"/>
      <c r="E282" s="1073"/>
    </row>
    <row r="283" s="971" customFormat="1" spans="1:5">
      <c r="A283" s="1073"/>
      <c r="C283" s="1074"/>
      <c r="E283" s="1073"/>
    </row>
    <row r="284" s="971" customFormat="1" spans="1:5">
      <c r="A284" s="1073"/>
      <c r="C284" s="1074"/>
      <c r="E284" s="1073"/>
    </row>
    <row r="285" s="971" customFormat="1" spans="1:5">
      <c r="A285" s="1073"/>
      <c r="C285" s="1074"/>
      <c r="E285" s="1073"/>
    </row>
    <row r="286" s="971" customFormat="1" spans="1:5">
      <c r="A286" s="1073"/>
      <c r="C286" s="1074"/>
      <c r="E286" s="1073"/>
    </row>
    <row r="287" s="971" customFormat="1" spans="1:5">
      <c r="A287" s="1073"/>
      <c r="C287" s="1074"/>
      <c r="E287" s="1073"/>
    </row>
    <row r="288" s="971" customFormat="1" spans="1:5">
      <c r="A288" s="1073"/>
      <c r="C288" s="1074"/>
      <c r="E288" s="1073"/>
    </row>
    <row r="289" s="971" customFormat="1" spans="1:5">
      <c r="A289" s="1073"/>
      <c r="C289" s="1074"/>
      <c r="E289" s="1073"/>
    </row>
    <row r="290" s="971" customFormat="1" spans="1:5">
      <c r="A290" s="1073"/>
      <c r="C290" s="1074"/>
      <c r="E290" s="1073"/>
    </row>
    <row r="291" s="971" customFormat="1" spans="1:5">
      <c r="A291" s="1073"/>
      <c r="C291" s="1074"/>
      <c r="E291" s="1073"/>
    </row>
    <row r="292" s="971" customFormat="1" spans="1:5">
      <c r="A292" s="1073"/>
      <c r="C292" s="1074"/>
      <c r="E292" s="1073"/>
    </row>
    <row r="293" s="971" customFormat="1" spans="1:5">
      <c r="A293" s="1073"/>
      <c r="C293" s="1074"/>
      <c r="E293" s="1073"/>
    </row>
    <row r="294" s="971" customFormat="1" spans="1:5">
      <c r="A294" s="1073"/>
      <c r="C294" s="1074"/>
      <c r="E294" s="1073"/>
    </row>
    <row r="295" s="971" customFormat="1" spans="1:5">
      <c r="A295" s="1073"/>
      <c r="C295" s="1074"/>
      <c r="E295" s="1073"/>
    </row>
    <row r="296" s="971" customFormat="1" spans="1:5">
      <c r="A296" s="1073"/>
      <c r="C296" s="1074"/>
      <c r="E296" s="1073"/>
    </row>
    <row r="297" s="971" customFormat="1" spans="1:5">
      <c r="A297" s="1073"/>
      <c r="C297" s="1074"/>
      <c r="E297" s="1073"/>
    </row>
    <row r="298" s="971" customFormat="1" spans="1:5">
      <c r="A298" s="1073"/>
      <c r="C298" s="1074"/>
      <c r="E298" s="1073"/>
    </row>
    <row r="299" s="971" customFormat="1" spans="1:5">
      <c r="A299" s="1073"/>
      <c r="C299" s="1074"/>
      <c r="E299" s="1073"/>
    </row>
    <row r="300" s="971" customFormat="1" spans="1:5">
      <c r="A300" s="1073"/>
      <c r="C300" s="1074"/>
      <c r="E300" s="1073"/>
    </row>
    <row r="301" s="971" customFormat="1" spans="1:5">
      <c r="A301" s="1073"/>
      <c r="C301" s="1074"/>
      <c r="E301" s="1073"/>
    </row>
    <row r="302" s="971" customFormat="1" spans="1:5">
      <c r="A302" s="1073"/>
      <c r="C302" s="1074"/>
      <c r="E302" s="1073"/>
    </row>
    <row r="303" s="971" customFormat="1" spans="1:5">
      <c r="A303" s="1073"/>
      <c r="C303" s="1074"/>
      <c r="E303" s="1073"/>
    </row>
    <row r="304" s="971" customFormat="1" spans="1:5">
      <c r="A304" s="1073"/>
      <c r="C304" s="1074"/>
      <c r="E304" s="1073"/>
    </row>
    <row r="305" s="971" customFormat="1" spans="1:5">
      <c r="A305" s="1073"/>
      <c r="C305" s="1074"/>
      <c r="E305" s="1073"/>
    </row>
    <row r="306" s="971" customFormat="1" spans="1:5">
      <c r="A306" s="1073"/>
      <c r="C306" s="1074"/>
      <c r="E306" s="1073"/>
    </row>
    <row r="307" s="971" customFormat="1" spans="1:5">
      <c r="A307" s="1073"/>
      <c r="C307" s="1074"/>
      <c r="E307" s="1073"/>
    </row>
    <row r="308" s="971" customFormat="1" spans="1:5">
      <c r="A308" s="1073"/>
      <c r="C308" s="1074"/>
      <c r="E308" s="1073"/>
    </row>
    <row r="309" s="971" customFormat="1" spans="1:5">
      <c r="A309" s="1073"/>
      <c r="C309" s="1074"/>
      <c r="E309" s="1073"/>
    </row>
    <row r="310" s="971" customFormat="1" spans="1:5">
      <c r="A310" s="1073"/>
      <c r="C310" s="1074"/>
      <c r="E310" s="1073"/>
    </row>
    <row r="311" s="971" customFormat="1" spans="1:5">
      <c r="A311" s="1073"/>
      <c r="C311" s="1074"/>
      <c r="E311" s="1073"/>
    </row>
    <row r="312" s="971" customFormat="1" spans="1:5">
      <c r="A312" s="1073"/>
      <c r="C312" s="1074"/>
      <c r="E312" s="1073"/>
    </row>
    <row r="313" s="971" customFormat="1" spans="1:5">
      <c r="A313" s="1073"/>
      <c r="C313" s="1074"/>
      <c r="E313" s="1073"/>
    </row>
    <row r="314" s="971" customFormat="1" spans="1:5">
      <c r="A314" s="1073"/>
      <c r="C314" s="1074"/>
      <c r="E314" s="1073"/>
    </row>
    <row r="315" s="971" customFormat="1" spans="1:5">
      <c r="A315" s="1073"/>
      <c r="C315" s="1074"/>
      <c r="E315" s="1073"/>
    </row>
    <row r="316" s="971" customFormat="1" spans="1:5">
      <c r="A316" s="1073"/>
      <c r="C316" s="1074"/>
      <c r="E316" s="1073"/>
    </row>
    <row r="317" s="971" customFormat="1" spans="1:5">
      <c r="A317" s="1073"/>
      <c r="C317" s="1074"/>
      <c r="E317" s="1073"/>
    </row>
    <row r="318" s="971" customFormat="1" spans="1:5">
      <c r="A318" s="1073"/>
      <c r="C318" s="1074"/>
      <c r="E318" s="1073"/>
    </row>
    <row r="319" s="971" customFormat="1" spans="1:5">
      <c r="A319" s="1073"/>
      <c r="C319" s="1074"/>
      <c r="E319" s="1073"/>
    </row>
    <row r="320" s="971" customFormat="1" spans="1:5">
      <c r="A320" s="1073"/>
      <c r="C320" s="1074"/>
      <c r="E320" s="1073"/>
    </row>
    <row r="321" s="971" customFormat="1" spans="1:5">
      <c r="A321" s="1073"/>
      <c r="C321" s="1074"/>
      <c r="E321" s="1073"/>
    </row>
    <row r="322" s="971" customFormat="1" spans="1:5">
      <c r="A322" s="1073"/>
      <c r="C322" s="1074"/>
      <c r="E322" s="1073"/>
    </row>
    <row r="323" s="971" customFormat="1" spans="1:5">
      <c r="A323" s="1073"/>
      <c r="C323" s="1074"/>
      <c r="E323" s="1073"/>
    </row>
    <row r="324" s="971" customFormat="1" spans="1:5">
      <c r="A324" s="1073"/>
      <c r="C324" s="1074"/>
      <c r="E324" s="1073"/>
    </row>
    <row r="325" s="971" customFormat="1" spans="1:5">
      <c r="A325" s="1073"/>
      <c r="C325" s="1074"/>
      <c r="E325" s="1073"/>
    </row>
    <row r="326" s="971" customFormat="1" spans="1:5">
      <c r="A326" s="1073"/>
      <c r="C326" s="1074"/>
      <c r="E326" s="1073"/>
    </row>
    <row r="327" s="971" customFormat="1" spans="1:5">
      <c r="A327" s="1073"/>
      <c r="C327" s="1074"/>
      <c r="E327" s="1073"/>
    </row>
    <row r="328" s="971" customFormat="1" spans="1:5">
      <c r="A328" s="1073"/>
      <c r="C328" s="1074"/>
      <c r="E328" s="1073"/>
    </row>
    <row r="329" s="971" customFormat="1" spans="1:5">
      <c r="A329" s="1073"/>
      <c r="C329" s="1074"/>
      <c r="E329" s="1073"/>
    </row>
    <row r="330" s="971" customFormat="1" spans="1:5">
      <c r="A330" s="1073"/>
      <c r="C330" s="1074"/>
      <c r="E330" s="1073"/>
    </row>
    <row r="331" s="971" customFormat="1" spans="1:5">
      <c r="A331" s="1073"/>
      <c r="C331" s="1074"/>
      <c r="E331" s="1073"/>
    </row>
    <row r="332" s="971" customFormat="1" spans="1:5">
      <c r="A332" s="1073"/>
      <c r="C332" s="1074"/>
      <c r="E332" s="1073"/>
    </row>
    <row r="333" s="971" customFormat="1" spans="1:5">
      <c r="A333" s="1073"/>
      <c r="C333" s="1074"/>
      <c r="E333" s="1073"/>
    </row>
    <row r="334" s="971" customFormat="1" spans="1:5">
      <c r="A334" s="1073"/>
      <c r="C334" s="1074"/>
      <c r="E334" s="1073"/>
    </row>
    <row r="335" s="971" customFormat="1" spans="1:5">
      <c r="A335" s="1073"/>
      <c r="C335" s="1074"/>
      <c r="E335" s="1073"/>
    </row>
    <row r="336" s="971" customFormat="1" spans="1:5">
      <c r="A336" s="1073"/>
      <c r="C336" s="1074"/>
      <c r="E336" s="1073"/>
    </row>
    <row r="337" s="971" customFormat="1" spans="1:5">
      <c r="A337" s="1073"/>
      <c r="C337" s="1074"/>
      <c r="E337" s="1073"/>
    </row>
    <row r="338" s="971" customFormat="1" spans="1:5">
      <c r="A338" s="1073"/>
      <c r="C338" s="1074"/>
      <c r="E338" s="1073"/>
    </row>
    <row r="339" s="971" customFormat="1" spans="1:5">
      <c r="A339" s="1073"/>
      <c r="C339" s="1074"/>
      <c r="E339" s="1073"/>
    </row>
    <row r="340" s="971" customFormat="1" spans="1:5">
      <c r="A340" s="1073"/>
      <c r="C340" s="1074"/>
      <c r="E340" s="1073"/>
    </row>
    <row r="341" s="971" customFormat="1" spans="1:5">
      <c r="A341" s="1073"/>
      <c r="C341" s="1074"/>
      <c r="E341" s="1073"/>
    </row>
    <row r="342" s="971" customFormat="1" spans="1:5">
      <c r="A342" s="1073"/>
      <c r="C342" s="1074"/>
      <c r="E342" s="1073"/>
    </row>
    <row r="343" s="971" customFormat="1" spans="1:5">
      <c r="A343" s="1073"/>
      <c r="C343" s="1074"/>
      <c r="E343" s="1073"/>
    </row>
    <row r="344" s="971" customFormat="1" spans="1:5">
      <c r="A344" s="1073"/>
      <c r="C344" s="1074"/>
      <c r="E344" s="1073"/>
    </row>
    <row r="345" s="971" customFormat="1" spans="1:5">
      <c r="A345" s="1073"/>
      <c r="C345" s="1074"/>
      <c r="E345" s="1073"/>
    </row>
    <row r="346" s="971" customFormat="1" spans="1:5">
      <c r="A346" s="1073"/>
      <c r="C346" s="1074"/>
      <c r="E346" s="1073"/>
    </row>
    <row r="347" s="971" customFormat="1" spans="1:5">
      <c r="A347" s="1073"/>
      <c r="C347" s="1074"/>
      <c r="E347" s="1073"/>
    </row>
    <row r="348" s="971" customFormat="1" spans="1:5">
      <c r="A348" s="1073"/>
      <c r="C348" s="1074"/>
      <c r="E348" s="1073"/>
    </row>
    <row r="349" s="971" customFormat="1" spans="1:5">
      <c r="A349" s="1073"/>
      <c r="C349" s="1074"/>
      <c r="E349" s="1073"/>
    </row>
    <row r="350" s="971" customFormat="1" spans="1:5">
      <c r="A350" s="1073"/>
      <c r="C350" s="1074"/>
      <c r="E350" s="1073"/>
    </row>
    <row r="351" s="971" customFormat="1" spans="1:5">
      <c r="A351" s="1073"/>
      <c r="C351" s="1074"/>
      <c r="E351" s="1073"/>
    </row>
    <row r="352" s="971" customFormat="1" spans="1:5">
      <c r="A352" s="1073"/>
      <c r="C352" s="1074"/>
      <c r="E352" s="1073"/>
    </row>
    <row r="353" s="971" customFormat="1" spans="1:5">
      <c r="A353" s="1073"/>
      <c r="C353" s="1074"/>
      <c r="E353" s="1073"/>
    </row>
    <row r="354" s="971" customFormat="1" spans="1:5">
      <c r="A354" s="1073"/>
      <c r="C354" s="1074"/>
      <c r="E354" s="1073"/>
    </row>
    <row r="355" s="971" customFormat="1" spans="1:5">
      <c r="A355" s="1073"/>
      <c r="C355" s="1074"/>
      <c r="E355" s="1073"/>
    </row>
    <row r="356" s="971" customFormat="1" spans="1:5">
      <c r="A356" s="1073"/>
      <c r="C356" s="1074"/>
      <c r="E356" s="1073"/>
    </row>
    <row r="357" s="971" customFormat="1" spans="1:5">
      <c r="A357" s="1073"/>
      <c r="C357" s="1074"/>
      <c r="E357" s="1073"/>
    </row>
    <row r="358" s="971" customFormat="1" spans="1:5">
      <c r="A358" s="1073"/>
      <c r="C358" s="1074"/>
      <c r="E358" s="1073"/>
    </row>
    <row r="359" s="971" customFormat="1" spans="1:5">
      <c r="A359" s="1073"/>
      <c r="C359" s="1074"/>
      <c r="E359" s="1073"/>
    </row>
    <row r="360" s="971" customFormat="1" spans="1:5">
      <c r="A360" s="1073"/>
      <c r="C360" s="1074"/>
      <c r="E360" s="1073"/>
    </row>
    <row r="361" s="971" customFormat="1" spans="1:5">
      <c r="A361" s="1073"/>
      <c r="C361" s="1074"/>
      <c r="E361" s="1073"/>
    </row>
    <row r="362" s="971" customFormat="1" spans="1:5">
      <c r="A362" s="1073"/>
      <c r="C362" s="1074"/>
      <c r="E362" s="1073"/>
    </row>
    <row r="363" s="971" customFormat="1" spans="1:5">
      <c r="A363" s="1073"/>
      <c r="C363" s="1074"/>
      <c r="E363" s="1073"/>
    </row>
    <row r="364" s="971" customFormat="1" spans="1:5">
      <c r="A364" s="1073"/>
      <c r="C364" s="1074"/>
      <c r="E364" s="1073"/>
    </row>
    <row r="365" s="971" customFormat="1" spans="1:5">
      <c r="A365" s="1073"/>
      <c r="C365" s="1074"/>
      <c r="E365" s="1073"/>
    </row>
    <row r="366" s="971" customFormat="1" spans="1:5">
      <c r="A366" s="1073"/>
      <c r="C366" s="1074"/>
      <c r="E366" s="1073"/>
    </row>
    <row r="367" s="971" customFormat="1" spans="1:5">
      <c r="A367" s="1073"/>
      <c r="C367" s="1074"/>
      <c r="E367" s="1073"/>
    </row>
    <row r="368" s="971" customFormat="1" spans="1:5">
      <c r="A368" s="1073"/>
      <c r="C368" s="1074"/>
      <c r="E368" s="1073"/>
    </row>
    <row r="369" s="971" customFormat="1" spans="1:5">
      <c r="A369" s="1073"/>
      <c r="C369" s="1074"/>
      <c r="E369" s="1073"/>
    </row>
    <row r="370" s="971" customFormat="1" spans="1:5">
      <c r="A370" s="1073"/>
      <c r="C370" s="1074"/>
      <c r="E370" s="1073"/>
    </row>
    <row r="371" s="971" customFormat="1" spans="1:5">
      <c r="A371" s="1073"/>
      <c r="C371" s="1074"/>
      <c r="E371" s="1073"/>
    </row>
    <row r="372" s="971" customFormat="1" spans="1:5">
      <c r="A372" s="1073"/>
      <c r="C372" s="1074"/>
      <c r="E372" s="1073"/>
    </row>
    <row r="373" s="971" customFormat="1" spans="1:5">
      <c r="A373" s="1073"/>
      <c r="C373" s="1074"/>
      <c r="E373" s="1073"/>
    </row>
    <row r="374" s="971" customFormat="1" spans="1:5">
      <c r="A374" s="1073"/>
      <c r="C374" s="1074"/>
      <c r="E374" s="1073"/>
    </row>
    <row r="375" s="971" customFormat="1" spans="1:5">
      <c r="A375" s="1073"/>
      <c r="C375" s="1074"/>
      <c r="E375" s="1073"/>
    </row>
    <row r="376" s="971" customFormat="1" spans="1:5">
      <c r="A376" s="1073"/>
      <c r="C376" s="1074"/>
      <c r="E376" s="1073"/>
    </row>
    <row r="377" s="971" customFormat="1" spans="1:5">
      <c r="A377" s="1073"/>
      <c r="C377" s="1074"/>
      <c r="E377" s="1073"/>
    </row>
    <row r="378" s="971" customFormat="1" spans="1:5">
      <c r="A378" s="1073"/>
      <c r="C378" s="1074"/>
      <c r="E378" s="1073"/>
    </row>
    <row r="379" s="971" customFormat="1" spans="1:5">
      <c r="A379" s="1073"/>
      <c r="C379" s="1074"/>
      <c r="E379" s="1073"/>
    </row>
    <row r="380" s="971" customFormat="1" spans="1:5">
      <c r="A380" s="1073"/>
      <c r="C380" s="1074"/>
      <c r="E380" s="1073"/>
    </row>
    <row r="381" s="971" customFormat="1" spans="1:5">
      <c r="A381" s="1073"/>
      <c r="C381" s="1074"/>
      <c r="E381" s="1073"/>
    </row>
    <row r="382" s="971" customFormat="1" spans="1:5">
      <c r="A382" s="1073"/>
      <c r="C382" s="1074"/>
      <c r="E382" s="1073"/>
    </row>
    <row r="383" s="971" customFormat="1" spans="1:5">
      <c r="A383" s="1073"/>
      <c r="C383" s="1074"/>
      <c r="E383" s="1073"/>
    </row>
    <row r="384" s="971" customFormat="1" spans="1:5">
      <c r="A384" s="1073"/>
      <c r="C384" s="1074"/>
      <c r="E384" s="1073"/>
    </row>
    <row r="385" s="971" customFormat="1" spans="1:5">
      <c r="A385" s="1073"/>
      <c r="C385" s="1074"/>
      <c r="E385" s="1073"/>
    </row>
    <row r="386" s="971" customFormat="1" spans="1:5">
      <c r="A386" s="1073"/>
      <c r="C386" s="1074"/>
      <c r="E386" s="1073"/>
    </row>
    <row r="387" s="971" customFormat="1" spans="1:5">
      <c r="A387" s="1073"/>
      <c r="C387" s="1074"/>
      <c r="E387" s="1073"/>
    </row>
    <row r="388" s="971" customFormat="1" spans="1:5">
      <c r="A388" s="1073"/>
      <c r="C388" s="1074"/>
      <c r="E388" s="1073"/>
    </row>
    <row r="389" s="971" customFormat="1" spans="1:5">
      <c r="A389" s="1073"/>
      <c r="C389" s="1074"/>
      <c r="E389" s="1073"/>
    </row>
    <row r="390" s="971" customFormat="1" spans="1:5">
      <c r="A390" s="1073"/>
      <c r="C390" s="1074"/>
      <c r="E390" s="1073"/>
    </row>
    <row r="391" s="971" customFormat="1" spans="1:5">
      <c r="A391" s="1073"/>
      <c r="C391" s="1074"/>
      <c r="E391" s="1073"/>
    </row>
    <row r="392" s="971" customFormat="1" spans="1:5">
      <c r="A392" s="1073"/>
      <c r="C392" s="1074"/>
      <c r="E392" s="1073"/>
    </row>
    <row r="393" s="971" customFormat="1" spans="1:5">
      <c r="A393" s="1073"/>
      <c r="C393" s="1074"/>
      <c r="E393" s="1073"/>
    </row>
    <row r="394" s="971" customFormat="1" spans="1:5">
      <c r="A394" s="1073"/>
      <c r="C394" s="1074"/>
      <c r="E394" s="1073"/>
    </row>
    <row r="395" s="971" customFormat="1" spans="1:5">
      <c r="A395" s="1073"/>
      <c r="C395" s="1074"/>
      <c r="E395" s="1073"/>
    </row>
    <row r="396" s="971" customFormat="1" spans="1:5">
      <c r="A396" s="1073"/>
      <c r="C396" s="1074"/>
      <c r="E396" s="1073"/>
    </row>
    <row r="397" s="971" customFormat="1" spans="1:5">
      <c r="A397" s="1073"/>
      <c r="C397" s="1074"/>
      <c r="E397" s="1073"/>
    </row>
    <row r="398" s="971" customFormat="1" spans="1:5">
      <c r="A398" s="1073"/>
      <c r="C398" s="1074"/>
      <c r="E398" s="1073"/>
    </row>
    <row r="399" s="971" customFormat="1" spans="1:5">
      <c r="A399" s="1073"/>
      <c r="C399" s="1074"/>
      <c r="E399" s="1073"/>
    </row>
    <row r="400" s="971" customFormat="1" spans="1:5">
      <c r="A400" s="1073"/>
      <c r="C400" s="1074"/>
      <c r="E400" s="1073"/>
    </row>
    <row r="401" s="971" customFormat="1" spans="1:5">
      <c r="A401" s="1073"/>
      <c r="C401" s="1074"/>
      <c r="E401" s="1073"/>
    </row>
    <row r="402" s="971" customFormat="1" spans="1:5">
      <c r="A402" s="1073"/>
      <c r="C402" s="1074"/>
      <c r="E402" s="1073"/>
    </row>
    <row r="403" s="971" customFormat="1" spans="1:5">
      <c r="A403" s="1073"/>
      <c r="C403" s="1074"/>
      <c r="E403" s="1073"/>
    </row>
    <row r="404" s="971" customFormat="1" spans="1:5">
      <c r="A404" s="1073"/>
      <c r="C404" s="1074"/>
      <c r="E404" s="1073"/>
    </row>
    <row r="405" s="971" customFormat="1" spans="1:5">
      <c r="A405" s="1073"/>
      <c r="C405" s="1074"/>
      <c r="E405" s="1073"/>
    </row>
    <row r="406" s="971" customFormat="1" spans="1:5">
      <c r="A406" s="1073"/>
      <c r="C406" s="1074"/>
      <c r="E406" s="1073"/>
    </row>
    <row r="407" s="971" customFormat="1" spans="1:5">
      <c r="A407" s="1073"/>
      <c r="C407" s="1074"/>
      <c r="E407" s="1073"/>
    </row>
    <row r="408" s="971" customFormat="1" spans="1:5">
      <c r="A408" s="1073"/>
      <c r="C408" s="1074"/>
      <c r="E408" s="1073"/>
    </row>
    <row r="409" s="971" customFormat="1" spans="1:5">
      <c r="A409" s="1073"/>
      <c r="C409" s="1074"/>
      <c r="E409" s="1073"/>
    </row>
    <row r="410" s="971" customFormat="1" spans="1:5">
      <c r="A410" s="1073"/>
      <c r="C410" s="1074"/>
      <c r="E410" s="1073"/>
    </row>
    <row r="411" s="971" customFormat="1" spans="1:5">
      <c r="A411" s="1073"/>
      <c r="C411" s="1074"/>
      <c r="E411" s="1073"/>
    </row>
    <row r="412" s="971" customFormat="1" spans="1:5">
      <c r="A412" s="1073"/>
      <c r="C412" s="1074"/>
      <c r="E412" s="1073"/>
    </row>
    <row r="413" s="971" customFormat="1" spans="1:5">
      <c r="A413" s="1073"/>
      <c r="C413" s="1074"/>
      <c r="E413" s="1073"/>
    </row>
    <row r="414" s="971" customFormat="1" spans="1:5">
      <c r="A414" s="1073"/>
      <c r="C414" s="1074"/>
      <c r="E414" s="1073"/>
    </row>
    <row r="415" s="971" customFormat="1" spans="1:5">
      <c r="A415" s="1073"/>
      <c r="C415" s="1074"/>
      <c r="E415" s="1073"/>
    </row>
    <row r="416" s="971" customFormat="1" spans="1:5">
      <c r="A416" s="1073"/>
      <c r="C416" s="1074"/>
      <c r="E416" s="1073"/>
    </row>
    <row r="417" s="971" customFormat="1" spans="1:5">
      <c r="A417" s="1073"/>
      <c r="C417" s="1074"/>
      <c r="E417" s="1073"/>
    </row>
    <row r="418" s="971" customFormat="1" spans="1:5">
      <c r="A418" s="1073"/>
      <c r="C418" s="1074"/>
      <c r="E418" s="1073"/>
    </row>
    <row r="419" s="971" customFormat="1" spans="1:5">
      <c r="A419" s="1073"/>
      <c r="C419" s="1074"/>
      <c r="E419" s="1073"/>
    </row>
    <row r="420" s="971" customFormat="1" spans="1:5">
      <c r="A420" s="1073"/>
      <c r="C420" s="1074"/>
      <c r="E420" s="1073"/>
    </row>
    <row r="421" s="971" customFormat="1" spans="1:5">
      <c r="A421" s="1073"/>
      <c r="C421" s="1074"/>
      <c r="E421" s="1073"/>
    </row>
    <row r="422" s="971" customFormat="1" spans="1:5">
      <c r="A422" s="1073"/>
      <c r="C422" s="1074"/>
      <c r="E422" s="1073"/>
    </row>
    <row r="423" s="971" customFormat="1" spans="1:5">
      <c r="A423" s="1073"/>
      <c r="C423" s="1074"/>
      <c r="E423" s="1073"/>
    </row>
    <row r="424" s="971" customFormat="1" spans="1:5">
      <c r="A424" s="1073"/>
      <c r="C424" s="1074"/>
      <c r="E424" s="1073"/>
    </row>
    <row r="425" s="971" customFormat="1" spans="1:5">
      <c r="A425" s="1073"/>
      <c r="C425" s="1074"/>
      <c r="E425" s="1073"/>
    </row>
    <row r="426" s="971" customFormat="1" spans="1:5">
      <c r="A426" s="1073"/>
      <c r="C426" s="1074"/>
      <c r="E426" s="1073"/>
    </row>
    <row r="427" s="971" customFormat="1" spans="1:5">
      <c r="A427" s="1073"/>
      <c r="C427" s="1074"/>
      <c r="E427" s="1073"/>
    </row>
    <row r="428" s="971" customFormat="1" spans="1:5">
      <c r="A428" s="1073"/>
      <c r="C428" s="1074"/>
      <c r="E428" s="1073"/>
    </row>
    <row r="429" s="971" customFormat="1" spans="1:5">
      <c r="A429" s="1073"/>
      <c r="C429" s="1074"/>
      <c r="E429" s="1073"/>
    </row>
    <row r="430" s="971" customFormat="1" spans="1:5">
      <c r="A430" s="1073"/>
      <c r="C430" s="1074"/>
      <c r="E430" s="1073"/>
    </row>
    <row r="431" s="971" customFormat="1" spans="1:5">
      <c r="A431" s="1073"/>
      <c r="C431" s="1074"/>
      <c r="E431" s="1073"/>
    </row>
    <row r="432" s="971" customFormat="1" spans="1:5">
      <c r="A432" s="1073"/>
      <c r="C432" s="1074"/>
      <c r="E432" s="1073"/>
    </row>
    <row r="433" s="971" customFormat="1" spans="1:5">
      <c r="A433" s="1073"/>
      <c r="C433" s="1074"/>
      <c r="E433" s="1073"/>
    </row>
    <row r="434" s="971" customFormat="1" spans="1:5">
      <c r="A434" s="1073"/>
      <c r="C434" s="1074"/>
      <c r="E434" s="1073"/>
    </row>
    <row r="435" s="971" customFormat="1" spans="1:5">
      <c r="A435" s="1073"/>
      <c r="C435" s="1074"/>
      <c r="E435" s="1073"/>
    </row>
    <row r="436" s="971" customFormat="1" spans="1:5">
      <c r="A436" s="1073"/>
      <c r="C436" s="1074"/>
      <c r="E436" s="1073"/>
    </row>
    <row r="437" s="971" customFormat="1" spans="1:5">
      <c r="A437" s="1073"/>
      <c r="C437" s="1074"/>
      <c r="E437" s="1073"/>
    </row>
    <row r="438" s="971" customFormat="1" spans="1:5">
      <c r="A438" s="1073"/>
      <c r="C438" s="1074"/>
      <c r="E438" s="1073"/>
    </row>
    <row r="439" s="971" customFormat="1" spans="1:5">
      <c r="A439" s="1073"/>
      <c r="C439" s="1074"/>
      <c r="E439" s="1073"/>
    </row>
    <row r="440" s="971" customFormat="1" spans="1:5">
      <c r="A440" s="1073"/>
      <c r="C440" s="1074"/>
      <c r="E440" s="1073"/>
    </row>
    <row r="441" s="971" customFormat="1" spans="1:5">
      <c r="A441" s="1073"/>
      <c r="C441" s="1074"/>
      <c r="E441" s="1073"/>
    </row>
    <row r="442" s="971" customFormat="1" spans="1:5">
      <c r="A442" s="1073"/>
      <c r="C442" s="1074"/>
      <c r="E442" s="1073"/>
    </row>
    <row r="443" s="971" customFormat="1" spans="1:5">
      <c r="A443" s="1073"/>
      <c r="C443" s="1074"/>
      <c r="E443" s="1073"/>
    </row>
    <row r="444" s="971" customFormat="1" spans="1:5">
      <c r="A444" s="1073"/>
      <c r="C444" s="1074"/>
      <c r="E444" s="1073"/>
    </row>
    <row r="445" s="971" customFormat="1" spans="1:5">
      <c r="A445" s="1073"/>
      <c r="C445" s="1074"/>
      <c r="E445" s="1073"/>
    </row>
    <row r="446" s="971" customFormat="1" spans="1:5">
      <c r="A446" s="1073"/>
      <c r="C446" s="1074"/>
      <c r="E446" s="1073"/>
    </row>
    <row r="447" s="971" customFormat="1" spans="1:5">
      <c r="A447" s="1073"/>
      <c r="C447" s="1074"/>
      <c r="E447" s="1073"/>
    </row>
    <row r="448" s="971" customFormat="1" spans="1:5">
      <c r="A448" s="1073"/>
      <c r="C448" s="1074"/>
      <c r="E448" s="1073"/>
    </row>
    <row r="449" s="971" customFormat="1" spans="1:5">
      <c r="A449" s="1073"/>
      <c r="C449" s="1074"/>
      <c r="E449" s="1073"/>
    </row>
    <row r="450" s="971" customFormat="1" spans="1:5">
      <c r="A450" s="1073"/>
      <c r="C450" s="1074"/>
      <c r="E450" s="1073"/>
    </row>
    <row r="451" s="971" customFormat="1" spans="1:5">
      <c r="A451" s="1073"/>
      <c r="C451" s="1074"/>
      <c r="E451" s="1073"/>
    </row>
    <row r="452" s="971" customFormat="1" spans="1:5">
      <c r="A452" s="1073"/>
      <c r="C452" s="1074"/>
      <c r="E452" s="1073"/>
    </row>
    <row r="453" s="971" customFormat="1" spans="1:5">
      <c r="A453" s="1073"/>
      <c r="C453" s="1074"/>
      <c r="E453" s="1073"/>
    </row>
    <row r="454" s="971" customFormat="1" spans="1:5">
      <c r="A454" s="1073"/>
      <c r="C454" s="1074"/>
      <c r="E454" s="1073"/>
    </row>
    <row r="455" s="971" customFormat="1" spans="1:5">
      <c r="A455" s="1073"/>
      <c r="C455" s="1074"/>
      <c r="E455" s="1073"/>
    </row>
    <row r="456" s="971" customFormat="1" spans="1:5">
      <c r="A456" s="1073"/>
      <c r="C456" s="1074"/>
      <c r="E456" s="1073"/>
    </row>
    <row r="457" s="971" customFormat="1" spans="1:5">
      <c r="A457" s="1073"/>
      <c r="C457" s="1074"/>
      <c r="E457" s="1073"/>
    </row>
    <row r="458" s="971" customFormat="1" spans="1:5">
      <c r="A458" s="1073"/>
      <c r="C458" s="1074"/>
      <c r="E458" s="1073"/>
    </row>
    <row r="459" s="971" customFormat="1" spans="1:5">
      <c r="A459" s="1073"/>
      <c r="C459" s="1074"/>
      <c r="E459" s="1073"/>
    </row>
    <row r="460" s="971" customFormat="1" spans="1:5">
      <c r="A460" s="1073"/>
      <c r="C460" s="1074"/>
      <c r="E460" s="1073"/>
    </row>
    <row r="461" s="971" customFormat="1" spans="1:5">
      <c r="A461" s="1073"/>
      <c r="C461" s="1074"/>
      <c r="E461" s="1073"/>
    </row>
    <row r="462" s="971" customFormat="1" spans="1:5">
      <c r="A462" s="1073"/>
      <c r="C462" s="1074"/>
      <c r="E462" s="1073"/>
    </row>
    <row r="463" s="971" customFormat="1" spans="1:5">
      <c r="A463" s="1073"/>
      <c r="C463" s="1074"/>
      <c r="E463" s="1073"/>
    </row>
    <row r="464" s="971" customFormat="1" spans="1:5">
      <c r="A464" s="1073"/>
      <c r="C464" s="1074"/>
      <c r="E464" s="1073"/>
    </row>
    <row r="465" s="971" customFormat="1" spans="1:5">
      <c r="A465" s="1073"/>
      <c r="C465" s="1074"/>
      <c r="E465" s="1073"/>
    </row>
    <row r="466" s="971" customFormat="1" spans="1:5">
      <c r="A466" s="1073"/>
      <c r="C466" s="1074"/>
      <c r="E466" s="1073"/>
    </row>
    <row r="467" s="971" customFormat="1" spans="1:5">
      <c r="A467" s="1073"/>
      <c r="C467" s="1074"/>
      <c r="E467" s="1073"/>
    </row>
    <row r="468" s="971" customFormat="1" spans="1:5">
      <c r="A468" s="1073"/>
      <c r="C468" s="1074"/>
      <c r="E468" s="1073"/>
    </row>
    <row r="469" s="971" customFormat="1" spans="1:5">
      <c r="A469" s="1073"/>
      <c r="C469" s="1074"/>
      <c r="E469" s="1073"/>
    </row>
    <row r="470" s="971" customFormat="1" spans="1:5">
      <c r="A470" s="1073"/>
      <c r="C470" s="1074"/>
      <c r="E470" s="1073"/>
    </row>
    <row r="471" s="971" customFormat="1" spans="1:5">
      <c r="A471" s="1073"/>
      <c r="C471" s="1074"/>
      <c r="E471" s="1073"/>
    </row>
    <row r="472" s="971" customFormat="1" spans="1:5">
      <c r="A472" s="1073"/>
      <c r="C472" s="1074"/>
      <c r="E472" s="1073"/>
    </row>
    <row r="473" s="971" customFormat="1" spans="1:5">
      <c r="A473" s="1073"/>
      <c r="C473" s="1074"/>
      <c r="E473" s="1073"/>
    </row>
    <row r="474" s="971" customFormat="1" spans="1:5">
      <c r="A474" s="1073"/>
      <c r="C474" s="1074"/>
      <c r="E474" s="1073"/>
    </row>
    <row r="475" s="971" customFormat="1" spans="1:5">
      <c r="A475" s="1073"/>
      <c r="C475" s="1074"/>
      <c r="E475" s="1073"/>
    </row>
    <row r="476" s="971" customFormat="1" spans="1:5">
      <c r="A476" s="1073"/>
      <c r="C476" s="1074"/>
      <c r="E476" s="1073"/>
    </row>
    <row r="477" s="971" customFormat="1" spans="1:5">
      <c r="A477" s="1073"/>
      <c r="C477" s="1074"/>
      <c r="E477" s="1073"/>
    </row>
    <row r="478" s="971" customFormat="1" spans="1:5">
      <c r="A478" s="1073"/>
      <c r="C478" s="1074"/>
      <c r="E478" s="1073"/>
    </row>
    <row r="479" s="971" customFormat="1" spans="1:5">
      <c r="A479" s="1073"/>
      <c r="C479" s="1074"/>
      <c r="E479" s="1073"/>
    </row>
    <row r="480" s="971" customFormat="1" spans="1:5">
      <c r="A480" s="1073"/>
      <c r="C480" s="1074"/>
      <c r="E480" s="1073"/>
    </row>
    <row r="481" s="971" customFormat="1" spans="1:5">
      <c r="A481" s="1073"/>
      <c r="C481" s="1074"/>
      <c r="E481" s="1073"/>
    </row>
    <row r="482" s="971" customFormat="1" spans="1:5">
      <c r="A482" s="1073"/>
      <c r="C482" s="1074"/>
      <c r="E482" s="1073"/>
    </row>
    <row r="483" s="971" customFormat="1" spans="1:5">
      <c r="A483" s="1073"/>
      <c r="C483" s="1074"/>
      <c r="E483" s="1073"/>
    </row>
    <row r="484" s="971" customFormat="1" spans="1:5">
      <c r="A484" s="1073"/>
      <c r="C484" s="1074"/>
      <c r="E484" s="1073"/>
    </row>
    <row r="485" s="971" customFormat="1" spans="1:5">
      <c r="A485" s="1073"/>
      <c r="C485" s="1074"/>
      <c r="E485" s="1073"/>
    </row>
    <row r="486" s="971" customFormat="1" spans="1:5">
      <c r="A486" s="1073"/>
      <c r="C486" s="1074"/>
      <c r="E486" s="1073"/>
    </row>
    <row r="487" s="971" customFormat="1" spans="1:5">
      <c r="A487" s="1073"/>
      <c r="C487" s="1074"/>
      <c r="E487" s="1073"/>
    </row>
    <row r="488" s="971" customFormat="1" spans="1:5">
      <c r="A488" s="1073"/>
      <c r="C488" s="1074"/>
      <c r="E488" s="1073"/>
    </row>
    <row r="489" s="971" customFormat="1" spans="1:5">
      <c r="A489" s="1073"/>
      <c r="C489" s="1074"/>
      <c r="E489" s="1073"/>
    </row>
    <row r="490" s="971" customFormat="1" spans="1:5">
      <c r="A490" s="1073"/>
      <c r="C490" s="1074"/>
      <c r="E490" s="1073"/>
    </row>
  </sheetData>
  <sheetProtection formatCells="0" formatColumns="0" formatRows="0"/>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6" fitToHeight="0" orientation="portrait"/>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3" tint="0.799890133365886"/>
    <pageSetUpPr fitToPage="1"/>
  </sheetPr>
  <dimension ref="A1:AE490"/>
  <sheetViews>
    <sheetView view="pageBreakPreview" zoomScale="80" zoomScaleNormal="80" workbookViewId="0">
      <selection activeCell="K48" sqref="K48"/>
    </sheetView>
  </sheetViews>
  <sheetFormatPr defaultColWidth="6.63333333333333" defaultRowHeight="12.75"/>
  <cols>
    <col min="1" max="1" width="9.725" style="980" customWidth="1"/>
    <col min="2" max="2" width="32.45" style="981" customWidth="1"/>
    <col min="3" max="3" width="10.3666666666667" style="982" customWidth="1"/>
    <col min="4" max="4" width="12" style="981" customWidth="1"/>
    <col min="5" max="5" width="9.45" style="980" customWidth="1"/>
    <col min="6" max="6" width="10.0916666666667" style="981" customWidth="1"/>
    <col min="7" max="7" width="11.6333333333333"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983" t="s">
        <v>1055</v>
      </c>
      <c r="B1" s="1140" t="s">
        <v>550</v>
      </c>
      <c r="C1" s="985"/>
      <c r="D1" s="985"/>
      <c r="E1" s="985"/>
      <c r="F1" s="985"/>
      <c r="G1" s="985"/>
      <c r="H1" s="985"/>
      <c r="I1" s="985"/>
      <c r="J1" s="985"/>
      <c r="K1" s="991">
        <f>MATCH(B1,'数据-取费表'!A6:A16,0)+5</f>
        <v>8</v>
      </c>
      <c r="L1" s="72"/>
      <c r="M1" s="72"/>
      <c r="N1" s="72"/>
      <c r="O1" s="72"/>
      <c r="P1" s="72"/>
      <c r="Q1" s="72"/>
      <c r="R1" s="72"/>
      <c r="S1" s="72"/>
      <c r="T1" s="72"/>
      <c r="U1" s="72"/>
      <c r="V1" s="72"/>
      <c r="W1" s="72"/>
      <c r="X1" s="72"/>
      <c r="Y1" s="72"/>
      <c r="Z1" s="72"/>
    </row>
    <row r="2" s="157" customFormat="1" ht="18" customHeight="1" spans="1:26">
      <c r="A2" s="986" t="s">
        <v>919</v>
      </c>
      <c r="B2" s="987">
        <f ca="1">C36</f>
        <v>13063</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988" t="s">
        <v>920</v>
      </c>
      <c r="B3" s="989">
        <f ca="1">ROUND(B2*10000/IF(B1="",'数据-汇总表'!E3,INDIRECT("'数据-取费表'!K"&amp;$K$1)),0)</f>
        <v>2329</v>
      </c>
      <c r="C3" s="985">
        <f ca="1">ROUND(B2*10000/C9,0)</f>
        <v>2329</v>
      </c>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t="e">
        <f ca="1">ROUND(B2*10000/IF(B1="",'数据-汇总表'!D3,INDIRECT("'数据-取费表'!R"&amp;$K$1)),0)</f>
        <v>#VALUE!</v>
      </c>
      <c r="C4" s="990"/>
      <c r="D4" s="991"/>
      <c r="E4" s="991"/>
      <c r="F4" s="991"/>
      <c r="G4" s="991"/>
      <c r="H4" s="991"/>
      <c r="I4" s="991"/>
      <c r="J4" s="991"/>
      <c r="K4" s="991"/>
      <c r="L4" s="72"/>
      <c r="M4" s="72"/>
      <c r="N4" s="72"/>
      <c r="O4" s="72"/>
      <c r="P4" s="72"/>
      <c r="Q4" s="72"/>
      <c r="R4" s="72"/>
      <c r="S4" s="72"/>
      <c r="T4" s="72"/>
      <c r="U4" s="72"/>
      <c r="V4" s="72"/>
      <c r="W4" s="72"/>
      <c r="X4" s="72"/>
      <c r="Y4" s="72"/>
      <c r="Z4" s="72"/>
    </row>
    <row r="5" s="157" customFormat="1" ht="18" customHeight="1" spans="1:26">
      <c r="A5" s="650"/>
      <c r="B5" s="651" t="e">
        <f ca="1">ROUND(B2/(IF(B1="",'数据-汇总表'!D3,INDIRECT("'数据-取费表'!R"&amp;$K$1))/666.67),0)</f>
        <v>#VALUE!</v>
      </c>
      <c r="C5" s="652" t="s">
        <v>922</v>
      </c>
      <c r="D5" s="991"/>
      <c r="E5" s="991"/>
      <c r="F5" s="991"/>
      <c r="G5" s="991"/>
      <c r="H5" s="991"/>
      <c r="I5" s="991"/>
      <c r="J5" s="991"/>
      <c r="K5" s="991"/>
      <c r="L5" s="72"/>
      <c r="M5" s="72"/>
      <c r="N5" s="72"/>
      <c r="O5" s="72"/>
      <c r="P5" s="72"/>
      <c r="Q5" s="72"/>
      <c r="R5" s="72"/>
      <c r="S5" s="72"/>
      <c r="T5" s="72"/>
      <c r="U5" s="72"/>
      <c r="V5" s="72"/>
      <c r="W5" s="72"/>
      <c r="X5" s="72"/>
      <c r="Y5" s="72"/>
      <c r="Z5" s="72"/>
    </row>
    <row r="6" s="969" customFormat="1" ht="16.5" customHeight="1" spans="1:26">
      <c r="A6" s="992" t="s">
        <v>2089</v>
      </c>
      <c r="B6" s="993"/>
      <c r="C6" s="994">
        <f ca="1">SUM(C10:K10)</f>
        <v>46459.65</v>
      </c>
      <c r="D6" s="993"/>
      <c r="E6" s="993"/>
      <c r="F6" s="993"/>
      <c r="G6" s="993"/>
      <c r="H6" s="993"/>
      <c r="I6" s="993"/>
      <c r="J6" s="993"/>
      <c r="K6" s="1077"/>
      <c r="L6" s="1078"/>
      <c r="M6" s="1078"/>
      <c r="N6" s="1078"/>
      <c r="O6" s="1078"/>
      <c r="P6" s="1078"/>
      <c r="Q6" s="1078"/>
      <c r="R6" s="1078"/>
      <c r="S6" s="1078"/>
      <c r="T6" s="1078"/>
      <c r="U6" s="1078"/>
      <c r="V6" s="1078"/>
      <c r="W6" s="1078"/>
      <c r="X6" s="1078"/>
      <c r="Y6" s="1078"/>
      <c r="Z6" s="1078"/>
    </row>
    <row r="7" s="970" customFormat="1" ht="15" spans="1:31">
      <c r="A7" s="995" t="s">
        <v>1058</v>
      </c>
      <c r="B7" s="996" t="s">
        <v>1059</v>
      </c>
      <c r="C7" s="997" t="s">
        <v>550</v>
      </c>
      <c r="D7" s="997"/>
      <c r="E7" s="997"/>
      <c r="F7" s="997"/>
      <c r="G7" s="997"/>
      <c r="H7" s="997"/>
      <c r="I7" s="997"/>
      <c r="J7" s="997"/>
      <c r="K7" s="1079"/>
      <c r="AA7" s="1097"/>
      <c r="AB7" s="1097"/>
      <c r="AC7" s="1097"/>
      <c r="AD7" s="1097"/>
      <c r="AE7" s="1097"/>
    </row>
    <row r="8" s="971" customFormat="1" ht="13.5" customHeight="1" spans="1:31">
      <c r="A8" s="998" t="s">
        <v>855</v>
      </c>
      <c r="B8" s="785" t="s">
        <v>1060</v>
      </c>
      <c r="C8" s="999">
        <f ca="1">'不动产收益法--住宅自持'!C43</f>
        <v>8283</v>
      </c>
      <c r="D8" s="999"/>
      <c r="E8" s="999"/>
      <c r="F8" s="999"/>
      <c r="G8" s="999"/>
      <c r="H8" s="999"/>
      <c r="I8" s="999"/>
      <c r="J8" s="999"/>
      <c r="K8" s="1080"/>
      <c r="AA8" s="981"/>
      <c r="AB8" s="981"/>
      <c r="AC8" s="981"/>
      <c r="AD8" s="981"/>
      <c r="AE8" s="981"/>
    </row>
    <row r="9" s="971" customFormat="1" ht="13.5" customHeight="1" spans="1:31">
      <c r="A9" s="998" t="s">
        <v>857</v>
      </c>
      <c r="B9" s="785" t="s">
        <v>470</v>
      </c>
      <c r="C9" s="1001">
        <f>SUMIF('数据-汇总表'!$C19:$C33,'剩余法-待开发-住宅租赁'!C7,'数据-汇总表'!$E19:$E33)</f>
        <v>56088.64</v>
      </c>
      <c r="D9" s="1001">
        <f>SUMIF('数据-汇总表'!$C19:$C33,'剩余法-待开发-住宅租赁'!D7,'数据-汇总表'!$E19:$E33)</f>
        <v>0</v>
      </c>
      <c r="E9" s="1001">
        <f>SUMIF('数据-汇总表'!$C19:$C33,'剩余法-待开发-住宅租赁'!E7,'数据-汇总表'!$E19:$E33)</f>
        <v>0</v>
      </c>
      <c r="F9" s="1001">
        <f>SUMIF('数据-汇总表'!$C19:$C33,'剩余法-待开发-住宅租赁'!F7,'数据-汇总表'!$E19:$E33)</f>
        <v>0</v>
      </c>
      <c r="G9" s="1001">
        <f>SUMIF('数据-汇总表'!$C19:$C33,'剩余法-待开发-住宅租赁'!G7,'数据-汇总表'!$E19:$E33)</f>
        <v>0</v>
      </c>
      <c r="H9" s="1001">
        <f>SUMIF('数据-汇总表'!$C19:$C33,'剩余法-待开发-住宅租赁'!H7,'数据-汇总表'!$E19:$E33)</f>
        <v>0</v>
      </c>
      <c r="I9" s="1001">
        <f>SUMIF('数据-汇总表'!$C19:$C33,'剩余法-待开发-住宅租赁'!I7,'数据-汇总表'!$E19:$E33)</f>
        <v>0</v>
      </c>
      <c r="J9" s="1001">
        <f>SUMIF('数据-汇总表'!$C19:$C33,'剩余法-待开发-住宅租赁'!J7,'数据-汇总表'!$E19:$E33)</f>
        <v>0</v>
      </c>
      <c r="K9" s="1081">
        <f>SUMIF('数据-汇总表'!$C19:$C33,'剩余法-待开发-住宅租赁'!K7,'数据-汇总表'!$E19:$E33)</f>
        <v>0</v>
      </c>
      <c r="AA9" s="981"/>
      <c r="AB9" s="981"/>
      <c r="AC9" s="981"/>
      <c r="AD9" s="981"/>
      <c r="AE9" s="981"/>
    </row>
    <row r="10" s="971" customFormat="1" ht="13.5" customHeight="1" spans="1:31">
      <c r="A10" s="1002" t="s">
        <v>1061</v>
      </c>
      <c r="B10" s="1003" t="s">
        <v>1062</v>
      </c>
      <c r="C10" s="1143">
        <f ca="1">'不动产收益法--住宅自持'!C40</f>
        <v>46459.65</v>
      </c>
      <c r="D10" s="1143"/>
      <c r="E10" s="1143"/>
      <c r="F10" s="1143"/>
      <c r="G10" s="1005"/>
      <c r="H10" s="1005"/>
      <c r="I10" s="1005"/>
      <c r="J10" s="1005"/>
      <c r="K10" s="1082"/>
      <c r="N10" s="971" t="s">
        <v>2341</v>
      </c>
      <c r="AA10" s="981"/>
      <c r="AB10" s="981"/>
      <c r="AC10" s="981"/>
      <c r="AD10" s="981"/>
      <c r="AE10" s="981"/>
    </row>
    <row r="11" s="969" customFormat="1" ht="16.5" customHeight="1" spans="1:26">
      <c r="A11" s="1006" t="s">
        <v>2090</v>
      </c>
      <c r="B11" s="993"/>
      <c r="C11" s="993"/>
      <c r="D11" s="993"/>
      <c r="E11" s="993"/>
      <c r="F11" s="993"/>
      <c r="G11" s="993"/>
      <c r="H11" s="993"/>
      <c r="I11" s="993"/>
      <c r="J11" s="993"/>
      <c r="K11" s="1077"/>
      <c r="L11" s="1078"/>
      <c r="M11" s="1078"/>
      <c r="N11" s="1078"/>
      <c r="O11" s="1078"/>
      <c r="P11" s="1078"/>
      <c r="Q11" s="1078"/>
      <c r="R11" s="1078"/>
      <c r="S11" s="1078"/>
      <c r="T11" s="1078"/>
      <c r="U11" s="1078"/>
      <c r="V11" s="1078"/>
      <c r="W11" s="1078"/>
      <c r="X11" s="1078"/>
      <c r="Y11" s="1078"/>
      <c r="Z11" s="1078"/>
    </row>
    <row r="12" s="837" customFormat="1" ht="13.5" customHeight="1" spans="1:26">
      <c r="A12" s="1007" t="s">
        <v>1058</v>
      </c>
      <c r="B12" s="1008" t="s">
        <v>1059</v>
      </c>
      <c r="C12" s="1009" t="s">
        <v>1064</v>
      </c>
      <c r="D12" s="1010" t="s">
        <v>1065</v>
      </c>
      <c r="E12" s="1010" t="s">
        <v>1066</v>
      </c>
      <c r="F12" s="1010" t="s">
        <v>1067</v>
      </c>
      <c r="G12" s="1008"/>
      <c r="H12" s="1011"/>
      <c r="I12" s="1011"/>
      <c r="J12" s="1011"/>
      <c r="K12" s="1083"/>
      <c r="L12" s="1084"/>
      <c r="M12" s="1084"/>
      <c r="N12" s="1084"/>
      <c r="O12" s="1084"/>
      <c r="P12" s="1084"/>
      <c r="Q12" s="1084"/>
      <c r="R12" s="1084"/>
      <c r="S12" s="1084"/>
      <c r="T12" s="1084"/>
      <c r="U12" s="1084"/>
      <c r="V12" s="1084"/>
      <c r="W12" s="1084"/>
      <c r="X12" s="1084"/>
      <c r="Y12" s="1084"/>
      <c r="Z12" s="1084"/>
    </row>
    <row r="13" s="972" customFormat="1" ht="13.5" customHeight="1" spans="1:26">
      <c r="A13" s="1012" t="s">
        <v>879</v>
      </c>
      <c r="B13" s="1013" t="s">
        <v>1068</v>
      </c>
      <c r="C13" s="1014">
        <f>ROUND(('数据-取费表'!K8+'数据-取费表'!L26)*'数据-取费表'!L8/10000,0)</f>
        <v>22435</v>
      </c>
      <c r="D13" s="1015"/>
      <c r="E13" s="80"/>
      <c r="F13" s="1016"/>
      <c r="G13" s="1008"/>
      <c r="H13" s="1011"/>
      <c r="I13" s="1011"/>
      <c r="J13" s="1011"/>
      <c r="K13" s="1083"/>
      <c r="L13" s="973"/>
      <c r="M13" s="973"/>
      <c r="N13" s="973"/>
      <c r="O13" s="973"/>
      <c r="P13" s="973"/>
      <c r="Q13" s="973"/>
      <c r="R13" s="973"/>
      <c r="S13" s="973"/>
      <c r="T13" s="973"/>
      <c r="U13" s="973"/>
      <c r="V13" s="973"/>
      <c r="W13" s="973"/>
      <c r="X13" s="973"/>
      <c r="Y13" s="973"/>
      <c r="Z13" s="973"/>
    </row>
    <row r="14" s="972" customFormat="1" ht="13.5" customHeight="1" spans="1:26">
      <c r="A14" s="1012" t="s">
        <v>1069</v>
      </c>
      <c r="B14" s="1013" t="s">
        <v>1070</v>
      </c>
      <c r="C14" s="125">
        <f>ROUND(C13*F14,0)</f>
        <v>673</v>
      </c>
      <c r="D14" s="1015"/>
      <c r="E14" s="80"/>
      <c r="F14" s="1017">
        <f>'数据-取费表'!B33</f>
        <v>0.03</v>
      </c>
      <c r="G14" s="1008" t="s">
        <v>1071</v>
      </c>
      <c r="H14" s="1011"/>
      <c r="I14" s="1011"/>
      <c r="J14" s="1011"/>
      <c r="K14" s="1083"/>
      <c r="L14" s="973"/>
      <c r="M14" s="973"/>
      <c r="N14" s="973"/>
      <c r="O14" s="973"/>
      <c r="P14" s="973"/>
      <c r="Q14" s="973"/>
      <c r="R14" s="973"/>
      <c r="S14" s="973"/>
      <c r="T14" s="973"/>
      <c r="U14" s="973"/>
      <c r="V14" s="973"/>
      <c r="W14" s="973"/>
      <c r="X14" s="973"/>
      <c r="Y14" s="973"/>
      <c r="Z14" s="973"/>
    </row>
    <row r="15" s="972" customFormat="1" ht="13.5" customHeight="1" spans="1:26">
      <c r="A15" s="1012" t="s">
        <v>1072</v>
      </c>
      <c r="B15" s="1013" t="s">
        <v>1073</v>
      </c>
      <c r="C15" s="125">
        <f ca="1">ROUND(IF(B1="",SUMIF('数据-取费表'!C:C,"住宅",'数据-取费表'!P:P)*F15,IF(INDIRECT("'数据-取费表'!c"&amp;$K$1)="住宅",INDIRECT("'数据-取费表'!P"&amp;$K$1)*F15,0)),0)</f>
        <v>1122</v>
      </c>
      <c r="D15" s="1015"/>
      <c r="E15" s="80"/>
      <c r="F15" s="1017">
        <f>'数据-取费表'!B34</f>
        <v>0.05</v>
      </c>
      <c r="G15" s="1008" t="s">
        <v>2091</v>
      </c>
      <c r="H15" s="1011"/>
      <c r="I15" s="1011"/>
      <c r="J15" s="1011"/>
      <c r="K15" s="1083"/>
      <c r="L15" s="973"/>
      <c r="M15" s="973"/>
      <c r="N15" s="973"/>
      <c r="O15" s="973"/>
      <c r="P15" s="973"/>
      <c r="Q15" s="973"/>
      <c r="R15" s="973"/>
      <c r="S15" s="973"/>
      <c r="T15" s="973"/>
      <c r="U15" s="973"/>
      <c r="V15" s="973"/>
      <c r="W15" s="973"/>
      <c r="X15" s="973"/>
      <c r="Y15" s="973"/>
      <c r="Z15" s="973"/>
    </row>
    <row r="16" s="973" customFormat="1" ht="13.5" customHeight="1" spans="1:31">
      <c r="A16" s="1012" t="s">
        <v>1074</v>
      </c>
      <c r="B16" s="1013" t="s">
        <v>1075</v>
      </c>
      <c r="C16" s="125">
        <f t="shared" ref="C16:C22" si="0">ROUND(D16*E16/10000,0)</f>
        <v>1711</v>
      </c>
      <c r="D16" s="1015">
        <f>'数据-取费表'!K7</f>
        <v>56088.63</v>
      </c>
      <c r="E16" s="125">
        <f>'数据-取费表'!B35</f>
        <v>305</v>
      </c>
      <c r="F16" s="1017"/>
      <c r="G16" s="1008"/>
      <c r="H16" s="1011"/>
      <c r="I16" s="1011"/>
      <c r="J16" s="1011"/>
      <c r="K16" s="1083"/>
      <c r="AA16" s="972"/>
      <c r="AB16" s="972"/>
      <c r="AC16" s="972"/>
      <c r="AD16" s="972"/>
      <c r="AE16" s="972"/>
    </row>
    <row r="17" s="972" customFormat="1" ht="13.5" customHeight="1" spans="1:26">
      <c r="A17" s="1012" t="s">
        <v>1076</v>
      </c>
      <c r="B17" s="1013" t="s">
        <v>1077</v>
      </c>
      <c r="C17" s="1018">
        <f>ROUND(C13*F17,0)</f>
        <v>337</v>
      </c>
      <c r="D17" s="1019"/>
      <c r="E17" s="1018"/>
      <c r="F17" s="1020">
        <f>'数据-取费表'!B36</f>
        <v>0.015</v>
      </c>
      <c r="G17" s="785" t="s">
        <v>2092</v>
      </c>
      <c r="H17" s="1021"/>
      <c r="I17" s="1021"/>
      <c r="J17" s="1021"/>
      <c r="K17" s="1085"/>
      <c r="L17" s="973"/>
      <c r="M17" s="973"/>
      <c r="N17" s="973"/>
      <c r="O17" s="973"/>
      <c r="P17" s="973"/>
      <c r="Q17" s="973"/>
      <c r="R17" s="973"/>
      <c r="S17" s="973"/>
      <c r="T17" s="973"/>
      <c r="U17" s="973"/>
      <c r="V17" s="973"/>
      <c r="W17" s="973"/>
      <c r="X17" s="973"/>
      <c r="Y17" s="973"/>
      <c r="Z17" s="973"/>
    </row>
    <row r="18" s="972" customFormat="1" ht="13.5" customHeight="1" spans="1:26">
      <c r="A18" s="1022" t="s">
        <v>1078</v>
      </c>
      <c r="B18" s="1023" t="s">
        <v>1079</v>
      </c>
      <c r="C18" s="1024">
        <f ca="1">SUM(C13:C17)</f>
        <v>26278</v>
      </c>
      <c r="D18" s="1025"/>
      <c r="E18" s="1026"/>
      <c r="F18" s="1026"/>
      <c r="G18" s="1027" t="s">
        <v>2093</v>
      </c>
      <c r="H18" s="1028"/>
      <c r="I18" s="1028"/>
      <c r="J18" s="1028"/>
      <c r="K18" s="1086"/>
      <c r="L18" s="973"/>
      <c r="M18" s="973">
        <v>55</v>
      </c>
      <c r="N18" s="973"/>
      <c r="O18" s="973"/>
      <c r="P18" s="973"/>
      <c r="Q18" s="973"/>
      <c r="R18" s="973"/>
      <c r="S18" s="973"/>
      <c r="T18" s="973"/>
      <c r="U18" s="973"/>
      <c r="V18" s="973"/>
      <c r="W18" s="973"/>
      <c r="X18" s="973"/>
      <c r="Y18" s="973"/>
      <c r="Z18" s="973"/>
    </row>
    <row r="19" s="972" customFormat="1" ht="13.5" customHeight="1" spans="1:26">
      <c r="A19" s="1022" t="s">
        <v>1081</v>
      </c>
      <c r="B19" s="1023" t="s">
        <v>2094</v>
      </c>
      <c r="C19" s="1010">
        <f t="shared" si="0"/>
        <v>0</v>
      </c>
      <c r="D19" s="1029">
        <f>D16</f>
        <v>56088.63</v>
      </c>
      <c r="E19" s="1010">
        <f>'数据-取费表'!B32</f>
        <v>0</v>
      </c>
      <c r="F19" s="1026"/>
      <c r="G19" s="1008" t="s">
        <v>2095</v>
      </c>
      <c r="H19" s="1011"/>
      <c r="I19" s="1028"/>
      <c r="J19" s="1028"/>
      <c r="K19" s="1086"/>
      <c r="L19" s="973"/>
      <c r="M19" s="973">
        <v>60</v>
      </c>
      <c r="N19" s="973"/>
      <c r="O19" s="973"/>
      <c r="P19" s="973"/>
      <c r="Q19" s="973"/>
      <c r="R19" s="973"/>
      <c r="S19" s="973"/>
      <c r="T19" s="973"/>
      <c r="U19" s="973"/>
      <c r="V19" s="973"/>
      <c r="W19" s="973"/>
      <c r="X19" s="973"/>
      <c r="Y19" s="973"/>
      <c r="Z19" s="973"/>
    </row>
    <row r="20" s="972" customFormat="1" ht="13.5" customHeight="1" spans="1:26">
      <c r="A20" s="1022" t="s">
        <v>1084</v>
      </c>
      <c r="B20" s="1023" t="s">
        <v>2096</v>
      </c>
      <c r="C20" s="1010">
        <f ca="1">C21+C22-IF(B1="",'数据-取费表'!B29,IF(G20="已全部缴纳",C21+C22,H20))</f>
        <v>1010</v>
      </c>
      <c r="D20" s="1029"/>
      <c r="E20" s="1010"/>
      <c r="F20" s="1030"/>
      <c r="G20" s="1031" t="s">
        <v>2097</v>
      </c>
      <c r="H20" s="1032">
        <v>0</v>
      </c>
      <c r="I20" s="1087" t="s">
        <v>1112</v>
      </c>
      <c r="J20" s="1028"/>
      <c r="K20" s="1086"/>
      <c r="L20" s="973"/>
      <c r="M20" s="973">
        <f>M18/M19</f>
        <v>0.916666666666667</v>
      </c>
      <c r="N20" s="973"/>
      <c r="O20" s="973"/>
      <c r="P20" s="973"/>
      <c r="Q20" s="973"/>
      <c r="R20" s="973"/>
      <c r="S20" s="973"/>
      <c r="T20" s="973"/>
      <c r="U20" s="973"/>
      <c r="V20" s="973"/>
      <c r="W20" s="973"/>
      <c r="X20" s="973"/>
      <c r="Y20" s="973"/>
      <c r="Z20" s="973"/>
    </row>
    <row r="21" s="972" customFormat="1" ht="13.5" customHeight="1" spans="1:26">
      <c r="A21" s="1012" t="s">
        <v>879</v>
      </c>
      <c r="B21" s="1013" t="s">
        <v>2098</v>
      </c>
      <c r="C21" s="125">
        <f ca="1" t="shared" si="0"/>
        <v>1010</v>
      </c>
      <c r="D21" s="1015">
        <f ca="1">IF(B1="",'数据-汇总表'!E5,IF(INDIRECT("'数据-取费表'!c"&amp;$K$1)="住宅",INDIRECT("'数据-取费表'!k"&amp;$K$1),0))</f>
        <v>56088.64</v>
      </c>
      <c r="E21" s="125">
        <f>'数据-取费表'!B27</f>
        <v>180</v>
      </c>
      <c r="F21" s="1017"/>
      <c r="G21" s="857"/>
      <c r="H21" s="1033"/>
      <c r="I21" s="1033"/>
      <c r="J21" s="1033"/>
      <c r="K21" s="1088"/>
      <c r="L21" s="973"/>
      <c r="M21" s="973"/>
      <c r="N21" s="973"/>
      <c r="O21" s="973"/>
      <c r="P21" s="973"/>
      <c r="Q21" s="973"/>
      <c r="R21" s="973"/>
      <c r="S21" s="973"/>
      <c r="T21" s="973"/>
      <c r="U21" s="973"/>
      <c r="V21" s="973"/>
      <c r="W21" s="973"/>
      <c r="X21" s="973"/>
      <c r="Y21" s="973"/>
      <c r="Z21" s="973"/>
    </row>
    <row r="22" s="972" customFormat="1" ht="13.5" customHeight="1" spans="1:26">
      <c r="A22" s="1012" t="s">
        <v>883</v>
      </c>
      <c r="B22" s="1013" t="s">
        <v>2099</v>
      </c>
      <c r="C22" s="125">
        <f t="shared" si="0"/>
        <v>0</v>
      </c>
      <c r="D22" s="1015">
        <f>'数据-取费表'!L26</f>
        <v>0</v>
      </c>
      <c r="E22" s="125">
        <f>'数据-取费表'!B28</f>
        <v>160</v>
      </c>
      <c r="F22" s="1017"/>
      <c r="G22" s="857"/>
      <c r="H22" s="1033"/>
      <c r="I22" s="1033"/>
      <c r="J22" s="1033"/>
      <c r="K22" s="1088"/>
      <c r="L22" s="973"/>
      <c r="M22" s="973"/>
      <c r="N22" s="973"/>
      <c r="O22" s="973"/>
      <c r="P22" s="973"/>
      <c r="Q22" s="973"/>
      <c r="R22" s="973"/>
      <c r="S22" s="973"/>
      <c r="T22" s="973"/>
      <c r="U22" s="973"/>
      <c r="V22" s="973"/>
      <c r="W22" s="973"/>
      <c r="X22" s="973"/>
      <c r="Y22" s="973"/>
      <c r="Z22" s="973"/>
    </row>
    <row r="23" s="972" customFormat="1" ht="13.5" customHeight="1" spans="1:26">
      <c r="A23" s="1022" t="s">
        <v>2100</v>
      </c>
      <c r="B23" s="1034" t="s">
        <v>2101</v>
      </c>
      <c r="C23" s="1024">
        <f ca="1">ROUND((C18+C19+C20)*F23,0)</f>
        <v>819</v>
      </c>
      <c r="D23" s="1026"/>
      <c r="E23" s="1026"/>
      <c r="F23" s="1144">
        <f>'数据-取费表'!B37</f>
        <v>0.03</v>
      </c>
      <c r="G23" s="1008" t="s">
        <v>2102</v>
      </c>
      <c r="H23" s="1011"/>
      <c r="I23" s="1011"/>
      <c r="J23" s="1011"/>
      <c r="K23" s="1083"/>
      <c r="L23" s="1089"/>
      <c r="M23" s="1089"/>
      <c r="N23" s="1089"/>
      <c r="O23" s="973"/>
      <c r="P23" s="973"/>
      <c r="Q23" s="973"/>
      <c r="R23" s="973"/>
      <c r="S23" s="973"/>
      <c r="T23" s="973"/>
      <c r="U23" s="973"/>
      <c r="V23" s="973"/>
      <c r="W23" s="973"/>
      <c r="X23" s="973"/>
      <c r="Y23" s="973"/>
      <c r="Z23" s="973"/>
    </row>
    <row r="24" s="972" customFormat="1" ht="13.5" customHeight="1" spans="1:26">
      <c r="A24" s="1022" t="s">
        <v>1089</v>
      </c>
      <c r="B24" s="1034" t="s">
        <v>2103</v>
      </c>
      <c r="C24" s="1235">
        <f ca="1">ROUND(C6*F24,0)</f>
        <v>929</v>
      </c>
      <c r="D24" s="1019"/>
      <c r="E24" s="1036"/>
      <c r="F24" s="1144">
        <v>0.02</v>
      </c>
      <c r="G24" s="1037" t="s">
        <v>2104</v>
      </c>
      <c r="H24" s="1021"/>
      <c r="I24" s="1021"/>
      <c r="J24" s="1021"/>
      <c r="K24" s="1085"/>
      <c r="L24" s="1089"/>
      <c r="M24" s="1089"/>
      <c r="N24" s="1089"/>
      <c r="O24" s="973"/>
      <c r="P24" s="973"/>
      <c r="Q24" s="973"/>
      <c r="R24" s="973"/>
      <c r="S24" s="973"/>
      <c r="T24" s="973"/>
      <c r="U24" s="973"/>
      <c r="V24" s="973"/>
      <c r="W24" s="973"/>
      <c r="X24" s="973"/>
      <c r="Y24" s="973"/>
      <c r="Z24" s="973"/>
    </row>
    <row r="25" s="974" customFormat="1" ht="13.5" customHeight="1" spans="1:26">
      <c r="A25" s="1022" t="s">
        <v>1091</v>
      </c>
      <c r="B25" s="1034" t="s">
        <v>2105</v>
      </c>
      <c r="C25" s="1038">
        <f>F25</f>
        <v>0.0305</v>
      </c>
      <c r="D25" s="1039" t="s">
        <v>2106</v>
      </c>
      <c r="E25" s="1040"/>
      <c r="F25" s="1035">
        <f>'数据-取费表'!B48+'数据-取费表'!B49</f>
        <v>0.0305</v>
      </c>
      <c r="G25" s="1041" t="s">
        <v>2107</v>
      </c>
      <c r="H25" s="1011"/>
      <c r="I25" s="1011"/>
      <c r="J25" s="1011"/>
      <c r="K25" s="1083"/>
      <c r="L25" s="1090"/>
      <c r="M25" s="1090"/>
      <c r="N25" s="1090"/>
      <c r="O25" s="1090"/>
      <c r="P25" s="1090"/>
      <c r="Q25" s="1090"/>
      <c r="R25" s="1090"/>
      <c r="S25" s="1090"/>
      <c r="T25" s="1090"/>
      <c r="U25" s="1090"/>
      <c r="V25" s="1090"/>
      <c r="W25" s="1090"/>
      <c r="X25" s="1090"/>
      <c r="Y25" s="1090"/>
      <c r="Z25" s="1090"/>
    </row>
    <row r="26" s="975" customFormat="1" ht="13.5" customHeight="1" spans="1:26">
      <c r="A26" s="1022" t="s">
        <v>2108</v>
      </c>
      <c r="B26" s="1042" t="s">
        <v>2109</v>
      </c>
      <c r="C26" s="1043">
        <f ca="1">C28</f>
        <v>1379</v>
      </c>
      <c r="D26" s="1044">
        <f ca="1">C27</f>
        <v>0.1002</v>
      </c>
      <c r="E26" s="1040" t="s">
        <v>2106</v>
      </c>
      <c r="F26" s="1045">
        <f ca="1">'数据-取费表'!B40</f>
        <v>0.0475</v>
      </c>
      <c r="G26" s="790" t="str">
        <f>IF('数据-取费表'!B22&lt;=1,"单利计息。","复利计息。")&amp;"后续开发成本、管理费用及销售费用产生的利息。"</f>
        <v>复利计息。后续开发成本、管理费用及销售费用产生的利息。</v>
      </c>
      <c r="H26" s="1028"/>
      <c r="I26" s="1028"/>
      <c r="J26" s="1028"/>
      <c r="K26" s="1086"/>
      <c r="L26" s="1089"/>
      <c r="M26" s="1089"/>
      <c r="N26" s="1089"/>
      <c r="O26" s="1089"/>
      <c r="P26" s="1089"/>
      <c r="Q26" s="1089"/>
      <c r="R26" s="1089"/>
      <c r="S26" s="1089"/>
      <c r="T26" s="1089"/>
      <c r="U26" s="1089"/>
      <c r="V26" s="1089"/>
      <c r="W26" s="1089"/>
      <c r="X26" s="1089"/>
      <c r="Y26" s="1089"/>
      <c r="Z26" s="1089"/>
    </row>
    <row r="27" s="976" customFormat="1" ht="13.5" customHeight="1" spans="1:26">
      <c r="A27" s="998" t="s">
        <v>879</v>
      </c>
      <c r="B27" s="1046" t="s">
        <v>2110</v>
      </c>
      <c r="C27" s="1047">
        <f ca="1">ROUND(IF('数据-取费表'!B22&lt;=1,(1+C25)*F26*'数据-取费表'!B24,(1+C25)*(POWER((1+F26),'数据-取费表'!B24)-1)),4)</f>
        <v>0.1002</v>
      </c>
      <c r="D27" s="1048"/>
      <c r="E27" s="1036"/>
      <c r="F27" s="1049"/>
      <c r="G27" s="790" t="str">
        <f>IF('数据-取费表'!B22&lt;=1,"（1+取得税费率/(1+5%)）×年利率×建设期","（1+取得税费率）/(1+5%)×((1+年利率)^建设期-1)")</f>
        <v>（1+取得税费率）/(1+5%)×((1+年利率)^建设期-1)</v>
      </c>
      <c r="H27" s="1021"/>
      <c r="I27" s="1021"/>
      <c r="J27" s="1021"/>
      <c r="K27" s="1085"/>
      <c r="L27" s="1091"/>
      <c r="M27" s="1091"/>
      <c r="N27" s="1091"/>
      <c r="O27" s="1091"/>
      <c r="P27" s="1091"/>
      <c r="Q27" s="1091"/>
      <c r="R27" s="1091"/>
      <c r="S27" s="1091"/>
      <c r="T27" s="1091"/>
      <c r="U27" s="1091"/>
      <c r="V27" s="1091"/>
      <c r="W27" s="1091"/>
      <c r="X27" s="1091"/>
      <c r="Y27" s="1091"/>
      <c r="Z27" s="1091"/>
    </row>
    <row r="28" s="976" customFormat="1" ht="13.5" customHeight="1" spans="1:26">
      <c r="A28" s="998" t="s">
        <v>883</v>
      </c>
      <c r="B28" s="1046" t="s">
        <v>2111</v>
      </c>
      <c r="C28" s="1050">
        <f ca="1">ROUND(IF('数据-取费表'!B22&lt;=1,(C18+C19+C20+C23+C24)*F26*'数据-取费表'!B24/2,(C18+C19+C20+C23+C24)*(POWER((1+F26),'数据-取费表'!B24/2)-1)),0)</f>
        <v>1379</v>
      </c>
      <c r="D28" s="1048"/>
      <c r="E28" s="1036"/>
      <c r="F28" s="1049"/>
      <c r="G28" s="790" t="str">
        <f>IF('数据-取费表'!B22&lt;=1,"（1）-（4）项×年利率×建设期÷2","（1）-（4）项×((1+年利率)^(建设期÷2)-1)")</f>
        <v>（1）-（4）项×((1+年利率)^(建设期÷2)-1)</v>
      </c>
      <c r="H28" s="1021"/>
      <c r="I28" s="1021"/>
      <c r="J28" s="1021"/>
      <c r="K28" s="1085"/>
      <c r="L28" s="1091"/>
      <c r="M28" s="1091"/>
      <c r="N28" s="1091"/>
      <c r="O28" s="1091"/>
      <c r="P28" s="1091"/>
      <c r="Q28" s="1091"/>
      <c r="R28" s="1091"/>
      <c r="S28" s="1091"/>
      <c r="T28" s="1091"/>
      <c r="U28" s="1091"/>
      <c r="V28" s="1091"/>
      <c r="W28" s="1091"/>
      <c r="X28" s="1091"/>
      <c r="Y28" s="1091"/>
      <c r="Z28" s="1091"/>
    </row>
    <row r="29" s="976" customFormat="1" ht="13.5" customHeight="1" spans="1:26">
      <c r="A29" s="1051" t="s">
        <v>2112</v>
      </c>
      <c r="B29" s="1023" t="s">
        <v>2113</v>
      </c>
      <c r="C29" s="1235">
        <f ca="1">ROUND(C6*F29/(1+'数据-取费表'!C42),0)</f>
        <v>0</v>
      </c>
      <c r="D29" s="1026"/>
      <c r="E29" s="1026"/>
      <c r="F29" s="1236">
        <v>0</v>
      </c>
      <c r="G29" s="1037" t="s">
        <v>2114</v>
      </c>
      <c r="H29" s="1011"/>
      <c r="I29" s="1011"/>
      <c r="J29" s="1011"/>
      <c r="K29" s="1083"/>
      <c r="L29" s="1091"/>
      <c r="M29" s="1091"/>
      <c r="N29" s="1091"/>
      <c r="O29" s="1091"/>
      <c r="P29" s="1091"/>
      <c r="Q29" s="1091"/>
      <c r="R29" s="1091"/>
      <c r="S29" s="1091"/>
      <c r="T29" s="1091"/>
      <c r="U29" s="1091"/>
      <c r="V29" s="1091"/>
      <c r="W29" s="1091"/>
      <c r="X29" s="1091"/>
      <c r="Y29" s="1091"/>
      <c r="Z29" s="1091"/>
    </row>
    <row r="30" s="977" customFormat="1" ht="13.5" customHeight="1" spans="1:26">
      <c r="A30" s="1053" t="s">
        <v>2115</v>
      </c>
      <c r="B30" s="1054" t="s">
        <v>2116</v>
      </c>
      <c r="C30" s="1043">
        <f ca="1">C31</f>
        <v>30415</v>
      </c>
      <c r="D30" s="1055">
        <f ca="1">C32</f>
        <v>0.1307</v>
      </c>
      <c r="E30" s="1040" t="s">
        <v>2106</v>
      </c>
      <c r="F30" s="1045"/>
      <c r="G30" s="1041" t="s">
        <v>2117</v>
      </c>
      <c r="H30" s="1011"/>
      <c r="I30" s="1011"/>
      <c r="J30" s="1011"/>
      <c r="K30" s="1083"/>
      <c r="L30" s="1092"/>
      <c r="M30" s="1092"/>
      <c r="N30" s="1092"/>
      <c r="O30" s="1092"/>
      <c r="P30" s="1092"/>
      <c r="Q30" s="1092"/>
      <c r="R30" s="1092"/>
      <c r="S30" s="1092"/>
      <c r="T30" s="1092"/>
      <c r="U30" s="1092"/>
      <c r="V30" s="1092"/>
      <c r="W30" s="1092"/>
      <c r="X30" s="1092"/>
      <c r="Y30" s="1092"/>
      <c r="Z30" s="1092"/>
    </row>
    <row r="31" s="976" customFormat="1" ht="13.5" customHeight="1" spans="1:26">
      <c r="A31" s="998" t="s">
        <v>879</v>
      </c>
      <c r="B31" s="1046"/>
      <c r="C31" s="1014">
        <f ca="1">C18+C19+C20+C23+C24+C26+C29</f>
        <v>30415</v>
      </c>
      <c r="D31" s="1048"/>
      <c r="E31" s="1036"/>
      <c r="F31" s="1049"/>
      <c r="G31" s="785"/>
      <c r="H31" s="1021"/>
      <c r="I31" s="1021"/>
      <c r="J31" s="1021"/>
      <c r="K31" s="1085"/>
      <c r="L31" s="1091"/>
      <c r="M31" s="1091"/>
      <c r="N31" s="1091"/>
      <c r="O31" s="1091"/>
      <c r="P31" s="1091"/>
      <c r="Q31" s="1091"/>
      <c r="R31" s="1091"/>
      <c r="S31" s="1091"/>
      <c r="T31" s="1091"/>
      <c r="U31" s="1091"/>
      <c r="V31" s="1091"/>
      <c r="W31" s="1091"/>
      <c r="X31" s="1091"/>
      <c r="Y31" s="1091"/>
      <c r="Z31" s="1091"/>
    </row>
    <row r="32" s="976" customFormat="1" ht="13.5" customHeight="1" spans="1:26">
      <c r="A32" s="998" t="s">
        <v>883</v>
      </c>
      <c r="B32" s="1046"/>
      <c r="C32" s="125">
        <f ca="1">ROUND(C25+D26,4)</f>
        <v>0.1307</v>
      </c>
      <c r="D32" s="1048"/>
      <c r="E32" s="1036"/>
      <c r="F32" s="1049"/>
      <c r="G32" s="785"/>
      <c r="H32" s="1021"/>
      <c r="I32" s="1021"/>
      <c r="J32" s="1021"/>
      <c r="K32" s="1085"/>
      <c r="L32" s="1091"/>
      <c r="M32" s="1091"/>
      <c r="N32" s="1091"/>
      <c r="O32" s="1091"/>
      <c r="P32" s="1091"/>
      <c r="Q32" s="1091"/>
      <c r="R32" s="1091"/>
      <c r="S32" s="1091"/>
      <c r="T32" s="1091"/>
      <c r="U32" s="1091"/>
      <c r="V32" s="1091"/>
      <c r="W32" s="1091"/>
      <c r="X32" s="1091"/>
      <c r="Y32" s="1091"/>
      <c r="Z32" s="1091"/>
    </row>
    <row r="33" s="978" customFormat="1" ht="13.5" customHeight="1" spans="1:26">
      <c r="A33" s="1056" t="s">
        <v>2118</v>
      </c>
      <c r="B33" s="1057" t="s">
        <v>1087</v>
      </c>
      <c r="C33" s="1058">
        <f ca="1">C35</f>
        <v>871</v>
      </c>
      <c r="D33" s="1044">
        <f ca="1">C34</f>
        <v>0.0309</v>
      </c>
      <c r="E33" s="1040" t="s">
        <v>2106</v>
      </c>
      <c r="F33" s="1059">
        <f ca="1">IF(B1="",'数据-取费表'!Q16,INDIRECT("'数据-取费表'!q"&amp;$K$1))</f>
        <v>0.03</v>
      </c>
      <c r="G33" s="1027"/>
      <c r="H33" s="1028"/>
      <c r="I33" s="1028"/>
      <c r="J33" s="1028"/>
      <c r="K33" s="1086"/>
      <c r="L33" s="1093"/>
      <c r="M33" s="1093"/>
      <c r="N33" s="1093"/>
      <c r="O33" s="1093"/>
      <c r="P33" s="1093"/>
      <c r="Q33" s="1093"/>
      <c r="R33" s="1093"/>
      <c r="S33" s="1093"/>
      <c r="T33" s="1093"/>
      <c r="U33" s="1093"/>
      <c r="V33" s="1093"/>
      <c r="W33" s="1093"/>
      <c r="X33" s="1093"/>
      <c r="Y33" s="1093"/>
      <c r="Z33" s="1093"/>
    </row>
    <row r="34" s="979" customFormat="1" ht="13.5" customHeight="1" spans="1:26">
      <c r="A34" s="1060" t="s">
        <v>879</v>
      </c>
      <c r="B34" s="1061" t="s">
        <v>2119</v>
      </c>
      <c r="C34" s="1048">
        <f ca="1">ROUND((1+C25)*F33,4)</f>
        <v>0.0309</v>
      </c>
      <c r="D34" s="1048"/>
      <c r="E34" s="1036"/>
      <c r="F34" s="1062"/>
      <c r="G34" s="785" t="s">
        <v>2120</v>
      </c>
      <c r="H34" s="1021"/>
      <c r="I34" s="1021"/>
      <c r="J34" s="1021"/>
      <c r="K34" s="1085"/>
      <c r="L34" s="1094"/>
      <c r="M34" s="1094"/>
      <c r="N34" s="1094"/>
      <c r="O34" s="1094"/>
      <c r="P34" s="1094"/>
      <c r="Q34" s="1094"/>
      <c r="R34" s="1094"/>
      <c r="S34" s="1094"/>
      <c r="T34" s="1094"/>
      <c r="U34" s="1094"/>
      <c r="V34" s="1094"/>
      <c r="W34" s="1094"/>
      <c r="X34" s="1094"/>
      <c r="Y34" s="1094"/>
      <c r="Z34" s="1094"/>
    </row>
    <row r="35" s="979" customFormat="1" ht="13.5" customHeight="1" spans="1:26">
      <c r="A35" s="1063" t="s">
        <v>883</v>
      </c>
      <c r="B35" s="1064" t="s">
        <v>2121</v>
      </c>
      <c r="C35" s="1065">
        <f ca="1">ROUND((C18+C19+C20+C23+C24)*F33,0)</f>
        <v>871</v>
      </c>
      <c r="D35" s="1066"/>
      <c r="E35" s="1067"/>
      <c r="F35" s="1068"/>
      <c r="G35" s="1003"/>
      <c r="H35" s="1069"/>
      <c r="I35" s="1069"/>
      <c r="J35" s="1069"/>
      <c r="K35" s="1095"/>
      <c r="L35" s="1094"/>
      <c r="M35" s="1094"/>
      <c r="N35" s="1094"/>
      <c r="O35" s="1094"/>
      <c r="P35" s="1094"/>
      <c r="Q35" s="1094"/>
      <c r="R35" s="1094"/>
      <c r="S35" s="1094"/>
      <c r="T35" s="1094"/>
      <c r="U35" s="1094"/>
      <c r="V35" s="1094"/>
      <c r="W35" s="1094"/>
      <c r="X35" s="1094"/>
      <c r="Y35" s="1094"/>
      <c r="Z35" s="1094"/>
    </row>
    <row r="36" s="837" customFormat="1" ht="13.5" customHeight="1" spans="1:26">
      <c r="A36" s="350" t="s">
        <v>2122</v>
      </c>
      <c r="B36" s="1070"/>
      <c r="C36" s="1071">
        <f ca="1">ROUND((C6-C30-C33)/(1+D30+D33),0)</f>
        <v>13063</v>
      </c>
      <c r="D36" s="1070"/>
      <c r="E36" s="1070"/>
      <c r="F36" s="1070"/>
      <c r="G36" s="1072" t="s">
        <v>2123</v>
      </c>
      <c r="H36" s="1070"/>
      <c r="I36" s="1070"/>
      <c r="J36" s="1070"/>
      <c r="K36" s="1096"/>
      <c r="L36" s="1084"/>
      <c r="M36" s="1084"/>
      <c r="N36" s="1084"/>
      <c r="O36" s="1084"/>
      <c r="P36" s="1084"/>
      <c r="Q36" s="1084"/>
      <c r="R36" s="1084"/>
      <c r="S36" s="1084"/>
      <c r="T36" s="1084"/>
      <c r="U36" s="1084"/>
      <c r="V36" s="1084"/>
      <c r="W36" s="1084"/>
      <c r="X36" s="1084"/>
      <c r="Y36" s="1084"/>
      <c r="Z36" s="1084"/>
    </row>
    <row r="37" s="971" customFormat="1" spans="1:5">
      <c r="A37" s="1073"/>
      <c r="C37" s="1074"/>
      <c r="E37" s="1073"/>
    </row>
    <row r="38" s="971" customFormat="1" customHeight="1" spans="1:5">
      <c r="A38" s="1073"/>
      <c r="C38" s="1074"/>
      <c r="E38" s="1073"/>
    </row>
    <row r="39" s="971" customFormat="1" spans="1:5">
      <c r="A39" s="1073"/>
      <c r="B39" s="1075"/>
      <c r="C39" s="1076" t="s">
        <v>2342</v>
      </c>
      <c r="D39" s="971">
        <f ca="1">ROUND(C36*10000/D16,0)</f>
        <v>2329</v>
      </c>
      <c r="E39" s="1073"/>
    </row>
    <row r="40" s="971" customFormat="1" spans="1:5">
      <c r="A40" s="1073"/>
      <c r="C40" s="1076" t="s">
        <v>2343</v>
      </c>
      <c r="D40" s="971">
        <f ca="1">ROUND(C36*10000/地块信息表!D25,0)</f>
        <v>12889</v>
      </c>
      <c r="E40" s="1073"/>
    </row>
    <row r="41" s="971" customFormat="1" spans="1:5">
      <c r="A41" s="1073"/>
      <c r="C41" s="1076" t="s">
        <v>2344</v>
      </c>
      <c r="D41" s="971">
        <f ca="1">D40/15</f>
        <v>859.266666666667</v>
      </c>
      <c r="E41" s="1073"/>
    </row>
    <row r="42" s="971" customFormat="1" spans="1:5">
      <c r="A42" s="1073"/>
      <c r="C42" s="1074"/>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row r="213" s="971" customFormat="1" spans="1:5">
      <c r="A213" s="1073"/>
      <c r="C213" s="1074"/>
      <c r="E213" s="1073"/>
    </row>
    <row r="214" s="971" customFormat="1" spans="1:5">
      <c r="A214" s="1073"/>
      <c r="C214" s="1074"/>
      <c r="E214" s="1073"/>
    </row>
    <row r="215" s="971" customFormat="1" spans="1:5">
      <c r="A215" s="1073"/>
      <c r="C215" s="1074"/>
      <c r="E215" s="1073"/>
    </row>
    <row r="216" s="971" customFormat="1" spans="1:5">
      <c r="A216" s="1073"/>
      <c r="C216" s="1074"/>
      <c r="E216" s="1073"/>
    </row>
    <row r="217" s="971" customFormat="1" spans="1:5">
      <c r="A217" s="1073"/>
      <c r="C217" s="1074"/>
      <c r="E217" s="1073"/>
    </row>
    <row r="218" s="971" customFormat="1" spans="1:5">
      <c r="A218" s="1073"/>
      <c r="C218" s="1074"/>
      <c r="E218" s="1073"/>
    </row>
    <row r="219" s="971" customFormat="1" spans="1:5">
      <c r="A219" s="1073"/>
      <c r="C219" s="1074"/>
      <c r="E219" s="1073"/>
    </row>
    <row r="220" s="971" customFormat="1" spans="1:5">
      <c r="A220" s="1073"/>
      <c r="C220" s="1074"/>
      <c r="E220" s="1073"/>
    </row>
    <row r="221" s="971" customFormat="1" spans="1:5">
      <c r="A221" s="1073"/>
      <c r="C221" s="1074"/>
      <c r="E221" s="1073"/>
    </row>
    <row r="222" s="971" customFormat="1" spans="1:5">
      <c r="A222" s="1073"/>
      <c r="C222" s="1074"/>
      <c r="E222" s="1073"/>
    </row>
    <row r="223" s="971" customFormat="1" spans="1:5">
      <c r="A223" s="1073"/>
      <c r="C223" s="1074"/>
      <c r="E223" s="1073"/>
    </row>
    <row r="224" s="971" customFormat="1" spans="1:5">
      <c r="A224" s="1073"/>
      <c r="C224" s="1074"/>
      <c r="E224" s="1073"/>
    </row>
    <row r="225" s="971" customFormat="1" spans="1:5">
      <c r="A225" s="1073"/>
      <c r="C225" s="1074"/>
      <c r="E225" s="1073"/>
    </row>
    <row r="226" s="971" customFormat="1" spans="1:5">
      <c r="A226" s="1073"/>
      <c r="C226" s="1074"/>
      <c r="E226" s="1073"/>
    </row>
    <row r="227" s="971" customFormat="1" spans="1:5">
      <c r="A227" s="1073"/>
      <c r="C227" s="1074"/>
      <c r="E227" s="1073"/>
    </row>
    <row r="228" s="971" customFormat="1" spans="1:5">
      <c r="A228" s="1073"/>
      <c r="C228" s="1074"/>
      <c r="E228" s="1073"/>
    </row>
    <row r="229" s="971" customFormat="1" spans="1:5">
      <c r="A229" s="1073"/>
      <c r="C229" s="1074"/>
      <c r="E229" s="1073"/>
    </row>
    <row r="230" s="971" customFormat="1" spans="1:5">
      <c r="A230" s="1073"/>
      <c r="C230" s="1074"/>
      <c r="E230" s="1073"/>
    </row>
    <row r="231" s="971" customFormat="1" spans="1:5">
      <c r="A231" s="1073"/>
      <c r="C231" s="1074"/>
      <c r="E231" s="1073"/>
    </row>
    <row r="232" s="971" customFormat="1" spans="1:5">
      <c r="A232" s="1073"/>
      <c r="C232" s="1074"/>
      <c r="E232" s="1073"/>
    </row>
    <row r="233" s="971" customFormat="1" spans="1:5">
      <c r="A233" s="1073"/>
      <c r="C233" s="1074"/>
      <c r="E233" s="1073"/>
    </row>
    <row r="234" s="971" customFormat="1" spans="1:5">
      <c r="A234" s="1073"/>
      <c r="C234" s="1074"/>
      <c r="E234" s="1073"/>
    </row>
    <row r="235" s="971" customFormat="1" spans="1:5">
      <c r="A235" s="1073"/>
      <c r="C235" s="1074"/>
      <c r="E235" s="1073"/>
    </row>
    <row r="236" s="971" customFormat="1" spans="1:5">
      <c r="A236" s="1073"/>
      <c r="C236" s="1074"/>
      <c r="E236" s="1073"/>
    </row>
    <row r="237" s="971" customFormat="1" spans="1:5">
      <c r="A237" s="1073"/>
      <c r="C237" s="1074"/>
      <c r="E237" s="1073"/>
    </row>
    <row r="238" s="971" customFormat="1" spans="1:5">
      <c r="A238" s="1073"/>
      <c r="C238" s="1074"/>
      <c r="E238" s="1073"/>
    </row>
    <row r="239" s="971" customFormat="1" spans="1:5">
      <c r="A239" s="1073"/>
      <c r="C239" s="1074"/>
      <c r="E239" s="1073"/>
    </row>
    <row r="240" s="971" customFormat="1" spans="1:5">
      <c r="A240" s="1073"/>
      <c r="C240" s="1074"/>
      <c r="E240" s="1073"/>
    </row>
    <row r="241" s="971" customFormat="1" spans="1:5">
      <c r="A241" s="1073"/>
      <c r="C241" s="1074"/>
      <c r="E241" s="1073"/>
    </row>
    <row r="242" s="971" customFormat="1" spans="1:5">
      <c r="A242" s="1073"/>
      <c r="C242" s="1074"/>
      <c r="E242" s="1073"/>
    </row>
    <row r="243" s="971" customFormat="1" spans="1:5">
      <c r="A243" s="1073"/>
      <c r="C243" s="1074"/>
      <c r="E243" s="1073"/>
    </row>
    <row r="244" s="971" customFormat="1" spans="1:5">
      <c r="A244" s="1073"/>
      <c r="C244" s="1074"/>
      <c r="E244" s="1073"/>
    </row>
    <row r="245" s="971" customFormat="1" spans="1:5">
      <c r="A245" s="1073"/>
      <c r="C245" s="1074"/>
      <c r="E245" s="1073"/>
    </row>
    <row r="246" s="971" customFormat="1" spans="1:5">
      <c r="A246" s="1073"/>
      <c r="C246" s="1074"/>
      <c r="E246" s="1073"/>
    </row>
    <row r="247" s="971" customFormat="1" spans="1:5">
      <c r="A247" s="1073"/>
      <c r="C247" s="1074"/>
      <c r="E247" s="1073"/>
    </row>
    <row r="248" s="971" customFormat="1" spans="1:5">
      <c r="A248" s="1073"/>
      <c r="C248" s="1074"/>
      <c r="E248" s="1073"/>
    </row>
    <row r="249" s="971" customFormat="1" spans="1:5">
      <c r="A249" s="1073"/>
      <c r="C249" s="1074"/>
      <c r="E249" s="1073"/>
    </row>
    <row r="250" s="971" customFormat="1" spans="1:5">
      <c r="A250" s="1073"/>
      <c r="C250" s="1074"/>
      <c r="E250" s="1073"/>
    </row>
    <row r="251" s="971" customFormat="1" spans="1:5">
      <c r="A251" s="1073"/>
      <c r="C251" s="1074"/>
      <c r="E251" s="1073"/>
    </row>
    <row r="252" s="971" customFormat="1" spans="1:5">
      <c r="A252" s="1073"/>
      <c r="C252" s="1074"/>
      <c r="E252" s="1073"/>
    </row>
    <row r="253" s="971" customFormat="1" spans="1:5">
      <c r="A253" s="1073"/>
      <c r="C253" s="1074"/>
      <c r="E253" s="1073"/>
    </row>
    <row r="254" s="971" customFormat="1" spans="1:5">
      <c r="A254" s="1073"/>
      <c r="C254" s="1074"/>
      <c r="E254" s="1073"/>
    </row>
    <row r="255" s="971" customFormat="1" spans="1:5">
      <c r="A255" s="1073"/>
      <c r="C255" s="1074"/>
      <c r="E255" s="1073"/>
    </row>
    <row r="256" s="971" customFormat="1" spans="1:5">
      <c r="A256" s="1073"/>
      <c r="C256" s="1074"/>
      <c r="E256" s="1073"/>
    </row>
    <row r="257" s="971" customFormat="1" spans="1:5">
      <c r="A257" s="1073"/>
      <c r="C257" s="1074"/>
      <c r="E257" s="1073"/>
    </row>
    <row r="258" s="971" customFormat="1" spans="1:5">
      <c r="A258" s="1073"/>
      <c r="C258" s="1074"/>
      <c r="E258" s="1073"/>
    </row>
    <row r="259" s="971" customFormat="1" spans="1:5">
      <c r="A259" s="1073"/>
      <c r="C259" s="1074"/>
      <c r="E259" s="1073"/>
    </row>
    <row r="260" s="971" customFormat="1" spans="1:5">
      <c r="A260" s="1073"/>
      <c r="C260" s="1074"/>
      <c r="E260" s="1073"/>
    </row>
    <row r="261" s="971" customFormat="1" spans="1:5">
      <c r="A261" s="1073"/>
      <c r="C261" s="1074"/>
      <c r="E261" s="1073"/>
    </row>
    <row r="262" s="971" customFormat="1" spans="1:5">
      <c r="A262" s="1073"/>
      <c r="C262" s="1074"/>
      <c r="E262" s="1073"/>
    </row>
    <row r="263" s="971" customFormat="1" spans="1:5">
      <c r="A263" s="1073"/>
      <c r="C263" s="1074"/>
      <c r="E263" s="1073"/>
    </row>
    <row r="264" s="971" customFormat="1" spans="1:5">
      <c r="A264" s="1073"/>
      <c r="C264" s="1074"/>
      <c r="E264" s="1073"/>
    </row>
    <row r="265" s="971" customFormat="1" spans="1:5">
      <c r="A265" s="1073"/>
      <c r="C265" s="1074"/>
      <c r="E265" s="1073"/>
    </row>
    <row r="266" s="971" customFormat="1" spans="1:5">
      <c r="A266" s="1073"/>
      <c r="C266" s="1074"/>
      <c r="E266" s="1073"/>
    </row>
    <row r="267" s="971" customFormat="1" spans="1:5">
      <c r="A267" s="1073"/>
      <c r="C267" s="1074"/>
      <c r="E267" s="1073"/>
    </row>
    <row r="268" s="971" customFormat="1" spans="1:5">
      <c r="A268" s="1073"/>
      <c r="C268" s="1074"/>
      <c r="E268" s="1073"/>
    </row>
    <row r="269" s="971" customFormat="1" spans="1:5">
      <c r="A269" s="1073"/>
      <c r="C269" s="1074"/>
      <c r="E269" s="1073"/>
    </row>
    <row r="270" s="971" customFormat="1" spans="1:5">
      <c r="A270" s="1073"/>
      <c r="C270" s="1074"/>
      <c r="E270" s="1073"/>
    </row>
    <row r="271" s="971" customFormat="1" spans="1:5">
      <c r="A271" s="1073"/>
      <c r="C271" s="1074"/>
      <c r="E271" s="1073"/>
    </row>
    <row r="272" s="971" customFormat="1" spans="1:5">
      <c r="A272" s="1073"/>
      <c r="C272" s="1074"/>
      <c r="E272" s="1073"/>
    </row>
    <row r="273" s="971" customFormat="1" spans="1:5">
      <c r="A273" s="1073"/>
      <c r="C273" s="1074"/>
      <c r="E273" s="1073"/>
    </row>
    <row r="274" s="971" customFormat="1" spans="1:5">
      <c r="A274" s="1073"/>
      <c r="C274" s="1074"/>
      <c r="E274" s="1073"/>
    </row>
    <row r="275" s="971" customFormat="1" spans="1:5">
      <c r="A275" s="1073"/>
      <c r="C275" s="1074"/>
      <c r="E275" s="1073"/>
    </row>
    <row r="276" s="971" customFormat="1" spans="1:5">
      <c r="A276" s="1073"/>
      <c r="C276" s="1074"/>
      <c r="E276" s="1073"/>
    </row>
    <row r="277" s="971" customFormat="1" spans="1:5">
      <c r="A277" s="1073"/>
      <c r="C277" s="1074"/>
      <c r="E277" s="1073"/>
    </row>
    <row r="278" s="971" customFormat="1" spans="1:5">
      <c r="A278" s="1073"/>
      <c r="C278" s="1074"/>
      <c r="E278" s="1073"/>
    </row>
    <row r="279" s="971" customFormat="1" spans="1:5">
      <c r="A279" s="1073"/>
      <c r="C279" s="1074"/>
      <c r="E279" s="1073"/>
    </row>
    <row r="280" s="971" customFormat="1" spans="1:5">
      <c r="A280" s="1073"/>
      <c r="C280" s="1074"/>
      <c r="E280" s="1073"/>
    </row>
    <row r="281" s="971" customFormat="1" spans="1:5">
      <c r="A281" s="1073"/>
      <c r="C281" s="1074"/>
      <c r="E281" s="1073"/>
    </row>
    <row r="282" s="971" customFormat="1" spans="1:5">
      <c r="A282" s="1073"/>
      <c r="C282" s="1074"/>
      <c r="E282" s="1073"/>
    </row>
    <row r="283" s="971" customFormat="1" spans="1:5">
      <c r="A283" s="1073"/>
      <c r="C283" s="1074"/>
      <c r="E283" s="1073"/>
    </row>
    <row r="284" s="971" customFormat="1" spans="1:5">
      <c r="A284" s="1073"/>
      <c r="C284" s="1074"/>
      <c r="E284" s="1073"/>
    </row>
    <row r="285" s="971" customFormat="1" spans="1:5">
      <c r="A285" s="1073"/>
      <c r="C285" s="1074"/>
      <c r="E285" s="1073"/>
    </row>
    <row r="286" s="971" customFormat="1" spans="1:5">
      <c r="A286" s="1073"/>
      <c r="C286" s="1074"/>
      <c r="E286" s="1073"/>
    </row>
    <row r="287" s="971" customFormat="1" spans="1:5">
      <c r="A287" s="1073"/>
      <c r="C287" s="1074"/>
      <c r="E287" s="1073"/>
    </row>
    <row r="288" s="971" customFormat="1" spans="1:5">
      <c r="A288" s="1073"/>
      <c r="C288" s="1074"/>
      <c r="E288" s="1073"/>
    </row>
    <row r="289" s="971" customFormat="1" spans="1:5">
      <c r="A289" s="1073"/>
      <c r="C289" s="1074"/>
      <c r="E289" s="1073"/>
    </row>
    <row r="290" s="971" customFormat="1" spans="1:5">
      <c r="A290" s="1073"/>
      <c r="C290" s="1074"/>
      <c r="E290" s="1073"/>
    </row>
    <row r="291" s="971" customFormat="1" spans="1:5">
      <c r="A291" s="1073"/>
      <c r="C291" s="1074"/>
      <c r="E291" s="1073"/>
    </row>
    <row r="292" s="971" customFormat="1" spans="1:5">
      <c r="A292" s="1073"/>
      <c r="C292" s="1074"/>
      <c r="E292" s="1073"/>
    </row>
    <row r="293" s="971" customFormat="1" spans="1:5">
      <c r="A293" s="1073"/>
      <c r="C293" s="1074"/>
      <c r="E293" s="1073"/>
    </row>
    <row r="294" s="971" customFormat="1" spans="1:5">
      <c r="A294" s="1073"/>
      <c r="C294" s="1074"/>
      <c r="E294" s="1073"/>
    </row>
    <row r="295" s="971" customFormat="1" spans="1:5">
      <c r="A295" s="1073"/>
      <c r="C295" s="1074"/>
      <c r="E295" s="1073"/>
    </row>
    <row r="296" s="971" customFormat="1" spans="1:5">
      <c r="A296" s="1073"/>
      <c r="C296" s="1074"/>
      <c r="E296" s="1073"/>
    </row>
    <row r="297" s="971" customFormat="1" spans="1:5">
      <c r="A297" s="1073"/>
      <c r="C297" s="1074"/>
      <c r="E297" s="1073"/>
    </row>
    <row r="298" s="971" customFormat="1" spans="1:5">
      <c r="A298" s="1073"/>
      <c r="C298" s="1074"/>
      <c r="E298" s="1073"/>
    </row>
    <row r="299" s="971" customFormat="1" spans="1:5">
      <c r="A299" s="1073"/>
      <c r="C299" s="1074"/>
      <c r="E299" s="1073"/>
    </row>
    <row r="300" s="971" customFormat="1" spans="1:5">
      <c r="A300" s="1073"/>
      <c r="C300" s="1074"/>
      <c r="E300" s="1073"/>
    </row>
    <row r="301" s="971" customFormat="1" spans="1:5">
      <c r="A301" s="1073"/>
      <c r="C301" s="1074"/>
      <c r="E301" s="1073"/>
    </row>
    <row r="302" s="971" customFormat="1" spans="1:5">
      <c r="A302" s="1073"/>
      <c r="C302" s="1074"/>
      <c r="E302" s="1073"/>
    </row>
    <row r="303" s="971" customFormat="1" spans="1:5">
      <c r="A303" s="1073"/>
      <c r="C303" s="1074"/>
      <c r="E303" s="1073"/>
    </row>
    <row r="304" s="971" customFormat="1" spans="1:5">
      <c r="A304" s="1073"/>
      <c r="C304" s="1074"/>
      <c r="E304" s="1073"/>
    </row>
    <row r="305" s="971" customFormat="1" spans="1:5">
      <c r="A305" s="1073"/>
      <c r="C305" s="1074"/>
      <c r="E305" s="1073"/>
    </row>
    <row r="306" s="971" customFormat="1" spans="1:5">
      <c r="A306" s="1073"/>
      <c r="C306" s="1074"/>
      <c r="E306" s="1073"/>
    </row>
    <row r="307" s="971" customFormat="1" spans="1:5">
      <c r="A307" s="1073"/>
      <c r="C307" s="1074"/>
      <c r="E307" s="1073"/>
    </row>
    <row r="308" s="971" customFormat="1" spans="1:5">
      <c r="A308" s="1073"/>
      <c r="C308" s="1074"/>
      <c r="E308" s="1073"/>
    </row>
    <row r="309" s="971" customFormat="1" spans="1:5">
      <c r="A309" s="1073"/>
      <c r="C309" s="1074"/>
      <c r="E309" s="1073"/>
    </row>
    <row r="310" s="971" customFormat="1" spans="1:5">
      <c r="A310" s="1073"/>
      <c r="C310" s="1074"/>
      <c r="E310" s="1073"/>
    </row>
    <row r="311" s="971" customFormat="1" spans="1:5">
      <c r="A311" s="1073"/>
      <c r="C311" s="1074"/>
      <c r="E311" s="1073"/>
    </row>
    <row r="312" s="971" customFormat="1" spans="1:5">
      <c r="A312" s="1073"/>
      <c r="C312" s="1074"/>
      <c r="E312" s="1073"/>
    </row>
    <row r="313" s="971" customFormat="1" spans="1:5">
      <c r="A313" s="1073"/>
      <c r="C313" s="1074"/>
      <c r="E313" s="1073"/>
    </row>
    <row r="314" s="971" customFormat="1" spans="1:5">
      <c r="A314" s="1073"/>
      <c r="C314" s="1074"/>
      <c r="E314" s="1073"/>
    </row>
    <row r="315" s="971" customFormat="1" spans="1:5">
      <c r="A315" s="1073"/>
      <c r="C315" s="1074"/>
      <c r="E315" s="1073"/>
    </row>
    <row r="316" s="971" customFormat="1" spans="1:5">
      <c r="A316" s="1073"/>
      <c r="C316" s="1074"/>
      <c r="E316" s="1073"/>
    </row>
    <row r="317" s="971" customFormat="1" spans="1:5">
      <c r="A317" s="1073"/>
      <c r="C317" s="1074"/>
      <c r="E317" s="1073"/>
    </row>
    <row r="318" s="971" customFormat="1" spans="1:5">
      <c r="A318" s="1073"/>
      <c r="C318" s="1074"/>
      <c r="E318" s="1073"/>
    </row>
    <row r="319" s="971" customFormat="1" spans="1:5">
      <c r="A319" s="1073"/>
      <c r="C319" s="1074"/>
      <c r="E319" s="1073"/>
    </row>
    <row r="320" s="971" customFormat="1" spans="1:5">
      <c r="A320" s="1073"/>
      <c r="C320" s="1074"/>
      <c r="E320" s="1073"/>
    </row>
    <row r="321" s="971" customFormat="1" spans="1:5">
      <c r="A321" s="1073"/>
      <c r="C321" s="1074"/>
      <c r="E321" s="1073"/>
    </row>
    <row r="322" s="971" customFormat="1" spans="1:5">
      <c r="A322" s="1073"/>
      <c r="C322" s="1074"/>
      <c r="E322" s="1073"/>
    </row>
    <row r="323" s="971" customFormat="1" spans="1:5">
      <c r="A323" s="1073"/>
      <c r="C323" s="1074"/>
      <c r="E323" s="1073"/>
    </row>
    <row r="324" s="971" customFormat="1" spans="1:5">
      <c r="A324" s="1073"/>
      <c r="C324" s="1074"/>
      <c r="E324" s="1073"/>
    </row>
    <row r="325" s="971" customFormat="1" spans="1:5">
      <c r="A325" s="1073"/>
      <c r="C325" s="1074"/>
      <c r="E325" s="1073"/>
    </row>
    <row r="326" s="971" customFormat="1" spans="1:5">
      <c r="A326" s="1073"/>
      <c r="C326" s="1074"/>
      <c r="E326" s="1073"/>
    </row>
    <row r="327" s="971" customFormat="1" spans="1:5">
      <c r="A327" s="1073"/>
      <c r="C327" s="1074"/>
      <c r="E327" s="1073"/>
    </row>
    <row r="328" s="971" customFormat="1" spans="1:5">
      <c r="A328" s="1073"/>
      <c r="C328" s="1074"/>
      <c r="E328" s="1073"/>
    </row>
    <row r="329" s="971" customFormat="1" spans="1:5">
      <c r="A329" s="1073"/>
      <c r="C329" s="1074"/>
      <c r="E329" s="1073"/>
    </row>
    <row r="330" s="971" customFormat="1" spans="1:5">
      <c r="A330" s="1073"/>
      <c r="C330" s="1074"/>
      <c r="E330" s="1073"/>
    </row>
    <row r="331" s="971" customFormat="1" spans="1:5">
      <c r="A331" s="1073"/>
      <c r="C331" s="1074"/>
      <c r="E331" s="1073"/>
    </row>
    <row r="332" s="971" customFormat="1" spans="1:5">
      <c r="A332" s="1073"/>
      <c r="C332" s="1074"/>
      <c r="E332" s="1073"/>
    </row>
    <row r="333" s="971" customFormat="1" spans="1:5">
      <c r="A333" s="1073"/>
      <c r="C333" s="1074"/>
      <c r="E333" s="1073"/>
    </row>
    <row r="334" s="971" customFormat="1" spans="1:5">
      <c r="A334" s="1073"/>
      <c r="C334" s="1074"/>
      <c r="E334" s="1073"/>
    </row>
    <row r="335" s="971" customFormat="1" spans="1:5">
      <c r="A335" s="1073"/>
      <c r="C335" s="1074"/>
      <c r="E335" s="1073"/>
    </row>
    <row r="336" s="971" customFormat="1" spans="1:5">
      <c r="A336" s="1073"/>
      <c r="C336" s="1074"/>
      <c r="E336" s="1073"/>
    </row>
    <row r="337" s="971" customFormat="1" spans="1:5">
      <c r="A337" s="1073"/>
      <c r="C337" s="1074"/>
      <c r="E337" s="1073"/>
    </row>
    <row r="338" s="971" customFormat="1" spans="1:5">
      <c r="A338" s="1073"/>
      <c r="C338" s="1074"/>
      <c r="E338" s="1073"/>
    </row>
    <row r="339" s="971" customFormat="1" spans="1:5">
      <c r="A339" s="1073"/>
      <c r="C339" s="1074"/>
      <c r="E339" s="1073"/>
    </row>
    <row r="340" s="971" customFormat="1" spans="1:5">
      <c r="A340" s="1073"/>
      <c r="C340" s="1074"/>
      <c r="E340" s="1073"/>
    </row>
    <row r="341" s="971" customFormat="1" spans="1:5">
      <c r="A341" s="1073"/>
      <c r="C341" s="1074"/>
      <c r="E341" s="1073"/>
    </row>
    <row r="342" s="971" customFormat="1" spans="1:5">
      <c r="A342" s="1073"/>
      <c r="C342" s="1074"/>
      <c r="E342" s="1073"/>
    </row>
    <row r="343" s="971" customFormat="1" spans="1:5">
      <c r="A343" s="1073"/>
      <c r="C343" s="1074"/>
      <c r="E343" s="1073"/>
    </row>
    <row r="344" s="971" customFormat="1" spans="1:5">
      <c r="A344" s="1073"/>
      <c r="C344" s="1074"/>
      <c r="E344" s="1073"/>
    </row>
    <row r="345" s="971" customFormat="1" spans="1:5">
      <c r="A345" s="1073"/>
      <c r="C345" s="1074"/>
      <c r="E345" s="1073"/>
    </row>
    <row r="346" s="971" customFormat="1" spans="1:5">
      <c r="A346" s="1073"/>
      <c r="C346" s="1074"/>
      <c r="E346" s="1073"/>
    </row>
    <row r="347" s="971" customFormat="1" spans="1:5">
      <c r="A347" s="1073"/>
      <c r="C347" s="1074"/>
      <c r="E347" s="1073"/>
    </row>
    <row r="348" s="971" customFormat="1" spans="1:5">
      <c r="A348" s="1073"/>
      <c r="C348" s="1074"/>
      <c r="E348" s="1073"/>
    </row>
    <row r="349" s="971" customFormat="1" spans="1:5">
      <c r="A349" s="1073"/>
      <c r="C349" s="1074"/>
      <c r="E349" s="1073"/>
    </row>
    <row r="350" s="971" customFormat="1" spans="1:5">
      <c r="A350" s="1073"/>
      <c r="C350" s="1074"/>
      <c r="E350" s="1073"/>
    </row>
    <row r="351" s="971" customFormat="1" spans="1:5">
      <c r="A351" s="1073"/>
      <c r="C351" s="1074"/>
      <c r="E351" s="1073"/>
    </row>
    <row r="352" s="971" customFormat="1" spans="1:5">
      <c r="A352" s="1073"/>
      <c r="C352" s="1074"/>
      <c r="E352" s="1073"/>
    </row>
    <row r="353" s="971" customFormat="1" spans="1:5">
      <c r="A353" s="1073"/>
      <c r="C353" s="1074"/>
      <c r="E353" s="1073"/>
    </row>
    <row r="354" s="971" customFormat="1" spans="1:5">
      <c r="A354" s="1073"/>
      <c r="C354" s="1074"/>
      <c r="E354" s="1073"/>
    </row>
    <row r="355" s="971" customFormat="1" spans="1:5">
      <c r="A355" s="1073"/>
      <c r="C355" s="1074"/>
      <c r="E355" s="1073"/>
    </row>
    <row r="356" s="971" customFormat="1" spans="1:5">
      <c r="A356" s="1073"/>
      <c r="C356" s="1074"/>
      <c r="E356" s="1073"/>
    </row>
    <row r="357" s="971" customFormat="1" spans="1:5">
      <c r="A357" s="1073"/>
      <c r="C357" s="1074"/>
      <c r="E357" s="1073"/>
    </row>
    <row r="358" s="971" customFormat="1" spans="1:5">
      <c r="A358" s="1073"/>
      <c r="C358" s="1074"/>
      <c r="E358" s="1073"/>
    </row>
    <row r="359" s="971" customFormat="1" spans="1:5">
      <c r="A359" s="1073"/>
      <c r="C359" s="1074"/>
      <c r="E359" s="1073"/>
    </row>
    <row r="360" s="971" customFormat="1" spans="1:5">
      <c r="A360" s="1073"/>
      <c r="C360" s="1074"/>
      <c r="E360" s="1073"/>
    </row>
    <row r="361" s="971" customFormat="1" spans="1:5">
      <c r="A361" s="1073"/>
      <c r="C361" s="1074"/>
      <c r="E361" s="1073"/>
    </row>
    <row r="362" s="971" customFormat="1" spans="1:5">
      <c r="A362" s="1073"/>
      <c r="C362" s="1074"/>
      <c r="E362" s="1073"/>
    </row>
    <row r="363" s="971" customFormat="1" spans="1:5">
      <c r="A363" s="1073"/>
      <c r="C363" s="1074"/>
      <c r="E363" s="1073"/>
    </row>
    <row r="364" s="971" customFormat="1" spans="1:5">
      <c r="A364" s="1073"/>
      <c r="C364" s="1074"/>
      <c r="E364" s="1073"/>
    </row>
    <row r="365" s="971" customFormat="1" spans="1:5">
      <c r="A365" s="1073"/>
      <c r="C365" s="1074"/>
      <c r="E365" s="1073"/>
    </row>
    <row r="366" s="971" customFormat="1" spans="1:5">
      <c r="A366" s="1073"/>
      <c r="C366" s="1074"/>
      <c r="E366" s="1073"/>
    </row>
    <row r="367" s="971" customFormat="1" spans="1:5">
      <c r="A367" s="1073"/>
      <c r="C367" s="1074"/>
      <c r="E367" s="1073"/>
    </row>
    <row r="368" s="971" customFormat="1" spans="1:5">
      <c r="A368" s="1073"/>
      <c r="C368" s="1074"/>
      <c r="E368" s="1073"/>
    </row>
    <row r="369" s="971" customFormat="1" spans="1:5">
      <c r="A369" s="1073"/>
      <c r="C369" s="1074"/>
      <c r="E369" s="1073"/>
    </row>
    <row r="370" s="971" customFormat="1" spans="1:5">
      <c r="A370" s="1073"/>
      <c r="C370" s="1074"/>
      <c r="E370" s="1073"/>
    </row>
    <row r="371" s="971" customFormat="1" spans="1:5">
      <c r="A371" s="1073"/>
      <c r="C371" s="1074"/>
      <c r="E371" s="1073"/>
    </row>
    <row r="372" s="971" customFormat="1" spans="1:5">
      <c r="A372" s="1073"/>
      <c r="C372" s="1074"/>
      <c r="E372" s="1073"/>
    </row>
    <row r="373" s="971" customFormat="1" spans="1:5">
      <c r="A373" s="1073"/>
      <c r="C373" s="1074"/>
      <c r="E373" s="1073"/>
    </row>
    <row r="374" s="971" customFormat="1" spans="1:5">
      <c r="A374" s="1073"/>
      <c r="C374" s="1074"/>
      <c r="E374" s="1073"/>
    </row>
    <row r="375" s="971" customFormat="1" spans="1:5">
      <c r="A375" s="1073"/>
      <c r="C375" s="1074"/>
      <c r="E375" s="1073"/>
    </row>
    <row r="376" s="971" customFormat="1" spans="1:5">
      <c r="A376" s="1073"/>
      <c r="C376" s="1074"/>
      <c r="E376" s="1073"/>
    </row>
    <row r="377" s="971" customFormat="1" spans="1:5">
      <c r="A377" s="1073"/>
      <c r="C377" s="1074"/>
      <c r="E377" s="1073"/>
    </row>
    <row r="378" s="971" customFormat="1" spans="1:5">
      <c r="A378" s="1073"/>
      <c r="C378" s="1074"/>
      <c r="E378" s="1073"/>
    </row>
    <row r="379" s="971" customFormat="1" spans="1:5">
      <c r="A379" s="1073"/>
      <c r="C379" s="1074"/>
      <c r="E379" s="1073"/>
    </row>
    <row r="380" s="971" customFormat="1" spans="1:5">
      <c r="A380" s="1073"/>
      <c r="C380" s="1074"/>
      <c r="E380" s="1073"/>
    </row>
    <row r="381" s="971" customFormat="1" spans="1:5">
      <c r="A381" s="1073"/>
      <c r="C381" s="1074"/>
      <c r="E381" s="1073"/>
    </row>
    <row r="382" s="971" customFormat="1" spans="1:5">
      <c r="A382" s="1073"/>
      <c r="C382" s="1074"/>
      <c r="E382" s="1073"/>
    </row>
    <row r="383" s="971" customFormat="1" spans="1:5">
      <c r="A383" s="1073"/>
      <c r="C383" s="1074"/>
      <c r="E383" s="1073"/>
    </row>
    <row r="384" s="971" customFormat="1" spans="1:5">
      <c r="A384" s="1073"/>
      <c r="C384" s="1074"/>
      <c r="E384" s="1073"/>
    </row>
    <row r="385" s="971" customFormat="1" spans="1:5">
      <c r="A385" s="1073"/>
      <c r="C385" s="1074"/>
      <c r="E385" s="1073"/>
    </row>
    <row r="386" s="971" customFormat="1" spans="1:5">
      <c r="A386" s="1073"/>
      <c r="C386" s="1074"/>
      <c r="E386" s="1073"/>
    </row>
    <row r="387" s="971" customFormat="1" spans="1:5">
      <c r="A387" s="1073"/>
      <c r="C387" s="1074"/>
      <c r="E387" s="1073"/>
    </row>
    <row r="388" s="971" customFormat="1" spans="1:5">
      <c r="A388" s="1073"/>
      <c r="C388" s="1074"/>
      <c r="E388" s="1073"/>
    </row>
    <row r="389" s="971" customFormat="1" spans="1:5">
      <c r="A389" s="1073"/>
      <c r="C389" s="1074"/>
      <c r="E389" s="1073"/>
    </row>
    <row r="390" s="971" customFormat="1" spans="1:5">
      <c r="A390" s="1073"/>
      <c r="C390" s="1074"/>
      <c r="E390" s="1073"/>
    </row>
    <row r="391" s="971" customFormat="1" spans="1:5">
      <c r="A391" s="1073"/>
      <c r="C391" s="1074"/>
      <c r="E391" s="1073"/>
    </row>
    <row r="392" s="971" customFormat="1" spans="1:5">
      <c r="A392" s="1073"/>
      <c r="C392" s="1074"/>
      <c r="E392" s="1073"/>
    </row>
    <row r="393" s="971" customFormat="1" spans="1:5">
      <c r="A393" s="1073"/>
      <c r="C393" s="1074"/>
      <c r="E393" s="1073"/>
    </row>
    <row r="394" s="971" customFormat="1" spans="1:5">
      <c r="A394" s="1073"/>
      <c r="C394" s="1074"/>
      <c r="E394" s="1073"/>
    </row>
    <row r="395" s="971" customFormat="1" spans="1:5">
      <c r="A395" s="1073"/>
      <c r="C395" s="1074"/>
      <c r="E395" s="1073"/>
    </row>
    <row r="396" s="971" customFormat="1" spans="1:5">
      <c r="A396" s="1073"/>
      <c r="C396" s="1074"/>
      <c r="E396" s="1073"/>
    </row>
    <row r="397" s="971" customFormat="1" spans="1:5">
      <c r="A397" s="1073"/>
      <c r="C397" s="1074"/>
      <c r="E397" s="1073"/>
    </row>
    <row r="398" s="971" customFormat="1" spans="1:5">
      <c r="A398" s="1073"/>
      <c r="C398" s="1074"/>
      <c r="E398" s="1073"/>
    </row>
    <row r="399" s="971" customFormat="1" spans="1:5">
      <c r="A399" s="1073"/>
      <c r="C399" s="1074"/>
      <c r="E399" s="1073"/>
    </row>
    <row r="400" s="971" customFormat="1" spans="1:5">
      <c r="A400" s="1073"/>
      <c r="C400" s="1074"/>
      <c r="E400" s="1073"/>
    </row>
    <row r="401" s="971" customFormat="1" spans="1:5">
      <c r="A401" s="1073"/>
      <c r="C401" s="1074"/>
      <c r="E401" s="1073"/>
    </row>
    <row r="402" s="971" customFormat="1" spans="1:5">
      <c r="A402" s="1073"/>
      <c r="C402" s="1074"/>
      <c r="E402" s="1073"/>
    </row>
    <row r="403" s="971" customFormat="1" spans="1:5">
      <c r="A403" s="1073"/>
      <c r="C403" s="1074"/>
      <c r="E403" s="1073"/>
    </row>
    <row r="404" s="971" customFormat="1" spans="1:5">
      <c r="A404" s="1073"/>
      <c r="C404" s="1074"/>
      <c r="E404" s="1073"/>
    </row>
    <row r="405" s="971" customFormat="1" spans="1:5">
      <c r="A405" s="1073"/>
      <c r="C405" s="1074"/>
      <c r="E405" s="1073"/>
    </row>
    <row r="406" s="971" customFormat="1" spans="1:5">
      <c r="A406" s="1073"/>
      <c r="C406" s="1074"/>
      <c r="E406" s="1073"/>
    </row>
    <row r="407" s="971" customFormat="1" spans="1:5">
      <c r="A407" s="1073"/>
      <c r="C407" s="1074"/>
      <c r="E407" s="1073"/>
    </row>
    <row r="408" s="971" customFormat="1" spans="1:5">
      <c r="A408" s="1073"/>
      <c r="C408" s="1074"/>
      <c r="E408" s="1073"/>
    </row>
    <row r="409" s="971" customFormat="1" spans="1:5">
      <c r="A409" s="1073"/>
      <c r="C409" s="1074"/>
      <c r="E409" s="1073"/>
    </row>
    <row r="410" s="971" customFormat="1" spans="1:5">
      <c r="A410" s="1073"/>
      <c r="C410" s="1074"/>
      <c r="E410" s="1073"/>
    </row>
    <row r="411" s="971" customFormat="1" spans="1:5">
      <c r="A411" s="1073"/>
      <c r="C411" s="1074"/>
      <c r="E411" s="1073"/>
    </row>
    <row r="412" s="971" customFormat="1" spans="1:5">
      <c r="A412" s="1073"/>
      <c r="C412" s="1074"/>
      <c r="E412" s="1073"/>
    </row>
    <row r="413" s="971" customFormat="1" spans="1:5">
      <c r="A413" s="1073"/>
      <c r="C413" s="1074"/>
      <c r="E413" s="1073"/>
    </row>
    <row r="414" s="971" customFormat="1" spans="1:5">
      <c r="A414" s="1073"/>
      <c r="C414" s="1074"/>
      <c r="E414" s="1073"/>
    </row>
    <row r="415" s="971" customFormat="1" spans="1:5">
      <c r="A415" s="1073"/>
      <c r="C415" s="1074"/>
      <c r="E415" s="1073"/>
    </row>
    <row r="416" s="971" customFormat="1" spans="1:5">
      <c r="A416" s="1073"/>
      <c r="C416" s="1074"/>
      <c r="E416" s="1073"/>
    </row>
    <row r="417" s="971" customFormat="1" spans="1:5">
      <c r="A417" s="1073"/>
      <c r="C417" s="1074"/>
      <c r="E417" s="1073"/>
    </row>
    <row r="418" s="971" customFormat="1" spans="1:5">
      <c r="A418" s="1073"/>
      <c r="C418" s="1074"/>
      <c r="E418" s="1073"/>
    </row>
    <row r="419" s="971" customFormat="1" spans="1:5">
      <c r="A419" s="1073"/>
      <c r="C419" s="1074"/>
      <c r="E419" s="1073"/>
    </row>
    <row r="420" s="971" customFormat="1" spans="1:5">
      <c r="A420" s="1073"/>
      <c r="C420" s="1074"/>
      <c r="E420" s="1073"/>
    </row>
    <row r="421" s="971" customFormat="1" spans="1:5">
      <c r="A421" s="1073"/>
      <c r="C421" s="1074"/>
      <c r="E421" s="1073"/>
    </row>
    <row r="422" s="971" customFormat="1" spans="1:5">
      <c r="A422" s="1073"/>
      <c r="C422" s="1074"/>
      <c r="E422" s="1073"/>
    </row>
    <row r="423" s="971" customFormat="1" spans="1:5">
      <c r="A423" s="1073"/>
      <c r="C423" s="1074"/>
      <c r="E423" s="1073"/>
    </row>
    <row r="424" s="971" customFormat="1" spans="1:5">
      <c r="A424" s="1073"/>
      <c r="C424" s="1074"/>
      <c r="E424" s="1073"/>
    </row>
    <row r="425" s="971" customFormat="1" spans="1:5">
      <c r="A425" s="1073"/>
      <c r="C425" s="1074"/>
      <c r="E425" s="1073"/>
    </row>
    <row r="426" s="971" customFormat="1" spans="1:5">
      <c r="A426" s="1073"/>
      <c r="C426" s="1074"/>
      <c r="E426" s="1073"/>
    </row>
    <row r="427" s="971" customFormat="1" spans="1:5">
      <c r="A427" s="1073"/>
      <c r="C427" s="1074"/>
      <c r="E427" s="1073"/>
    </row>
    <row r="428" s="971" customFormat="1" spans="1:5">
      <c r="A428" s="1073"/>
      <c r="C428" s="1074"/>
      <c r="E428" s="1073"/>
    </row>
    <row r="429" s="971" customFormat="1" spans="1:5">
      <c r="A429" s="1073"/>
      <c r="C429" s="1074"/>
      <c r="E429" s="1073"/>
    </row>
    <row r="430" s="971" customFormat="1" spans="1:5">
      <c r="A430" s="1073"/>
      <c r="C430" s="1074"/>
      <c r="E430" s="1073"/>
    </row>
    <row r="431" s="971" customFormat="1" spans="1:5">
      <c r="A431" s="1073"/>
      <c r="C431" s="1074"/>
      <c r="E431" s="1073"/>
    </row>
    <row r="432" s="971" customFormat="1" spans="1:5">
      <c r="A432" s="1073"/>
      <c r="C432" s="1074"/>
      <c r="E432" s="1073"/>
    </row>
    <row r="433" s="971" customFormat="1" spans="1:5">
      <c r="A433" s="1073"/>
      <c r="C433" s="1074"/>
      <c r="E433" s="1073"/>
    </row>
    <row r="434" s="971" customFormat="1" spans="1:5">
      <c r="A434" s="1073"/>
      <c r="C434" s="1074"/>
      <c r="E434" s="1073"/>
    </row>
    <row r="435" s="971" customFormat="1" spans="1:5">
      <c r="A435" s="1073"/>
      <c r="C435" s="1074"/>
      <c r="E435" s="1073"/>
    </row>
    <row r="436" s="971" customFormat="1" spans="1:5">
      <c r="A436" s="1073"/>
      <c r="C436" s="1074"/>
      <c r="E436" s="1073"/>
    </row>
    <row r="437" s="971" customFormat="1" spans="1:5">
      <c r="A437" s="1073"/>
      <c r="C437" s="1074"/>
      <c r="E437" s="1073"/>
    </row>
    <row r="438" s="971" customFormat="1" spans="1:5">
      <c r="A438" s="1073"/>
      <c r="C438" s="1074"/>
      <c r="E438" s="1073"/>
    </row>
    <row r="439" s="971" customFormat="1" spans="1:5">
      <c r="A439" s="1073"/>
      <c r="C439" s="1074"/>
      <c r="E439" s="1073"/>
    </row>
    <row r="440" s="971" customFormat="1" spans="1:5">
      <c r="A440" s="1073"/>
      <c r="C440" s="1074"/>
      <c r="E440" s="1073"/>
    </row>
    <row r="441" s="971" customFormat="1" spans="1:5">
      <c r="A441" s="1073"/>
      <c r="C441" s="1074"/>
      <c r="E441" s="1073"/>
    </row>
    <row r="442" s="971" customFormat="1" spans="1:5">
      <c r="A442" s="1073"/>
      <c r="C442" s="1074"/>
      <c r="E442" s="1073"/>
    </row>
    <row r="443" s="971" customFormat="1" spans="1:5">
      <c r="A443" s="1073"/>
      <c r="C443" s="1074"/>
      <c r="E443" s="1073"/>
    </row>
    <row r="444" s="971" customFormat="1" spans="1:5">
      <c r="A444" s="1073"/>
      <c r="C444" s="1074"/>
      <c r="E444" s="1073"/>
    </row>
    <row r="445" s="971" customFormat="1" spans="1:5">
      <c r="A445" s="1073"/>
      <c r="C445" s="1074"/>
      <c r="E445" s="1073"/>
    </row>
    <row r="446" s="971" customFormat="1" spans="1:5">
      <c r="A446" s="1073"/>
      <c r="C446" s="1074"/>
      <c r="E446" s="1073"/>
    </row>
    <row r="447" s="971" customFormat="1" spans="1:5">
      <c r="A447" s="1073"/>
      <c r="C447" s="1074"/>
      <c r="E447" s="1073"/>
    </row>
    <row r="448" s="971" customFormat="1" spans="1:5">
      <c r="A448" s="1073"/>
      <c r="C448" s="1074"/>
      <c r="E448" s="1073"/>
    </row>
    <row r="449" s="971" customFormat="1" spans="1:5">
      <c r="A449" s="1073"/>
      <c r="C449" s="1074"/>
      <c r="E449" s="1073"/>
    </row>
    <row r="450" s="971" customFormat="1" spans="1:5">
      <c r="A450" s="1073"/>
      <c r="C450" s="1074"/>
      <c r="E450" s="1073"/>
    </row>
    <row r="451" s="971" customFormat="1" spans="1:5">
      <c r="A451" s="1073"/>
      <c r="C451" s="1074"/>
      <c r="E451" s="1073"/>
    </row>
    <row r="452" s="971" customFormat="1" spans="1:5">
      <c r="A452" s="1073"/>
      <c r="C452" s="1074"/>
      <c r="E452" s="1073"/>
    </row>
    <row r="453" s="971" customFormat="1" spans="1:5">
      <c r="A453" s="1073"/>
      <c r="C453" s="1074"/>
      <c r="E453" s="1073"/>
    </row>
    <row r="454" s="971" customFormat="1" spans="1:5">
      <c r="A454" s="1073"/>
      <c r="C454" s="1074"/>
      <c r="E454" s="1073"/>
    </row>
    <row r="455" s="971" customFormat="1" spans="1:5">
      <c r="A455" s="1073"/>
      <c r="C455" s="1074"/>
      <c r="E455" s="1073"/>
    </row>
    <row r="456" s="971" customFormat="1" spans="1:5">
      <c r="A456" s="1073"/>
      <c r="C456" s="1074"/>
      <c r="E456" s="1073"/>
    </row>
    <row r="457" s="971" customFormat="1" spans="1:5">
      <c r="A457" s="1073"/>
      <c r="C457" s="1074"/>
      <c r="E457" s="1073"/>
    </row>
    <row r="458" s="971" customFormat="1" spans="1:5">
      <c r="A458" s="1073"/>
      <c r="C458" s="1074"/>
      <c r="E458" s="1073"/>
    </row>
    <row r="459" s="971" customFormat="1" spans="1:5">
      <c r="A459" s="1073"/>
      <c r="C459" s="1074"/>
      <c r="E459" s="1073"/>
    </row>
    <row r="460" s="971" customFormat="1" spans="1:5">
      <c r="A460" s="1073"/>
      <c r="C460" s="1074"/>
      <c r="E460" s="1073"/>
    </row>
    <row r="461" s="971" customFormat="1" spans="1:5">
      <c r="A461" s="1073"/>
      <c r="C461" s="1074"/>
      <c r="E461" s="1073"/>
    </row>
    <row r="462" s="971" customFormat="1" spans="1:5">
      <c r="A462" s="1073"/>
      <c r="C462" s="1074"/>
      <c r="E462" s="1073"/>
    </row>
    <row r="463" s="971" customFormat="1" spans="1:5">
      <c r="A463" s="1073"/>
      <c r="C463" s="1074"/>
      <c r="E463" s="1073"/>
    </row>
    <row r="464" s="971" customFormat="1" spans="1:5">
      <c r="A464" s="1073"/>
      <c r="C464" s="1074"/>
      <c r="E464" s="1073"/>
    </row>
    <row r="465" s="971" customFormat="1" spans="1:5">
      <c r="A465" s="1073"/>
      <c r="C465" s="1074"/>
      <c r="E465" s="1073"/>
    </row>
    <row r="466" s="971" customFormat="1" spans="1:5">
      <c r="A466" s="1073"/>
      <c r="C466" s="1074"/>
      <c r="E466" s="1073"/>
    </row>
    <row r="467" s="971" customFormat="1" spans="1:5">
      <c r="A467" s="1073"/>
      <c r="C467" s="1074"/>
      <c r="E467" s="1073"/>
    </row>
    <row r="468" s="971" customFormat="1" spans="1:5">
      <c r="A468" s="1073"/>
      <c r="C468" s="1074"/>
      <c r="E468" s="1073"/>
    </row>
    <row r="469" s="971" customFormat="1" spans="1:5">
      <c r="A469" s="1073"/>
      <c r="C469" s="1074"/>
      <c r="E469" s="1073"/>
    </row>
    <row r="470" s="971" customFormat="1" spans="1:5">
      <c r="A470" s="1073"/>
      <c r="C470" s="1074"/>
      <c r="E470" s="1073"/>
    </row>
    <row r="471" s="971" customFormat="1" spans="1:5">
      <c r="A471" s="1073"/>
      <c r="C471" s="1074"/>
      <c r="E471" s="1073"/>
    </row>
    <row r="472" s="971" customFormat="1" spans="1:5">
      <c r="A472" s="1073"/>
      <c r="C472" s="1074"/>
      <c r="E472" s="1073"/>
    </row>
    <row r="473" s="971" customFormat="1" spans="1:5">
      <c r="A473" s="1073"/>
      <c r="C473" s="1074"/>
      <c r="E473" s="1073"/>
    </row>
    <row r="474" s="971" customFormat="1" spans="1:5">
      <c r="A474" s="1073"/>
      <c r="C474" s="1074"/>
      <c r="E474" s="1073"/>
    </row>
    <row r="475" s="971" customFormat="1" spans="1:5">
      <c r="A475" s="1073"/>
      <c r="C475" s="1074"/>
      <c r="E475" s="1073"/>
    </row>
    <row r="476" s="971" customFormat="1" spans="1:5">
      <c r="A476" s="1073"/>
      <c r="C476" s="1074"/>
      <c r="E476" s="1073"/>
    </row>
    <row r="477" s="971" customFormat="1" spans="1:5">
      <c r="A477" s="1073"/>
      <c r="C477" s="1074"/>
      <c r="E477" s="1073"/>
    </row>
    <row r="478" s="971" customFormat="1" spans="1:5">
      <c r="A478" s="1073"/>
      <c r="C478" s="1074"/>
      <c r="E478" s="1073"/>
    </row>
    <row r="479" s="971" customFormat="1" spans="1:5">
      <c r="A479" s="1073"/>
      <c r="C479" s="1074"/>
      <c r="E479" s="1073"/>
    </row>
    <row r="480" s="971" customFormat="1" spans="1:5">
      <c r="A480" s="1073"/>
      <c r="C480" s="1074"/>
      <c r="E480" s="1073"/>
    </row>
    <row r="481" s="971" customFormat="1" spans="1:5">
      <c r="A481" s="1073"/>
      <c r="C481" s="1074"/>
      <c r="E481" s="1073"/>
    </row>
    <row r="482" s="971" customFormat="1" spans="1:5">
      <c r="A482" s="1073"/>
      <c r="C482" s="1074"/>
      <c r="E482" s="1073"/>
    </row>
    <row r="483" s="971" customFormat="1" spans="1:5">
      <c r="A483" s="1073"/>
      <c r="C483" s="1074"/>
      <c r="E483" s="1073"/>
    </row>
    <row r="484" s="971" customFormat="1" spans="1:5">
      <c r="A484" s="1073"/>
      <c r="C484" s="1074"/>
      <c r="E484" s="1073"/>
    </row>
    <row r="485" s="971" customFormat="1" spans="1:5">
      <c r="A485" s="1073"/>
      <c r="C485" s="1074"/>
      <c r="E485" s="1073"/>
    </row>
    <row r="486" s="971" customFormat="1" spans="1:5">
      <c r="A486" s="1073"/>
      <c r="C486" s="1074"/>
      <c r="E486" s="1073"/>
    </row>
    <row r="487" s="971" customFormat="1" spans="1:5">
      <c r="A487" s="1073"/>
      <c r="C487" s="1074"/>
      <c r="E487" s="1073"/>
    </row>
    <row r="488" s="971" customFormat="1" spans="1:5">
      <c r="A488" s="1073"/>
      <c r="C488" s="1074"/>
      <c r="E488" s="1073"/>
    </row>
    <row r="489" s="971" customFormat="1" spans="1:5">
      <c r="A489" s="1073"/>
      <c r="C489" s="1074"/>
      <c r="E489" s="1073"/>
    </row>
    <row r="490" s="971" customFormat="1" spans="1:5">
      <c r="A490" s="1073"/>
      <c r="C490" s="1074"/>
      <c r="E490" s="1073"/>
    </row>
  </sheetData>
  <sheetProtection formatCells="0" formatColumns="0" formatRows="0"/>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6" fitToHeight="0" orientation="portrait"/>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268"/>
  <sheetViews>
    <sheetView view="pageBreakPreview" zoomScale="80" zoomScaleNormal="60" workbookViewId="0">
      <selection activeCell="E5" sqref="E5:F5"/>
    </sheetView>
  </sheetViews>
  <sheetFormatPr defaultColWidth="9" defaultRowHeight="14.25"/>
  <cols>
    <col min="1" max="1" width="10.45" style="194" customWidth="1"/>
    <col min="2" max="2" width="15.725" style="194" customWidth="1"/>
    <col min="3" max="3" width="15.091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2345</v>
      </c>
      <c r="B1" s="1154" t="s">
        <v>2346</v>
      </c>
      <c r="C1" s="1155" t="s">
        <v>2347</v>
      </c>
      <c r="D1" s="1156" t="s">
        <v>548</v>
      </c>
      <c r="E1" s="206"/>
      <c r="F1" s="202" t="s">
        <v>2348</v>
      </c>
      <c r="G1" s="203" t="s">
        <v>2349</v>
      </c>
      <c r="H1" s="201"/>
      <c r="I1" s="201"/>
      <c r="J1" s="201"/>
      <c r="K1" s="377"/>
      <c r="L1" s="378"/>
      <c r="M1" s="379"/>
      <c r="N1" s="379"/>
      <c r="O1" s="379"/>
      <c r="P1" s="199"/>
      <c r="Q1" s="199"/>
      <c r="R1" s="199"/>
      <c r="S1" s="199"/>
      <c r="T1" s="199"/>
      <c r="U1" s="199"/>
      <c r="V1" s="199"/>
      <c r="W1" s="199"/>
      <c r="X1" s="199"/>
      <c r="Y1" s="199"/>
      <c r="Z1" s="199"/>
      <c r="AA1" s="199"/>
      <c r="AB1" s="199"/>
      <c r="AC1" s="990"/>
    </row>
    <row r="2" s="1153" customFormat="1" ht="28.5" customHeight="1" spans="1:29">
      <c r="A2" s="204" t="s">
        <v>919</v>
      </c>
      <c r="B2" s="1157">
        <f>ROUND(B3*D3/10000,0)</f>
        <v>149443</v>
      </c>
      <c r="C2" s="206"/>
      <c r="D2" s="206"/>
      <c r="E2" s="206"/>
      <c r="F2" s="1158"/>
      <c r="G2" s="206"/>
      <c r="H2" s="206"/>
      <c r="I2" s="206"/>
      <c r="J2" s="206"/>
      <c r="K2" s="1168"/>
      <c r="L2" s="1169"/>
      <c r="M2" s="1170"/>
      <c r="N2" s="1170"/>
      <c r="O2" s="1170"/>
      <c r="P2" s="1171"/>
      <c r="Q2" s="1171"/>
      <c r="R2" s="1171"/>
      <c r="S2" s="1171"/>
      <c r="T2" s="1171"/>
      <c r="U2" s="1171"/>
      <c r="V2" s="1171"/>
      <c r="W2" s="1171"/>
      <c r="X2" s="1171"/>
      <c r="Y2" s="1171"/>
      <c r="Z2" s="1171"/>
      <c r="AA2" s="1171"/>
      <c r="AB2" s="1171"/>
      <c r="AC2" s="918"/>
    </row>
    <row r="3" s="1153" customFormat="1" ht="28.5" customHeight="1" spans="1:29">
      <c r="A3" s="209" t="s">
        <v>2350</v>
      </c>
      <c r="B3" s="212">
        <f>C49</f>
        <v>19983</v>
      </c>
      <c r="C3" s="211" t="s">
        <v>2351</v>
      </c>
      <c r="D3" s="212">
        <f>SUMIF('数据-汇总表'!$C19:$C33,D1,'数据-汇总表'!$E19:$E33)</f>
        <v>74784.84</v>
      </c>
      <c r="E3" s="206"/>
      <c r="F3" s="1158"/>
      <c r="G3" s="206"/>
      <c r="H3" s="206"/>
      <c r="I3" s="206"/>
      <c r="J3" s="206"/>
      <c r="K3" s="1168"/>
      <c r="L3" s="1169"/>
      <c r="M3" s="1170"/>
      <c r="N3" s="1170"/>
      <c r="O3" s="1170"/>
      <c r="P3" s="1171"/>
      <c r="Q3" s="1171"/>
      <c r="R3" s="1171"/>
      <c r="S3" s="1171"/>
      <c r="T3" s="1171"/>
      <c r="U3" s="1171"/>
      <c r="V3" s="1171"/>
      <c r="W3" s="1171"/>
      <c r="X3" s="1171"/>
      <c r="Y3" s="1171"/>
      <c r="Z3" s="1171"/>
      <c r="AA3" s="1171"/>
      <c r="AB3" s="1171"/>
      <c r="AC3" s="918"/>
    </row>
    <row r="4" ht="15" spans="1:29">
      <c r="A4" s="213" t="s">
        <v>923</v>
      </c>
      <c r="B4" s="214"/>
      <c r="C4" s="215" t="s">
        <v>924</v>
      </c>
      <c r="D4" s="216"/>
      <c r="E4" s="217" t="s">
        <v>925</v>
      </c>
      <c r="F4" s="218"/>
      <c r="G4" s="215" t="s">
        <v>926</v>
      </c>
      <c r="H4" s="216"/>
      <c r="I4" s="215" t="s">
        <v>927</v>
      </c>
      <c r="J4" s="216"/>
      <c r="K4" s="1172" t="s">
        <v>928</v>
      </c>
      <c r="L4" s="384"/>
      <c r="M4" s="338"/>
      <c r="N4" s="338"/>
      <c r="O4" s="338"/>
      <c r="P4" s="276" t="s">
        <v>929</v>
      </c>
      <c r="Q4" s="450"/>
      <c r="R4" s="451" t="s">
        <v>925</v>
      </c>
      <c r="S4" s="452"/>
      <c r="T4" s="451" t="s">
        <v>926</v>
      </c>
      <c r="U4" s="452"/>
      <c r="V4" s="453" t="s">
        <v>927</v>
      </c>
      <c r="W4" s="453"/>
      <c r="X4" s="454"/>
      <c r="Y4" s="451" t="s">
        <v>929</v>
      </c>
      <c r="Z4" s="452"/>
      <c r="AA4" s="479" t="s">
        <v>925</v>
      </c>
      <c r="AB4" s="479" t="s">
        <v>926</v>
      </c>
      <c r="AC4" s="479" t="s">
        <v>927</v>
      </c>
    </row>
    <row r="5" ht="15" spans="1:29">
      <c r="A5" s="219"/>
      <c r="B5" s="220"/>
      <c r="C5" s="221" t="s">
        <v>930</v>
      </c>
      <c r="D5" s="222"/>
      <c r="E5" s="1123" t="s">
        <v>2352</v>
      </c>
      <c r="F5" s="224"/>
      <c r="G5" s="1133" t="s">
        <v>2353</v>
      </c>
      <c r="H5" s="222"/>
      <c r="I5" s="1133" t="s">
        <v>2354</v>
      </c>
      <c r="J5" s="222"/>
      <c r="K5" s="1173"/>
      <c r="L5" s="384"/>
      <c r="M5" s="338"/>
      <c r="N5" s="338"/>
      <c r="O5" s="338"/>
      <c r="P5" s="282"/>
      <c r="Q5" s="455"/>
      <c r="R5" s="456"/>
      <c r="S5" s="457"/>
      <c r="T5" s="456"/>
      <c r="U5" s="457"/>
      <c r="V5" s="453"/>
      <c r="W5" s="453"/>
      <c r="X5" s="454"/>
      <c r="Y5" s="456"/>
      <c r="Z5" s="457"/>
      <c r="AA5" s="454"/>
      <c r="AB5" s="454"/>
      <c r="AC5" s="454"/>
    </row>
    <row r="6" ht="15.75" spans="1:29">
      <c r="A6" s="225"/>
      <c r="B6" s="226"/>
      <c r="C6" s="227" t="s">
        <v>931</v>
      </c>
      <c r="D6" s="228"/>
      <c r="E6" s="229" t="s">
        <v>931</v>
      </c>
      <c r="F6" s="230"/>
      <c r="G6" s="227" t="s">
        <v>931</v>
      </c>
      <c r="H6" s="228"/>
      <c r="I6" s="227" t="s">
        <v>931</v>
      </c>
      <c r="J6" s="228"/>
      <c r="K6" s="1173" t="s">
        <v>932</v>
      </c>
      <c r="L6" s="384"/>
      <c r="M6" s="338"/>
      <c r="N6" s="338"/>
      <c r="O6" s="338"/>
      <c r="P6" s="270"/>
      <c r="Q6" s="458"/>
      <c r="R6" s="456"/>
      <c r="S6" s="457"/>
      <c r="T6" s="459"/>
      <c r="U6" s="460"/>
      <c r="V6" s="453"/>
      <c r="W6" s="453"/>
      <c r="X6" s="454"/>
      <c r="Y6" s="459"/>
      <c r="Z6" s="460"/>
      <c r="AA6" s="480"/>
      <c r="AB6" s="480"/>
      <c r="AC6" s="480"/>
    </row>
    <row r="7" s="189" customFormat="1" ht="15.75" spans="1:29">
      <c r="A7" s="231"/>
      <c r="B7" s="232" t="s">
        <v>933</v>
      </c>
      <c r="C7" s="233">
        <f>'数据-取费表'!B2</f>
        <v>45252</v>
      </c>
      <c r="D7" s="234">
        <v>100</v>
      </c>
      <c r="E7" s="235">
        <f>C7</f>
        <v>45252</v>
      </c>
      <c r="F7" s="236">
        <f>SUMIF(58:58,YEAR(E7)&amp;"-"&amp;MONTH(E7),59:59)</f>
        <v>100</v>
      </c>
      <c r="G7" s="237">
        <f>C7</f>
        <v>45252</v>
      </c>
      <c r="H7" s="234">
        <f>SUMIF(58:58,YEAR(G7)&amp;"-"&amp;MONTH(G7),59:59)</f>
        <v>100</v>
      </c>
      <c r="I7" s="237">
        <f>C7</f>
        <v>45252</v>
      </c>
      <c r="J7" s="234">
        <f>SUMIF(58:58,YEAR(I7)&amp;"-"&amp;MONTH(I7),59:59)</f>
        <v>100</v>
      </c>
      <c r="K7" s="1174"/>
      <c r="L7" s="386"/>
      <c r="M7" s="387"/>
      <c r="N7" s="387"/>
      <c r="O7" s="387"/>
      <c r="P7" s="388" t="s">
        <v>934</v>
      </c>
      <c r="Q7" s="461"/>
      <c r="R7" s="462" t="s">
        <v>935</v>
      </c>
      <c r="S7" s="463">
        <f t="shared" ref="S7:S15" si="0">F7</f>
        <v>100</v>
      </c>
      <c r="T7" s="462" t="s">
        <v>935</v>
      </c>
      <c r="U7" s="463">
        <f t="shared" ref="U7:U15" si="1">H7</f>
        <v>100</v>
      </c>
      <c r="V7" s="462" t="s">
        <v>935</v>
      </c>
      <c r="W7" s="463">
        <f t="shared" ref="W7:W15" si="2">J7</f>
        <v>100</v>
      </c>
      <c r="X7" s="464"/>
      <c r="Y7" s="388" t="s">
        <v>934</v>
      </c>
      <c r="Z7" s="465"/>
      <c r="AA7" s="481">
        <f>D7/F7</f>
        <v>1</v>
      </c>
      <c r="AB7" s="481">
        <f>D7/H7</f>
        <v>1</v>
      </c>
      <c r="AC7" s="481">
        <f>D7/J7</f>
        <v>1</v>
      </c>
    </row>
    <row r="8" s="189" customFormat="1" ht="15.75" spans="1:29">
      <c r="A8" s="238"/>
      <c r="B8" s="239" t="s">
        <v>936</v>
      </c>
      <c r="C8" s="240" t="s">
        <v>937</v>
      </c>
      <c r="D8" s="234">
        <v>100</v>
      </c>
      <c r="E8" s="1159" t="s">
        <v>938</v>
      </c>
      <c r="F8" s="236">
        <f>SUMIF(61:61,E8,62:62)-SUMIF(61:61,C8,62:62)+100</f>
        <v>100</v>
      </c>
      <c r="G8" s="240" t="s">
        <v>938</v>
      </c>
      <c r="H8" s="234">
        <f>SUMIF(61:61,G8,62:62)-SUMIF(61:61,C8,62:62)+100</f>
        <v>100</v>
      </c>
      <c r="I8" s="1159" t="s">
        <v>938</v>
      </c>
      <c r="J8" s="234">
        <f>SUMIF(61:61,I8,62:62)-SUMIF(61:61,C8,62:62)+100</f>
        <v>100</v>
      </c>
      <c r="K8" s="1174"/>
      <c r="L8" s="386"/>
      <c r="M8" s="387"/>
      <c r="N8" s="387"/>
      <c r="O8" s="387"/>
      <c r="P8" s="388" t="s">
        <v>939</v>
      </c>
      <c r="Q8" s="465"/>
      <c r="R8" s="462" t="s">
        <v>935</v>
      </c>
      <c r="S8" s="463">
        <f t="shared" si="0"/>
        <v>100</v>
      </c>
      <c r="T8" s="462" t="s">
        <v>935</v>
      </c>
      <c r="U8" s="463">
        <f t="shared" si="1"/>
        <v>100</v>
      </c>
      <c r="V8" s="462" t="s">
        <v>935</v>
      </c>
      <c r="W8" s="463">
        <f t="shared" si="2"/>
        <v>100</v>
      </c>
      <c r="X8" s="464"/>
      <c r="Y8" s="388" t="s">
        <v>939</v>
      </c>
      <c r="Z8" s="465"/>
      <c r="AA8" s="481">
        <f t="shared" ref="AA8:AA46" si="3">D8/F8</f>
        <v>1</v>
      </c>
      <c r="AB8" s="481">
        <f t="shared" ref="AB8:AB46" si="4">D8/H8</f>
        <v>1</v>
      </c>
      <c r="AC8" s="481">
        <f t="shared" ref="AC8:AC46" si="5">D8/J8</f>
        <v>1</v>
      </c>
    </row>
    <row r="9" s="189" customFormat="1" ht="15" spans="1:29">
      <c r="A9" s="241"/>
      <c r="B9" s="242" t="s">
        <v>940</v>
      </c>
      <c r="C9" s="1160" t="s">
        <v>377</v>
      </c>
      <c r="D9" s="244">
        <v>100</v>
      </c>
      <c r="E9" s="511" t="s">
        <v>377</v>
      </c>
      <c r="F9" s="294">
        <f>SUMIF(63:63,E9,64:64)-SUMIF(63:63,C9,64:64)+100</f>
        <v>100</v>
      </c>
      <c r="G9" s="245" t="s">
        <v>377</v>
      </c>
      <c r="H9" s="244">
        <f>SUMIF(63:63,G9,64:64)-SUMIF(63:63,C9,64:64)+100</f>
        <v>100</v>
      </c>
      <c r="I9" s="245" t="s">
        <v>377</v>
      </c>
      <c r="J9" s="244">
        <f>SUMIF(63:63,I9,64:64)-SUMIF(63:63,C9,64:64)+100</f>
        <v>100</v>
      </c>
      <c r="K9" s="1174"/>
      <c r="L9" s="386"/>
      <c r="M9" s="387"/>
      <c r="N9" s="387"/>
      <c r="O9" s="389"/>
      <c r="P9" s="390" t="s">
        <v>941</v>
      </c>
      <c r="Q9" s="466" t="str">
        <f t="shared" ref="Q9:Q15" si="6">B9</f>
        <v>用途</v>
      </c>
      <c r="R9" s="462" t="s">
        <v>935</v>
      </c>
      <c r="S9" s="463">
        <f t="shared" si="0"/>
        <v>100</v>
      </c>
      <c r="T9" s="462" t="s">
        <v>935</v>
      </c>
      <c r="U9" s="463">
        <f t="shared" si="1"/>
        <v>100</v>
      </c>
      <c r="V9" s="462" t="s">
        <v>935</v>
      </c>
      <c r="W9" s="463">
        <f t="shared" si="2"/>
        <v>100</v>
      </c>
      <c r="X9" s="464"/>
      <c r="Y9" s="466" t="s">
        <v>942</v>
      </c>
      <c r="Z9" s="481" t="str">
        <f t="shared" ref="Z9:Z15" si="7">Q9</f>
        <v>用途</v>
      </c>
      <c r="AA9" s="481">
        <f t="shared" si="3"/>
        <v>1</v>
      </c>
      <c r="AB9" s="481">
        <f t="shared" si="4"/>
        <v>1</v>
      </c>
      <c r="AC9" s="481">
        <f t="shared" si="5"/>
        <v>1</v>
      </c>
    </row>
    <row r="10" s="190" customFormat="1" ht="27" spans="1:29">
      <c r="A10" s="246"/>
      <c r="B10" s="239" t="s">
        <v>943</v>
      </c>
      <c r="C10" s="247" t="s">
        <v>2355</v>
      </c>
      <c r="D10" s="248">
        <v>100</v>
      </c>
      <c r="E10" s="249" t="s">
        <v>2355</v>
      </c>
      <c r="F10" s="297">
        <f>SUMIF(65:65,E10,66:66)-SUMIF(65:65,C10,66:66)+100</f>
        <v>100</v>
      </c>
      <c r="G10" s="247" t="s">
        <v>2355</v>
      </c>
      <c r="H10" s="248">
        <f>SUMIF(65:65,G10,66:66)-SUMIF(65:65,C10,66:66)+100</f>
        <v>100</v>
      </c>
      <c r="I10" s="247" t="s">
        <v>2355</v>
      </c>
      <c r="J10" s="248">
        <f>SUMIF(65:65,I10,66:66)-SUMIF(65:65,C10,66:66)+100</f>
        <v>100</v>
      </c>
      <c r="K10" s="1175"/>
      <c r="L10" s="392"/>
      <c r="M10" s="393"/>
      <c r="N10" s="393"/>
      <c r="O10" s="394"/>
      <c r="P10" s="390"/>
      <c r="Q10" s="466" t="str">
        <f t="shared" si="6"/>
        <v>土地使用年限（年）</v>
      </c>
      <c r="R10" s="462" t="s">
        <v>935</v>
      </c>
      <c r="S10" s="463">
        <f t="shared" si="0"/>
        <v>100</v>
      </c>
      <c r="T10" s="462" t="s">
        <v>935</v>
      </c>
      <c r="U10" s="463">
        <f t="shared" si="1"/>
        <v>100</v>
      </c>
      <c r="V10" s="462" t="s">
        <v>935</v>
      </c>
      <c r="W10" s="463">
        <f t="shared" si="2"/>
        <v>100</v>
      </c>
      <c r="X10" s="464"/>
      <c r="Y10" s="466"/>
      <c r="Z10" s="481" t="str">
        <f t="shared" si="7"/>
        <v>土地使用年限（年）</v>
      </c>
      <c r="AA10" s="481">
        <f t="shared" si="3"/>
        <v>1</v>
      </c>
      <c r="AB10" s="481">
        <f t="shared" si="4"/>
        <v>1</v>
      </c>
      <c r="AC10" s="481">
        <f t="shared" si="5"/>
        <v>1</v>
      </c>
    </row>
    <row r="11" ht="15" spans="1:29">
      <c r="A11" s="540"/>
      <c r="B11" s="239" t="s">
        <v>944</v>
      </c>
      <c r="C11" s="1161"/>
      <c r="D11" s="248">
        <v>100</v>
      </c>
      <c r="E11" s="542"/>
      <c r="F11" s="297">
        <f>LOOKUP(E11,68:68,69:69)-LOOKUP(C11,68:68,69:69)+100</f>
        <v>100</v>
      </c>
      <c r="G11" s="541"/>
      <c r="H11" s="248">
        <f>LOOKUP(G11,68:68,69:69)-LOOKUP(C11,68:68,69:69)+100</f>
        <v>100</v>
      </c>
      <c r="I11" s="541"/>
      <c r="J11" s="248">
        <f>LOOKUP(I11,68:68,69:69)-LOOKUP(C11,68:68,69:69)+100</f>
        <v>100</v>
      </c>
      <c r="K11" s="1175">
        <v>1</v>
      </c>
      <c r="L11" s="396"/>
      <c r="M11" s="338"/>
      <c r="N11" s="338"/>
      <c r="O11" s="397"/>
      <c r="P11" s="390"/>
      <c r="Q11" s="466" t="str">
        <f t="shared" si="6"/>
        <v>容积率</v>
      </c>
      <c r="R11" s="462" t="s">
        <v>935</v>
      </c>
      <c r="S11" s="463">
        <f t="shared" si="0"/>
        <v>100</v>
      </c>
      <c r="T11" s="462" t="s">
        <v>935</v>
      </c>
      <c r="U11" s="463">
        <f t="shared" si="1"/>
        <v>100</v>
      </c>
      <c r="V11" s="462" t="s">
        <v>935</v>
      </c>
      <c r="W11" s="463">
        <f t="shared" si="2"/>
        <v>100</v>
      </c>
      <c r="X11" s="464"/>
      <c r="Y11" s="466"/>
      <c r="Z11" s="481" t="str">
        <f t="shared" si="7"/>
        <v>容积率</v>
      </c>
      <c r="AA11" s="481">
        <f t="shared" si="3"/>
        <v>1</v>
      </c>
      <c r="AB11" s="481">
        <f t="shared" si="4"/>
        <v>1</v>
      </c>
      <c r="AC11" s="481">
        <f t="shared" si="5"/>
        <v>1</v>
      </c>
    </row>
    <row r="12" s="189" customFormat="1" ht="15" spans="1:29">
      <c r="A12" s="250"/>
      <c r="B12" s="251">
        <v>111</v>
      </c>
      <c r="C12" s="252"/>
      <c r="D12" s="254">
        <v>100</v>
      </c>
      <c r="E12" s="252"/>
      <c r="F12" s="297">
        <f>SUMIF(70:70,E12,71:71)-SUMIF(70:70,C12,71:71)+100</f>
        <v>100</v>
      </c>
      <c r="G12" s="252"/>
      <c r="H12" s="248">
        <f>SUMIF(70:70,G12,71:71)-SUMIF(70:70,C12,71:71)+100</f>
        <v>100</v>
      </c>
      <c r="I12" s="252"/>
      <c r="J12" s="248">
        <f>SUMIF(70:70,I12,71:71)-SUMIF(70:70,C12,71:71)+100</f>
        <v>100</v>
      </c>
      <c r="K12" s="1176"/>
      <c r="L12" s="386"/>
      <c r="M12" s="387"/>
      <c r="N12" s="387"/>
      <c r="O12" s="389"/>
      <c r="P12" s="390"/>
      <c r="Q12" s="466">
        <f t="shared" si="6"/>
        <v>111</v>
      </c>
      <c r="R12" s="462" t="s">
        <v>935</v>
      </c>
      <c r="S12" s="463">
        <f t="shared" si="0"/>
        <v>100</v>
      </c>
      <c r="T12" s="462" t="s">
        <v>935</v>
      </c>
      <c r="U12" s="463">
        <f t="shared" si="1"/>
        <v>100</v>
      </c>
      <c r="V12" s="462" t="s">
        <v>935</v>
      </c>
      <c r="W12" s="463">
        <f t="shared" si="2"/>
        <v>100</v>
      </c>
      <c r="X12" s="464"/>
      <c r="Y12" s="466"/>
      <c r="Z12" s="481">
        <f t="shared" si="7"/>
        <v>111</v>
      </c>
      <c r="AA12" s="481">
        <f t="shared" si="3"/>
        <v>1</v>
      </c>
      <c r="AB12" s="481">
        <f t="shared" si="4"/>
        <v>1</v>
      </c>
      <c r="AC12" s="481">
        <f t="shared" si="5"/>
        <v>1</v>
      </c>
    </row>
    <row r="13" ht="15" spans="1:29">
      <c r="A13" s="250"/>
      <c r="B13" s="251">
        <v>111</v>
      </c>
      <c r="C13" s="257"/>
      <c r="D13" s="258">
        <v>100</v>
      </c>
      <c r="E13" s="257"/>
      <c r="F13" s="297">
        <f>SUMIF(72:72,E13,73:73)-SUMIF(72:72,C13,73:73)+100</f>
        <v>100</v>
      </c>
      <c r="G13" s="257"/>
      <c r="H13" s="258">
        <f>SUMIF(72:72,G13,73:73)-SUMIF(72:72,C13,73:73)+100</f>
        <v>100</v>
      </c>
      <c r="I13" s="257"/>
      <c r="J13" s="258">
        <f>SUMIF(72:72,I13,73:73)-SUMIF(72:72,C13,73:73)+100</f>
        <v>100</v>
      </c>
      <c r="K13" s="1176"/>
      <c r="L13" s="398"/>
      <c r="M13" s="338"/>
      <c r="N13" s="338"/>
      <c r="O13" s="397"/>
      <c r="P13" s="390"/>
      <c r="Q13" s="466">
        <f t="shared" si="6"/>
        <v>111</v>
      </c>
      <c r="R13" s="462" t="s">
        <v>935</v>
      </c>
      <c r="S13" s="463">
        <f t="shared" si="0"/>
        <v>100</v>
      </c>
      <c r="T13" s="462" t="s">
        <v>935</v>
      </c>
      <c r="U13" s="463">
        <f t="shared" si="1"/>
        <v>100</v>
      </c>
      <c r="V13" s="462" t="s">
        <v>935</v>
      </c>
      <c r="W13" s="463">
        <f t="shared" si="2"/>
        <v>100</v>
      </c>
      <c r="X13" s="464"/>
      <c r="Y13" s="466"/>
      <c r="Z13" s="481">
        <f t="shared" si="7"/>
        <v>111</v>
      </c>
      <c r="AA13" s="481">
        <f t="shared" si="3"/>
        <v>1</v>
      </c>
      <c r="AB13" s="481">
        <f t="shared" si="4"/>
        <v>1</v>
      </c>
      <c r="AC13" s="481">
        <f t="shared" si="5"/>
        <v>1</v>
      </c>
    </row>
    <row r="14" ht="15.75" spans="1:29">
      <c r="A14" s="255"/>
      <c r="B14" s="256">
        <v>111</v>
      </c>
      <c r="C14" s="307"/>
      <c r="D14" s="308">
        <v>100</v>
      </c>
      <c r="E14" s="307"/>
      <c r="F14" s="310">
        <f>SUMIF(74:74,E14,75:75)-SUMIF(74:74,C14,75:75)+100</f>
        <v>100</v>
      </c>
      <c r="G14" s="307"/>
      <c r="H14" s="308">
        <f>SUMIF(74:74,G14,75:75)-SUMIF(74:74,C14,75:75)+100</f>
        <v>100</v>
      </c>
      <c r="I14" s="307"/>
      <c r="J14" s="308">
        <f>SUMIF(74:74,I14,75:75)-SUMIF(74:74,C14,75:75)+100</f>
        <v>100</v>
      </c>
      <c r="K14" s="1176"/>
      <c r="L14" s="398"/>
      <c r="M14" s="338"/>
      <c r="N14" s="338"/>
      <c r="O14" s="397"/>
      <c r="P14" s="390"/>
      <c r="Q14" s="466">
        <f t="shared" si="6"/>
        <v>111</v>
      </c>
      <c r="R14" s="462" t="s">
        <v>935</v>
      </c>
      <c r="S14" s="463">
        <f t="shared" si="0"/>
        <v>100</v>
      </c>
      <c r="T14" s="462" t="s">
        <v>935</v>
      </c>
      <c r="U14" s="463">
        <f t="shared" si="1"/>
        <v>100</v>
      </c>
      <c r="V14" s="462" t="s">
        <v>935</v>
      </c>
      <c r="W14" s="463">
        <f t="shared" si="2"/>
        <v>100</v>
      </c>
      <c r="X14" s="464"/>
      <c r="Y14" s="466"/>
      <c r="Z14" s="481">
        <f t="shared" si="7"/>
        <v>111</v>
      </c>
      <c r="AA14" s="481">
        <f t="shared" si="3"/>
        <v>1</v>
      </c>
      <c r="AB14" s="481">
        <f t="shared" si="4"/>
        <v>1</v>
      </c>
      <c r="AC14" s="481">
        <f t="shared" si="5"/>
        <v>1</v>
      </c>
    </row>
    <row r="15" ht="94.5" spans="1:29">
      <c r="A15" s="259" t="s">
        <v>946</v>
      </c>
      <c r="B15" s="260" t="s">
        <v>225</v>
      </c>
      <c r="C15" s="1125" t="str">
        <f>估价对象房地状况!C3</f>
        <v>估价对象周边居住用地比例、居住小区规模和社区发展完善程度，综合评价居住社区成熟度一般</v>
      </c>
      <c r="D15" s="262">
        <v>100</v>
      </c>
      <c r="E15" s="263"/>
      <c r="F15" s="264">
        <f>SUMIF(76:76,E16,77:77)-SUMIF(76:76,C16,77:77)+100</f>
        <v>104</v>
      </c>
      <c r="G15" s="265"/>
      <c r="H15" s="262">
        <f>SUMIF(76:76,G16,77:77)-SUMIF(76:76,C16,77:77)+100</f>
        <v>104</v>
      </c>
      <c r="I15" s="263"/>
      <c r="J15" s="262">
        <f>SUMIF(76:76,I16,77:77)-SUMIF(76:76,C16,77:77)+100</f>
        <v>104</v>
      </c>
      <c r="K15" s="1177">
        <v>2</v>
      </c>
      <c r="L15" s="398"/>
      <c r="M15" s="338"/>
      <c r="N15" s="338"/>
      <c r="O15" s="397"/>
      <c r="P15" s="400" t="s">
        <v>947</v>
      </c>
      <c r="Q15" s="390" t="str">
        <f t="shared" si="6"/>
        <v>居住社区成熟度</v>
      </c>
      <c r="R15" s="467" t="s">
        <v>935</v>
      </c>
      <c r="S15" s="468">
        <f t="shared" si="0"/>
        <v>104</v>
      </c>
      <c r="T15" s="467" t="s">
        <v>935</v>
      </c>
      <c r="U15" s="468">
        <f t="shared" si="1"/>
        <v>104</v>
      </c>
      <c r="V15" s="467" t="s">
        <v>935</v>
      </c>
      <c r="W15" s="468">
        <f t="shared" si="2"/>
        <v>104</v>
      </c>
      <c r="X15" s="454"/>
      <c r="Y15" s="400" t="s">
        <v>947</v>
      </c>
      <c r="Z15" s="453" t="str">
        <f t="shared" si="7"/>
        <v>居住社区成熟度</v>
      </c>
      <c r="AA15" s="453">
        <f t="shared" si="3"/>
        <v>0.961538461538462</v>
      </c>
      <c r="AB15" s="453">
        <f t="shared" si="4"/>
        <v>0.961538461538462</v>
      </c>
      <c r="AC15" s="453">
        <f t="shared" si="5"/>
        <v>0.961538461538462</v>
      </c>
    </row>
    <row r="16" ht="15" spans="1:29">
      <c r="A16" s="266"/>
      <c r="B16" s="267"/>
      <c r="C16" s="268" t="s">
        <v>948</v>
      </c>
      <c r="D16" s="269"/>
      <c r="E16" s="546" t="s">
        <v>949</v>
      </c>
      <c r="F16" s="270"/>
      <c r="G16" s="547" t="s">
        <v>949</v>
      </c>
      <c r="H16" s="271"/>
      <c r="I16" s="546" t="s">
        <v>949</v>
      </c>
      <c r="J16" s="269"/>
      <c r="K16" s="1178"/>
      <c r="L16" s="398"/>
      <c r="M16" s="338"/>
      <c r="N16" s="338"/>
      <c r="O16" s="397"/>
      <c r="P16" s="367"/>
      <c r="Q16" s="390"/>
      <c r="R16" s="467"/>
      <c r="S16" s="468"/>
      <c r="T16" s="467"/>
      <c r="U16" s="468"/>
      <c r="V16" s="467"/>
      <c r="W16" s="468"/>
      <c r="X16" s="454"/>
      <c r="Y16" s="367"/>
      <c r="Z16" s="453"/>
      <c r="AA16" s="453">
        <v>1</v>
      </c>
      <c r="AB16" s="453">
        <v>1</v>
      </c>
      <c r="AC16" s="453">
        <v>1</v>
      </c>
    </row>
    <row r="17" ht="81" spans="1:29">
      <c r="A17" s="266"/>
      <c r="B17" s="285" t="s">
        <v>229</v>
      </c>
      <c r="C17" s="273" t="str">
        <f>估价对象房地状况!C6</f>
        <v>估价对象周边道路状况、公共交通通达情况、停车便捷程度，综合评价交通便捷度较好</v>
      </c>
      <c r="D17" s="271">
        <v>100</v>
      </c>
      <c r="E17" s="281"/>
      <c r="F17" s="282">
        <f>SUMIF(78:78,E18,79:79)-SUMIF(78:78,C18,79:79)+100</f>
        <v>106</v>
      </c>
      <c r="G17" s="283"/>
      <c r="H17" s="274">
        <f>SUMIF(78:78,G18,79:79)-SUMIF(78:78,C18,79:79)+100</f>
        <v>106</v>
      </c>
      <c r="I17" s="281"/>
      <c r="J17" s="274">
        <f>SUMIF(78:78,I18,79:79)-SUMIF(78:78,C18,79:79)+100</f>
        <v>106</v>
      </c>
      <c r="K17" s="1177">
        <v>3</v>
      </c>
      <c r="L17" s="398"/>
      <c r="M17" s="338"/>
      <c r="N17" s="338"/>
      <c r="O17" s="397"/>
      <c r="P17" s="367"/>
      <c r="Q17" s="390" t="str">
        <f>B17</f>
        <v>交通便捷度</v>
      </c>
      <c r="R17" s="467" t="s">
        <v>935</v>
      </c>
      <c r="S17" s="468">
        <f>F17</f>
        <v>106</v>
      </c>
      <c r="T17" s="467" t="s">
        <v>935</v>
      </c>
      <c r="U17" s="468">
        <f>H17</f>
        <v>106</v>
      </c>
      <c r="V17" s="467" t="s">
        <v>935</v>
      </c>
      <c r="W17" s="468">
        <f>J17</f>
        <v>106</v>
      </c>
      <c r="X17" s="454"/>
      <c r="Y17" s="367"/>
      <c r="Z17" s="453" t="str">
        <f>Q17</f>
        <v>交通便捷度</v>
      </c>
      <c r="AA17" s="453">
        <f t="shared" si="3"/>
        <v>0.943396226415094</v>
      </c>
      <c r="AB17" s="453">
        <f t="shared" si="4"/>
        <v>0.943396226415094</v>
      </c>
      <c r="AC17" s="453">
        <f t="shared" si="5"/>
        <v>0.943396226415094</v>
      </c>
    </row>
    <row r="18" ht="15" spans="1:29">
      <c r="A18" s="266"/>
      <c r="B18" s="286"/>
      <c r="C18" s="279" t="s">
        <v>948</v>
      </c>
      <c r="D18" s="271"/>
      <c r="E18" s="544" t="s">
        <v>949</v>
      </c>
      <c r="F18" s="282"/>
      <c r="G18" s="545" t="s">
        <v>949</v>
      </c>
      <c r="H18" s="269"/>
      <c r="I18" s="544" t="s">
        <v>949</v>
      </c>
      <c r="J18" s="269"/>
      <c r="K18" s="1178"/>
      <c r="L18" s="398"/>
      <c r="M18" s="338"/>
      <c r="N18" s="338"/>
      <c r="O18" s="397"/>
      <c r="P18" s="367"/>
      <c r="Q18" s="390"/>
      <c r="R18" s="467"/>
      <c r="S18" s="468"/>
      <c r="T18" s="467"/>
      <c r="U18" s="468"/>
      <c r="V18" s="467"/>
      <c r="W18" s="468"/>
      <c r="X18" s="454"/>
      <c r="Y18" s="367"/>
      <c r="Z18" s="453"/>
      <c r="AA18" s="453">
        <v>1</v>
      </c>
      <c r="AB18" s="453">
        <v>1</v>
      </c>
      <c r="AC18" s="453">
        <v>1</v>
      </c>
    </row>
    <row r="19" ht="40.5" spans="1:29">
      <c r="A19" s="266"/>
      <c r="B19" s="1126" t="s">
        <v>231</v>
      </c>
      <c r="C19" s="273" t="str">
        <f>估价对象房地状况!C7</f>
        <v>估价对象所在区域公共配套设施齐备情况</v>
      </c>
      <c r="D19" s="274">
        <v>100</v>
      </c>
      <c r="E19" s="275"/>
      <c r="F19" s="276">
        <f>SUMIF(80:80,E20,81:81)-SUMIF(80:80,C20,81:81)+100</f>
        <v>101</v>
      </c>
      <c r="G19" s="277"/>
      <c r="H19" s="271">
        <f>SUMIF(80:80,G20,81:81)-SUMIF(80:80,C20,81:81)+100</f>
        <v>101</v>
      </c>
      <c r="I19" s="275"/>
      <c r="J19" s="271">
        <f>SUMIF(80:80,I20,81:81)-SUMIF(80:80,C20,81:81)+100</f>
        <v>101</v>
      </c>
      <c r="K19" s="1177">
        <v>0.5</v>
      </c>
      <c r="L19" s="398"/>
      <c r="M19" s="338"/>
      <c r="N19" s="338"/>
      <c r="O19" s="397"/>
      <c r="P19" s="367"/>
      <c r="Q19" s="390" t="str">
        <f>B19</f>
        <v>公共配套设施</v>
      </c>
      <c r="R19" s="467" t="s">
        <v>935</v>
      </c>
      <c r="S19" s="468">
        <f>F19</f>
        <v>101</v>
      </c>
      <c r="T19" s="467" t="s">
        <v>935</v>
      </c>
      <c r="U19" s="468">
        <f>H19</f>
        <v>101</v>
      </c>
      <c r="V19" s="467" t="s">
        <v>935</v>
      </c>
      <c r="W19" s="468">
        <f>J19</f>
        <v>101</v>
      </c>
      <c r="X19" s="454"/>
      <c r="Y19" s="367"/>
      <c r="Z19" s="453" t="str">
        <f>Q19</f>
        <v>公共配套设施</v>
      </c>
      <c r="AA19" s="453">
        <f t="shared" si="3"/>
        <v>0.99009900990099</v>
      </c>
      <c r="AB19" s="453">
        <f t="shared" si="4"/>
        <v>0.99009900990099</v>
      </c>
      <c r="AC19" s="453">
        <f t="shared" si="5"/>
        <v>0.99009900990099</v>
      </c>
    </row>
    <row r="20" ht="15" spans="1:29">
      <c r="A20" s="266"/>
      <c r="B20" s="286"/>
      <c r="C20" s="268" t="s">
        <v>948</v>
      </c>
      <c r="D20" s="269"/>
      <c r="E20" s="546" t="s">
        <v>949</v>
      </c>
      <c r="F20" s="270"/>
      <c r="G20" s="547" t="s">
        <v>949</v>
      </c>
      <c r="H20" s="269"/>
      <c r="I20" s="546" t="s">
        <v>949</v>
      </c>
      <c r="J20" s="269"/>
      <c r="K20" s="1178"/>
      <c r="L20" s="398"/>
      <c r="M20" s="338"/>
      <c r="N20" s="338"/>
      <c r="O20" s="397"/>
      <c r="P20" s="367"/>
      <c r="Q20" s="390"/>
      <c r="R20" s="467"/>
      <c r="S20" s="468"/>
      <c r="T20" s="467"/>
      <c r="U20" s="468"/>
      <c r="V20" s="467"/>
      <c r="W20" s="468"/>
      <c r="X20" s="454"/>
      <c r="Y20" s="367"/>
      <c r="Z20" s="453"/>
      <c r="AA20" s="453">
        <v>1</v>
      </c>
      <c r="AB20" s="453">
        <v>1</v>
      </c>
      <c r="AC20" s="453">
        <v>1</v>
      </c>
    </row>
    <row r="21" ht="27" spans="1:29">
      <c r="A21" s="266"/>
      <c r="B21" s="1127" t="s">
        <v>232</v>
      </c>
      <c r="C21" s="273" t="str">
        <f>估价对象房地状况!C8</f>
        <v>估价对象所在区域基础设施水平</v>
      </c>
      <c r="D21" s="274">
        <v>100</v>
      </c>
      <c r="E21" s="277"/>
      <c r="F21" s="276">
        <f>SUMIF(82:82,E22,83:83)-SUMIF(82:82,C22,83:83)+100</f>
        <v>100</v>
      </c>
      <c r="G21" s="277"/>
      <c r="H21" s="274">
        <f>SUMIF(82:82,G22,83:83)-SUMIF(82:82,C22,83:83)+100</f>
        <v>100</v>
      </c>
      <c r="I21" s="275"/>
      <c r="J21" s="274">
        <f>SUMIF(82:82,I22,83:83)-SUMIF(82:82,C22,83:83)+100</f>
        <v>100</v>
      </c>
      <c r="K21" s="1177">
        <v>1</v>
      </c>
      <c r="L21" s="398"/>
      <c r="M21" s="338"/>
      <c r="N21" s="338"/>
      <c r="O21" s="397"/>
      <c r="P21" s="367"/>
      <c r="Q21" s="390" t="str">
        <f>B21</f>
        <v>基础设施水平</v>
      </c>
      <c r="R21" s="467" t="s">
        <v>935</v>
      </c>
      <c r="S21" s="468">
        <f>F21</f>
        <v>100</v>
      </c>
      <c r="T21" s="467" t="s">
        <v>935</v>
      </c>
      <c r="U21" s="468">
        <f>H21</f>
        <v>100</v>
      </c>
      <c r="V21" s="467" t="s">
        <v>935</v>
      </c>
      <c r="W21" s="468">
        <f>J21</f>
        <v>100</v>
      </c>
      <c r="X21" s="454"/>
      <c r="Y21" s="367"/>
      <c r="Z21" s="453" t="str">
        <f>Q21</f>
        <v>基础设施水平</v>
      </c>
      <c r="AA21" s="453">
        <f t="shared" ref="AA21" si="8">D21/F21</f>
        <v>1</v>
      </c>
      <c r="AB21" s="453">
        <f t="shared" ref="AB21" si="9">D21/H21</f>
        <v>1</v>
      </c>
      <c r="AC21" s="453">
        <f t="shared" ref="AC21" si="10">D21/J21</f>
        <v>1</v>
      </c>
    </row>
    <row r="22" ht="15" spans="1:29">
      <c r="A22" s="266"/>
      <c r="B22" s="292"/>
      <c r="C22" s="279" t="s">
        <v>247</v>
      </c>
      <c r="D22" s="269"/>
      <c r="E22" s="268" t="s">
        <v>247</v>
      </c>
      <c r="F22" s="270"/>
      <c r="G22" s="268" t="s">
        <v>247</v>
      </c>
      <c r="H22" s="269"/>
      <c r="I22" s="268" t="s">
        <v>247</v>
      </c>
      <c r="J22" s="269"/>
      <c r="K22" s="1179"/>
      <c r="L22" s="398"/>
      <c r="M22" s="338"/>
      <c r="N22" s="338"/>
      <c r="O22" s="397"/>
      <c r="P22" s="367"/>
      <c r="Q22" s="390"/>
      <c r="R22" s="467"/>
      <c r="S22" s="468"/>
      <c r="T22" s="467"/>
      <c r="U22" s="468"/>
      <c r="V22" s="467"/>
      <c r="W22" s="468"/>
      <c r="X22" s="454"/>
      <c r="Y22" s="367"/>
      <c r="Z22" s="453"/>
      <c r="AA22" s="453">
        <v>1</v>
      </c>
      <c r="AB22" s="453">
        <v>1</v>
      </c>
      <c r="AC22" s="453">
        <v>1</v>
      </c>
    </row>
    <row r="23" ht="54" spans="1:29">
      <c r="A23" s="266"/>
      <c r="B23" s="285" t="s">
        <v>2356</v>
      </c>
      <c r="C23" s="273" t="str">
        <f>估价对象房地状况!C9</f>
        <v>区域自然环境：；人文环境；综合评价环境状况一般</v>
      </c>
      <c r="D23" s="271">
        <v>100</v>
      </c>
      <c r="E23" s="281"/>
      <c r="F23" s="282">
        <f>SUMIF(84:84,E24,85:85)-SUMIF(84:84,C24,85:85)+100</f>
        <v>98</v>
      </c>
      <c r="G23" s="283"/>
      <c r="H23" s="271">
        <f>SUMIF(84:84,G24,85:85)-SUMIF(84:84,C24,85:85)+100</f>
        <v>98</v>
      </c>
      <c r="I23" s="281"/>
      <c r="J23" s="271">
        <f>SUMIF(84:84,I24,85:85)-SUMIF(84:84,C24,85:85)+100</f>
        <v>98</v>
      </c>
      <c r="K23" s="1177">
        <v>2</v>
      </c>
      <c r="L23" s="398"/>
      <c r="M23" s="338"/>
      <c r="N23" s="338"/>
      <c r="O23" s="397"/>
      <c r="P23" s="367"/>
      <c r="Q23" s="390" t="str">
        <f>B23</f>
        <v>自然及人文环境</v>
      </c>
      <c r="R23" s="467" t="s">
        <v>935</v>
      </c>
      <c r="S23" s="468">
        <f>F23</f>
        <v>98</v>
      </c>
      <c r="T23" s="467" t="s">
        <v>935</v>
      </c>
      <c r="U23" s="468">
        <f>H23</f>
        <v>98</v>
      </c>
      <c r="V23" s="467" t="s">
        <v>935</v>
      </c>
      <c r="W23" s="468">
        <f>J23</f>
        <v>98</v>
      </c>
      <c r="X23" s="454"/>
      <c r="Y23" s="367"/>
      <c r="Z23" s="453" t="str">
        <f>Q23</f>
        <v>自然及人文环境</v>
      </c>
      <c r="AA23" s="453">
        <f t="shared" si="3"/>
        <v>1.02040816326531</v>
      </c>
      <c r="AB23" s="453">
        <f t="shared" si="4"/>
        <v>1.02040816326531</v>
      </c>
      <c r="AC23" s="453">
        <f t="shared" si="5"/>
        <v>1.02040816326531</v>
      </c>
    </row>
    <row r="24" ht="15" spans="1:29">
      <c r="A24" s="266"/>
      <c r="B24" s="286"/>
      <c r="C24" s="268" t="s">
        <v>949</v>
      </c>
      <c r="D24" s="269"/>
      <c r="E24" s="546" t="s">
        <v>951</v>
      </c>
      <c r="F24" s="270"/>
      <c r="G24" s="547" t="s">
        <v>951</v>
      </c>
      <c r="H24" s="269"/>
      <c r="I24" s="546" t="s">
        <v>951</v>
      </c>
      <c r="J24" s="269"/>
      <c r="K24" s="1178"/>
      <c r="L24" s="398"/>
      <c r="M24" s="338"/>
      <c r="N24" s="338"/>
      <c r="O24" s="397"/>
      <c r="P24" s="367"/>
      <c r="Q24" s="390"/>
      <c r="R24" s="467"/>
      <c r="S24" s="468"/>
      <c r="T24" s="467"/>
      <c r="U24" s="468"/>
      <c r="V24" s="467"/>
      <c r="W24" s="468"/>
      <c r="X24" s="454"/>
      <c r="Y24" s="367"/>
      <c r="Z24" s="453"/>
      <c r="AA24" s="453">
        <v>1</v>
      </c>
      <c r="AB24" s="453">
        <v>1</v>
      </c>
      <c r="AC24" s="453">
        <v>1</v>
      </c>
    </row>
    <row r="25" ht="15" spans="1:29">
      <c r="A25" s="266"/>
      <c r="B25" s="550" t="s">
        <v>2357</v>
      </c>
      <c r="C25" s="302"/>
      <c r="D25" s="258">
        <v>100</v>
      </c>
      <c r="E25" s="1162"/>
      <c r="F25" s="288">
        <f>SUMIF(86:86,E25,87:87)-SUMIF(86:86,C25,87:87)+100</f>
        <v>100</v>
      </c>
      <c r="G25" s="582"/>
      <c r="H25" s="258">
        <f>SUMIF(86:86,G25,87:87)-SUMIF(86:86,C25,87:87)+100</f>
        <v>100</v>
      </c>
      <c r="I25" s="1162"/>
      <c r="J25" s="258">
        <f>SUMIF(86:86,I25,87:87)-SUMIF(86:86,C25,87:87)+100</f>
        <v>100</v>
      </c>
      <c r="K25" s="1175"/>
      <c r="L25" s="398"/>
      <c r="M25" s="338"/>
      <c r="N25" s="338"/>
      <c r="O25" s="397"/>
      <c r="P25" s="367"/>
      <c r="Q25" s="390" t="str">
        <f t="shared" ref="Q25:Q46" si="11">B25</f>
        <v>楼层-1</v>
      </c>
      <c r="R25" s="467" t="s">
        <v>935</v>
      </c>
      <c r="S25" s="468">
        <f>F25</f>
        <v>100</v>
      </c>
      <c r="T25" s="467" t="s">
        <v>935</v>
      </c>
      <c r="U25" s="468">
        <f>H25</f>
        <v>100</v>
      </c>
      <c r="V25" s="467" t="s">
        <v>935</v>
      </c>
      <c r="W25" s="468">
        <f>J25</f>
        <v>100</v>
      </c>
      <c r="X25" s="454"/>
      <c r="Y25" s="367"/>
      <c r="Z25" s="453" t="str">
        <f>Q25</f>
        <v>楼层-1</v>
      </c>
      <c r="AA25" s="453">
        <f t="shared" si="3"/>
        <v>1</v>
      </c>
      <c r="AB25" s="453">
        <f t="shared" si="4"/>
        <v>1</v>
      </c>
      <c r="AC25" s="453">
        <f t="shared" si="5"/>
        <v>1</v>
      </c>
    </row>
    <row r="26" ht="15" spans="1:29">
      <c r="A26" s="266"/>
      <c r="B26" s="297" t="s">
        <v>2358</v>
      </c>
      <c r="C26" s="302"/>
      <c r="D26" s="258">
        <v>100</v>
      </c>
      <c r="E26" s="1162"/>
      <c r="F26" s="288">
        <f>SUMIF(88:88,E26,89:89)-SUMIF(88:88,C26,89:89)+100</f>
        <v>100</v>
      </c>
      <c r="G26" s="582"/>
      <c r="H26" s="258">
        <f>SUMIF(88:88,G26,89:89)-SUMIF(88:88,C26,89:89)+100</f>
        <v>100</v>
      </c>
      <c r="I26" s="1162"/>
      <c r="J26" s="258">
        <f>SUMIF(88:88,I26,89:89)-SUMIF(88:88,C26,89:89)+100</f>
        <v>100</v>
      </c>
      <c r="K26" s="1175"/>
      <c r="L26" s="398"/>
      <c r="M26" s="338"/>
      <c r="N26" s="338"/>
      <c r="O26" s="397"/>
      <c r="P26" s="367"/>
      <c r="Q26" s="390" t="str">
        <f t="shared" si="11"/>
        <v>朝向</v>
      </c>
      <c r="R26" s="467" t="s">
        <v>935</v>
      </c>
      <c r="S26" s="468">
        <f>F26</f>
        <v>100</v>
      </c>
      <c r="T26" s="467" t="s">
        <v>935</v>
      </c>
      <c r="U26" s="468">
        <f>H26</f>
        <v>100</v>
      </c>
      <c r="V26" s="467" t="s">
        <v>935</v>
      </c>
      <c r="W26" s="468">
        <f>J26</f>
        <v>100</v>
      </c>
      <c r="X26" s="454"/>
      <c r="Y26" s="367"/>
      <c r="Z26" s="453" t="str">
        <f>Q26</f>
        <v>朝向</v>
      </c>
      <c r="AA26" s="453">
        <f t="shared" si="3"/>
        <v>1</v>
      </c>
      <c r="AB26" s="453">
        <f t="shared" si="4"/>
        <v>1</v>
      </c>
      <c r="AC26" s="453">
        <f t="shared" si="5"/>
        <v>1</v>
      </c>
    </row>
    <row r="27" s="189" customFormat="1" ht="15" spans="1:29">
      <c r="A27" s="290"/>
      <c r="B27" s="289" t="s">
        <v>2359</v>
      </c>
      <c r="C27" s="252"/>
      <c r="D27" s="278">
        <v>100</v>
      </c>
      <c r="E27" s="1163"/>
      <c r="F27" s="286">
        <f>SUMIF(90:90,E27,91:91)-SUMIF(90:90,C27,91:91)+100</f>
        <v>100</v>
      </c>
      <c r="G27" s="1164"/>
      <c r="H27" s="278">
        <f>SUMIF(90:90,G27,91:91)-SUMIF(90:90,C27,91:91)+100</f>
        <v>100</v>
      </c>
      <c r="I27" s="1163"/>
      <c r="J27" s="278">
        <f>SUMIF(90:90,I27,91:91)-SUMIF(90:90,C27,91:91)+100</f>
        <v>100</v>
      </c>
      <c r="K27" s="1176"/>
      <c r="L27" s="386"/>
      <c r="M27" s="387"/>
      <c r="N27" s="387"/>
      <c r="O27" s="389"/>
      <c r="P27" s="367"/>
      <c r="Q27" s="466" t="str">
        <f t="shared" si="11"/>
        <v>道路级别</v>
      </c>
      <c r="R27" s="462" t="s">
        <v>935</v>
      </c>
      <c r="S27" s="463">
        <f>F27</f>
        <v>100</v>
      </c>
      <c r="T27" s="462" t="s">
        <v>935</v>
      </c>
      <c r="U27" s="463">
        <f>H27</f>
        <v>100</v>
      </c>
      <c r="V27" s="462" t="s">
        <v>935</v>
      </c>
      <c r="W27" s="463">
        <f>J27</f>
        <v>100</v>
      </c>
      <c r="X27" s="464"/>
      <c r="Y27" s="367"/>
      <c r="Z27" s="481" t="str">
        <f>Q27</f>
        <v>道路级别</v>
      </c>
      <c r="AA27" s="453">
        <f t="shared" si="3"/>
        <v>1</v>
      </c>
      <c r="AB27" s="453">
        <f t="shared" si="4"/>
        <v>1</v>
      </c>
      <c r="AC27" s="453">
        <f t="shared" si="5"/>
        <v>1</v>
      </c>
    </row>
    <row r="28" ht="15" spans="1:29">
      <c r="A28" s="266"/>
      <c r="B28" s="548">
        <v>111</v>
      </c>
      <c r="C28" s="257"/>
      <c r="D28" s="258">
        <v>100</v>
      </c>
      <c r="E28" s="257"/>
      <c r="F28" s="288">
        <f>SUMIF(92:92,E28,93:93)-SUMIF(92:92,C28,93:93)+100</f>
        <v>100</v>
      </c>
      <c r="G28" s="257"/>
      <c r="H28" s="258">
        <f>SUMIF(92:92,G28,93:93)-SUMIF(92:92,C28,93:93)+100</f>
        <v>100</v>
      </c>
      <c r="I28" s="257"/>
      <c r="J28" s="258">
        <f>SUMIF(92:92,I28,93:93)-SUMIF(92:92,C28,93:93)+100</f>
        <v>100</v>
      </c>
      <c r="K28" s="1176"/>
      <c r="L28" s="398"/>
      <c r="M28" s="338"/>
      <c r="N28" s="338"/>
      <c r="O28" s="397"/>
      <c r="P28" s="367"/>
      <c r="Q28" s="390">
        <f t="shared" si="11"/>
        <v>111</v>
      </c>
      <c r="R28" s="467" t="s">
        <v>935</v>
      </c>
      <c r="S28" s="468">
        <f t="shared" ref="S28:S46" si="12">F28</f>
        <v>100</v>
      </c>
      <c r="T28" s="467" t="s">
        <v>935</v>
      </c>
      <c r="U28" s="468">
        <f t="shared" ref="U28:U46" si="13">H28</f>
        <v>100</v>
      </c>
      <c r="V28" s="467" t="s">
        <v>935</v>
      </c>
      <c r="W28" s="468">
        <f t="shared" ref="W28:W46" si="14">J28</f>
        <v>100</v>
      </c>
      <c r="X28" s="454"/>
      <c r="Y28" s="367"/>
      <c r="Z28" s="453">
        <f t="shared" ref="Z28:Z46" si="15">Q28</f>
        <v>111</v>
      </c>
      <c r="AA28" s="453">
        <f t="shared" si="3"/>
        <v>1</v>
      </c>
      <c r="AB28" s="453">
        <f t="shared" si="4"/>
        <v>1</v>
      </c>
      <c r="AC28" s="453">
        <f t="shared" si="5"/>
        <v>1</v>
      </c>
    </row>
    <row r="29" ht="15" spans="1:29">
      <c r="A29" s="266"/>
      <c r="B29" s="548">
        <v>111</v>
      </c>
      <c r="C29" s="257"/>
      <c r="D29" s="258">
        <v>100</v>
      </c>
      <c r="E29" s="257"/>
      <c r="F29" s="288">
        <f>SUMIF(94:94,E29,95:95)-SUMIF(94:94,C29,95:95)+100</f>
        <v>100</v>
      </c>
      <c r="G29" s="257"/>
      <c r="H29" s="258">
        <f>SUMIF(94:94,G29,95:95)-SUMIF(94:94,C29,95:95)+100</f>
        <v>100</v>
      </c>
      <c r="I29" s="257"/>
      <c r="J29" s="258">
        <f>SUMIF(94:94,I29,95:95)-SUMIF(94:94,C29,95:95)+100</f>
        <v>100</v>
      </c>
      <c r="K29" s="1176"/>
      <c r="L29" s="398"/>
      <c r="M29" s="338"/>
      <c r="N29" s="338"/>
      <c r="O29" s="397"/>
      <c r="P29" s="367"/>
      <c r="Q29" s="390">
        <f t="shared" si="11"/>
        <v>111</v>
      </c>
      <c r="R29" s="467" t="s">
        <v>935</v>
      </c>
      <c r="S29" s="468">
        <f t="shared" si="12"/>
        <v>100</v>
      </c>
      <c r="T29" s="467" t="s">
        <v>935</v>
      </c>
      <c r="U29" s="468">
        <f t="shared" si="13"/>
        <v>100</v>
      </c>
      <c r="V29" s="467" t="s">
        <v>935</v>
      </c>
      <c r="W29" s="468">
        <f t="shared" si="14"/>
        <v>100</v>
      </c>
      <c r="X29" s="454"/>
      <c r="Y29" s="367"/>
      <c r="Z29" s="453">
        <f t="shared" si="15"/>
        <v>111</v>
      </c>
      <c r="AA29" s="453">
        <f t="shared" si="3"/>
        <v>1</v>
      </c>
      <c r="AB29" s="453">
        <f t="shared" si="4"/>
        <v>1</v>
      </c>
      <c r="AC29" s="453">
        <f t="shared" si="5"/>
        <v>1</v>
      </c>
    </row>
    <row r="30" ht="15" spans="1:29">
      <c r="A30" s="266"/>
      <c r="B30" s="548">
        <v>111</v>
      </c>
      <c r="C30" s="257"/>
      <c r="D30" s="258">
        <v>100</v>
      </c>
      <c r="E30" s="257"/>
      <c r="F30" s="288">
        <f>SUMIF(96:96,E30,97:97)-SUMIF(96:96,C30,97:97)+100</f>
        <v>100</v>
      </c>
      <c r="G30" s="257"/>
      <c r="H30" s="258">
        <f>SUMIF(96:96,G30,97:97)-SUMIF(96:96,C30,97:97)+100</f>
        <v>100</v>
      </c>
      <c r="I30" s="257"/>
      <c r="J30" s="258">
        <f>SUMIF(96:96,I30,97:97)-SUMIF(96:96,C30,97:97)+100</f>
        <v>100</v>
      </c>
      <c r="K30" s="1176"/>
      <c r="L30" s="398"/>
      <c r="M30" s="338"/>
      <c r="N30" s="338"/>
      <c r="O30" s="397"/>
      <c r="P30" s="367"/>
      <c r="Q30" s="390">
        <f t="shared" si="11"/>
        <v>111</v>
      </c>
      <c r="R30" s="467" t="s">
        <v>935</v>
      </c>
      <c r="S30" s="468">
        <f t="shared" si="12"/>
        <v>100</v>
      </c>
      <c r="T30" s="467" t="s">
        <v>935</v>
      </c>
      <c r="U30" s="468">
        <f t="shared" si="13"/>
        <v>100</v>
      </c>
      <c r="V30" s="467" t="s">
        <v>935</v>
      </c>
      <c r="W30" s="468">
        <f t="shared" si="14"/>
        <v>100</v>
      </c>
      <c r="X30" s="454"/>
      <c r="Y30" s="367"/>
      <c r="Z30" s="453">
        <f t="shared" si="15"/>
        <v>111</v>
      </c>
      <c r="AA30" s="453">
        <f t="shared" si="3"/>
        <v>1</v>
      </c>
      <c r="AB30" s="453">
        <f t="shared" si="4"/>
        <v>1</v>
      </c>
      <c r="AC30" s="453">
        <f t="shared" si="5"/>
        <v>1</v>
      </c>
    </row>
    <row r="31" ht="15.75" spans="1:29">
      <c r="A31" s="549"/>
      <c r="B31" s="548">
        <v>111</v>
      </c>
      <c r="C31" s="307"/>
      <c r="D31" s="308">
        <v>100</v>
      </c>
      <c r="E31" s="307"/>
      <c r="F31" s="310">
        <f>SUMIF(98:98,E31,99:99)-SUMIF(98:98,C31,99:99)+100</f>
        <v>100</v>
      </c>
      <c r="G31" s="307"/>
      <c r="H31" s="308">
        <f>SUMIF(98:98,G31,99:99)-SUMIF(98:98,C31,99:99)+100</f>
        <v>100</v>
      </c>
      <c r="I31" s="307"/>
      <c r="J31" s="308">
        <f>SUMIF(98:98,I31,99:99)-SUMIF(98:98,C31,99:99)+100</f>
        <v>100</v>
      </c>
      <c r="K31" s="1176"/>
      <c r="L31" s="398"/>
      <c r="M31" s="338"/>
      <c r="N31" s="338"/>
      <c r="O31" s="397"/>
      <c r="P31" s="367"/>
      <c r="Q31" s="390">
        <f t="shared" si="11"/>
        <v>111</v>
      </c>
      <c r="R31" s="467" t="s">
        <v>935</v>
      </c>
      <c r="S31" s="468">
        <f t="shared" si="12"/>
        <v>100</v>
      </c>
      <c r="T31" s="467" t="s">
        <v>935</v>
      </c>
      <c r="U31" s="468">
        <f t="shared" si="13"/>
        <v>100</v>
      </c>
      <c r="V31" s="467" t="s">
        <v>935</v>
      </c>
      <c r="W31" s="468">
        <f t="shared" si="14"/>
        <v>100</v>
      </c>
      <c r="X31" s="454"/>
      <c r="Y31" s="367"/>
      <c r="Z31" s="453">
        <f t="shared" si="15"/>
        <v>111</v>
      </c>
      <c r="AA31" s="453">
        <f t="shared" si="3"/>
        <v>1</v>
      </c>
      <c r="AB31" s="453">
        <f t="shared" si="4"/>
        <v>1</v>
      </c>
      <c r="AC31" s="453">
        <f t="shared" si="5"/>
        <v>1</v>
      </c>
    </row>
    <row r="32" ht="15" spans="1:29">
      <c r="A32" s="293" t="s">
        <v>955</v>
      </c>
      <c r="B32" s="294" t="s">
        <v>2360</v>
      </c>
      <c r="C32" s="295" t="s">
        <v>2361</v>
      </c>
      <c r="D32" s="216">
        <v>100</v>
      </c>
      <c r="E32" s="1165" t="s">
        <v>2361</v>
      </c>
      <c r="F32" s="288">
        <f>SUMIF(100:100,E32,101:101)-SUMIF(100:100,C32,101:101)+100</f>
        <v>100</v>
      </c>
      <c r="G32" s="295" t="s">
        <v>2361</v>
      </c>
      <c r="H32" s="216">
        <f>SUMIF(100:100,G32,101:101)-SUMIF(100:100,C32,101:101)+100</f>
        <v>100</v>
      </c>
      <c r="I32" s="1165" t="s">
        <v>2361</v>
      </c>
      <c r="J32" s="258">
        <f>SUMIF(100:100,I32,101:101)-SUMIF(100:100,C32,101:101)+100</f>
        <v>100</v>
      </c>
      <c r="K32" s="1175">
        <v>1</v>
      </c>
      <c r="L32" s="398"/>
      <c r="M32" s="338"/>
      <c r="N32" s="338"/>
      <c r="O32" s="397"/>
      <c r="P32" s="403" t="s">
        <v>954</v>
      </c>
      <c r="Q32" s="390" t="str">
        <f t="shared" si="11"/>
        <v>建筑类型</v>
      </c>
      <c r="R32" s="467" t="s">
        <v>935</v>
      </c>
      <c r="S32" s="468">
        <f t="shared" si="12"/>
        <v>100</v>
      </c>
      <c r="T32" s="467" t="s">
        <v>935</v>
      </c>
      <c r="U32" s="468">
        <f t="shared" si="13"/>
        <v>100</v>
      </c>
      <c r="V32" s="467" t="s">
        <v>935</v>
      </c>
      <c r="W32" s="468">
        <f t="shared" si="14"/>
        <v>100</v>
      </c>
      <c r="X32" s="454"/>
      <c r="Y32" s="406" t="s">
        <v>954</v>
      </c>
      <c r="Z32" s="453" t="str">
        <f t="shared" si="15"/>
        <v>建筑类型</v>
      </c>
      <c r="AA32" s="453">
        <f t="shared" si="3"/>
        <v>1</v>
      </c>
      <c r="AB32" s="453">
        <f t="shared" si="4"/>
        <v>1</v>
      </c>
      <c r="AC32" s="453">
        <f t="shared" si="5"/>
        <v>1</v>
      </c>
    </row>
    <row r="33" s="191" customFormat="1" ht="15" spans="1:29">
      <c r="A33" s="296"/>
      <c r="B33" s="297" t="s">
        <v>2362</v>
      </c>
      <c r="C33" s="253">
        <f>'数据-汇总表'!F19</f>
        <v>74784.84</v>
      </c>
      <c r="D33" s="248">
        <v>100</v>
      </c>
      <c r="E33" s="542">
        <v>66430</v>
      </c>
      <c r="F33" s="297">
        <f>LOOKUP(E33,103:103,104:104)-LOOKUP(C33,103:103,104:104)+100</f>
        <v>100</v>
      </c>
      <c r="G33" s="541">
        <v>160962</v>
      </c>
      <c r="H33" s="248">
        <f>LOOKUP(G33,103:103,104:104)-LOOKUP(C33,103:103,104:104)+100</f>
        <v>101</v>
      </c>
      <c r="I33" s="542">
        <v>243000</v>
      </c>
      <c r="J33" s="248">
        <f>LOOKUP(I33,103:103,104:104)-LOOKUP(C33,103:103,104:104)+100</f>
        <v>102</v>
      </c>
      <c r="K33" s="1176"/>
      <c r="L33" s="396"/>
      <c r="M33" s="404"/>
      <c r="N33" s="404"/>
      <c r="O33" s="405"/>
      <c r="P33" s="406"/>
      <c r="Q33" s="469" t="str">
        <f t="shared" si="11"/>
        <v>项目建筑规模</v>
      </c>
      <c r="R33" s="470" t="s">
        <v>935</v>
      </c>
      <c r="S33" s="471">
        <f t="shared" si="12"/>
        <v>100</v>
      </c>
      <c r="T33" s="470" t="s">
        <v>935</v>
      </c>
      <c r="U33" s="471">
        <f t="shared" si="13"/>
        <v>101</v>
      </c>
      <c r="V33" s="470" t="s">
        <v>935</v>
      </c>
      <c r="W33" s="471">
        <f t="shared" si="14"/>
        <v>102</v>
      </c>
      <c r="X33" s="472"/>
      <c r="Y33" s="406"/>
      <c r="Z33" s="482" t="str">
        <f t="shared" si="15"/>
        <v>项目建筑规模</v>
      </c>
      <c r="AA33" s="453">
        <f t="shared" si="3"/>
        <v>1</v>
      </c>
      <c r="AB33" s="453">
        <f t="shared" si="4"/>
        <v>0.99009900990099</v>
      </c>
      <c r="AC33" s="453">
        <f t="shared" si="5"/>
        <v>0.980392156862745</v>
      </c>
    </row>
    <row r="34" ht="15" spans="1:29">
      <c r="A34" s="301"/>
      <c r="B34" s="297" t="s">
        <v>2363</v>
      </c>
      <c r="C34" s="302" t="s">
        <v>2076</v>
      </c>
      <c r="D34" s="258">
        <v>100</v>
      </c>
      <c r="E34" s="1166" t="s">
        <v>2076</v>
      </c>
      <c r="F34" s="288">
        <f>SUMIF(105:105,E34,106:106)-SUMIF(105:105,C34,106:106)+100</f>
        <v>100</v>
      </c>
      <c r="G34" s="302" t="s">
        <v>2076</v>
      </c>
      <c r="H34" s="258">
        <f>SUMIF(105:105,G34,106:106)-SUMIF(105:105,C34,106:106)+100</f>
        <v>100</v>
      </c>
      <c r="I34" s="1166" t="s">
        <v>2076</v>
      </c>
      <c r="J34" s="258">
        <f>SUMIF(105:105,I34,106:106)-SUMIF(105:105,C34,106:106)+100</f>
        <v>100</v>
      </c>
      <c r="K34" s="1175"/>
      <c r="L34" s="398"/>
      <c r="M34" s="338"/>
      <c r="N34" s="338"/>
      <c r="O34" s="397"/>
      <c r="P34" s="406"/>
      <c r="Q34" s="390" t="str">
        <f t="shared" si="11"/>
        <v>建筑结构</v>
      </c>
      <c r="R34" s="467" t="s">
        <v>935</v>
      </c>
      <c r="S34" s="468">
        <f t="shared" si="12"/>
        <v>100</v>
      </c>
      <c r="T34" s="467" t="s">
        <v>935</v>
      </c>
      <c r="U34" s="468">
        <f t="shared" si="13"/>
        <v>100</v>
      </c>
      <c r="V34" s="467" t="s">
        <v>935</v>
      </c>
      <c r="W34" s="468">
        <f t="shared" si="14"/>
        <v>100</v>
      </c>
      <c r="X34" s="454"/>
      <c r="Y34" s="406"/>
      <c r="Z34" s="453" t="str">
        <f t="shared" si="15"/>
        <v>建筑结构</v>
      </c>
      <c r="AA34" s="453">
        <f t="shared" si="3"/>
        <v>1</v>
      </c>
      <c r="AB34" s="453">
        <f t="shared" si="4"/>
        <v>1</v>
      </c>
      <c r="AC34" s="453">
        <f t="shared" si="5"/>
        <v>1</v>
      </c>
    </row>
    <row r="35" ht="15" spans="1:29">
      <c r="A35" s="301"/>
      <c r="B35" s="297" t="s">
        <v>2364</v>
      </c>
      <c r="C35" s="582"/>
      <c r="D35" s="258">
        <v>100</v>
      </c>
      <c r="E35" s="1162"/>
      <c r="F35" s="288">
        <f>SUMIF(107:107,E35,108:108)-SUMIF(107:107,C35,108:108)+100</f>
        <v>100</v>
      </c>
      <c r="G35" s="582"/>
      <c r="H35" s="258">
        <f>SUMIF(107:107,G35,108:108)-SUMIF(107:107,C35,108:108)+100</f>
        <v>100</v>
      </c>
      <c r="I35" s="1162"/>
      <c r="J35" s="258">
        <f>SUMIF(107:107,I35,108:108)-SUMIF(107:107,C35,108:108)+100</f>
        <v>100</v>
      </c>
      <c r="K35" s="1175"/>
      <c r="L35" s="398"/>
      <c r="M35" s="338"/>
      <c r="N35" s="338"/>
      <c r="O35" s="397"/>
      <c r="P35" s="406"/>
      <c r="Q35" s="390" t="str">
        <f t="shared" si="11"/>
        <v>建筑品质</v>
      </c>
      <c r="R35" s="467" t="s">
        <v>935</v>
      </c>
      <c r="S35" s="468">
        <f t="shared" si="12"/>
        <v>100</v>
      </c>
      <c r="T35" s="467" t="s">
        <v>935</v>
      </c>
      <c r="U35" s="468">
        <f t="shared" si="13"/>
        <v>100</v>
      </c>
      <c r="V35" s="467" t="s">
        <v>935</v>
      </c>
      <c r="W35" s="468">
        <f t="shared" si="14"/>
        <v>100</v>
      </c>
      <c r="X35" s="454"/>
      <c r="Y35" s="406"/>
      <c r="Z35" s="453" t="str">
        <f t="shared" si="15"/>
        <v>建筑品质</v>
      </c>
      <c r="AA35" s="453">
        <f t="shared" si="3"/>
        <v>1</v>
      </c>
      <c r="AB35" s="453">
        <f t="shared" si="4"/>
        <v>1</v>
      </c>
      <c r="AC35" s="453">
        <f t="shared" si="5"/>
        <v>1</v>
      </c>
    </row>
    <row r="36" ht="15" spans="1:29">
      <c r="A36" s="301"/>
      <c r="B36" s="297" t="s">
        <v>2365</v>
      </c>
      <c r="C36" s="582" t="s">
        <v>2366</v>
      </c>
      <c r="D36" s="258">
        <v>100</v>
      </c>
      <c r="E36" s="1162" t="s">
        <v>2366</v>
      </c>
      <c r="F36" s="288">
        <f>SUMIF(109:109,E36,110:110)-SUMIF(109:109,C36,110:110)+100</f>
        <v>100</v>
      </c>
      <c r="G36" s="582" t="s">
        <v>2366</v>
      </c>
      <c r="H36" s="258">
        <f>SUMIF(109:109,G36,110:110)-SUMIF(109:109,C36,110:110)+100</f>
        <v>100</v>
      </c>
      <c r="I36" s="1162" t="s">
        <v>2366</v>
      </c>
      <c r="J36" s="258">
        <f>SUMIF(109:109,I36,110:110)-SUMIF(109:109,C36,110:110)+100</f>
        <v>100</v>
      </c>
      <c r="K36" s="1175"/>
      <c r="L36" s="398"/>
      <c r="M36" s="338"/>
      <c r="N36" s="338"/>
      <c r="O36" s="397"/>
      <c r="P36" s="406"/>
      <c r="Q36" s="390" t="str">
        <f t="shared" si="11"/>
        <v>公共部分装修</v>
      </c>
      <c r="R36" s="467" t="s">
        <v>935</v>
      </c>
      <c r="S36" s="468">
        <f t="shared" si="12"/>
        <v>100</v>
      </c>
      <c r="T36" s="467" t="s">
        <v>935</v>
      </c>
      <c r="U36" s="468">
        <f t="shared" si="13"/>
        <v>100</v>
      </c>
      <c r="V36" s="467" t="s">
        <v>935</v>
      </c>
      <c r="W36" s="468">
        <f t="shared" si="14"/>
        <v>100</v>
      </c>
      <c r="X36" s="454"/>
      <c r="Y36" s="406"/>
      <c r="Z36" s="453" t="str">
        <f t="shared" si="15"/>
        <v>公共部分装修</v>
      </c>
      <c r="AA36" s="453">
        <f t="shared" si="3"/>
        <v>1</v>
      </c>
      <c r="AB36" s="453">
        <f t="shared" si="4"/>
        <v>1</v>
      </c>
      <c r="AC36" s="453">
        <f t="shared" si="5"/>
        <v>1</v>
      </c>
    </row>
    <row r="37" s="189" customFormat="1" ht="15" spans="1:29">
      <c r="A37" s="304"/>
      <c r="B37" s="297" t="s">
        <v>2367</v>
      </c>
      <c r="C37" s="298">
        <v>1</v>
      </c>
      <c r="D37" s="248">
        <v>100</v>
      </c>
      <c r="E37" s="299">
        <v>1</v>
      </c>
      <c r="F37" s="297">
        <f>LOOKUP(E37,112:112,113:113)-LOOKUP(C37,112:112,113:113)+100</f>
        <v>100</v>
      </c>
      <c r="G37" s="300">
        <v>1</v>
      </c>
      <c r="H37" s="248">
        <f>LOOKUP(G37,112:112,113:113)-LOOKUP(C37,112:112,113:113)+100</f>
        <v>100</v>
      </c>
      <c r="I37" s="299">
        <v>1</v>
      </c>
      <c r="J37" s="248">
        <f>LOOKUP(I37,112:112,113:113)-LOOKUP(C37,112:112,113:113)+100</f>
        <v>100</v>
      </c>
      <c r="K37" s="1175"/>
      <c r="L37" s="386"/>
      <c r="M37" s="387"/>
      <c r="N37" s="387"/>
      <c r="O37" s="389"/>
      <c r="P37" s="406"/>
      <c r="Q37" s="466" t="str">
        <f t="shared" si="11"/>
        <v>成新度</v>
      </c>
      <c r="R37" s="462" t="s">
        <v>935</v>
      </c>
      <c r="S37" s="463">
        <f t="shared" si="12"/>
        <v>100</v>
      </c>
      <c r="T37" s="462" t="s">
        <v>935</v>
      </c>
      <c r="U37" s="463">
        <f t="shared" si="13"/>
        <v>100</v>
      </c>
      <c r="V37" s="462" t="s">
        <v>935</v>
      </c>
      <c r="W37" s="463">
        <f t="shared" si="14"/>
        <v>100</v>
      </c>
      <c r="X37" s="464"/>
      <c r="Y37" s="406"/>
      <c r="Z37" s="481" t="str">
        <f t="shared" si="15"/>
        <v>成新度</v>
      </c>
      <c r="AA37" s="481">
        <f t="shared" si="3"/>
        <v>1</v>
      </c>
      <c r="AB37" s="481">
        <f t="shared" si="4"/>
        <v>1</v>
      </c>
      <c r="AC37" s="481">
        <f t="shared" si="5"/>
        <v>1</v>
      </c>
    </row>
    <row r="38" ht="15" spans="1:29">
      <c r="A38" s="301"/>
      <c r="B38" s="297" t="s">
        <v>2368</v>
      </c>
      <c r="C38" s="582" t="s">
        <v>2369</v>
      </c>
      <c r="D38" s="258">
        <v>100</v>
      </c>
      <c r="E38" s="1162" t="s">
        <v>2369</v>
      </c>
      <c r="F38" s="288">
        <f>SUMIF(114:114,E38,115:115)-SUMIF(114:114,C38,115:115)+100</f>
        <v>100</v>
      </c>
      <c r="G38" s="582" t="s">
        <v>2369</v>
      </c>
      <c r="H38" s="258">
        <f>SUMIF(114:114,G38,115:115)-SUMIF(114:114,C38,115:115)+100</f>
        <v>100</v>
      </c>
      <c r="I38" s="1162" t="s">
        <v>2369</v>
      </c>
      <c r="J38" s="258">
        <f>SUMIF(114:114,I38,115:115)-SUMIF(114:114,C38,115:115)+100</f>
        <v>100</v>
      </c>
      <c r="K38" s="1175"/>
      <c r="L38" s="398"/>
      <c r="M38" s="338"/>
      <c r="N38" s="338"/>
      <c r="O38" s="397"/>
      <c r="P38" s="406" t="s">
        <v>954</v>
      </c>
      <c r="Q38" s="390" t="str">
        <f t="shared" si="11"/>
        <v>物业管理</v>
      </c>
      <c r="R38" s="467" t="s">
        <v>935</v>
      </c>
      <c r="S38" s="468">
        <f t="shared" si="12"/>
        <v>100</v>
      </c>
      <c r="T38" s="467" t="s">
        <v>935</v>
      </c>
      <c r="U38" s="468">
        <f t="shared" si="13"/>
        <v>100</v>
      </c>
      <c r="V38" s="467" t="s">
        <v>935</v>
      </c>
      <c r="W38" s="468">
        <f t="shared" si="14"/>
        <v>100</v>
      </c>
      <c r="X38" s="454"/>
      <c r="Y38" s="406" t="s">
        <v>954</v>
      </c>
      <c r="Z38" s="453" t="str">
        <f t="shared" si="15"/>
        <v>物业管理</v>
      </c>
      <c r="AA38" s="453">
        <f t="shared" si="3"/>
        <v>1</v>
      </c>
      <c r="AB38" s="453">
        <f t="shared" si="4"/>
        <v>1</v>
      </c>
      <c r="AC38" s="453">
        <f t="shared" si="5"/>
        <v>1</v>
      </c>
    </row>
    <row r="39" ht="15" spans="1:29">
      <c r="A39" s="301"/>
      <c r="B39" s="550" t="s">
        <v>2370</v>
      </c>
      <c r="C39" s="582" t="s">
        <v>247</v>
      </c>
      <c r="D39" s="258">
        <v>100</v>
      </c>
      <c r="E39" s="1162" t="s">
        <v>247</v>
      </c>
      <c r="F39" s="288">
        <f>SUMIF(116:116,E39,117:117)-SUMIF(116:116,C39,117:117)+100</f>
        <v>100</v>
      </c>
      <c r="G39" s="582" t="s">
        <v>247</v>
      </c>
      <c r="H39" s="258">
        <f>SUMIF(116:116,G39,117:117)-SUMIF(116:116,C39,117:117)+100</f>
        <v>100</v>
      </c>
      <c r="I39" s="1162" t="s">
        <v>247</v>
      </c>
      <c r="J39" s="258">
        <f>SUMIF(116:116,I39,117:117)-SUMIF(116:116,C39,117:117)+100</f>
        <v>100</v>
      </c>
      <c r="K39" s="1175"/>
      <c r="L39" s="398"/>
      <c r="M39" s="338"/>
      <c r="N39" s="338"/>
      <c r="O39" s="397"/>
      <c r="P39" s="406"/>
      <c r="Q39" s="390" t="str">
        <f t="shared" si="11"/>
        <v>市政基础设施</v>
      </c>
      <c r="R39" s="467" t="s">
        <v>935</v>
      </c>
      <c r="S39" s="468">
        <f t="shared" si="12"/>
        <v>100</v>
      </c>
      <c r="T39" s="467" t="s">
        <v>935</v>
      </c>
      <c r="U39" s="468">
        <f t="shared" si="13"/>
        <v>100</v>
      </c>
      <c r="V39" s="467" t="s">
        <v>935</v>
      </c>
      <c r="W39" s="468">
        <f t="shared" si="14"/>
        <v>100</v>
      </c>
      <c r="X39" s="454"/>
      <c r="Y39" s="406"/>
      <c r="Z39" s="453" t="str">
        <f t="shared" si="15"/>
        <v>市政基础设施</v>
      </c>
      <c r="AA39" s="453">
        <f t="shared" si="3"/>
        <v>1</v>
      </c>
      <c r="AB39" s="453">
        <f t="shared" si="4"/>
        <v>1</v>
      </c>
      <c r="AC39" s="453">
        <f t="shared" si="5"/>
        <v>1</v>
      </c>
    </row>
    <row r="40" ht="15" spans="1:29">
      <c r="A40" s="301"/>
      <c r="B40" s="297" t="s">
        <v>2371</v>
      </c>
      <c r="C40" s="582"/>
      <c r="D40" s="258">
        <v>100</v>
      </c>
      <c r="E40" s="1162"/>
      <c r="F40" s="288">
        <f>SUMIF(118:118,E40,119:119)-SUMIF(118:118,C40,119:119)+100</f>
        <v>100</v>
      </c>
      <c r="G40" s="582"/>
      <c r="H40" s="258">
        <f>SUMIF(118:118,G40,119:119)-SUMIF(118:118,C40,119:119)+100</f>
        <v>100</v>
      </c>
      <c r="I40" s="1162"/>
      <c r="J40" s="258">
        <f>SUMIF(118:118,I40,119:119)-SUMIF(118:118,C40,119:119)+100</f>
        <v>100</v>
      </c>
      <c r="K40" s="1175"/>
      <c r="L40" s="398"/>
      <c r="M40" s="338"/>
      <c r="N40" s="338"/>
      <c r="O40" s="397"/>
      <c r="P40" s="406"/>
      <c r="Q40" s="390" t="str">
        <f t="shared" si="11"/>
        <v>房型</v>
      </c>
      <c r="R40" s="467" t="s">
        <v>935</v>
      </c>
      <c r="S40" s="468">
        <f t="shared" si="12"/>
        <v>100</v>
      </c>
      <c r="T40" s="467" t="s">
        <v>935</v>
      </c>
      <c r="U40" s="468">
        <f t="shared" si="13"/>
        <v>100</v>
      </c>
      <c r="V40" s="467" t="s">
        <v>935</v>
      </c>
      <c r="W40" s="468">
        <f t="shared" si="14"/>
        <v>100</v>
      </c>
      <c r="X40" s="454"/>
      <c r="Y40" s="406"/>
      <c r="Z40" s="453" t="str">
        <f t="shared" si="15"/>
        <v>房型</v>
      </c>
      <c r="AA40" s="453">
        <f t="shared" si="3"/>
        <v>1</v>
      </c>
      <c r="AB40" s="453">
        <f t="shared" si="4"/>
        <v>1</v>
      </c>
      <c r="AC40" s="453">
        <f t="shared" si="5"/>
        <v>1</v>
      </c>
    </row>
    <row r="41" s="191" customFormat="1" ht="27.75" spans="1:29">
      <c r="A41" s="296"/>
      <c r="B41" s="297" t="s">
        <v>2372</v>
      </c>
      <c r="C41" s="253"/>
      <c r="D41" s="248">
        <v>100</v>
      </c>
      <c r="E41" s="542"/>
      <c r="F41" s="297">
        <f>SUMIF(120:120,E41,121:121)-SUMIF(120:120,C41,121:121)+100</f>
        <v>100</v>
      </c>
      <c r="G41" s="541"/>
      <c r="H41" s="248">
        <f>SUMIF(120:120,G41,121:121)-SUMIF(120:120,C41,121:121)+100</f>
        <v>100</v>
      </c>
      <c r="I41" s="1180"/>
      <c r="J41" s="258">
        <f>SUMIF(120:120,I41,121:121)-SUMIF(120:120,C41,121:121)+100</f>
        <v>100</v>
      </c>
      <c r="K41" s="1176"/>
      <c r="L41" s="396"/>
      <c r="M41" s="404"/>
      <c r="N41" s="404"/>
      <c r="O41" s="405"/>
      <c r="P41" s="406"/>
      <c r="Q41" s="469" t="str">
        <f t="shared" si="11"/>
        <v>单套/主力户型建筑面积</v>
      </c>
      <c r="R41" s="470" t="s">
        <v>935</v>
      </c>
      <c r="S41" s="471">
        <f t="shared" si="12"/>
        <v>100</v>
      </c>
      <c r="T41" s="470" t="s">
        <v>935</v>
      </c>
      <c r="U41" s="471">
        <f t="shared" si="13"/>
        <v>100</v>
      </c>
      <c r="V41" s="470" t="s">
        <v>935</v>
      </c>
      <c r="W41" s="471">
        <f t="shared" si="14"/>
        <v>100</v>
      </c>
      <c r="X41" s="472"/>
      <c r="Y41" s="406"/>
      <c r="Z41" s="482" t="str">
        <f t="shared" si="15"/>
        <v>单套/主力户型建筑面积</v>
      </c>
      <c r="AA41" s="453">
        <f t="shared" si="3"/>
        <v>1</v>
      </c>
      <c r="AB41" s="453">
        <f t="shared" si="4"/>
        <v>1</v>
      </c>
      <c r="AC41" s="453">
        <f t="shared" si="5"/>
        <v>1</v>
      </c>
    </row>
    <row r="42" ht="15" spans="1:29">
      <c r="A42" s="301"/>
      <c r="B42" s="297" t="s">
        <v>2373</v>
      </c>
      <c r="C42" s="582" t="s">
        <v>2374</v>
      </c>
      <c r="D42" s="258">
        <v>100</v>
      </c>
      <c r="E42" s="1162" t="s">
        <v>2374</v>
      </c>
      <c r="F42" s="288">
        <f>SUMIF(122:122,E42,123:123)-SUMIF(122:122,C42,123:123)+100</f>
        <v>100</v>
      </c>
      <c r="G42" s="582" t="s">
        <v>2366</v>
      </c>
      <c r="H42" s="258">
        <f>SUMIF(122:122,G42,123:123)-SUMIF(122:122,C42,123:123)+100</f>
        <v>103</v>
      </c>
      <c r="I42" s="1162" t="s">
        <v>2366</v>
      </c>
      <c r="J42" s="258">
        <f>SUMIF(122:122,I42,123:123)-SUMIF(122:122,C42,123:123)+100</f>
        <v>103</v>
      </c>
      <c r="K42" s="1175">
        <v>1</v>
      </c>
      <c r="L42" s="398"/>
      <c r="M42" s="338"/>
      <c r="N42" s="338"/>
      <c r="O42" s="397"/>
      <c r="P42" s="406"/>
      <c r="Q42" s="390" t="str">
        <f t="shared" si="11"/>
        <v>内部装修</v>
      </c>
      <c r="R42" s="467" t="s">
        <v>935</v>
      </c>
      <c r="S42" s="468">
        <f t="shared" si="12"/>
        <v>100</v>
      </c>
      <c r="T42" s="467" t="s">
        <v>935</v>
      </c>
      <c r="U42" s="468">
        <f t="shared" si="13"/>
        <v>103</v>
      </c>
      <c r="V42" s="467" t="s">
        <v>935</v>
      </c>
      <c r="W42" s="468">
        <f t="shared" si="14"/>
        <v>103</v>
      </c>
      <c r="X42" s="454"/>
      <c r="Y42" s="406"/>
      <c r="Z42" s="453" t="str">
        <f t="shared" si="15"/>
        <v>内部装修</v>
      </c>
      <c r="AA42" s="453">
        <f t="shared" si="3"/>
        <v>1</v>
      </c>
      <c r="AB42" s="453">
        <f t="shared" si="4"/>
        <v>0.970873786407767</v>
      </c>
      <c r="AC42" s="453">
        <f t="shared" si="5"/>
        <v>0.970873786407767</v>
      </c>
    </row>
    <row r="43" ht="15" spans="1:29">
      <c r="A43" s="301"/>
      <c r="B43" s="297" t="s">
        <v>235</v>
      </c>
      <c r="C43" s="582"/>
      <c r="D43" s="258">
        <v>100</v>
      </c>
      <c r="E43" s="1162"/>
      <c r="F43" s="288">
        <f>SUMIF(124:124,E43,125:125)-SUMIF(124:124,C43,125:125)+100</f>
        <v>100</v>
      </c>
      <c r="G43" s="582"/>
      <c r="H43" s="258">
        <f>SUMIF(124:124,G43,125:125)-SUMIF(124:124,C43,125:125)+100</f>
        <v>100</v>
      </c>
      <c r="I43" s="1162"/>
      <c r="J43" s="258">
        <f>SUMIF(124:124,I43,125:125)-SUMIF(124:124,C43,125:125)+100</f>
        <v>100</v>
      </c>
      <c r="K43" s="1175"/>
      <c r="L43" s="398"/>
      <c r="M43" s="338"/>
      <c r="N43" s="338"/>
      <c r="O43" s="397"/>
      <c r="P43" s="406"/>
      <c r="Q43" s="390" t="str">
        <f t="shared" si="11"/>
        <v>内部装修维护情况</v>
      </c>
      <c r="R43" s="467" t="s">
        <v>935</v>
      </c>
      <c r="S43" s="468">
        <f t="shared" si="12"/>
        <v>100</v>
      </c>
      <c r="T43" s="467" t="s">
        <v>935</v>
      </c>
      <c r="U43" s="468">
        <f t="shared" si="13"/>
        <v>100</v>
      </c>
      <c r="V43" s="467" t="s">
        <v>935</v>
      </c>
      <c r="W43" s="468">
        <f t="shared" si="14"/>
        <v>100</v>
      </c>
      <c r="X43" s="454"/>
      <c r="Y43" s="406"/>
      <c r="Z43" s="453" t="str">
        <f t="shared" si="15"/>
        <v>内部装修维护情况</v>
      </c>
      <c r="AA43" s="453">
        <f t="shared" si="3"/>
        <v>1</v>
      </c>
      <c r="AB43" s="453">
        <f t="shared" si="4"/>
        <v>1</v>
      </c>
      <c r="AC43" s="453">
        <f t="shared" si="5"/>
        <v>1</v>
      </c>
    </row>
    <row r="44" s="189" customFormat="1" ht="15" spans="1:29">
      <c r="A44" s="304"/>
      <c r="B44" s="548">
        <v>111</v>
      </c>
      <c r="C44" s="253"/>
      <c r="D44" s="248">
        <v>100</v>
      </c>
      <c r="E44" s="253"/>
      <c r="F44" s="297">
        <f>SUMIF(126:126,E44,127:127)-SUMIF(126:126,C44,127:127)+100</f>
        <v>100</v>
      </c>
      <c r="G44" s="253"/>
      <c r="H44" s="248">
        <f>SUMIF(126:126,G44,127:127)-SUMIF(126:126,C44,127:127)+100</f>
        <v>100</v>
      </c>
      <c r="I44" s="253"/>
      <c r="J44" s="248">
        <f>SUMIF(126:126,I44,127:127)-SUMIF(126:126,C44,127:127)+100</f>
        <v>100</v>
      </c>
      <c r="K44" s="1176"/>
      <c r="L44" s="386"/>
      <c r="M44" s="387"/>
      <c r="N44" s="387"/>
      <c r="O44" s="389"/>
      <c r="P44" s="406"/>
      <c r="Q44" s="466">
        <f t="shared" si="11"/>
        <v>111</v>
      </c>
      <c r="R44" s="462" t="s">
        <v>935</v>
      </c>
      <c r="S44" s="463">
        <f t="shared" si="12"/>
        <v>100</v>
      </c>
      <c r="T44" s="462" t="s">
        <v>935</v>
      </c>
      <c r="U44" s="463">
        <f t="shared" si="13"/>
        <v>100</v>
      </c>
      <c r="V44" s="462" t="s">
        <v>935</v>
      </c>
      <c r="W44" s="463">
        <f t="shared" si="14"/>
        <v>100</v>
      </c>
      <c r="X44" s="464"/>
      <c r="Y44" s="406"/>
      <c r="Z44" s="481">
        <f t="shared" si="15"/>
        <v>111</v>
      </c>
      <c r="AA44" s="481">
        <f t="shared" si="3"/>
        <v>1</v>
      </c>
      <c r="AB44" s="481">
        <f t="shared" si="4"/>
        <v>1</v>
      </c>
      <c r="AC44" s="481">
        <f t="shared" si="5"/>
        <v>1</v>
      </c>
    </row>
    <row r="45" ht="15" spans="1:29">
      <c r="A45" s="301"/>
      <c r="B45" s="548">
        <v>111</v>
      </c>
      <c r="C45" s="257"/>
      <c r="D45" s="258">
        <v>100</v>
      </c>
      <c r="E45" s="257"/>
      <c r="F45" s="288">
        <f>SUMIF(128:128,E45,129:129)-SUMIF(128:128,C45,129:129)+100</f>
        <v>100</v>
      </c>
      <c r="G45" s="257"/>
      <c r="H45" s="258">
        <f>SUMIF(128:128,G45,129:129)-SUMIF(128:128,C45,129:129)+100</f>
        <v>100</v>
      </c>
      <c r="I45" s="257"/>
      <c r="J45" s="258">
        <f>SUMIF(128:128,I45,129:129)-SUMIF(128:128,C45,129:129)+100</f>
        <v>100</v>
      </c>
      <c r="K45" s="1176"/>
      <c r="L45" s="398"/>
      <c r="M45" s="338"/>
      <c r="N45" s="338"/>
      <c r="O45" s="397"/>
      <c r="P45" s="406"/>
      <c r="Q45" s="390">
        <f t="shared" si="11"/>
        <v>111</v>
      </c>
      <c r="R45" s="467" t="s">
        <v>935</v>
      </c>
      <c r="S45" s="468">
        <f t="shared" si="12"/>
        <v>100</v>
      </c>
      <c r="T45" s="467" t="s">
        <v>935</v>
      </c>
      <c r="U45" s="468">
        <f t="shared" si="13"/>
        <v>100</v>
      </c>
      <c r="V45" s="467" t="s">
        <v>935</v>
      </c>
      <c r="W45" s="468">
        <f t="shared" si="14"/>
        <v>100</v>
      </c>
      <c r="X45" s="454"/>
      <c r="Y45" s="406"/>
      <c r="Z45" s="453">
        <f t="shared" si="15"/>
        <v>111</v>
      </c>
      <c r="AA45" s="453">
        <f t="shared" si="3"/>
        <v>1</v>
      </c>
      <c r="AB45" s="453">
        <f t="shared" si="4"/>
        <v>1</v>
      </c>
      <c r="AC45" s="453">
        <f t="shared" si="5"/>
        <v>1</v>
      </c>
    </row>
    <row r="46" ht="15.75" spans="1:29">
      <c r="A46" s="305"/>
      <c r="B46" s="306">
        <v>111</v>
      </c>
      <c r="C46" s="307"/>
      <c r="D46" s="308">
        <v>100</v>
      </c>
      <c r="E46" s="307"/>
      <c r="F46" s="310">
        <f>SUMIF(130:130,E46,131:131)-SUMIF(130:130,C46,131:131)+100</f>
        <v>100</v>
      </c>
      <c r="G46" s="307"/>
      <c r="H46" s="308">
        <f>SUMIF(130:130,G46,131:131)-SUMIF(130:130,C46,131:131)+100</f>
        <v>100</v>
      </c>
      <c r="I46" s="307"/>
      <c r="J46" s="308">
        <f>SUMIF(130:130,I46,131:131)-SUMIF(130:130,C46,131:131)+100</f>
        <v>100</v>
      </c>
      <c r="K46" s="1176"/>
      <c r="L46" s="398"/>
      <c r="M46" s="338"/>
      <c r="N46" s="338"/>
      <c r="O46" s="397"/>
      <c r="P46" s="553"/>
      <c r="Q46" s="390">
        <f t="shared" si="11"/>
        <v>111</v>
      </c>
      <c r="R46" s="467" t="s">
        <v>935</v>
      </c>
      <c r="S46" s="468">
        <f t="shared" si="12"/>
        <v>100</v>
      </c>
      <c r="T46" s="467" t="s">
        <v>935</v>
      </c>
      <c r="U46" s="468">
        <f t="shared" si="13"/>
        <v>100</v>
      </c>
      <c r="V46" s="467" t="s">
        <v>935</v>
      </c>
      <c r="W46" s="468">
        <f t="shared" si="14"/>
        <v>100</v>
      </c>
      <c r="X46" s="454"/>
      <c r="Y46" s="553"/>
      <c r="Z46" s="453">
        <f t="shared" si="15"/>
        <v>111</v>
      </c>
      <c r="AA46" s="453">
        <f t="shared" si="3"/>
        <v>1</v>
      </c>
      <c r="AB46" s="453">
        <f t="shared" si="4"/>
        <v>1</v>
      </c>
      <c r="AC46" s="453">
        <f t="shared" si="5"/>
        <v>1</v>
      </c>
    </row>
    <row r="47" ht="15" spans="1:29">
      <c r="A47" s="311" t="s">
        <v>2375</v>
      </c>
      <c r="B47" s="312"/>
      <c r="C47" s="313" t="s">
        <v>138</v>
      </c>
      <c r="D47" s="314"/>
      <c r="E47" s="315">
        <v>19500</v>
      </c>
      <c r="F47" s="316"/>
      <c r="G47" s="317">
        <v>24000</v>
      </c>
      <c r="H47" s="318"/>
      <c r="I47" s="315">
        <v>24000</v>
      </c>
      <c r="J47" s="318"/>
      <c r="K47" s="1181"/>
      <c r="L47" s="408"/>
      <c r="M47" s="338"/>
      <c r="N47" s="338"/>
      <c r="O47" s="338"/>
      <c r="P47" s="390" t="str">
        <f>A47</f>
        <v>成交单价（元/平方米）</v>
      </c>
      <c r="Q47" s="390"/>
      <c r="R47" s="453">
        <f>E47</f>
        <v>19500</v>
      </c>
      <c r="S47" s="453"/>
      <c r="T47" s="453">
        <f>G47</f>
        <v>24000</v>
      </c>
      <c r="U47" s="453"/>
      <c r="V47" s="453">
        <f>I47</f>
        <v>24000</v>
      </c>
      <c r="W47" s="453"/>
      <c r="X47" s="267"/>
      <c r="Y47" s="483"/>
      <c r="Z47" s="267"/>
      <c r="AA47" s="267"/>
      <c r="AB47" s="267"/>
      <c r="AC47" s="267"/>
    </row>
    <row r="48" ht="15.75" spans="1:29">
      <c r="A48" s="319" t="s">
        <v>963</v>
      </c>
      <c r="B48" s="320"/>
      <c r="C48" s="321">
        <f>R49</f>
        <v>19983</v>
      </c>
      <c r="D48" s="322" t="s">
        <v>964</v>
      </c>
      <c r="E48" s="323">
        <f>R48</f>
        <v>17871</v>
      </c>
      <c r="F48" s="324"/>
      <c r="G48" s="321">
        <f>T48</f>
        <v>21143</v>
      </c>
      <c r="H48" s="324"/>
      <c r="I48" s="323">
        <f>V48</f>
        <v>20936</v>
      </c>
      <c r="J48" s="324"/>
      <c r="K48" s="409">
        <f>F48+H48+J48</f>
        <v>0</v>
      </c>
      <c r="L48" s="408"/>
      <c r="M48" s="338"/>
      <c r="N48" s="338"/>
      <c r="O48" s="338"/>
      <c r="P48" s="390" t="str">
        <f>A48</f>
        <v>比较价格（元/平方米）</v>
      </c>
      <c r="Q48" s="390"/>
      <c r="R48" s="453">
        <f>IF(F1="售价",ROUND(PRODUCT(R47,AA7:AA46),0),ROUND(PRODUCT(R47,AA7:AA46),1))</f>
        <v>17871</v>
      </c>
      <c r="S48" s="453"/>
      <c r="T48" s="453">
        <f>IF(F1="售价",ROUND(PRODUCT(T47,AB7:AB46),0),ROUND(PRODUCT(T47,AB7:AB46),1))</f>
        <v>21143</v>
      </c>
      <c r="U48" s="453"/>
      <c r="V48" s="453">
        <f>IF(F1="售价",ROUND(PRODUCT(V47,AC7:AC46),0),ROUND(PRODUCT(V47,AC7:AC46),1))</f>
        <v>20936</v>
      </c>
      <c r="W48" s="453"/>
      <c r="X48" s="267"/>
      <c r="Y48" s="267"/>
      <c r="Z48" s="267"/>
      <c r="AA48" s="267"/>
      <c r="AB48" s="267"/>
      <c r="AC48" s="267"/>
    </row>
    <row r="49" ht="15.75" spans="1:29">
      <c r="A49" s="325" t="s">
        <v>965</v>
      </c>
      <c r="B49" s="326"/>
      <c r="C49" s="226">
        <f>R49</f>
        <v>19983</v>
      </c>
      <c r="D49" s="226"/>
      <c r="E49" s="226"/>
      <c r="F49" s="226"/>
      <c r="G49" s="226"/>
      <c r="H49" s="226"/>
      <c r="I49" s="226"/>
      <c r="J49" s="226"/>
      <c r="K49" s="1182"/>
      <c r="L49" s="408"/>
      <c r="M49" s="338"/>
      <c r="N49" s="338"/>
      <c r="O49" s="338"/>
      <c r="P49" s="288" t="str">
        <f>A49</f>
        <v>估价对象XX用房的比较价格（楼面单价，元/平方米）</v>
      </c>
      <c r="Q49" s="473"/>
      <c r="R49" s="474">
        <f>IF(F1="售价",ROUND(IF(D48="简单平均",AVERAGE(R48:V48),R48*F48+T48*H48+V48*J48),0),ROUND(IF(D48="简单平均",AVERAGE(R48:V48),R48*F48+T48*H48+V48*J48),1))</f>
        <v>19983</v>
      </c>
      <c r="S49" s="474"/>
      <c r="T49" s="474"/>
      <c r="U49" s="474"/>
      <c r="V49" s="474"/>
      <c r="W49" s="474"/>
      <c r="X49" s="267"/>
      <c r="Y49" s="267"/>
      <c r="Z49" s="267"/>
      <c r="AA49" s="267"/>
      <c r="AB49" s="267"/>
      <c r="AC49" s="267"/>
    </row>
    <row r="50" spans="1:29">
      <c r="A50" s="327"/>
      <c r="B50" s="327"/>
      <c r="C50" s="327"/>
      <c r="D50" s="327"/>
      <c r="E50" s="327"/>
      <c r="F50" s="327"/>
      <c r="G50" s="328"/>
      <c r="H50" s="327"/>
      <c r="I50" s="327"/>
      <c r="J50" s="327"/>
      <c r="K50" s="411"/>
      <c r="L50" s="412"/>
      <c r="M50" s="338"/>
      <c r="N50" s="338"/>
      <c r="O50" s="338"/>
      <c r="P50" s="338"/>
      <c r="Q50" s="338"/>
      <c r="R50" s="338"/>
      <c r="S50" s="338"/>
      <c r="T50" s="338"/>
      <c r="U50" s="338"/>
      <c r="V50" s="338"/>
      <c r="W50" s="338"/>
      <c r="X50" s="338"/>
      <c r="Y50" s="338"/>
      <c r="Z50" s="338"/>
      <c r="AA50" s="338"/>
      <c r="AB50" s="338"/>
      <c r="AC50" s="338"/>
    </row>
    <row r="51" spans="1:29">
      <c r="A51" s="327"/>
      <c r="B51" s="327"/>
      <c r="C51" s="327"/>
      <c r="D51" s="327"/>
      <c r="E51" s="327"/>
      <c r="F51" s="327"/>
      <c r="G51" s="327"/>
      <c r="H51" s="327"/>
      <c r="I51" s="327"/>
      <c r="J51" s="327"/>
      <c r="K51" s="411"/>
      <c r="L51" s="412"/>
      <c r="M51" s="338"/>
      <c r="N51" s="338"/>
      <c r="O51" s="338"/>
      <c r="P51" s="338"/>
      <c r="Q51" s="338"/>
      <c r="R51" s="338"/>
      <c r="S51" s="338"/>
      <c r="T51" s="338"/>
      <c r="U51" s="338"/>
      <c r="V51" s="338"/>
      <c r="W51" s="338"/>
      <c r="X51" s="338"/>
      <c r="Y51" s="338"/>
      <c r="Z51" s="338"/>
      <c r="AA51" s="338"/>
      <c r="AB51" s="338"/>
      <c r="AC51" s="338"/>
    </row>
    <row r="52" ht="13.5" customHeight="1" spans="1:29">
      <c r="A52" s="327"/>
      <c r="B52" s="327"/>
      <c r="C52" s="329" t="s">
        <v>966</v>
      </c>
      <c r="D52" s="330"/>
      <c r="E52" s="331">
        <f>IF(E47&lt;E48,E48/E47-1,E47/E48-1)</f>
        <v>0.0911532650663085</v>
      </c>
      <c r="F52" s="332" t="str">
        <f>IF(OR(E52&gt;=0.3,E52&lt;=-0.3),"超过30%","")</f>
        <v/>
      </c>
      <c r="G52" s="331">
        <f>IF(G47&lt;G48,G48/G47-1,G47/G48-1)</f>
        <v>0.135127465354964</v>
      </c>
      <c r="H52" s="332" t="str">
        <f>IF(OR(G52&gt;=0.3,G52&lt;=-0.3),"超过30%","")</f>
        <v/>
      </c>
      <c r="I52" s="331">
        <f>IF(I47&lt;I48,I48/I47-1,I47/I48-1)</f>
        <v>0.146350783339702</v>
      </c>
      <c r="J52" s="332" t="str">
        <f>IF(OR(I52&gt;=0.3,I52&lt;=-0.3),"超过30%","")</f>
        <v/>
      </c>
      <c r="K52" s="411"/>
      <c r="L52" s="412"/>
      <c r="M52" s="338"/>
      <c r="N52" s="338"/>
      <c r="O52" s="338"/>
      <c r="P52" s="338"/>
      <c r="Q52" s="338"/>
      <c r="R52" s="338"/>
      <c r="S52" s="338"/>
      <c r="T52" s="338"/>
      <c r="U52" s="338"/>
      <c r="V52" s="338"/>
      <c r="W52" s="338"/>
      <c r="X52" s="338"/>
      <c r="Y52" s="338"/>
      <c r="Z52" s="338"/>
      <c r="AA52" s="338"/>
      <c r="AB52" s="338"/>
      <c r="AC52" s="338"/>
    </row>
    <row r="53" ht="13.5" customHeight="1" spans="1:29">
      <c r="A53" s="327"/>
      <c r="B53" s="327"/>
      <c r="C53" s="329" t="s">
        <v>967</v>
      </c>
      <c r="D53" s="333"/>
      <c r="E53" s="331">
        <f>IF(E48&lt;G48,G48/E48-1,E48/G48-1)</f>
        <v>0.183089922220357</v>
      </c>
      <c r="F53" s="332" t="str">
        <f>IF(OR(E53&gt;=0.2,E53&lt;=-0.2),"超过20%","")</f>
        <v/>
      </c>
      <c r="G53" s="331">
        <f>IF(G48&lt;I48,I48/G48-1,G48/I48-1)</f>
        <v>0.00988727550630486</v>
      </c>
      <c r="H53" s="332" t="str">
        <f>IF(OR(G53&gt;=0.2,G53&lt;=-0.2),"超过20%","")</f>
        <v/>
      </c>
      <c r="I53" s="331">
        <f>IF(I48&lt;E48,E48/I48-1,I48/E48-1)</f>
        <v>0.171506910637345</v>
      </c>
      <c r="J53" s="332" t="str">
        <f>IF(OR(I53&gt;=0.2,I53&lt;=-0.2),"超过20%","")</f>
        <v/>
      </c>
      <c r="K53" s="411"/>
      <c r="L53" s="412"/>
      <c r="M53" s="338"/>
      <c r="N53" s="338"/>
      <c r="O53" s="338"/>
      <c r="P53" s="338"/>
      <c r="Q53" s="338"/>
      <c r="R53" s="338"/>
      <c r="S53" s="338"/>
      <c r="T53" s="338"/>
      <c r="U53" s="338"/>
      <c r="V53" s="338"/>
      <c r="W53" s="338"/>
      <c r="X53" s="338"/>
      <c r="Y53" s="338"/>
      <c r="Z53" s="338"/>
      <c r="AA53" s="338"/>
      <c r="AB53" s="338"/>
      <c r="AC53" s="338"/>
    </row>
    <row r="54" s="192" customFormat="1" ht="13.5" customHeight="1" spans="1:29">
      <c r="A54" s="334"/>
      <c r="B54" s="334"/>
      <c r="C54" s="329" t="s">
        <v>968</v>
      </c>
      <c r="D54" s="333"/>
      <c r="E54" s="331">
        <f>IF(E47&lt;G47,G47/E47-1,E47/G47-1)</f>
        <v>0.230769230769231</v>
      </c>
      <c r="F54" s="332" t="str">
        <f>IF(OR(E54&gt;=0.3,E54&lt;=-0.3),"超过30%","")</f>
        <v/>
      </c>
      <c r="G54" s="331">
        <f>IF(G47&lt;I47,I47/G47-1,G47/I47-1)</f>
        <v>0</v>
      </c>
      <c r="H54" s="332" t="str">
        <f>IF(OR(G54&gt;=0.3,G54&lt;=-0.3),"超过30%","")</f>
        <v/>
      </c>
      <c r="I54" s="331">
        <f>IF(I47&lt;E47,E47/I47-1,I47/E47-1)</f>
        <v>0.230769230769231</v>
      </c>
      <c r="J54" s="332" t="str">
        <f>IF(OR(I54&gt;=0.3,I54&lt;=-0.3),"超过30%","")</f>
        <v/>
      </c>
      <c r="K54" s="413"/>
      <c r="L54" s="414"/>
      <c r="M54" s="335"/>
      <c r="N54" s="335"/>
      <c r="O54" s="335"/>
      <c r="P54" s="335"/>
      <c r="Q54" s="335"/>
      <c r="R54" s="335"/>
      <c r="S54" s="335"/>
      <c r="T54" s="335"/>
      <c r="U54" s="335"/>
      <c r="V54" s="335"/>
      <c r="W54" s="335"/>
      <c r="X54" s="335"/>
      <c r="Y54" s="335"/>
      <c r="Z54" s="335"/>
      <c r="AA54" s="335"/>
      <c r="AB54" s="335"/>
      <c r="AC54" s="335"/>
    </row>
    <row r="55" s="192" customFormat="1" spans="1:29">
      <c r="A55" s="335"/>
      <c r="B55" s="336"/>
      <c r="C55" s="337"/>
      <c r="D55" s="335"/>
      <c r="E55" s="335"/>
      <c r="F55" s="335"/>
      <c r="G55" s="335"/>
      <c r="H55" s="335"/>
      <c r="I55" s="335"/>
      <c r="J55" s="335"/>
      <c r="K55" s="415"/>
      <c r="L55" s="414"/>
      <c r="M55" s="335"/>
      <c r="N55" s="335"/>
      <c r="O55" s="335"/>
      <c r="P55" s="335"/>
      <c r="Q55" s="335"/>
      <c r="R55" s="335"/>
      <c r="S55" s="335"/>
      <c r="T55" s="335"/>
      <c r="U55" s="335"/>
      <c r="V55" s="335"/>
      <c r="W55" s="335"/>
      <c r="X55" s="335"/>
      <c r="Y55" s="335"/>
      <c r="Z55" s="335"/>
      <c r="AA55" s="335"/>
      <c r="AB55" s="335"/>
      <c r="AC55" s="335"/>
    </row>
    <row r="56" spans="1:29">
      <c r="A56" s="338"/>
      <c r="B56" s="336"/>
      <c r="C56" s="337"/>
      <c r="D56" s="336"/>
      <c r="E56" s="336"/>
      <c r="F56" s="336"/>
      <c r="G56" s="336"/>
      <c r="H56" s="336"/>
      <c r="I56" s="336"/>
      <c r="J56" s="336"/>
      <c r="K56" s="336"/>
      <c r="L56" s="336"/>
      <c r="M56" s="336"/>
      <c r="N56" s="336"/>
      <c r="O56" s="336"/>
      <c r="P56" s="338"/>
      <c r="Q56" s="338"/>
      <c r="R56" s="338"/>
      <c r="S56" s="338"/>
      <c r="T56" s="338"/>
      <c r="U56" s="338"/>
      <c r="V56" s="338"/>
      <c r="W56" s="338"/>
      <c r="X56" s="338"/>
      <c r="Y56" s="338"/>
      <c r="Z56" s="338"/>
      <c r="AA56" s="338"/>
      <c r="AB56" s="338"/>
      <c r="AC56" s="338"/>
    </row>
    <row r="57" ht="21" spans="1:29">
      <c r="A57" s="339" t="s">
        <v>990</v>
      </c>
      <c r="B57" s="267"/>
      <c r="C57" s="340"/>
      <c r="D57" s="340"/>
      <c r="E57" s="340"/>
      <c r="F57" s="341"/>
      <c r="G57" s="341"/>
      <c r="H57" s="340"/>
      <c r="I57" s="340"/>
      <c r="J57" s="340"/>
      <c r="K57" s="417"/>
      <c r="L57" s="418"/>
      <c r="M57" s="340"/>
      <c r="N57" s="419"/>
      <c r="O57" s="419"/>
      <c r="P57" s="419"/>
      <c r="Q57" s="422"/>
      <c r="R57" s="338"/>
      <c r="S57" s="338"/>
      <c r="T57" s="338"/>
      <c r="U57" s="338"/>
      <c r="V57" s="338"/>
      <c r="W57" s="338"/>
      <c r="X57" s="338"/>
      <c r="Y57" s="338"/>
      <c r="Z57" s="338"/>
      <c r="AA57" s="338"/>
      <c r="AB57" s="338"/>
      <c r="AC57" s="338"/>
    </row>
    <row r="58" s="193" customFormat="1" ht="15" spans="1:29">
      <c r="A58" s="342" t="s">
        <v>933</v>
      </c>
      <c r="B58" s="343"/>
      <c r="C58" s="345" t="str">
        <f>YEAR(C7)&amp;"-"&amp;MONTH(C7)</f>
        <v>2023-11</v>
      </c>
      <c r="D58" s="345">
        <f>EDATE(C58,-1)</f>
        <v>45200</v>
      </c>
      <c r="E58" s="345">
        <f t="shared" ref="E58:O58" si="16">EDATE(D58,-1)</f>
        <v>45170</v>
      </c>
      <c r="F58" s="345">
        <f t="shared" si="16"/>
        <v>45139</v>
      </c>
      <c r="G58" s="345">
        <f t="shared" si="16"/>
        <v>45108</v>
      </c>
      <c r="H58" s="345">
        <f t="shared" si="16"/>
        <v>45078</v>
      </c>
      <c r="I58" s="345">
        <f t="shared" si="16"/>
        <v>45047</v>
      </c>
      <c r="J58" s="345">
        <f t="shared" si="16"/>
        <v>45017</v>
      </c>
      <c r="K58" s="345">
        <f t="shared" si="16"/>
        <v>44986</v>
      </c>
      <c r="L58" s="345">
        <f t="shared" si="16"/>
        <v>44958</v>
      </c>
      <c r="M58" s="345">
        <f t="shared" si="16"/>
        <v>44927</v>
      </c>
      <c r="N58" s="345">
        <f t="shared" si="16"/>
        <v>44896</v>
      </c>
      <c r="O58" s="345">
        <f t="shared" si="16"/>
        <v>44866</v>
      </c>
      <c r="P58" s="420"/>
      <c r="Q58" s="420"/>
      <c r="R58" s="420"/>
      <c r="S58" s="420"/>
      <c r="T58" s="420"/>
      <c r="U58" s="420"/>
      <c r="V58" s="420"/>
      <c r="W58" s="420"/>
      <c r="X58" s="420"/>
      <c r="Y58" s="420"/>
      <c r="Z58" s="420"/>
      <c r="AA58" s="420"/>
      <c r="AB58" s="420"/>
      <c r="AC58" s="420"/>
    </row>
    <row r="59" s="189" customFormat="1" ht="15" spans="1:29">
      <c r="A59" s="346"/>
      <c r="B59" s="347"/>
      <c r="C59" s="348">
        <v>100</v>
      </c>
      <c r="D59" s="349"/>
      <c r="E59" s="349"/>
      <c r="F59" s="349"/>
      <c r="G59" s="349"/>
      <c r="H59" s="349"/>
      <c r="I59" s="349"/>
      <c r="J59" s="349"/>
      <c r="K59" s="349"/>
      <c r="L59" s="349"/>
      <c r="M59" s="349"/>
      <c r="N59" s="349"/>
      <c r="O59" s="349"/>
      <c r="P59" s="422"/>
      <c r="Q59" s="387"/>
      <c r="R59" s="387"/>
      <c r="S59" s="387"/>
      <c r="T59" s="387"/>
      <c r="U59" s="387"/>
      <c r="V59" s="387"/>
      <c r="W59" s="387"/>
      <c r="X59" s="387"/>
      <c r="Y59" s="387"/>
      <c r="Z59" s="387"/>
      <c r="AA59" s="387"/>
      <c r="AB59" s="387"/>
      <c r="AC59" s="387"/>
    </row>
    <row r="60" s="189" customFormat="1" ht="15.75" spans="1:29">
      <c r="A60" s="350" t="s">
        <v>1105</v>
      </c>
      <c r="B60" s="351"/>
      <c r="C60" s="352"/>
      <c r="D60" s="353"/>
      <c r="E60" s="353"/>
      <c r="F60" s="353"/>
      <c r="G60" s="353"/>
      <c r="H60" s="353"/>
      <c r="I60" s="353"/>
      <c r="J60" s="353"/>
      <c r="K60" s="353"/>
      <c r="L60" s="353"/>
      <c r="M60" s="423"/>
      <c r="N60" s="353"/>
      <c r="O60" s="424"/>
      <c r="P60" s="422"/>
      <c r="Q60" s="422"/>
      <c r="R60" s="387"/>
      <c r="S60" s="387"/>
      <c r="T60" s="387"/>
      <c r="U60" s="387"/>
      <c r="V60" s="387"/>
      <c r="W60" s="387"/>
      <c r="X60" s="387"/>
      <c r="Y60" s="387"/>
      <c r="Z60" s="387"/>
      <c r="AA60" s="387"/>
      <c r="AB60" s="387"/>
      <c r="AC60" s="387"/>
    </row>
    <row r="61" s="189" customFormat="1" ht="15" spans="1:29">
      <c r="A61" s="354" t="s">
        <v>936</v>
      </c>
      <c r="B61" s="347"/>
      <c r="C61" s="355" t="s">
        <v>937</v>
      </c>
      <c r="D61" s="356"/>
      <c r="E61" s="356"/>
      <c r="F61" s="356"/>
      <c r="G61" s="356"/>
      <c r="H61" s="356"/>
      <c r="I61" s="356"/>
      <c r="J61" s="356"/>
      <c r="K61" s="356"/>
      <c r="L61" s="425"/>
      <c r="M61" s="426"/>
      <c r="N61" s="427"/>
      <c r="O61" s="427"/>
      <c r="P61" s="428"/>
      <c r="Q61" s="422"/>
      <c r="R61" s="387"/>
      <c r="S61" s="387"/>
      <c r="T61" s="387"/>
      <c r="U61" s="387"/>
      <c r="V61" s="387"/>
      <c r="W61" s="387"/>
      <c r="X61" s="387"/>
      <c r="Y61" s="387"/>
      <c r="Z61" s="387"/>
      <c r="AA61" s="387"/>
      <c r="AB61" s="387"/>
      <c r="AC61" s="387"/>
    </row>
    <row r="62" s="189" customFormat="1" ht="15.75" spans="1:29">
      <c r="A62" s="354"/>
      <c r="B62" s="347"/>
      <c r="C62" s="583">
        <v>100</v>
      </c>
      <c r="D62" s="349"/>
      <c r="E62" s="349"/>
      <c r="F62" s="349"/>
      <c r="G62" s="349"/>
      <c r="H62" s="349"/>
      <c r="I62" s="349"/>
      <c r="J62" s="349"/>
      <c r="K62" s="349"/>
      <c r="L62" s="349"/>
      <c r="M62" s="421"/>
      <c r="N62" s="427"/>
      <c r="O62" s="427"/>
      <c r="P62" s="422"/>
      <c r="Q62" s="422"/>
      <c r="R62" s="387"/>
      <c r="S62" s="387"/>
      <c r="T62" s="387"/>
      <c r="U62" s="387"/>
      <c r="V62" s="387"/>
      <c r="W62" s="387"/>
      <c r="X62" s="387"/>
      <c r="Y62" s="387"/>
      <c r="Z62" s="387"/>
      <c r="AA62" s="387"/>
      <c r="AB62" s="387"/>
      <c r="AC62" s="387"/>
    </row>
    <row r="63" spans="1:29">
      <c r="A63" s="357" t="s">
        <v>993</v>
      </c>
      <c r="B63" s="358" t="s">
        <v>994</v>
      </c>
      <c r="C63" s="359" t="str">
        <f>C9</f>
        <v>住宅</v>
      </c>
      <c r="D63" s="360"/>
      <c r="E63" s="360"/>
      <c r="F63" s="360"/>
      <c r="G63" s="360"/>
      <c r="H63" s="360"/>
      <c r="I63" s="360"/>
      <c r="J63" s="360"/>
      <c r="K63" s="429"/>
      <c r="L63" s="430"/>
      <c r="M63" s="431"/>
      <c r="N63" s="432"/>
      <c r="O63" s="432"/>
      <c r="P63" s="427"/>
      <c r="Q63" s="422"/>
      <c r="R63" s="338"/>
      <c r="S63" s="338"/>
      <c r="T63" s="338"/>
      <c r="U63" s="338"/>
      <c r="V63" s="338"/>
      <c r="W63" s="338"/>
      <c r="X63" s="338"/>
      <c r="Y63" s="338"/>
      <c r="Z63" s="338"/>
      <c r="AA63" s="338"/>
      <c r="AB63" s="338"/>
      <c r="AC63" s="338"/>
    </row>
    <row r="64" ht="15.75" spans="1:29">
      <c r="A64" s="266"/>
      <c r="B64" s="361"/>
      <c r="C64" s="362">
        <v>100</v>
      </c>
      <c r="D64" s="362"/>
      <c r="E64" s="1167"/>
      <c r="F64" s="1167"/>
      <c r="G64" s="1167"/>
      <c r="H64" s="1167"/>
      <c r="I64" s="1167"/>
      <c r="J64" s="1167"/>
      <c r="K64" s="1167"/>
      <c r="L64" s="1167"/>
      <c r="M64" s="1183"/>
      <c r="N64" s="434"/>
      <c r="O64" s="434"/>
      <c r="P64" s="427"/>
      <c r="Q64" s="422"/>
      <c r="R64" s="338"/>
      <c r="S64" s="338"/>
      <c r="T64" s="338"/>
      <c r="U64" s="338"/>
      <c r="V64" s="338"/>
      <c r="W64" s="338"/>
      <c r="X64" s="338"/>
      <c r="Y64" s="338"/>
      <c r="Z64" s="338"/>
      <c r="AA64" s="338"/>
      <c r="AB64" s="338"/>
      <c r="AC64" s="338"/>
    </row>
    <row r="65" ht="27.75" spans="1:29">
      <c r="A65" s="266"/>
      <c r="B65" s="363" t="s">
        <v>995</v>
      </c>
      <c r="C65" s="364" t="s">
        <v>2376</v>
      </c>
      <c r="D65" s="364" t="s">
        <v>2377</v>
      </c>
      <c r="E65" s="364" t="s">
        <v>2378</v>
      </c>
      <c r="F65" s="364" t="s">
        <v>2379</v>
      </c>
      <c r="G65" s="364" t="s">
        <v>2380</v>
      </c>
      <c r="H65" s="364" t="s">
        <v>2381</v>
      </c>
      <c r="I65" s="364" t="s">
        <v>2382</v>
      </c>
      <c r="J65" s="364"/>
      <c r="K65" s="435"/>
      <c r="L65" s="436"/>
      <c r="M65" s="437"/>
      <c r="N65" s="432"/>
      <c r="O65" s="432"/>
      <c r="P65" s="427"/>
      <c r="Q65" s="422"/>
      <c r="R65" s="338"/>
      <c r="S65" s="338"/>
      <c r="T65" s="338"/>
      <c r="U65" s="338"/>
      <c r="V65" s="338"/>
      <c r="W65" s="338"/>
      <c r="X65" s="338"/>
      <c r="Y65" s="338"/>
      <c r="Z65" s="338"/>
      <c r="AA65" s="338"/>
      <c r="AB65" s="338"/>
      <c r="AC65" s="338"/>
    </row>
    <row r="66" ht="15.75" spans="1:29">
      <c r="A66" s="266"/>
      <c r="B66" s="365"/>
      <c r="C66" s="366">
        <v>100</v>
      </c>
      <c r="D66" s="366">
        <f t="shared" ref="D66:I66" si="17">C66-$K10</f>
        <v>100</v>
      </c>
      <c r="E66" s="366">
        <f t="shared" si="17"/>
        <v>100</v>
      </c>
      <c r="F66" s="366">
        <f t="shared" si="17"/>
        <v>100</v>
      </c>
      <c r="G66" s="366">
        <f t="shared" si="17"/>
        <v>100</v>
      </c>
      <c r="H66" s="366">
        <f t="shared" si="17"/>
        <v>100</v>
      </c>
      <c r="I66" s="366">
        <f t="shared" si="17"/>
        <v>100</v>
      </c>
      <c r="J66" s="366"/>
      <c r="K66" s="366"/>
      <c r="L66" s="366"/>
      <c r="M66" s="438"/>
      <c r="N66" s="434"/>
      <c r="O66" s="434"/>
      <c r="P66" s="427"/>
      <c r="Q66" s="422"/>
      <c r="R66" s="338"/>
      <c r="S66" s="338"/>
      <c r="T66" s="338"/>
      <c r="U66" s="338"/>
      <c r="V66" s="338"/>
      <c r="W66" s="338"/>
      <c r="X66" s="338"/>
      <c r="Y66" s="338"/>
      <c r="Z66" s="338"/>
      <c r="AA66" s="338"/>
      <c r="AB66" s="338"/>
      <c r="AC66" s="338"/>
    </row>
    <row r="67" ht="15.75" spans="1:29">
      <c r="A67" s="266"/>
      <c r="B67" s="486" t="s">
        <v>996</v>
      </c>
      <c r="C67" s="551" t="str">
        <f>C68&amp;"（含）"&amp;"-"&amp;D68</f>
        <v>0（含）-1</v>
      </c>
      <c r="D67" s="551" t="str">
        <f t="shared" ref="D67:L67" si="18">D68&amp;"（含）"&amp;"-"&amp;E68</f>
        <v>1（含）-2</v>
      </c>
      <c r="E67" s="551" t="str">
        <f t="shared" si="18"/>
        <v>2（含）-2.5</v>
      </c>
      <c r="F67" s="551" t="str">
        <f t="shared" si="18"/>
        <v>2.5（含）-3</v>
      </c>
      <c r="G67" s="551" t="str">
        <f t="shared" si="18"/>
        <v>3（含）-</v>
      </c>
      <c r="H67" s="551" t="str">
        <f t="shared" si="18"/>
        <v>（含）-</v>
      </c>
      <c r="I67" s="551" t="str">
        <f t="shared" si="18"/>
        <v>（含）-</v>
      </c>
      <c r="J67" s="551" t="str">
        <f t="shared" si="18"/>
        <v>（含）-</v>
      </c>
      <c r="K67" s="551" t="str">
        <f t="shared" si="18"/>
        <v>（含）-</v>
      </c>
      <c r="L67" s="551" t="str">
        <f t="shared" si="18"/>
        <v>（含）-</v>
      </c>
      <c r="M67" s="269" t="str">
        <f>M68&amp;"（含）"&amp;"-"&amp;P68</f>
        <v>（含）-</v>
      </c>
      <c r="N67" s="434"/>
      <c r="O67" s="434"/>
      <c r="P67" s="427"/>
      <c r="Q67" s="422"/>
      <c r="R67" s="338"/>
      <c r="S67" s="338"/>
      <c r="T67" s="338"/>
      <c r="U67" s="338"/>
      <c r="V67" s="338"/>
      <c r="W67" s="338"/>
      <c r="X67" s="338"/>
      <c r="Y67" s="338"/>
      <c r="Z67" s="338"/>
      <c r="AA67" s="338"/>
      <c r="AB67" s="338"/>
      <c r="AC67" s="338"/>
    </row>
    <row r="68" ht="15" spans="1:29">
      <c r="A68" s="266"/>
      <c r="B68" s="552"/>
      <c r="C68" s="368">
        <v>0</v>
      </c>
      <c r="D68" s="368">
        <v>1</v>
      </c>
      <c r="E68" s="368">
        <v>2</v>
      </c>
      <c r="F68" s="368">
        <v>2.5</v>
      </c>
      <c r="G68" s="368">
        <v>3</v>
      </c>
      <c r="H68" s="368"/>
      <c r="I68" s="368"/>
      <c r="J68" s="368"/>
      <c r="K68" s="439"/>
      <c r="L68" s="440"/>
      <c r="M68" s="441"/>
      <c r="N68" s="432"/>
      <c r="O68" s="432"/>
      <c r="P68" s="427"/>
      <c r="Q68" s="422"/>
      <c r="R68" s="338"/>
      <c r="S68" s="338"/>
      <c r="T68" s="338"/>
      <c r="U68" s="338"/>
      <c r="V68" s="338"/>
      <c r="W68" s="338"/>
      <c r="X68" s="338"/>
      <c r="Y68" s="338"/>
      <c r="Z68" s="338"/>
      <c r="AA68" s="338"/>
      <c r="AB68" s="338"/>
      <c r="AC68" s="338"/>
    </row>
    <row r="69" ht="15.75" spans="1:29">
      <c r="A69" s="266"/>
      <c r="B69" s="361"/>
      <c r="C69" s="366">
        <v>100</v>
      </c>
      <c r="D69" s="366">
        <f t="shared" ref="D69:M69" si="19">C69-$K11</f>
        <v>99</v>
      </c>
      <c r="E69" s="366">
        <f t="shared" si="19"/>
        <v>98</v>
      </c>
      <c r="F69" s="366">
        <f t="shared" si="19"/>
        <v>97</v>
      </c>
      <c r="G69" s="366">
        <f t="shared" si="19"/>
        <v>96</v>
      </c>
      <c r="H69" s="366">
        <f t="shared" si="19"/>
        <v>95</v>
      </c>
      <c r="I69" s="366">
        <f t="shared" si="19"/>
        <v>94</v>
      </c>
      <c r="J69" s="366">
        <f t="shared" si="19"/>
        <v>93</v>
      </c>
      <c r="K69" s="366">
        <f t="shared" si="19"/>
        <v>92</v>
      </c>
      <c r="L69" s="366">
        <f t="shared" si="19"/>
        <v>91</v>
      </c>
      <c r="M69" s="438">
        <f t="shared" si="19"/>
        <v>90</v>
      </c>
      <c r="N69" s="434"/>
      <c r="O69" s="434"/>
      <c r="P69" s="427"/>
      <c r="Q69" s="422"/>
      <c r="R69" s="338"/>
      <c r="S69" s="338"/>
      <c r="T69" s="338"/>
      <c r="U69" s="338"/>
      <c r="V69" s="338"/>
      <c r="W69" s="338"/>
      <c r="X69" s="338"/>
      <c r="Y69" s="338"/>
      <c r="Z69" s="338"/>
      <c r="AA69" s="338"/>
      <c r="AB69" s="338"/>
      <c r="AC69" s="338"/>
    </row>
    <row r="70" s="191" customFormat="1" ht="15.75" spans="1:29">
      <c r="A70" s="370"/>
      <c r="B70" s="363">
        <f>B12</f>
        <v>111</v>
      </c>
      <c r="C70" s="371"/>
      <c r="D70" s="371"/>
      <c r="E70" s="371"/>
      <c r="F70" s="371"/>
      <c r="G70" s="371"/>
      <c r="H70" s="372"/>
      <c r="I70" s="372"/>
      <c r="J70" s="372"/>
      <c r="K70" s="372"/>
      <c r="L70" s="442"/>
      <c r="M70" s="443"/>
      <c r="N70" s="444"/>
      <c r="O70" s="444"/>
      <c r="P70" s="444"/>
      <c r="Q70" s="475"/>
      <c r="R70" s="404"/>
      <c r="S70" s="404"/>
      <c r="T70" s="404"/>
      <c r="U70" s="404"/>
      <c r="V70" s="404"/>
      <c r="W70" s="404"/>
      <c r="X70" s="404"/>
      <c r="Y70" s="404"/>
      <c r="Z70" s="404"/>
      <c r="AA70" s="404"/>
      <c r="AB70" s="404"/>
      <c r="AC70" s="404"/>
    </row>
    <row r="71" s="191" customFormat="1" ht="15.75" spans="1:29">
      <c r="A71" s="370"/>
      <c r="B71" s="365"/>
      <c r="C71" s="369"/>
      <c r="D71" s="362"/>
      <c r="E71" s="362"/>
      <c r="F71" s="362"/>
      <c r="G71" s="362"/>
      <c r="H71" s="362"/>
      <c r="I71" s="362"/>
      <c r="J71" s="362"/>
      <c r="K71" s="362"/>
      <c r="L71" s="362"/>
      <c r="M71" s="433"/>
      <c r="N71" s="434"/>
      <c r="O71" s="434"/>
      <c r="P71" s="444"/>
      <c r="Q71" s="475"/>
      <c r="R71" s="404"/>
      <c r="S71" s="404"/>
      <c r="T71" s="404"/>
      <c r="U71" s="404"/>
      <c r="V71" s="404"/>
      <c r="W71" s="404"/>
      <c r="X71" s="404"/>
      <c r="Y71" s="404"/>
      <c r="Z71" s="404"/>
      <c r="AA71" s="404"/>
      <c r="AB71" s="404"/>
      <c r="AC71" s="404"/>
    </row>
    <row r="72" s="191" customFormat="1" ht="15.75" spans="1:29">
      <c r="A72" s="370"/>
      <c r="B72" s="363">
        <f>B13</f>
        <v>111</v>
      </c>
      <c r="C72" s="371"/>
      <c r="D72" s="371"/>
      <c r="E72" s="371"/>
      <c r="F72" s="371"/>
      <c r="G72" s="371"/>
      <c r="H72" s="372"/>
      <c r="I72" s="372"/>
      <c r="J72" s="372"/>
      <c r="K72" s="372"/>
      <c r="L72" s="442"/>
      <c r="M72" s="443"/>
      <c r="N72" s="444"/>
      <c r="O72" s="444"/>
      <c r="P72" s="404"/>
      <c r="Q72" s="476"/>
      <c r="R72" s="404"/>
      <c r="S72" s="404"/>
      <c r="T72" s="404"/>
      <c r="U72" s="404"/>
      <c r="V72" s="404"/>
      <c r="W72" s="404"/>
      <c r="X72" s="404"/>
      <c r="Y72" s="404"/>
      <c r="Z72" s="404"/>
      <c r="AA72" s="404"/>
      <c r="AB72" s="404"/>
      <c r="AC72" s="404"/>
    </row>
    <row r="73" s="191" customFormat="1" ht="15.75" spans="1:29">
      <c r="A73" s="370"/>
      <c r="B73" s="365"/>
      <c r="C73" s="369"/>
      <c r="D73" s="369"/>
      <c r="E73" s="369"/>
      <c r="F73" s="369"/>
      <c r="G73" s="369"/>
      <c r="H73" s="373"/>
      <c r="I73" s="373"/>
      <c r="J73" s="373"/>
      <c r="K73" s="373"/>
      <c r="L73" s="373"/>
      <c r="M73" s="445"/>
      <c r="N73" s="444"/>
      <c r="O73" s="444"/>
      <c r="P73" s="444"/>
      <c r="Q73" s="475"/>
      <c r="R73" s="404"/>
      <c r="S73" s="404"/>
      <c r="T73" s="404"/>
      <c r="U73" s="404"/>
      <c r="V73" s="404"/>
      <c r="W73" s="404"/>
      <c r="X73" s="404"/>
      <c r="Y73" s="404"/>
      <c r="Z73" s="404"/>
      <c r="AA73" s="404"/>
      <c r="AB73" s="404"/>
      <c r="AC73" s="404"/>
    </row>
    <row r="74" s="191" customFormat="1" ht="15.75" spans="1:29">
      <c r="A74" s="370"/>
      <c r="B74" s="486">
        <f>B14</f>
        <v>111</v>
      </c>
      <c r="C74" s="371"/>
      <c r="D74" s="371"/>
      <c r="E74" s="371"/>
      <c r="F74" s="371"/>
      <c r="G74" s="356"/>
      <c r="H74" s="554"/>
      <c r="I74" s="554"/>
      <c r="J74" s="554"/>
      <c r="K74" s="554"/>
      <c r="L74" s="562"/>
      <c r="M74" s="563"/>
      <c r="N74" s="444"/>
      <c r="O74" s="444"/>
      <c r="P74" s="564"/>
      <c r="Q74" s="475"/>
      <c r="R74" s="404"/>
      <c r="S74" s="404"/>
      <c r="T74" s="404"/>
      <c r="U74" s="404"/>
      <c r="V74" s="404"/>
      <c r="W74" s="404"/>
      <c r="X74" s="404"/>
      <c r="Y74" s="404"/>
      <c r="Z74" s="404"/>
      <c r="AA74" s="404"/>
      <c r="AB74" s="404"/>
      <c r="AC74" s="404"/>
    </row>
    <row r="75" s="191" customFormat="1" ht="15.75" spans="1:29">
      <c r="A75" s="555"/>
      <c r="B75" s="556"/>
      <c r="C75" s="557"/>
      <c r="D75" s="557"/>
      <c r="E75" s="557"/>
      <c r="F75" s="557"/>
      <c r="G75" s="557"/>
      <c r="H75" s="558"/>
      <c r="I75" s="558"/>
      <c r="J75" s="558"/>
      <c r="K75" s="558"/>
      <c r="L75" s="558"/>
      <c r="M75" s="565"/>
      <c r="N75" s="444"/>
      <c r="O75" s="444"/>
      <c r="P75" s="444"/>
      <c r="Q75" s="475"/>
      <c r="R75" s="404"/>
      <c r="S75" s="404"/>
      <c r="T75" s="404"/>
      <c r="U75" s="404"/>
      <c r="V75" s="404"/>
      <c r="W75" s="404"/>
      <c r="X75" s="404"/>
      <c r="Y75" s="404"/>
      <c r="Z75" s="404"/>
      <c r="AA75" s="404"/>
      <c r="AB75" s="404"/>
      <c r="AC75" s="404"/>
    </row>
    <row r="76" spans="1:29">
      <c r="A76" s="357" t="s">
        <v>997</v>
      </c>
      <c r="B76" s="358" t="s">
        <v>225</v>
      </c>
      <c r="C76" s="374" t="s">
        <v>246</v>
      </c>
      <c r="D76" s="374" t="s">
        <v>258</v>
      </c>
      <c r="E76" s="374" t="s">
        <v>269</v>
      </c>
      <c r="F76" s="374" t="s">
        <v>279</v>
      </c>
      <c r="G76" s="374" t="s">
        <v>287</v>
      </c>
      <c r="H76" s="359"/>
      <c r="I76" s="359"/>
      <c r="J76" s="359"/>
      <c r="K76" s="446"/>
      <c r="L76" s="447"/>
      <c r="M76" s="448"/>
      <c r="N76" s="432"/>
      <c r="O76" s="432"/>
      <c r="P76" s="449"/>
      <c r="Q76" s="422"/>
      <c r="R76" s="338"/>
      <c r="S76" s="338"/>
      <c r="T76" s="338"/>
      <c r="U76" s="338"/>
      <c r="V76" s="338"/>
      <c r="W76" s="338"/>
      <c r="X76" s="338"/>
      <c r="Y76" s="338"/>
      <c r="Z76" s="338"/>
      <c r="AA76" s="338"/>
      <c r="AB76" s="338"/>
      <c r="AC76" s="338"/>
    </row>
    <row r="77" ht="15.75" spans="1:29">
      <c r="A77" s="266"/>
      <c r="B77" s="365"/>
      <c r="C77" s="366">
        <v>100</v>
      </c>
      <c r="D77" s="366">
        <f>C77-$K15</f>
        <v>98</v>
      </c>
      <c r="E77" s="366">
        <f>D77-$K15</f>
        <v>96</v>
      </c>
      <c r="F77" s="366">
        <f>E77-$K15</f>
        <v>94</v>
      </c>
      <c r="G77" s="366">
        <f>F77-$K15</f>
        <v>92</v>
      </c>
      <c r="H77" s="366"/>
      <c r="I77" s="366"/>
      <c r="J77" s="366"/>
      <c r="K77" s="366"/>
      <c r="L77" s="366"/>
      <c r="M77" s="438"/>
      <c r="N77" s="434"/>
      <c r="O77" s="434"/>
      <c r="P77" s="427"/>
      <c r="Q77" s="422"/>
      <c r="R77" s="338"/>
      <c r="S77" s="338"/>
      <c r="T77" s="338"/>
      <c r="U77" s="338"/>
      <c r="V77" s="338"/>
      <c r="W77" s="338"/>
      <c r="X77" s="338"/>
      <c r="Y77" s="338"/>
      <c r="Z77" s="338"/>
      <c r="AA77" s="338"/>
      <c r="AB77" s="338"/>
      <c r="AC77" s="338"/>
    </row>
    <row r="78" ht="15.75" spans="1:29">
      <c r="A78" s="266"/>
      <c r="B78" s="363" t="s">
        <v>229</v>
      </c>
      <c r="C78" s="376" t="s">
        <v>246</v>
      </c>
      <c r="D78" s="376" t="s">
        <v>258</v>
      </c>
      <c r="E78" s="376" t="s">
        <v>269</v>
      </c>
      <c r="F78" s="376" t="s">
        <v>279</v>
      </c>
      <c r="G78" s="376" t="s">
        <v>287</v>
      </c>
      <c r="H78" s="364"/>
      <c r="I78" s="364"/>
      <c r="J78" s="364"/>
      <c r="K78" s="435"/>
      <c r="L78" s="436"/>
      <c r="M78" s="437"/>
      <c r="N78" s="432"/>
      <c r="O78" s="432"/>
      <c r="P78" s="427"/>
      <c r="Q78" s="422"/>
      <c r="R78" s="338"/>
      <c r="S78" s="338"/>
      <c r="T78" s="338"/>
      <c r="U78" s="338"/>
      <c r="V78" s="338"/>
      <c r="W78" s="338"/>
      <c r="X78" s="338"/>
      <c r="Y78" s="338"/>
      <c r="Z78" s="338"/>
      <c r="AA78" s="338"/>
      <c r="AB78" s="338"/>
      <c r="AC78" s="338"/>
    </row>
    <row r="79" ht="15.75" spans="1:29">
      <c r="A79" s="266"/>
      <c r="B79" s="365"/>
      <c r="C79" s="366">
        <v>100</v>
      </c>
      <c r="D79" s="366">
        <f>C79-$K17</f>
        <v>97</v>
      </c>
      <c r="E79" s="366">
        <f>D79-$K17</f>
        <v>94</v>
      </c>
      <c r="F79" s="366">
        <f>E79-$K17</f>
        <v>91</v>
      </c>
      <c r="G79" s="366">
        <f>F79-$K17</f>
        <v>88</v>
      </c>
      <c r="H79" s="366"/>
      <c r="I79" s="366"/>
      <c r="J79" s="366"/>
      <c r="K79" s="366"/>
      <c r="L79" s="366"/>
      <c r="M79" s="438"/>
      <c r="N79" s="434"/>
      <c r="O79" s="434"/>
      <c r="P79" s="427"/>
      <c r="Q79" s="422"/>
      <c r="R79" s="338"/>
      <c r="S79" s="338"/>
      <c r="T79" s="338"/>
      <c r="U79" s="338"/>
      <c r="V79" s="338"/>
      <c r="W79" s="338"/>
      <c r="X79" s="338"/>
      <c r="Y79" s="338"/>
      <c r="Z79" s="338"/>
      <c r="AA79" s="338"/>
      <c r="AB79" s="338"/>
      <c r="AC79" s="338"/>
    </row>
    <row r="80" ht="15.75" spans="1:29">
      <c r="A80" s="266"/>
      <c r="B80" s="375" t="s">
        <v>231</v>
      </c>
      <c r="C80" s="376" t="s">
        <v>246</v>
      </c>
      <c r="D80" s="376" t="s">
        <v>258</v>
      </c>
      <c r="E80" s="376" t="s">
        <v>269</v>
      </c>
      <c r="F80" s="376" t="s">
        <v>279</v>
      </c>
      <c r="G80" s="376" t="s">
        <v>287</v>
      </c>
      <c r="H80" s="364"/>
      <c r="I80" s="364"/>
      <c r="J80" s="364"/>
      <c r="K80" s="435"/>
      <c r="L80" s="436"/>
      <c r="M80" s="437"/>
      <c r="N80" s="432"/>
      <c r="O80" s="432"/>
      <c r="P80" s="427"/>
      <c r="Q80" s="422"/>
      <c r="R80" s="338"/>
      <c r="S80" s="338"/>
      <c r="T80" s="338"/>
      <c r="U80" s="338"/>
      <c r="V80" s="338"/>
      <c r="W80" s="338"/>
      <c r="X80" s="338"/>
      <c r="Y80" s="338"/>
      <c r="Z80" s="338"/>
      <c r="AA80" s="338"/>
      <c r="AB80" s="338"/>
      <c r="AC80" s="338"/>
    </row>
    <row r="81" ht="15.75" spans="1:29">
      <c r="A81" s="266"/>
      <c r="B81" s="365"/>
      <c r="C81" s="366">
        <v>100</v>
      </c>
      <c r="D81" s="366">
        <f>C81-$K19</f>
        <v>99.5</v>
      </c>
      <c r="E81" s="366">
        <f>D81-$K19</f>
        <v>99</v>
      </c>
      <c r="F81" s="366">
        <f>E81-$K19</f>
        <v>98.5</v>
      </c>
      <c r="G81" s="366">
        <f>F81-$K19</f>
        <v>98</v>
      </c>
      <c r="H81" s="366"/>
      <c r="I81" s="366"/>
      <c r="J81" s="366"/>
      <c r="K81" s="366"/>
      <c r="L81" s="366"/>
      <c r="M81" s="438"/>
      <c r="N81" s="434"/>
      <c r="O81" s="434"/>
      <c r="P81" s="427"/>
      <c r="Q81" s="422"/>
      <c r="R81" s="338"/>
      <c r="S81" s="338"/>
      <c r="T81" s="338"/>
      <c r="U81" s="338"/>
      <c r="V81" s="338"/>
      <c r="W81" s="338"/>
      <c r="X81" s="338"/>
      <c r="Y81" s="338"/>
      <c r="Z81" s="338"/>
      <c r="AA81" s="338"/>
      <c r="AB81" s="338"/>
      <c r="AC81" s="338"/>
    </row>
    <row r="82" ht="15.75" spans="1:29">
      <c r="A82" s="266"/>
      <c r="B82" s="484" t="s">
        <v>232</v>
      </c>
      <c r="C82" s="485" t="s">
        <v>247</v>
      </c>
      <c r="D82" s="485" t="s">
        <v>259</v>
      </c>
      <c r="E82" s="485" t="s">
        <v>270</v>
      </c>
      <c r="F82" s="485" t="s">
        <v>280</v>
      </c>
      <c r="G82" s="485" t="s">
        <v>288</v>
      </c>
      <c r="H82" s="364"/>
      <c r="I82" s="364"/>
      <c r="J82" s="364"/>
      <c r="K82" s="364"/>
      <c r="L82" s="364"/>
      <c r="M82" s="492"/>
      <c r="N82" s="434"/>
      <c r="O82" s="434"/>
      <c r="P82" s="427"/>
      <c r="Q82" s="422"/>
      <c r="R82" s="338"/>
      <c r="S82" s="338"/>
      <c r="T82" s="338"/>
      <c r="U82" s="338"/>
      <c r="V82" s="338"/>
      <c r="W82" s="338"/>
      <c r="X82" s="338"/>
      <c r="Y82" s="338"/>
      <c r="Z82" s="338"/>
      <c r="AA82" s="338"/>
      <c r="AB82" s="338"/>
      <c r="AC82" s="338"/>
    </row>
    <row r="83" ht="15.75" spans="1:29">
      <c r="A83" s="266"/>
      <c r="B83" s="486"/>
      <c r="C83" s="366">
        <v>100</v>
      </c>
      <c r="D83" s="366">
        <f>C83-$K21</f>
        <v>99</v>
      </c>
      <c r="E83" s="366">
        <f>D83-$K21</f>
        <v>98</v>
      </c>
      <c r="F83" s="366">
        <f>E83-$K21</f>
        <v>97</v>
      </c>
      <c r="G83" s="366">
        <f>F83-$K21</f>
        <v>96</v>
      </c>
      <c r="H83" s="367"/>
      <c r="I83" s="367"/>
      <c r="J83" s="367"/>
      <c r="K83" s="367"/>
      <c r="L83" s="367"/>
      <c r="M83" s="271"/>
      <c r="N83" s="434"/>
      <c r="O83" s="434"/>
      <c r="P83" s="427"/>
      <c r="Q83" s="422"/>
      <c r="R83" s="338"/>
      <c r="S83" s="338"/>
      <c r="T83" s="338"/>
      <c r="U83" s="338"/>
      <c r="V83" s="338"/>
      <c r="W83" s="338"/>
      <c r="X83" s="338"/>
      <c r="Y83" s="338"/>
      <c r="Z83" s="338"/>
      <c r="AA83" s="338"/>
      <c r="AB83" s="338"/>
      <c r="AC83" s="338"/>
    </row>
    <row r="84" ht="15.75" spans="1:29">
      <c r="A84" s="266"/>
      <c r="B84" s="363" t="s">
        <v>2356</v>
      </c>
      <c r="C84" s="376" t="s">
        <v>246</v>
      </c>
      <c r="D84" s="376" t="s">
        <v>258</v>
      </c>
      <c r="E84" s="376" t="s">
        <v>269</v>
      </c>
      <c r="F84" s="376" t="s">
        <v>279</v>
      </c>
      <c r="G84" s="376" t="s">
        <v>287</v>
      </c>
      <c r="H84" s="364"/>
      <c r="I84" s="364"/>
      <c r="J84" s="364"/>
      <c r="K84" s="435"/>
      <c r="L84" s="436"/>
      <c r="M84" s="437"/>
      <c r="N84" s="432"/>
      <c r="O84" s="432"/>
      <c r="P84" s="427"/>
      <c r="Q84" s="422"/>
      <c r="R84" s="338"/>
      <c r="S84" s="338"/>
      <c r="T84" s="338"/>
      <c r="U84" s="338"/>
      <c r="V84" s="338"/>
      <c r="W84" s="338"/>
      <c r="X84" s="338"/>
      <c r="Y84" s="338"/>
      <c r="Z84" s="338"/>
      <c r="AA84" s="338"/>
      <c r="AB84" s="338"/>
      <c r="AC84" s="338"/>
    </row>
    <row r="85" ht="15.75" spans="1:29">
      <c r="A85" s="266"/>
      <c r="B85" s="365"/>
      <c r="C85" s="366">
        <v>100</v>
      </c>
      <c r="D85" s="366">
        <f>C85-$K23</f>
        <v>98</v>
      </c>
      <c r="E85" s="366">
        <f>D85-$K23</f>
        <v>96</v>
      </c>
      <c r="F85" s="366">
        <f>E85-$K23</f>
        <v>94</v>
      </c>
      <c r="G85" s="366">
        <f>F85-$K23</f>
        <v>92</v>
      </c>
      <c r="H85" s="366"/>
      <c r="I85" s="366"/>
      <c r="J85" s="366"/>
      <c r="K85" s="366"/>
      <c r="L85" s="366"/>
      <c r="M85" s="438"/>
      <c r="N85" s="434"/>
      <c r="O85" s="434"/>
      <c r="P85" s="427"/>
      <c r="Q85" s="422"/>
      <c r="R85" s="338"/>
      <c r="S85" s="338"/>
      <c r="T85" s="338"/>
      <c r="U85" s="338"/>
      <c r="V85" s="338"/>
      <c r="W85" s="338"/>
      <c r="X85" s="338"/>
      <c r="Y85" s="338"/>
      <c r="Z85" s="338"/>
      <c r="AA85" s="338"/>
      <c r="AB85" s="338"/>
      <c r="AC85" s="338"/>
    </row>
    <row r="86" s="189" customFormat="1" ht="15.75" spans="1:29">
      <c r="A86" s="290"/>
      <c r="B86" s="375" t="s">
        <v>2357</v>
      </c>
      <c r="C86" s="371"/>
      <c r="D86" s="371"/>
      <c r="E86" s="371"/>
      <c r="F86" s="371"/>
      <c r="G86" s="371"/>
      <c r="H86" s="371"/>
      <c r="I86" s="371"/>
      <c r="J86" s="371"/>
      <c r="K86" s="371"/>
      <c r="L86" s="496"/>
      <c r="M86" s="497"/>
      <c r="N86" s="427"/>
      <c r="O86" s="427"/>
      <c r="P86" s="427"/>
      <c r="Q86" s="422"/>
      <c r="R86" s="387"/>
      <c r="S86" s="387"/>
      <c r="T86" s="387"/>
      <c r="U86" s="387"/>
      <c r="V86" s="387"/>
      <c r="W86" s="387"/>
      <c r="X86" s="387"/>
      <c r="Y86" s="387"/>
      <c r="Z86" s="387"/>
      <c r="AA86" s="387"/>
      <c r="AB86" s="387"/>
      <c r="AC86" s="387"/>
    </row>
    <row r="87" s="189" customFormat="1" ht="15.75" spans="1:29">
      <c r="A87" s="290"/>
      <c r="B87" s="365"/>
      <c r="C87" s="488">
        <v>100</v>
      </c>
      <c r="D87" s="366">
        <f>$C$87-($C$86-D86)*$K$25</f>
        <v>100</v>
      </c>
      <c r="E87" s="366">
        <f t="shared" ref="E87:M87" si="20">$C$87-($C$86-E86)*$K$25</f>
        <v>100</v>
      </c>
      <c r="F87" s="366">
        <f t="shared" si="20"/>
        <v>100</v>
      </c>
      <c r="G87" s="366">
        <f t="shared" si="20"/>
        <v>100</v>
      </c>
      <c r="H87" s="366">
        <f t="shared" si="20"/>
        <v>100</v>
      </c>
      <c r="I87" s="366">
        <f t="shared" si="20"/>
        <v>100</v>
      </c>
      <c r="J87" s="366">
        <f t="shared" si="20"/>
        <v>100</v>
      </c>
      <c r="K87" s="366">
        <f t="shared" si="20"/>
        <v>100</v>
      </c>
      <c r="L87" s="366">
        <f t="shared" si="20"/>
        <v>100</v>
      </c>
      <c r="M87" s="366">
        <f t="shared" si="20"/>
        <v>100</v>
      </c>
      <c r="N87" s="434"/>
      <c r="O87" s="434"/>
      <c r="P87" s="427"/>
      <c r="Q87" s="422"/>
      <c r="R87" s="387"/>
      <c r="S87" s="387"/>
      <c r="T87" s="387"/>
      <c r="U87" s="387"/>
      <c r="V87" s="387"/>
      <c r="W87" s="387"/>
      <c r="X87" s="387"/>
      <c r="Y87" s="387"/>
      <c r="Z87" s="387"/>
      <c r="AA87" s="387"/>
      <c r="AB87" s="387"/>
      <c r="AC87" s="387"/>
    </row>
    <row r="88" s="189" customFormat="1" ht="15.75" spans="1:29">
      <c r="A88" s="290"/>
      <c r="B88" s="363" t="s">
        <v>2358</v>
      </c>
      <c r="C88" s="371"/>
      <c r="D88" s="371"/>
      <c r="E88" s="371"/>
      <c r="F88" s="596"/>
      <c r="G88" s="371"/>
      <c r="H88" s="371"/>
      <c r="I88" s="371"/>
      <c r="J88" s="371"/>
      <c r="K88" s="371"/>
      <c r="L88" s="371"/>
      <c r="M88" s="497"/>
      <c r="N88" s="427"/>
      <c r="O88" s="427"/>
      <c r="P88" s="427"/>
      <c r="Q88" s="422"/>
      <c r="R88" s="387"/>
      <c r="S88" s="387"/>
      <c r="T88" s="387"/>
      <c r="U88" s="387"/>
      <c r="V88" s="387"/>
      <c r="W88" s="387"/>
      <c r="X88" s="387"/>
      <c r="Y88" s="387"/>
      <c r="Z88" s="387"/>
      <c r="AA88" s="387"/>
      <c r="AB88" s="387"/>
      <c r="AC88" s="387"/>
    </row>
    <row r="89" s="189" customFormat="1" ht="15.75" spans="1:29">
      <c r="A89" s="290"/>
      <c r="B89" s="365"/>
      <c r="C89" s="488">
        <v>100</v>
      </c>
      <c r="D89" s="366">
        <f t="shared" ref="D89:M89" si="21">C89-$K26</f>
        <v>100</v>
      </c>
      <c r="E89" s="366">
        <f t="shared" si="21"/>
        <v>100</v>
      </c>
      <c r="F89" s="366">
        <f t="shared" si="21"/>
        <v>100</v>
      </c>
      <c r="G89" s="366">
        <f t="shared" si="21"/>
        <v>100</v>
      </c>
      <c r="H89" s="366">
        <f t="shared" si="21"/>
        <v>100</v>
      </c>
      <c r="I89" s="366">
        <f t="shared" si="21"/>
        <v>100</v>
      </c>
      <c r="J89" s="366">
        <f t="shared" si="21"/>
        <v>100</v>
      </c>
      <c r="K89" s="366">
        <f t="shared" si="21"/>
        <v>100</v>
      </c>
      <c r="L89" s="366">
        <f t="shared" si="21"/>
        <v>100</v>
      </c>
      <c r="M89" s="366">
        <f t="shared" si="21"/>
        <v>100</v>
      </c>
      <c r="N89" s="434"/>
      <c r="O89" s="434"/>
      <c r="P89" s="427"/>
      <c r="Q89" s="422"/>
      <c r="R89" s="387"/>
      <c r="S89" s="387"/>
      <c r="T89" s="387"/>
      <c r="U89" s="387"/>
      <c r="V89" s="387"/>
      <c r="W89" s="387"/>
      <c r="X89" s="387"/>
      <c r="Y89" s="387"/>
      <c r="Z89" s="387"/>
      <c r="AA89" s="387"/>
      <c r="AB89" s="387"/>
      <c r="AC89" s="387"/>
    </row>
    <row r="90" s="191" customFormat="1" ht="15.75" spans="1:29">
      <c r="A90" s="370"/>
      <c r="B90" s="363" t="str">
        <f>B27</f>
        <v>道路级别</v>
      </c>
      <c r="C90" s="371"/>
      <c r="D90" s="371"/>
      <c r="E90" s="371"/>
      <c r="F90" s="371"/>
      <c r="G90" s="371"/>
      <c r="H90" s="372"/>
      <c r="I90" s="372"/>
      <c r="J90" s="372"/>
      <c r="K90" s="372"/>
      <c r="L90" s="442"/>
      <c r="M90" s="443"/>
      <c r="N90" s="444"/>
      <c r="O90" s="444"/>
      <c r="P90" s="444"/>
      <c r="Q90" s="475"/>
      <c r="R90" s="404"/>
      <c r="S90" s="404"/>
      <c r="T90" s="404"/>
      <c r="U90" s="404"/>
      <c r="V90" s="404"/>
      <c r="W90" s="404"/>
      <c r="X90" s="404"/>
      <c r="Y90" s="404"/>
      <c r="Z90" s="404"/>
      <c r="AA90" s="404"/>
      <c r="AB90" s="404"/>
      <c r="AC90" s="404"/>
    </row>
    <row r="91" s="191" customFormat="1" ht="15.75" spans="1:29">
      <c r="A91" s="370"/>
      <c r="B91" s="365"/>
      <c r="C91" s="369"/>
      <c r="D91" s="369"/>
      <c r="E91" s="369"/>
      <c r="F91" s="369"/>
      <c r="G91" s="369"/>
      <c r="H91" s="373"/>
      <c r="I91" s="373"/>
      <c r="J91" s="373"/>
      <c r="K91" s="373"/>
      <c r="L91" s="373"/>
      <c r="M91" s="445"/>
      <c r="N91" s="444"/>
      <c r="O91" s="444"/>
      <c r="P91" s="444"/>
      <c r="Q91" s="475"/>
      <c r="R91" s="404"/>
      <c r="S91" s="404"/>
      <c r="T91" s="404"/>
      <c r="U91" s="404"/>
      <c r="V91" s="404"/>
      <c r="W91" s="404"/>
      <c r="X91" s="404"/>
      <c r="Y91" s="404"/>
      <c r="Z91" s="404"/>
      <c r="AA91" s="404"/>
      <c r="AB91" s="404"/>
      <c r="AC91" s="404"/>
    </row>
    <row r="92" ht="15.75" spans="1:29">
      <c r="A92" s="266"/>
      <c r="B92" s="363">
        <f>B28</f>
        <v>111</v>
      </c>
      <c r="C92" s="371"/>
      <c r="D92" s="371"/>
      <c r="E92" s="371"/>
      <c r="F92" s="371"/>
      <c r="G92" s="487"/>
      <c r="H92" s="487"/>
      <c r="I92" s="487"/>
      <c r="J92" s="487"/>
      <c r="K92" s="493"/>
      <c r="L92" s="494"/>
      <c r="M92" s="495"/>
      <c r="N92" s="432"/>
      <c r="O92" s="432"/>
      <c r="P92" s="427"/>
      <c r="Q92" s="422"/>
      <c r="R92" s="338"/>
      <c r="S92" s="338"/>
      <c r="T92" s="338"/>
      <c r="U92" s="338"/>
      <c r="V92" s="338"/>
      <c r="W92" s="338"/>
      <c r="X92" s="338"/>
      <c r="Y92" s="338"/>
      <c r="Z92" s="338"/>
      <c r="AA92" s="338"/>
      <c r="AB92" s="338"/>
      <c r="AC92" s="338"/>
    </row>
    <row r="93" ht="15.75" spans="1:29">
      <c r="A93" s="266"/>
      <c r="B93" s="365"/>
      <c r="C93" s="369"/>
      <c r="D93" s="362"/>
      <c r="E93" s="362"/>
      <c r="F93" s="362"/>
      <c r="G93" s="362"/>
      <c r="H93" s="362"/>
      <c r="I93" s="362"/>
      <c r="J93" s="362"/>
      <c r="K93" s="362"/>
      <c r="L93" s="362"/>
      <c r="M93" s="433"/>
      <c r="N93" s="434"/>
      <c r="O93" s="434"/>
      <c r="P93" s="427"/>
      <c r="Q93" s="422"/>
      <c r="R93" s="338"/>
      <c r="S93" s="338"/>
      <c r="T93" s="338"/>
      <c r="U93" s="338"/>
      <c r="V93" s="338"/>
      <c r="W93" s="338"/>
      <c r="X93" s="338"/>
      <c r="Y93" s="338"/>
      <c r="Z93" s="338"/>
      <c r="AA93" s="338"/>
      <c r="AB93" s="338"/>
      <c r="AC93" s="338"/>
    </row>
    <row r="94" ht="15.75" spans="1:29">
      <c r="A94" s="266"/>
      <c r="B94" s="363">
        <f>B29</f>
        <v>111</v>
      </c>
      <c r="C94" s="371"/>
      <c r="D94" s="371"/>
      <c r="E94" s="371"/>
      <c r="F94" s="371"/>
      <c r="G94" s="487"/>
      <c r="H94" s="487"/>
      <c r="I94" s="487"/>
      <c r="J94" s="487"/>
      <c r="K94" s="493"/>
      <c r="L94" s="494"/>
      <c r="M94" s="495"/>
      <c r="N94" s="432"/>
      <c r="O94" s="432"/>
      <c r="P94" s="427"/>
      <c r="Q94" s="422"/>
      <c r="R94" s="338"/>
      <c r="S94" s="338"/>
      <c r="T94" s="338"/>
      <c r="U94" s="338"/>
      <c r="V94" s="338"/>
      <c r="W94" s="338"/>
      <c r="X94" s="338"/>
      <c r="Y94" s="338"/>
      <c r="Z94" s="338"/>
      <c r="AA94" s="338"/>
      <c r="AB94" s="338"/>
      <c r="AC94" s="338"/>
    </row>
    <row r="95" ht="15.75" spans="1:29">
      <c r="A95" s="266"/>
      <c r="B95" s="365"/>
      <c r="C95" s="369"/>
      <c r="D95" s="369"/>
      <c r="E95" s="369"/>
      <c r="F95" s="369"/>
      <c r="G95" s="362"/>
      <c r="H95" s="362"/>
      <c r="I95" s="362"/>
      <c r="J95" s="362"/>
      <c r="K95" s="362"/>
      <c r="L95" s="362"/>
      <c r="M95" s="433"/>
      <c r="N95" s="434"/>
      <c r="O95" s="434"/>
      <c r="P95" s="427"/>
      <c r="Q95" s="422"/>
      <c r="R95" s="338"/>
      <c r="S95" s="338"/>
      <c r="T95" s="338"/>
      <c r="U95" s="338"/>
      <c r="V95" s="338"/>
      <c r="W95" s="338"/>
      <c r="X95" s="338"/>
      <c r="Y95" s="338"/>
      <c r="Z95" s="338"/>
      <c r="AA95" s="338"/>
      <c r="AB95" s="338"/>
      <c r="AC95" s="338"/>
    </row>
    <row r="96" ht="15.75" spans="1:29">
      <c r="A96" s="266"/>
      <c r="B96" s="363">
        <f>B30</f>
        <v>111</v>
      </c>
      <c r="C96" s="371"/>
      <c r="D96" s="371"/>
      <c r="E96" s="371"/>
      <c r="F96" s="371"/>
      <c r="G96" s="487"/>
      <c r="H96" s="487"/>
      <c r="I96" s="487"/>
      <c r="J96" s="487"/>
      <c r="K96" s="493"/>
      <c r="L96" s="494"/>
      <c r="M96" s="495"/>
      <c r="N96" s="432"/>
      <c r="O96" s="432"/>
      <c r="P96" s="427"/>
      <c r="Q96" s="422"/>
      <c r="R96" s="338"/>
      <c r="S96" s="338"/>
      <c r="T96" s="338"/>
      <c r="U96" s="338"/>
      <c r="V96" s="338"/>
      <c r="W96" s="338"/>
      <c r="X96" s="338"/>
      <c r="Y96" s="338"/>
      <c r="Z96" s="338"/>
      <c r="AA96" s="338"/>
      <c r="AB96" s="338"/>
      <c r="AC96" s="338"/>
    </row>
    <row r="97" ht="15.75" spans="1:29">
      <c r="A97" s="266"/>
      <c r="B97" s="365"/>
      <c r="C97" s="557"/>
      <c r="D97" s="557"/>
      <c r="E97" s="557"/>
      <c r="F97" s="557"/>
      <c r="G97" s="362"/>
      <c r="H97" s="362"/>
      <c r="I97" s="362"/>
      <c r="J97" s="362"/>
      <c r="K97" s="362"/>
      <c r="L97" s="362"/>
      <c r="M97" s="433"/>
      <c r="N97" s="434"/>
      <c r="O97" s="434"/>
      <c r="P97" s="427"/>
      <c r="Q97" s="422"/>
      <c r="R97" s="338"/>
      <c r="S97" s="338"/>
      <c r="T97" s="338"/>
      <c r="U97" s="338"/>
      <c r="V97" s="338"/>
      <c r="W97" s="338"/>
      <c r="X97" s="338"/>
      <c r="Y97" s="338"/>
      <c r="Z97" s="338"/>
      <c r="AA97" s="338"/>
      <c r="AB97" s="338"/>
      <c r="AC97" s="338"/>
    </row>
    <row r="98" ht="15.75" spans="1:29">
      <c r="A98" s="266"/>
      <c r="B98" s="486">
        <f>B31</f>
        <v>111</v>
      </c>
      <c r="C98" s="559"/>
      <c r="D98" s="559"/>
      <c r="E98" s="559"/>
      <c r="F98" s="559"/>
      <c r="G98" s="559"/>
      <c r="H98" s="559"/>
      <c r="I98" s="559"/>
      <c r="J98" s="559"/>
      <c r="K98" s="566"/>
      <c r="L98" s="567"/>
      <c r="M98" s="568"/>
      <c r="N98" s="432"/>
      <c r="O98" s="432"/>
      <c r="P98" s="427"/>
      <c r="Q98" s="422"/>
      <c r="R98" s="338"/>
      <c r="S98" s="338"/>
      <c r="T98" s="338"/>
      <c r="U98" s="338"/>
      <c r="V98" s="338"/>
      <c r="W98" s="338"/>
      <c r="X98" s="338"/>
      <c r="Y98" s="338"/>
      <c r="Z98" s="338"/>
      <c r="AA98" s="338"/>
      <c r="AB98" s="338"/>
      <c r="AC98" s="338"/>
    </row>
    <row r="99" ht="15.75" spans="1:29">
      <c r="A99" s="549"/>
      <c r="B99" s="556"/>
      <c r="C99" s="560"/>
      <c r="D99" s="560"/>
      <c r="E99" s="560"/>
      <c r="F99" s="560"/>
      <c r="G99" s="560"/>
      <c r="H99" s="560"/>
      <c r="I99" s="560"/>
      <c r="J99" s="560"/>
      <c r="K99" s="560"/>
      <c r="L99" s="560"/>
      <c r="M99" s="569"/>
      <c r="N99" s="434"/>
      <c r="O99" s="434"/>
      <c r="P99" s="427"/>
      <c r="Q99" s="422"/>
      <c r="R99" s="338"/>
      <c r="S99" s="338"/>
      <c r="T99" s="338"/>
      <c r="U99" s="338"/>
      <c r="V99" s="338"/>
      <c r="W99" s="338"/>
      <c r="X99" s="338"/>
      <c r="Y99" s="338"/>
      <c r="Z99" s="338"/>
      <c r="AA99" s="338"/>
      <c r="AB99" s="338"/>
      <c r="AC99" s="338"/>
    </row>
    <row r="100" spans="1:29">
      <c r="A100" s="357" t="s">
        <v>1002</v>
      </c>
      <c r="B100" s="358" t="s">
        <v>2360</v>
      </c>
      <c r="C100" s="1136" t="s">
        <v>2361</v>
      </c>
      <c r="D100" s="1136" t="s">
        <v>2383</v>
      </c>
      <c r="E100" s="360"/>
      <c r="F100" s="360"/>
      <c r="G100" s="360"/>
      <c r="H100" s="360"/>
      <c r="I100" s="360"/>
      <c r="J100" s="360"/>
      <c r="K100" s="429"/>
      <c r="L100" s="430"/>
      <c r="M100" s="431"/>
      <c r="N100" s="432"/>
      <c r="O100" s="432"/>
      <c r="P100" s="427"/>
      <c r="Q100" s="422"/>
      <c r="R100" s="338"/>
      <c r="S100" s="338"/>
      <c r="T100" s="338"/>
      <c r="U100" s="338"/>
      <c r="V100" s="338"/>
      <c r="W100" s="338"/>
      <c r="X100" s="338"/>
      <c r="Y100" s="338"/>
      <c r="Z100" s="338"/>
      <c r="AA100" s="338"/>
      <c r="AB100" s="338"/>
      <c r="AC100" s="338"/>
    </row>
    <row r="101" ht="15.75" spans="1:29">
      <c r="A101" s="266"/>
      <c r="B101" s="365"/>
      <c r="C101" s="366">
        <v>100</v>
      </c>
      <c r="D101" s="366">
        <f t="shared" ref="D101:M101" si="22">C101-$K32</f>
        <v>99</v>
      </c>
      <c r="E101" s="366">
        <f t="shared" si="22"/>
        <v>98</v>
      </c>
      <c r="F101" s="366">
        <f t="shared" si="22"/>
        <v>97</v>
      </c>
      <c r="G101" s="366">
        <f t="shared" si="22"/>
        <v>96</v>
      </c>
      <c r="H101" s="366">
        <f t="shared" si="22"/>
        <v>95</v>
      </c>
      <c r="I101" s="366">
        <f t="shared" si="22"/>
        <v>94</v>
      </c>
      <c r="J101" s="366">
        <f t="shared" si="22"/>
        <v>93</v>
      </c>
      <c r="K101" s="366">
        <f t="shared" si="22"/>
        <v>92</v>
      </c>
      <c r="L101" s="366">
        <f t="shared" si="22"/>
        <v>91</v>
      </c>
      <c r="M101" s="366">
        <f t="shared" si="22"/>
        <v>90</v>
      </c>
      <c r="N101" s="434"/>
      <c r="O101" s="434"/>
      <c r="P101" s="427"/>
      <c r="Q101" s="422"/>
      <c r="R101" s="338"/>
      <c r="S101" s="338"/>
      <c r="T101" s="338"/>
      <c r="U101" s="338"/>
      <c r="V101" s="338"/>
      <c r="W101" s="338"/>
      <c r="X101" s="338"/>
      <c r="Y101" s="338"/>
      <c r="Z101" s="338"/>
      <c r="AA101" s="338"/>
      <c r="AB101" s="338"/>
      <c r="AC101" s="338"/>
    </row>
    <row r="102" ht="29.25" spans="1:29">
      <c r="A102" s="266"/>
      <c r="B102" s="363" t="s">
        <v>2362</v>
      </c>
      <c r="C102" s="376" t="str">
        <f>C103&amp;"(含)"&amp;"-"&amp;D103</f>
        <v>0(含)-100000</v>
      </c>
      <c r="D102" s="376" t="str">
        <f t="shared" ref="D102:L102" si="23">D103&amp;"(含)"&amp;"-"&amp;E103</f>
        <v>100000(含)-200000</v>
      </c>
      <c r="E102" s="376" t="str">
        <f t="shared" si="23"/>
        <v>200000(含)-300000</v>
      </c>
      <c r="F102" s="376" t="str">
        <f t="shared" si="23"/>
        <v>300000(含)-</v>
      </c>
      <c r="G102" s="376" t="str">
        <f t="shared" si="23"/>
        <v>(含)-</v>
      </c>
      <c r="H102" s="376" t="str">
        <f t="shared" si="23"/>
        <v>(含)-</v>
      </c>
      <c r="I102" s="376" t="str">
        <f t="shared" si="23"/>
        <v>(含)-</v>
      </c>
      <c r="J102" s="376" t="str">
        <f t="shared" si="23"/>
        <v>(含)-</v>
      </c>
      <c r="K102" s="376" t="str">
        <f t="shared" si="23"/>
        <v>(含)-</v>
      </c>
      <c r="L102" s="376" t="str">
        <f t="shared" si="23"/>
        <v>(含)-</v>
      </c>
      <c r="M102" s="376" t="str">
        <f>M103&amp;"(含)"&amp;"-"&amp;P103</f>
        <v>(含)-</v>
      </c>
      <c r="N102" s="427"/>
      <c r="O102" s="427"/>
      <c r="P102" s="427"/>
      <c r="Q102" s="422"/>
      <c r="R102" s="338"/>
      <c r="S102" s="338"/>
      <c r="T102" s="338"/>
      <c r="U102" s="338"/>
      <c r="V102" s="338"/>
      <c r="W102" s="338"/>
      <c r="X102" s="338"/>
      <c r="Y102" s="338"/>
      <c r="Z102" s="338"/>
      <c r="AA102" s="338"/>
      <c r="AB102" s="338"/>
      <c r="AC102" s="338"/>
    </row>
    <row r="103" s="191" customFormat="1" ht="15" spans="1:29">
      <c r="A103" s="296"/>
      <c r="B103" s="561"/>
      <c r="C103" s="489">
        <v>0</v>
      </c>
      <c r="D103" s="489">
        <v>100000</v>
      </c>
      <c r="E103" s="489">
        <v>200000</v>
      </c>
      <c r="F103" s="489">
        <v>300000</v>
      </c>
      <c r="G103" s="489"/>
      <c r="H103" s="489"/>
      <c r="I103" s="489"/>
      <c r="J103" s="502"/>
      <c r="K103" s="502"/>
      <c r="L103" s="503"/>
      <c r="M103" s="504"/>
      <c r="N103" s="444"/>
      <c r="O103" s="444"/>
      <c r="P103" s="444"/>
      <c r="Q103" s="475"/>
      <c r="R103" s="404"/>
      <c r="S103" s="404"/>
      <c r="T103" s="404"/>
      <c r="U103" s="404"/>
      <c r="V103" s="404"/>
      <c r="W103" s="404"/>
      <c r="X103" s="404"/>
      <c r="Y103" s="404"/>
      <c r="Z103" s="404"/>
      <c r="AA103" s="404"/>
      <c r="AB103" s="404"/>
      <c r="AC103" s="404"/>
    </row>
    <row r="104" s="191" customFormat="1" ht="15.75" spans="1:29">
      <c r="A104" s="370"/>
      <c r="B104" s="365"/>
      <c r="C104" s="369">
        <v>100</v>
      </c>
      <c r="D104" s="362">
        <v>101</v>
      </c>
      <c r="E104" s="362">
        <v>102</v>
      </c>
      <c r="F104" s="362">
        <v>103</v>
      </c>
      <c r="G104" s="362"/>
      <c r="H104" s="362"/>
      <c r="I104" s="362"/>
      <c r="J104" s="362"/>
      <c r="K104" s="362"/>
      <c r="L104" s="362"/>
      <c r="M104" s="362"/>
      <c r="N104" s="434"/>
      <c r="O104" s="434"/>
      <c r="P104" s="444"/>
      <c r="Q104" s="475"/>
      <c r="R104" s="404"/>
      <c r="S104" s="404"/>
      <c r="T104" s="404"/>
      <c r="U104" s="404"/>
      <c r="V104" s="404"/>
      <c r="W104" s="404"/>
      <c r="X104" s="404"/>
      <c r="Y104" s="404"/>
      <c r="Z104" s="404"/>
      <c r="AA104" s="404"/>
      <c r="AB104" s="404"/>
      <c r="AC104" s="404"/>
    </row>
    <row r="105" ht="15.75" spans="1:29">
      <c r="A105" s="301"/>
      <c r="B105" s="363" t="s">
        <v>2363</v>
      </c>
      <c r="C105" s="1135" t="s">
        <v>2076</v>
      </c>
      <c r="D105" s="371"/>
      <c r="E105" s="487"/>
      <c r="F105" s="487"/>
      <c r="G105" s="487"/>
      <c r="H105" s="487"/>
      <c r="I105" s="487"/>
      <c r="J105" s="487"/>
      <c r="K105" s="493"/>
      <c r="L105" s="494"/>
      <c r="M105" s="495"/>
      <c r="N105" s="432"/>
      <c r="O105" s="432"/>
      <c r="P105" s="427"/>
      <c r="Q105" s="422"/>
      <c r="R105" s="338"/>
      <c r="S105" s="338"/>
      <c r="T105" s="338"/>
      <c r="U105" s="338"/>
      <c r="V105" s="338"/>
      <c r="W105" s="338"/>
      <c r="X105" s="338"/>
      <c r="Y105" s="338"/>
      <c r="Z105" s="338"/>
      <c r="AA105" s="338"/>
      <c r="AB105" s="338"/>
      <c r="AC105" s="338"/>
    </row>
    <row r="106" ht="15.75" spans="1:29">
      <c r="A106" s="266"/>
      <c r="B106" s="365"/>
      <c r="C106" s="366">
        <v>100</v>
      </c>
      <c r="D106" s="366">
        <f t="shared" ref="D106:M106" si="24">C106-$K34</f>
        <v>100</v>
      </c>
      <c r="E106" s="366">
        <f t="shared" si="24"/>
        <v>100</v>
      </c>
      <c r="F106" s="366">
        <f t="shared" si="24"/>
        <v>100</v>
      </c>
      <c r="G106" s="366">
        <f t="shared" si="24"/>
        <v>100</v>
      </c>
      <c r="H106" s="366">
        <f t="shared" si="24"/>
        <v>100</v>
      </c>
      <c r="I106" s="366">
        <f t="shared" si="24"/>
        <v>100</v>
      </c>
      <c r="J106" s="366">
        <f t="shared" si="24"/>
        <v>100</v>
      </c>
      <c r="K106" s="366">
        <f t="shared" si="24"/>
        <v>100</v>
      </c>
      <c r="L106" s="366">
        <f t="shared" si="24"/>
        <v>100</v>
      </c>
      <c r="M106" s="366">
        <f t="shared" si="24"/>
        <v>100</v>
      </c>
      <c r="N106" s="434"/>
      <c r="O106" s="434"/>
      <c r="P106" s="427"/>
      <c r="Q106" s="422"/>
      <c r="R106" s="338"/>
      <c r="S106" s="338"/>
      <c r="T106" s="338"/>
      <c r="U106" s="338"/>
      <c r="V106" s="338"/>
      <c r="W106" s="338"/>
      <c r="X106" s="338"/>
      <c r="Y106" s="338"/>
      <c r="Z106" s="338"/>
      <c r="AA106" s="338"/>
      <c r="AB106" s="338"/>
      <c r="AC106" s="338"/>
    </row>
    <row r="107" ht="15.75" spans="1:29">
      <c r="A107" s="301"/>
      <c r="B107" s="363" t="s">
        <v>2364</v>
      </c>
      <c r="C107" s="487"/>
      <c r="D107" s="487"/>
      <c r="E107" s="487"/>
      <c r="F107" s="487"/>
      <c r="G107" s="487"/>
      <c r="H107" s="487"/>
      <c r="I107" s="487"/>
      <c r="J107" s="487"/>
      <c r="K107" s="493"/>
      <c r="L107" s="494"/>
      <c r="M107" s="495"/>
      <c r="N107" s="432"/>
      <c r="O107" s="432"/>
      <c r="P107" s="427"/>
      <c r="Q107" s="422"/>
      <c r="R107" s="338"/>
      <c r="S107" s="338"/>
      <c r="T107" s="338"/>
      <c r="U107" s="338"/>
      <c r="V107" s="338"/>
      <c r="W107" s="338"/>
      <c r="X107" s="338"/>
      <c r="Y107" s="338"/>
      <c r="Z107" s="338"/>
      <c r="AA107" s="338"/>
      <c r="AB107" s="338"/>
      <c r="AC107" s="338"/>
    </row>
    <row r="108" ht="15.75" spans="1:29">
      <c r="A108" s="266"/>
      <c r="B108" s="365"/>
      <c r="C108" s="366">
        <v>100</v>
      </c>
      <c r="D108" s="366">
        <f t="shared" ref="D108:M108" si="25">C108-$K35</f>
        <v>100</v>
      </c>
      <c r="E108" s="366">
        <f t="shared" si="25"/>
        <v>100</v>
      </c>
      <c r="F108" s="366">
        <f t="shared" si="25"/>
        <v>100</v>
      </c>
      <c r="G108" s="366">
        <f t="shared" si="25"/>
        <v>100</v>
      </c>
      <c r="H108" s="366">
        <f t="shared" si="25"/>
        <v>100</v>
      </c>
      <c r="I108" s="366">
        <f t="shared" si="25"/>
        <v>100</v>
      </c>
      <c r="J108" s="366">
        <f t="shared" si="25"/>
        <v>100</v>
      </c>
      <c r="K108" s="366">
        <f t="shared" si="25"/>
        <v>100</v>
      </c>
      <c r="L108" s="366">
        <f t="shared" si="25"/>
        <v>100</v>
      </c>
      <c r="M108" s="366">
        <f t="shared" si="25"/>
        <v>100</v>
      </c>
      <c r="N108" s="434"/>
      <c r="O108" s="434"/>
      <c r="P108" s="427"/>
      <c r="Q108" s="422"/>
      <c r="R108" s="338"/>
      <c r="S108" s="338"/>
      <c r="T108" s="338"/>
      <c r="U108" s="338"/>
      <c r="V108" s="338"/>
      <c r="W108" s="338"/>
      <c r="X108" s="338"/>
      <c r="Y108" s="338"/>
      <c r="Z108" s="338"/>
      <c r="AA108" s="338"/>
      <c r="AB108" s="338"/>
      <c r="AC108" s="338"/>
    </row>
    <row r="109" ht="15.75" spans="1:29">
      <c r="A109" s="301"/>
      <c r="B109" s="363" t="s">
        <v>2365</v>
      </c>
      <c r="C109" s="1135" t="s">
        <v>2366</v>
      </c>
      <c r="D109" s="371"/>
      <c r="E109" s="371"/>
      <c r="F109" s="487"/>
      <c r="G109" s="487"/>
      <c r="H109" s="487"/>
      <c r="I109" s="487"/>
      <c r="J109" s="487"/>
      <c r="K109" s="493"/>
      <c r="L109" s="494"/>
      <c r="M109" s="495"/>
      <c r="N109" s="432"/>
      <c r="O109" s="432"/>
      <c r="P109" s="427"/>
      <c r="Q109" s="422"/>
      <c r="R109" s="338"/>
      <c r="S109" s="338"/>
      <c r="T109" s="338"/>
      <c r="U109" s="338"/>
      <c r="V109" s="338"/>
      <c r="W109" s="338"/>
      <c r="X109" s="338"/>
      <c r="Y109" s="338"/>
      <c r="Z109" s="338"/>
      <c r="AA109" s="338"/>
      <c r="AB109" s="338"/>
      <c r="AC109" s="338"/>
    </row>
    <row r="110" ht="15.75" spans="1:29">
      <c r="A110" s="266"/>
      <c r="B110" s="365"/>
      <c r="C110" s="366">
        <v>100</v>
      </c>
      <c r="D110" s="366">
        <f t="shared" ref="D110:M110" si="26">C110-$K36</f>
        <v>100</v>
      </c>
      <c r="E110" s="366">
        <f t="shared" si="26"/>
        <v>100</v>
      </c>
      <c r="F110" s="366">
        <f t="shared" si="26"/>
        <v>100</v>
      </c>
      <c r="G110" s="366">
        <f t="shared" si="26"/>
        <v>100</v>
      </c>
      <c r="H110" s="366">
        <f t="shared" si="26"/>
        <v>100</v>
      </c>
      <c r="I110" s="366">
        <f t="shared" si="26"/>
        <v>100</v>
      </c>
      <c r="J110" s="366">
        <f t="shared" si="26"/>
        <v>100</v>
      </c>
      <c r="K110" s="366">
        <f t="shared" si="26"/>
        <v>100</v>
      </c>
      <c r="L110" s="366">
        <f t="shared" si="26"/>
        <v>100</v>
      </c>
      <c r="M110" s="366">
        <f t="shared" si="26"/>
        <v>100</v>
      </c>
      <c r="N110" s="434"/>
      <c r="O110" s="434"/>
      <c r="P110" s="427"/>
      <c r="Q110" s="422"/>
      <c r="R110" s="338"/>
      <c r="S110" s="338"/>
      <c r="T110" s="338"/>
      <c r="U110" s="338"/>
      <c r="V110" s="338"/>
      <c r="W110" s="338"/>
      <c r="X110" s="338"/>
      <c r="Y110" s="338"/>
      <c r="Z110" s="338"/>
      <c r="AA110" s="338"/>
      <c r="AB110" s="338"/>
      <c r="AC110" s="338"/>
    </row>
    <row r="111" s="191" customFormat="1" ht="15.75" spans="1:29">
      <c r="A111" s="296"/>
      <c r="B111" s="363" t="s">
        <v>2367</v>
      </c>
      <c r="C111" s="376" t="str">
        <f>C112&amp;"(含)"&amp;"-"&amp;D112</f>
        <v>0.5(含)-0.6</v>
      </c>
      <c r="D111" s="376" t="str">
        <f>D112&amp;"(含)"&amp;"-"&amp;E112</f>
        <v>0.6(含)-0.7</v>
      </c>
      <c r="E111" s="376" t="str">
        <f>E112&amp;"(含)"&amp;"-"&amp;F112</f>
        <v>0.7(含)-0.8</v>
      </c>
      <c r="F111" s="376" t="str">
        <f>F112&amp;"(含)"&amp;"-"&amp;G112</f>
        <v>0.8(含)-0.9</v>
      </c>
      <c r="G111" s="376" t="str">
        <f>G112&amp;"(含)"&amp;"-"&amp;ROUND(H112,0)</f>
        <v>0.9(含)-1</v>
      </c>
      <c r="H111" s="376" t="str">
        <f>ROUND(H112,0)&amp;"(含)"&amp;"-"&amp;I112</f>
        <v>1(含)-</v>
      </c>
      <c r="I111" s="376"/>
      <c r="J111" s="1185"/>
      <c r="K111" s="1185"/>
      <c r="L111" s="1186"/>
      <c r="M111" s="1187"/>
      <c r="N111" s="444"/>
      <c r="O111" s="444"/>
      <c r="P111" s="444"/>
      <c r="Q111" s="475"/>
      <c r="R111" s="404"/>
      <c r="S111" s="404"/>
      <c r="T111" s="404"/>
      <c r="U111" s="404"/>
      <c r="V111" s="404"/>
      <c r="W111" s="404"/>
      <c r="X111" s="404"/>
      <c r="Y111" s="404"/>
      <c r="Z111" s="404"/>
      <c r="AA111" s="404"/>
      <c r="AB111" s="404"/>
      <c r="AC111" s="404"/>
    </row>
    <row r="112" s="191" customFormat="1" ht="15" spans="1:29">
      <c r="A112" s="296"/>
      <c r="B112" s="486"/>
      <c r="C112" s="466">
        <v>0.5</v>
      </c>
      <c r="D112" s="466">
        <v>0.6</v>
      </c>
      <c r="E112" s="466">
        <v>0.7</v>
      </c>
      <c r="F112" s="466">
        <v>0.8</v>
      </c>
      <c r="G112" s="466">
        <v>0.9</v>
      </c>
      <c r="H112" s="466">
        <v>1.0001</v>
      </c>
      <c r="I112" s="466"/>
      <c r="J112" s="469"/>
      <c r="K112" s="469"/>
      <c r="L112" s="1188"/>
      <c r="M112" s="1189"/>
      <c r="N112" s="444"/>
      <c r="O112" s="444"/>
      <c r="P112" s="444"/>
      <c r="Q112" s="475"/>
      <c r="R112" s="404"/>
      <c r="S112" s="404"/>
      <c r="T112" s="404"/>
      <c r="U112" s="404"/>
      <c r="V112" s="404"/>
      <c r="W112" s="404"/>
      <c r="X112" s="404"/>
      <c r="Y112" s="404"/>
      <c r="Z112" s="404"/>
      <c r="AA112" s="404"/>
      <c r="AB112" s="404"/>
      <c r="AC112" s="404"/>
    </row>
    <row r="113" s="191" customFormat="1" ht="15.75" spans="1:29">
      <c r="A113" s="370"/>
      <c r="B113" s="365"/>
      <c r="C113" s="488">
        <v>100</v>
      </c>
      <c r="D113" s="366">
        <f>C113+$K37</f>
        <v>100</v>
      </c>
      <c r="E113" s="366">
        <f>D113+$K37</f>
        <v>100</v>
      </c>
      <c r="F113" s="366">
        <f>E113+$K37</f>
        <v>100</v>
      </c>
      <c r="G113" s="366">
        <f>F113+$K37</f>
        <v>100</v>
      </c>
      <c r="H113" s="366">
        <f>G113+$K37</f>
        <v>100</v>
      </c>
      <c r="I113" s="488"/>
      <c r="J113" s="1190"/>
      <c r="K113" s="1190"/>
      <c r="L113" s="1190"/>
      <c r="M113" s="1191"/>
      <c r="N113" s="444"/>
      <c r="O113" s="444"/>
      <c r="P113" s="444"/>
      <c r="Q113" s="475"/>
      <c r="R113" s="404"/>
      <c r="S113" s="404"/>
      <c r="T113" s="404"/>
      <c r="U113" s="404"/>
      <c r="V113" s="404"/>
      <c r="W113" s="404"/>
      <c r="X113" s="404"/>
      <c r="Y113" s="404"/>
      <c r="Z113" s="404"/>
      <c r="AA113" s="404"/>
      <c r="AB113" s="404"/>
      <c r="AC113" s="404"/>
    </row>
    <row r="114" ht="15.75" spans="1:29">
      <c r="A114" s="301"/>
      <c r="B114" s="363" t="s">
        <v>2368</v>
      </c>
      <c r="C114" s="1135" t="s">
        <v>2369</v>
      </c>
      <c r="D114" s="371"/>
      <c r="E114" s="487"/>
      <c r="F114" s="487"/>
      <c r="G114" s="487"/>
      <c r="H114" s="487"/>
      <c r="I114" s="487"/>
      <c r="J114" s="487"/>
      <c r="K114" s="493"/>
      <c r="L114" s="494"/>
      <c r="M114" s="495"/>
      <c r="N114" s="432"/>
      <c r="O114" s="432"/>
      <c r="P114" s="427"/>
      <c r="Q114" s="422"/>
      <c r="R114" s="338"/>
      <c r="S114" s="338"/>
      <c r="T114" s="338"/>
      <c r="U114" s="338"/>
      <c r="V114" s="338"/>
      <c r="W114" s="338"/>
      <c r="X114" s="338"/>
      <c r="Y114" s="338"/>
      <c r="Z114" s="338"/>
      <c r="AA114" s="338"/>
      <c r="AB114" s="338"/>
      <c r="AC114" s="338"/>
    </row>
    <row r="115" ht="15.75" spans="1:29">
      <c r="A115" s="266"/>
      <c r="B115" s="365"/>
      <c r="C115" s="366">
        <v>100</v>
      </c>
      <c r="D115" s="366">
        <f t="shared" ref="D115:M115" si="27">C115-$K38</f>
        <v>100</v>
      </c>
      <c r="E115" s="366">
        <f t="shared" si="27"/>
        <v>100</v>
      </c>
      <c r="F115" s="366">
        <f t="shared" si="27"/>
        <v>100</v>
      </c>
      <c r="G115" s="366">
        <f t="shared" si="27"/>
        <v>100</v>
      </c>
      <c r="H115" s="366">
        <f t="shared" si="27"/>
        <v>100</v>
      </c>
      <c r="I115" s="366">
        <f t="shared" si="27"/>
        <v>100</v>
      </c>
      <c r="J115" s="366">
        <f t="shared" si="27"/>
        <v>100</v>
      </c>
      <c r="K115" s="366">
        <f t="shared" si="27"/>
        <v>100</v>
      </c>
      <c r="L115" s="366">
        <f t="shared" si="27"/>
        <v>100</v>
      </c>
      <c r="M115" s="366">
        <f t="shared" si="27"/>
        <v>100</v>
      </c>
      <c r="N115" s="434"/>
      <c r="O115" s="434"/>
      <c r="P115" s="427"/>
      <c r="Q115" s="422"/>
      <c r="R115" s="338"/>
      <c r="S115" s="338"/>
      <c r="T115" s="338"/>
      <c r="U115" s="338"/>
      <c r="V115" s="338"/>
      <c r="W115" s="338"/>
      <c r="X115" s="338"/>
      <c r="Y115" s="338"/>
      <c r="Z115" s="338"/>
      <c r="AA115" s="338"/>
      <c r="AB115" s="338"/>
      <c r="AC115" s="338"/>
    </row>
    <row r="116" ht="15.75" spans="1:29">
      <c r="A116" s="301"/>
      <c r="B116" s="375" t="s">
        <v>2370</v>
      </c>
      <c r="C116" s="1135" t="s">
        <v>247</v>
      </c>
      <c r="D116" s="371"/>
      <c r="E116" s="371"/>
      <c r="F116" s="371"/>
      <c r="G116" s="371"/>
      <c r="H116" s="487"/>
      <c r="I116" s="487"/>
      <c r="J116" s="487"/>
      <c r="K116" s="493"/>
      <c r="L116" s="494"/>
      <c r="M116" s="495"/>
      <c r="N116" s="432"/>
      <c r="O116" s="432"/>
      <c r="P116" s="427"/>
      <c r="Q116" s="422"/>
      <c r="R116" s="338"/>
      <c r="S116" s="338"/>
      <c r="T116" s="338"/>
      <c r="U116" s="338"/>
      <c r="V116" s="338"/>
      <c r="W116" s="338"/>
      <c r="X116" s="338"/>
      <c r="Y116" s="338"/>
      <c r="Z116" s="338"/>
      <c r="AA116" s="338"/>
      <c r="AB116" s="338"/>
      <c r="AC116" s="338"/>
    </row>
    <row r="117" ht="15.75" spans="1:29">
      <c r="A117" s="266"/>
      <c r="B117" s="365"/>
      <c r="C117" s="366">
        <v>100</v>
      </c>
      <c r="D117" s="366">
        <f>C117-$K39</f>
        <v>100</v>
      </c>
      <c r="E117" s="366">
        <f>D117-$K39</f>
        <v>100</v>
      </c>
      <c r="F117" s="366">
        <f>E117-$K39</f>
        <v>100</v>
      </c>
      <c r="G117" s="366">
        <f>F117-$K39</f>
        <v>100</v>
      </c>
      <c r="H117" s="366"/>
      <c r="I117" s="366"/>
      <c r="J117" s="366"/>
      <c r="K117" s="366"/>
      <c r="L117" s="366"/>
      <c r="M117" s="438"/>
      <c r="N117" s="434"/>
      <c r="O117" s="434"/>
      <c r="P117" s="427"/>
      <c r="Q117" s="422"/>
      <c r="R117" s="338"/>
      <c r="S117" s="338"/>
      <c r="T117" s="338"/>
      <c r="U117" s="338"/>
      <c r="V117" s="338"/>
      <c r="W117" s="338"/>
      <c r="X117" s="338"/>
      <c r="Y117" s="338"/>
      <c r="Z117" s="338"/>
      <c r="AA117" s="338"/>
      <c r="AB117" s="338"/>
      <c r="AC117" s="338"/>
    </row>
    <row r="118" ht="15.75" spans="1:29">
      <c r="A118" s="301"/>
      <c r="B118" s="363" t="s">
        <v>2371</v>
      </c>
      <c r="C118" s="487"/>
      <c r="D118" s="487"/>
      <c r="E118" s="487"/>
      <c r="F118" s="487"/>
      <c r="G118" s="487"/>
      <c r="H118" s="487"/>
      <c r="I118" s="487"/>
      <c r="J118" s="487"/>
      <c r="K118" s="493"/>
      <c r="L118" s="494"/>
      <c r="M118" s="495"/>
      <c r="N118" s="432"/>
      <c r="O118" s="432"/>
      <c r="P118" s="427"/>
      <c r="Q118" s="422"/>
      <c r="R118" s="338"/>
      <c r="S118" s="338"/>
      <c r="T118" s="338"/>
      <c r="U118" s="338"/>
      <c r="V118" s="338"/>
      <c r="W118" s="338"/>
      <c r="X118" s="338"/>
      <c r="Y118" s="338"/>
      <c r="Z118" s="338"/>
      <c r="AA118" s="338"/>
      <c r="AB118" s="338"/>
      <c r="AC118" s="338"/>
    </row>
    <row r="119" ht="15.75" spans="1:29">
      <c r="A119" s="266"/>
      <c r="B119" s="365"/>
      <c r="C119" s="366">
        <v>100</v>
      </c>
      <c r="D119" s="366">
        <f t="shared" ref="D119:M119" si="28">C119-$K40</f>
        <v>100</v>
      </c>
      <c r="E119" s="366">
        <f t="shared" si="28"/>
        <v>100</v>
      </c>
      <c r="F119" s="366">
        <f t="shared" si="28"/>
        <v>100</v>
      </c>
      <c r="G119" s="366">
        <f t="shared" si="28"/>
        <v>100</v>
      </c>
      <c r="H119" s="366">
        <f t="shared" si="28"/>
        <v>100</v>
      </c>
      <c r="I119" s="366">
        <f t="shared" si="28"/>
        <v>100</v>
      </c>
      <c r="J119" s="366">
        <f t="shared" si="28"/>
        <v>100</v>
      </c>
      <c r="K119" s="366">
        <f t="shared" si="28"/>
        <v>100</v>
      </c>
      <c r="L119" s="366">
        <f t="shared" si="28"/>
        <v>100</v>
      </c>
      <c r="M119" s="366">
        <f t="shared" si="28"/>
        <v>100</v>
      </c>
      <c r="N119" s="434"/>
      <c r="O119" s="434"/>
      <c r="P119" s="427"/>
      <c r="Q119" s="422"/>
      <c r="R119" s="338"/>
      <c r="S119" s="338"/>
      <c r="T119" s="338"/>
      <c r="U119" s="338"/>
      <c r="V119" s="338"/>
      <c r="W119" s="338"/>
      <c r="X119" s="338"/>
      <c r="Y119" s="338"/>
      <c r="Z119" s="338"/>
      <c r="AA119" s="338"/>
      <c r="AB119" s="338"/>
      <c r="AC119" s="338"/>
    </row>
    <row r="120" s="191" customFormat="1" ht="28.5" spans="1:29">
      <c r="A120" s="296"/>
      <c r="B120" s="363" t="s">
        <v>2372</v>
      </c>
      <c r="C120" s="371"/>
      <c r="D120" s="371"/>
      <c r="E120" s="371"/>
      <c r="F120" s="371"/>
      <c r="G120" s="371"/>
      <c r="H120" s="371"/>
      <c r="I120" s="371"/>
      <c r="J120" s="371"/>
      <c r="K120" s="371"/>
      <c r="L120" s="496"/>
      <c r="M120" s="497"/>
      <c r="N120" s="444"/>
      <c r="O120" s="444"/>
      <c r="P120" s="444"/>
      <c r="Q120" s="475"/>
      <c r="R120" s="404"/>
      <c r="S120" s="404"/>
      <c r="T120" s="404"/>
      <c r="U120" s="404"/>
      <c r="V120" s="404"/>
      <c r="W120" s="404"/>
      <c r="X120" s="404"/>
      <c r="Y120" s="404"/>
      <c r="Z120" s="404"/>
      <c r="AA120" s="404"/>
      <c r="AB120" s="404"/>
      <c r="AC120" s="404"/>
    </row>
    <row r="121" s="191" customFormat="1" ht="15.75" spans="1:29">
      <c r="A121" s="370"/>
      <c r="B121" s="361"/>
      <c r="C121" s="369"/>
      <c r="D121" s="362"/>
      <c r="E121" s="362"/>
      <c r="F121" s="362"/>
      <c r="G121" s="362"/>
      <c r="H121" s="362"/>
      <c r="I121" s="362"/>
      <c r="J121" s="362"/>
      <c r="K121" s="362"/>
      <c r="L121" s="362"/>
      <c r="M121" s="362"/>
      <c r="N121" s="444"/>
      <c r="O121" s="444"/>
      <c r="P121" s="444"/>
      <c r="Q121" s="475"/>
      <c r="R121" s="404"/>
      <c r="S121" s="404"/>
      <c r="T121" s="404"/>
      <c r="U121" s="404"/>
      <c r="V121" s="404"/>
      <c r="W121" s="404"/>
      <c r="X121" s="404"/>
      <c r="Y121" s="404"/>
      <c r="Z121" s="404"/>
      <c r="AA121" s="404"/>
      <c r="AB121" s="404"/>
      <c r="AC121" s="404"/>
    </row>
    <row r="122" ht="15.75" spans="1:29">
      <c r="A122" s="301"/>
      <c r="B122" s="363" t="s">
        <v>2373</v>
      </c>
      <c r="C122" s="1135" t="s">
        <v>2366</v>
      </c>
      <c r="D122" s="1135" t="s">
        <v>2384</v>
      </c>
      <c r="E122" s="1135" t="s">
        <v>2385</v>
      </c>
      <c r="F122" s="1184" t="s">
        <v>2374</v>
      </c>
      <c r="G122" s="487"/>
      <c r="H122" s="487"/>
      <c r="I122" s="487"/>
      <c r="J122" s="487"/>
      <c r="K122" s="493"/>
      <c r="L122" s="494"/>
      <c r="M122" s="495"/>
      <c r="N122" s="432"/>
      <c r="O122" s="432"/>
      <c r="P122" s="427"/>
      <c r="Q122" s="422"/>
      <c r="R122" s="338"/>
      <c r="S122" s="338"/>
      <c r="T122" s="338"/>
      <c r="U122" s="338"/>
      <c r="V122" s="338"/>
      <c r="W122" s="338"/>
      <c r="X122" s="338"/>
      <c r="Y122" s="338"/>
      <c r="Z122" s="338"/>
      <c r="AA122" s="338"/>
      <c r="AB122" s="338"/>
      <c r="AC122" s="338"/>
    </row>
    <row r="123" ht="15.75" spans="1:29">
      <c r="A123" s="266"/>
      <c r="B123" s="365"/>
      <c r="C123" s="366">
        <v>100</v>
      </c>
      <c r="D123" s="366">
        <f t="shared" ref="D123:M123" si="29">C123-$K42</f>
        <v>99</v>
      </c>
      <c r="E123" s="366">
        <f t="shared" si="29"/>
        <v>98</v>
      </c>
      <c r="F123" s="366">
        <f t="shared" si="29"/>
        <v>97</v>
      </c>
      <c r="G123" s="366">
        <f t="shared" si="29"/>
        <v>96</v>
      </c>
      <c r="H123" s="366">
        <f t="shared" si="29"/>
        <v>95</v>
      </c>
      <c r="I123" s="366">
        <f t="shared" si="29"/>
        <v>94</v>
      </c>
      <c r="J123" s="366">
        <f t="shared" si="29"/>
        <v>93</v>
      </c>
      <c r="K123" s="366">
        <f t="shared" si="29"/>
        <v>92</v>
      </c>
      <c r="L123" s="366">
        <f t="shared" si="29"/>
        <v>91</v>
      </c>
      <c r="M123" s="366">
        <f t="shared" si="29"/>
        <v>90</v>
      </c>
      <c r="N123" s="434"/>
      <c r="O123" s="434"/>
      <c r="P123" s="427"/>
      <c r="Q123" s="422"/>
      <c r="R123" s="338"/>
      <c r="S123" s="338"/>
      <c r="T123" s="338"/>
      <c r="U123" s="338"/>
      <c r="V123" s="338"/>
      <c r="W123" s="338"/>
      <c r="X123" s="338"/>
      <c r="Y123" s="338"/>
      <c r="Z123" s="338"/>
      <c r="AA123" s="338"/>
      <c r="AB123" s="338"/>
      <c r="AC123" s="338"/>
    </row>
    <row r="124" ht="15.75" spans="1:29">
      <c r="A124" s="301"/>
      <c r="B124" s="363" t="s">
        <v>235</v>
      </c>
      <c r="C124" s="376" t="s">
        <v>246</v>
      </c>
      <c r="D124" s="376" t="s">
        <v>258</v>
      </c>
      <c r="E124" s="376" t="s">
        <v>269</v>
      </c>
      <c r="F124" s="376" t="s">
        <v>279</v>
      </c>
      <c r="G124" s="376" t="s">
        <v>287</v>
      </c>
      <c r="H124" s="364"/>
      <c r="I124" s="364"/>
      <c r="J124" s="364"/>
      <c r="K124" s="435"/>
      <c r="L124" s="436"/>
      <c r="M124" s="437"/>
      <c r="N124" s="432"/>
      <c r="O124" s="432"/>
      <c r="P124" s="444"/>
      <c r="Q124" s="422"/>
      <c r="R124" s="338"/>
      <c r="S124" s="338"/>
      <c r="T124" s="338"/>
      <c r="U124" s="338"/>
      <c r="V124" s="338"/>
      <c r="W124" s="338"/>
      <c r="X124" s="338"/>
      <c r="Y124" s="338"/>
      <c r="Z124" s="338"/>
      <c r="AA124" s="338"/>
      <c r="AB124" s="338"/>
      <c r="AC124" s="338"/>
    </row>
    <row r="125" ht="15.75" spans="1:29">
      <c r="A125" s="266"/>
      <c r="B125" s="365"/>
      <c r="C125" s="366">
        <v>100</v>
      </c>
      <c r="D125" s="366">
        <f>C125-$K43</f>
        <v>100</v>
      </c>
      <c r="E125" s="366">
        <f>D125-$K43</f>
        <v>100</v>
      </c>
      <c r="F125" s="366">
        <f>E125-$K43</f>
        <v>100</v>
      </c>
      <c r="G125" s="366">
        <f>F125-$K43</f>
        <v>100</v>
      </c>
      <c r="H125" s="366"/>
      <c r="I125" s="366"/>
      <c r="J125" s="366"/>
      <c r="K125" s="366"/>
      <c r="L125" s="366"/>
      <c r="M125" s="438"/>
      <c r="N125" s="434"/>
      <c r="O125" s="434"/>
      <c r="P125" s="427"/>
      <c r="Q125" s="422"/>
      <c r="R125" s="338"/>
      <c r="S125" s="338"/>
      <c r="T125" s="338"/>
      <c r="U125" s="338"/>
      <c r="V125" s="338"/>
      <c r="W125" s="338"/>
      <c r="X125" s="338"/>
      <c r="Y125" s="338"/>
      <c r="Z125" s="338"/>
      <c r="AA125" s="338"/>
      <c r="AB125" s="338"/>
      <c r="AC125" s="338"/>
    </row>
    <row r="126" s="191" customFormat="1" ht="15.75" spans="1:29">
      <c r="A126" s="296"/>
      <c r="B126" s="363">
        <f>B44</f>
        <v>111</v>
      </c>
      <c r="C126" s="371"/>
      <c r="D126" s="371"/>
      <c r="E126" s="371"/>
      <c r="F126" s="371"/>
      <c r="G126" s="371"/>
      <c r="H126" s="372"/>
      <c r="I126" s="372"/>
      <c r="J126" s="372"/>
      <c r="K126" s="372"/>
      <c r="L126" s="442"/>
      <c r="M126" s="443"/>
      <c r="N126" s="444"/>
      <c r="O126" s="444"/>
      <c r="P126" s="444"/>
      <c r="Q126" s="475"/>
      <c r="R126" s="404"/>
      <c r="S126" s="404"/>
      <c r="T126" s="404"/>
      <c r="U126" s="404"/>
      <c r="V126" s="404"/>
      <c r="W126" s="404"/>
      <c r="X126" s="404"/>
      <c r="Y126" s="404"/>
      <c r="Z126" s="404"/>
      <c r="AA126" s="404"/>
      <c r="AB126" s="404"/>
      <c r="AC126" s="404"/>
    </row>
    <row r="127" s="191" customFormat="1" ht="15.75" spans="1:29">
      <c r="A127" s="370"/>
      <c r="B127" s="365"/>
      <c r="C127" s="369"/>
      <c r="D127" s="362"/>
      <c r="E127" s="362"/>
      <c r="F127" s="362"/>
      <c r="G127" s="369"/>
      <c r="H127" s="373"/>
      <c r="I127" s="373"/>
      <c r="J127" s="373"/>
      <c r="K127" s="373"/>
      <c r="L127" s="373"/>
      <c r="M127" s="445"/>
      <c r="N127" s="444"/>
      <c r="O127" s="444"/>
      <c r="P127" s="444"/>
      <c r="Q127" s="475"/>
      <c r="R127" s="404"/>
      <c r="S127" s="404"/>
      <c r="T127" s="404"/>
      <c r="U127" s="404"/>
      <c r="V127" s="404"/>
      <c r="W127" s="404"/>
      <c r="X127" s="404"/>
      <c r="Y127" s="404"/>
      <c r="Z127" s="404"/>
      <c r="AA127" s="404"/>
      <c r="AB127" s="404"/>
      <c r="AC127" s="404"/>
    </row>
    <row r="128" ht="15.75" spans="1:29">
      <c r="A128" s="301"/>
      <c r="B128" s="363">
        <f>B45</f>
        <v>111</v>
      </c>
      <c r="C128" s="371"/>
      <c r="D128" s="371"/>
      <c r="E128" s="371"/>
      <c r="F128" s="371"/>
      <c r="G128" s="487"/>
      <c r="H128" s="487"/>
      <c r="I128" s="487"/>
      <c r="J128" s="487"/>
      <c r="K128" s="493"/>
      <c r="L128" s="494"/>
      <c r="M128" s="495"/>
      <c r="N128" s="432"/>
      <c r="O128" s="432"/>
      <c r="P128" s="427"/>
      <c r="Q128" s="422"/>
      <c r="R128" s="338"/>
      <c r="S128" s="338"/>
      <c r="T128" s="338"/>
      <c r="U128" s="338"/>
      <c r="V128" s="338"/>
      <c r="W128" s="338"/>
      <c r="X128" s="338"/>
      <c r="Y128" s="338"/>
      <c r="Z128" s="338"/>
      <c r="AA128" s="338"/>
      <c r="AB128" s="338"/>
      <c r="AC128" s="338"/>
    </row>
    <row r="129" ht="15.75" spans="1:29">
      <c r="A129" s="266"/>
      <c r="B129" s="365"/>
      <c r="C129" s="369"/>
      <c r="D129" s="369"/>
      <c r="E129" s="369"/>
      <c r="F129" s="369"/>
      <c r="G129" s="362"/>
      <c r="H129" s="362"/>
      <c r="I129" s="362"/>
      <c r="J129" s="362"/>
      <c r="K129" s="362"/>
      <c r="L129" s="362"/>
      <c r="M129" s="433"/>
      <c r="N129" s="434"/>
      <c r="O129" s="434"/>
      <c r="P129" s="427"/>
      <c r="Q129" s="422"/>
      <c r="R129" s="338"/>
      <c r="S129" s="338"/>
      <c r="T129" s="338"/>
      <c r="U129" s="338"/>
      <c r="V129" s="338"/>
      <c r="W129" s="338"/>
      <c r="X129" s="338"/>
      <c r="Y129" s="338"/>
      <c r="Z129" s="338"/>
      <c r="AA129" s="338"/>
      <c r="AB129" s="338"/>
      <c r="AC129" s="338"/>
    </row>
    <row r="130" ht="15.75" spans="1:29">
      <c r="A130" s="301"/>
      <c r="B130" s="486">
        <f>B46</f>
        <v>111</v>
      </c>
      <c r="C130" s="371"/>
      <c r="D130" s="371"/>
      <c r="E130" s="371"/>
      <c r="F130" s="371"/>
      <c r="G130" s="559"/>
      <c r="H130" s="559"/>
      <c r="I130" s="559"/>
      <c r="J130" s="559"/>
      <c r="K130" s="356"/>
      <c r="L130" s="425"/>
      <c r="M130" s="568"/>
      <c r="N130" s="432"/>
      <c r="O130" s="432"/>
      <c r="P130" s="427"/>
      <c r="Q130" s="422"/>
      <c r="R130" s="338"/>
      <c r="S130" s="338"/>
      <c r="T130" s="338"/>
      <c r="U130" s="338"/>
      <c r="V130" s="338"/>
      <c r="W130" s="338"/>
      <c r="X130" s="338"/>
      <c r="Y130" s="338"/>
      <c r="Z130" s="338"/>
      <c r="AA130" s="338"/>
      <c r="AB130" s="338"/>
      <c r="AC130" s="338"/>
    </row>
    <row r="131" ht="15.75" spans="1:29">
      <c r="A131" s="549"/>
      <c r="B131" s="556"/>
      <c r="C131" s="557"/>
      <c r="D131" s="557"/>
      <c r="E131" s="557"/>
      <c r="F131" s="557"/>
      <c r="G131" s="560"/>
      <c r="H131" s="560"/>
      <c r="I131" s="560"/>
      <c r="J131" s="560"/>
      <c r="K131" s="560"/>
      <c r="L131" s="560"/>
      <c r="M131" s="569"/>
      <c r="N131" s="434"/>
      <c r="O131" s="434"/>
      <c r="P131" s="427"/>
      <c r="Q131" s="422"/>
      <c r="R131" s="338"/>
      <c r="S131" s="338"/>
      <c r="T131" s="338"/>
      <c r="U131" s="338"/>
      <c r="V131" s="338"/>
      <c r="W131" s="338"/>
      <c r="X131" s="338"/>
      <c r="Y131" s="338"/>
      <c r="Z131" s="338"/>
      <c r="AA131" s="338"/>
      <c r="AB131" s="338"/>
      <c r="AC131" s="338"/>
    </row>
    <row r="132" spans="1:29">
      <c r="A132" s="491"/>
      <c r="B132" s="491"/>
      <c r="C132" s="491"/>
      <c r="D132" s="491"/>
      <c r="E132" s="491"/>
      <c r="F132" s="491"/>
      <c r="G132" s="491"/>
      <c r="H132" s="491"/>
      <c r="I132" s="491"/>
      <c r="J132" s="491"/>
      <c r="K132" s="505"/>
      <c r="L132" s="506"/>
      <c r="M132" s="491"/>
      <c r="N132" s="491"/>
      <c r="O132" s="491"/>
      <c r="P132" s="491"/>
      <c r="Q132" s="491"/>
      <c r="R132" s="491"/>
      <c r="S132" s="491"/>
      <c r="T132" s="491"/>
      <c r="U132" s="491"/>
      <c r="V132" s="491"/>
      <c r="W132" s="491"/>
      <c r="X132" s="491"/>
      <c r="Y132" s="491"/>
      <c r="Z132" s="491"/>
      <c r="AA132" s="491"/>
      <c r="AB132" s="491"/>
      <c r="AC132" s="491"/>
    </row>
    <row r="133" spans="1:29">
      <c r="A133" s="491"/>
      <c r="B133" s="491"/>
      <c r="C133" s="491"/>
      <c r="D133" s="491"/>
      <c r="E133" s="491"/>
      <c r="F133" s="491"/>
      <c r="G133" s="491"/>
      <c r="H133" s="491"/>
      <c r="I133" s="491"/>
      <c r="J133" s="491"/>
      <c r="K133" s="505"/>
      <c r="L133" s="506"/>
      <c r="M133" s="491"/>
      <c r="N133" s="491"/>
      <c r="O133" s="491"/>
      <c r="P133" s="491"/>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491"/>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491"/>
      <c r="Q135" s="491"/>
      <c r="R135" s="491"/>
      <c r="S135" s="491"/>
      <c r="T135" s="491"/>
      <c r="U135" s="491"/>
      <c r="V135" s="491"/>
      <c r="W135" s="491"/>
      <c r="X135" s="491"/>
      <c r="Y135" s="491"/>
      <c r="Z135" s="491"/>
      <c r="AA135" s="491"/>
      <c r="AB135" s="491"/>
      <c r="AC135" s="491"/>
    </row>
    <row r="136" ht="15" spans="1:29">
      <c r="A136" s="491"/>
      <c r="B136" s="1192" t="s">
        <v>2386</v>
      </c>
      <c r="C136" s="1193"/>
      <c r="D136" s="1193"/>
      <c r="E136" s="1193"/>
      <c r="F136" s="1193"/>
      <c r="G136" s="1193"/>
      <c r="H136" s="1193"/>
      <c r="I136" s="1193"/>
      <c r="J136" s="1193"/>
      <c r="K136" s="1223"/>
      <c r="L136" s="506"/>
      <c r="M136" s="491"/>
      <c r="N136" s="491"/>
      <c r="O136" s="491"/>
      <c r="P136" s="491"/>
      <c r="Q136" s="491"/>
      <c r="R136" s="491"/>
      <c r="S136" s="491"/>
      <c r="T136" s="491"/>
      <c r="U136" s="491"/>
      <c r="V136" s="491"/>
      <c r="W136" s="491"/>
      <c r="X136" s="491"/>
      <c r="Y136" s="491"/>
      <c r="Z136" s="491"/>
      <c r="AA136" s="491"/>
      <c r="AB136" s="491"/>
      <c r="AC136" s="491"/>
    </row>
    <row r="137" spans="1:29">
      <c r="A137" s="491"/>
      <c r="B137" s="1194" t="s">
        <v>2387</v>
      </c>
      <c r="C137" s="1195"/>
      <c r="D137" s="1195"/>
      <c r="E137" s="1195"/>
      <c r="F137" s="1195"/>
      <c r="G137" s="1196"/>
      <c r="H137" s="1197"/>
      <c r="I137" s="1224" t="s">
        <v>2383</v>
      </c>
      <c r="J137" s="1195"/>
      <c r="K137" s="1225"/>
      <c r="L137" s="506"/>
      <c r="M137" s="491"/>
      <c r="N137" s="491"/>
      <c r="O137" s="491"/>
      <c r="P137" s="491"/>
      <c r="Q137" s="491"/>
      <c r="R137" s="491"/>
      <c r="S137" s="491"/>
      <c r="T137" s="491"/>
      <c r="U137" s="491"/>
      <c r="V137" s="491"/>
      <c r="W137" s="491"/>
      <c r="X137" s="491"/>
      <c r="Y137" s="491"/>
      <c r="Z137" s="491"/>
      <c r="AA137" s="491"/>
      <c r="AB137" s="491"/>
      <c r="AC137" s="491"/>
    </row>
    <row r="138" spans="1:29">
      <c r="A138" s="491"/>
      <c r="B138" s="1198"/>
      <c r="C138" s="1199" t="s">
        <v>2388</v>
      </c>
      <c r="D138" s="1199" t="s">
        <v>2389</v>
      </c>
      <c r="E138" s="1200" t="s">
        <v>2390</v>
      </c>
      <c r="F138" s="1201" t="s">
        <v>2391</v>
      </c>
      <c r="G138" s="1199" t="s">
        <v>2389</v>
      </c>
      <c r="H138" s="1202" t="s">
        <v>2390</v>
      </c>
      <c r="I138" s="1226"/>
      <c r="J138" s="1199" t="s">
        <v>2392</v>
      </c>
      <c r="K138" s="1202" t="s">
        <v>2393</v>
      </c>
      <c r="L138" s="506"/>
      <c r="M138" s="491"/>
      <c r="N138" s="491"/>
      <c r="O138" s="491"/>
      <c r="P138" s="491"/>
      <c r="Q138" s="491"/>
      <c r="R138" s="491"/>
      <c r="S138" s="491"/>
      <c r="T138" s="491"/>
      <c r="U138" s="491"/>
      <c r="V138" s="491"/>
      <c r="W138" s="491"/>
      <c r="X138" s="491"/>
      <c r="Y138" s="491"/>
      <c r="Z138" s="491"/>
      <c r="AA138" s="491"/>
      <c r="AB138" s="491"/>
      <c r="AC138" s="491"/>
    </row>
    <row r="139" ht="15" spans="1:29">
      <c r="A139" s="491"/>
      <c r="B139" s="1203">
        <v>6</v>
      </c>
      <c r="C139" s="1204">
        <v>96</v>
      </c>
      <c r="D139" s="1205" t="s">
        <v>2394</v>
      </c>
      <c r="E139" s="1206">
        <v>100</v>
      </c>
      <c r="F139" s="1207">
        <v>102.5</v>
      </c>
      <c r="G139" s="1205" t="s">
        <v>2394</v>
      </c>
      <c r="H139" s="1208">
        <v>105</v>
      </c>
      <c r="I139" s="1227" t="s">
        <v>2395</v>
      </c>
      <c r="J139" s="1204">
        <v>20</v>
      </c>
      <c r="K139" s="1228">
        <f>C145/(J139-2)</f>
        <v>0.00405555555555556</v>
      </c>
      <c r="L139" s="506"/>
      <c r="M139" s="491"/>
      <c r="N139" s="491"/>
      <c r="O139" s="491"/>
      <c r="P139" s="491"/>
      <c r="Q139" s="491"/>
      <c r="R139" s="491"/>
      <c r="S139" s="491"/>
      <c r="T139" s="491"/>
      <c r="U139" s="491"/>
      <c r="V139" s="491"/>
      <c r="W139" s="491"/>
      <c r="X139" s="491"/>
      <c r="Y139" s="491"/>
      <c r="Z139" s="491"/>
      <c r="AA139" s="491"/>
      <c r="AB139" s="491"/>
      <c r="AC139" s="491"/>
    </row>
    <row r="140" ht="15" spans="1:29">
      <c r="A140" s="491"/>
      <c r="B140" s="1209">
        <v>5</v>
      </c>
      <c r="C140" s="1210">
        <v>100</v>
      </c>
      <c r="D140" s="1211"/>
      <c r="E140" s="1212"/>
      <c r="F140" s="1213">
        <v>102</v>
      </c>
      <c r="G140" s="1211"/>
      <c r="H140" s="929"/>
      <c r="I140" s="1229" t="s">
        <v>2396</v>
      </c>
      <c r="J140" s="904">
        <f>ROUNDUP((J139-1)/2,0)</f>
        <v>10</v>
      </c>
      <c r="K140" s="924">
        <v>100</v>
      </c>
      <c r="L140" s="506"/>
      <c r="M140" s="491"/>
      <c r="N140" s="491"/>
      <c r="O140" s="491"/>
      <c r="P140" s="491"/>
      <c r="Q140" s="491"/>
      <c r="R140" s="491"/>
      <c r="S140" s="491"/>
      <c r="T140" s="491"/>
      <c r="U140" s="491"/>
      <c r="V140" s="491"/>
      <c r="W140" s="491"/>
      <c r="X140" s="491"/>
      <c r="Y140" s="491"/>
      <c r="Z140" s="491"/>
      <c r="AA140" s="491"/>
      <c r="AB140" s="491"/>
      <c r="AC140" s="491"/>
    </row>
    <row r="141" ht="15" spans="1:29">
      <c r="A141" s="491"/>
      <c r="B141" s="1209">
        <v>4</v>
      </c>
      <c r="C141" s="1210">
        <v>102</v>
      </c>
      <c r="D141" s="1211"/>
      <c r="E141" s="1212"/>
      <c r="F141" s="1213">
        <v>101.5</v>
      </c>
      <c r="G141" s="1211"/>
      <c r="H141" s="929"/>
      <c r="I141" s="1229" t="s">
        <v>2397</v>
      </c>
      <c r="J141" s="904">
        <v>1</v>
      </c>
      <c r="K141" s="1230">
        <f>ROUND(100+(J141-J140)*K139*100,1)</f>
        <v>96.4</v>
      </c>
      <c r="L141" s="506"/>
      <c r="M141" s="491"/>
      <c r="N141" s="491"/>
      <c r="O141" s="491"/>
      <c r="P141" s="491"/>
      <c r="Q141" s="491"/>
      <c r="R141" s="491"/>
      <c r="S141" s="491"/>
      <c r="T141" s="491"/>
      <c r="U141" s="491"/>
      <c r="V141" s="491"/>
      <c r="W141" s="491"/>
      <c r="X141" s="491"/>
      <c r="Y141" s="491"/>
      <c r="Z141" s="491"/>
      <c r="AA141" s="491"/>
      <c r="AB141" s="491"/>
      <c r="AC141" s="491"/>
    </row>
    <row r="142" ht="15" spans="1:29">
      <c r="A142" s="491"/>
      <c r="B142" s="1209">
        <v>3</v>
      </c>
      <c r="C142" s="1210">
        <v>103</v>
      </c>
      <c r="D142" s="1211"/>
      <c r="E142" s="1212"/>
      <c r="F142" s="1213">
        <v>101</v>
      </c>
      <c r="G142" s="1211"/>
      <c r="H142" s="929"/>
      <c r="I142" s="1229" t="s">
        <v>2398</v>
      </c>
      <c r="J142" s="904">
        <f>J139</f>
        <v>20</v>
      </c>
      <c r="K142" s="1231">
        <v>95</v>
      </c>
      <c r="L142" s="506"/>
      <c r="M142" s="491"/>
      <c r="N142" s="491"/>
      <c r="O142" s="491"/>
      <c r="P142" s="491"/>
      <c r="Q142" s="491"/>
      <c r="R142" s="491"/>
      <c r="S142" s="491"/>
      <c r="T142" s="491"/>
      <c r="U142" s="491"/>
      <c r="V142" s="491"/>
      <c r="W142" s="491"/>
      <c r="X142" s="491"/>
      <c r="Y142" s="491"/>
      <c r="Z142" s="491"/>
      <c r="AA142" s="491"/>
      <c r="AB142" s="491"/>
      <c r="AC142" s="491"/>
    </row>
    <row r="143" ht="15" spans="1:29">
      <c r="A143" s="491"/>
      <c r="B143" s="1209">
        <v>2</v>
      </c>
      <c r="C143" s="1210">
        <v>100</v>
      </c>
      <c r="D143" s="1211"/>
      <c r="E143" s="1212"/>
      <c r="F143" s="1213">
        <v>100.5</v>
      </c>
      <c r="G143" s="1211"/>
      <c r="H143" s="929"/>
      <c r="I143" s="1229" t="s">
        <v>1249</v>
      </c>
      <c r="J143" s="1210">
        <v>15</v>
      </c>
      <c r="K143" s="1230">
        <f>ROUND(100+(J143-J140)*K139*100,1)</f>
        <v>102</v>
      </c>
      <c r="L143" s="506"/>
      <c r="M143" s="491"/>
      <c r="N143" s="491"/>
      <c r="O143" s="491"/>
      <c r="P143" s="491"/>
      <c r="Q143" s="491"/>
      <c r="R143" s="491"/>
      <c r="S143" s="491"/>
      <c r="T143" s="491"/>
      <c r="U143" s="491"/>
      <c r="V143" s="491"/>
      <c r="W143" s="491"/>
      <c r="X143" s="491"/>
      <c r="Y143" s="491"/>
      <c r="Z143" s="491"/>
      <c r="AA143" s="491"/>
      <c r="AB143" s="491"/>
      <c r="AC143" s="491"/>
    </row>
    <row r="144" ht="15" spans="1:29">
      <c r="A144" s="491"/>
      <c r="B144" s="1209">
        <v>1</v>
      </c>
      <c r="C144" s="1210">
        <v>98</v>
      </c>
      <c r="D144" s="1214" t="s">
        <v>2399</v>
      </c>
      <c r="E144" s="1212">
        <v>102</v>
      </c>
      <c r="F144" s="1215">
        <v>100</v>
      </c>
      <c r="G144" s="1214" t="s">
        <v>2399</v>
      </c>
      <c r="H144" s="929">
        <v>105</v>
      </c>
      <c r="I144" s="1229" t="s">
        <v>1249</v>
      </c>
      <c r="J144" s="1210">
        <v>18</v>
      </c>
      <c r="K144" s="1230">
        <f>ROUND(100+(J144-J140)*K139*100,1)</f>
        <v>103.2</v>
      </c>
      <c r="L144" s="506"/>
      <c r="M144" s="491"/>
      <c r="N144" s="491"/>
      <c r="O144" s="491"/>
      <c r="P144" s="491"/>
      <c r="Q144" s="491"/>
      <c r="R144" s="491"/>
      <c r="S144" s="491"/>
      <c r="T144" s="491"/>
      <c r="U144" s="491"/>
      <c r="V144" s="491"/>
      <c r="W144" s="491"/>
      <c r="X144" s="491"/>
      <c r="Y144" s="491"/>
      <c r="Z144" s="491"/>
      <c r="AA144" s="491"/>
      <c r="AB144" s="491"/>
      <c r="AC144" s="491"/>
    </row>
    <row r="145" ht="15.75" spans="1:29">
      <c r="A145" s="491"/>
      <c r="B145" s="1216" t="s">
        <v>2400</v>
      </c>
      <c r="C145" s="1217">
        <f>ROUND(MAX(C139:C144)/MIN(C139:C144)-1,3)</f>
        <v>0.073</v>
      </c>
      <c r="D145" s="1218"/>
      <c r="E145" s="1218"/>
      <c r="F145" s="1219" t="s">
        <v>2401</v>
      </c>
      <c r="G145" s="1220"/>
      <c r="H145" s="1221"/>
      <c r="I145" s="1232" t="s">
        <v>1249</v>
      </c>
      <c r="J145" s="1233">
        <v>8</v>
      </c>
      <c r="K145" s="1234">
        <f>ROUND(100+(J145-J140)*K139*100,1)</f>
        <v>99.2</v>
      </c>
      <c r="L145" s="506"/>
      <c r="M145" s="491"/>
      <c r="N145" s="491"/>
      <c r="O145" s="491"/>
      <c r="P145" s="491"/>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491"/>
      <c r="Q146" s="491"/>
      <c r="R146" s="491"/>
      <c r="S146" s="491"/>
      <c r="T146" s="491"/>
      <c r="U146" s="491"/>
      <c r="V146" s="491"/>
      <c r="W146" s="491"/>
      <c r="X146" s="491"/>
      <c r="Y146" s="491"/>
      <c r="Z146" s="491"/>
      <c r="AA146" s="491"/>
      <c r="AB146" s="491"/>
      <c r="AC146" s="491"/>
    </row>
    <row r="147" spans="1:29">
      <c r="A147" s="491"/>
      <c r="B147" s="1222" t="s">
        <v>2402</v>
      </c>
      <c r="L147" s="506"/>
      <c r="M147" s="491"/>
      <c r="N147" s="491"/>
      <c r="O147" s="491"/>
      <c r="P147" s="491"/>
      <c r="Q147" s="491"/>
      <c r="R147" s="491"/>
      <c r="S147" s="491"/>
      <c r="T147" s="491"/>
      <c r="U147" s="491"/>
      <c r="V147" s="491"/>
      <c r="W147" s="491"/>
      <c r="X147" s="491"/>
      <c r="Y147" s="491"/>
      <c r="Z147" s="491"/>
      <c r="AA147" s="491"/>
      <c r="AB147" s="491"/>
      <c r="AC147" s="491"/>
    </row>
    <row r="148" spans="1:29">
      <c r="A148" s="491"/>
      <c r="B148" s="1222" t="s">
        <v>2403</v>
      </c>
      <c r="L148" s="506"/>
      <c r="M148" s="491"/>
      <c r="N148" s="491"/>
      <c r="O148" s="491"/>
      <c r="P148" s="491"/>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491"/>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491"/>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491"/>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491"/>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491"/>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491"/>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491"/>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491"/>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491"/>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491"/>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491"/>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491"/>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491"/>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491"/>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491"/>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491"/>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491"/>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491"/>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491"/>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491"/>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491"/>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491"/>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491"/>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491"/>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491"/>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491"/>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491"/>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491"/>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491"/>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491"/>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491"/>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491"/>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491"/>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491"/>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491"/>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491"/>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491"/>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491"/>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491"/>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491"/>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491"/>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491"/>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491"/>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491"/>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491"/>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491"/>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491"/>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491"/>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491"/>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491"/>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491"/>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491"/>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491"/>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491"/>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491"/>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491"/>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491"/>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491"/>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491"/>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491"/>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491"/>
      <c r="Q209" s="491"/>
      <c r="R209" s="491"/>
      <c r="S209" s="491"/>
      <c r="T209" s="491"/>
      <c r="U209" s="491"/>
      <c r="V209" s="491"/>
      <c r="W209" s="491"/>
      <c r="X209" s="491"/>
      <c r="Y209" s="491"/>
      <c r="Z209" s="491"/>
      <c r="AA209" s="491"/>
      <c r="AB209" s="491"/>
      <c r="AC209" s="491"/>
    </row>
    <row r="210" spans="1:29">
      <c r="A210" s="491"/>
      <c r="B210" s="491"/>
      <c r="C210" s="491"/>
      <c r="D210" s="491"/>
      <c r="E210" s="491"/>
      <c r="F210" s="491"/>
      <c r="G210" s="491"/>
      <c r="H210" s="491"/>
      <c r="I210" s="491"/>
      <c r="J210" s="491"/>
      <c r="K210" s="505"/>
      <c r="L210" s="506"/>
      <c r="M210" s="491"/>
      <c r="N210" s="491"/>
      <c r="O210" s="491"/>
      <c r="P210" s="491"/>
      <c r="Q210" s="491"/>
      <c r="R210" s="491"/>
      <c r="S210" s="491"/>
      <c r="T210" s="491"/>
      <c r="U210" s="491"/>
      <c r="V210" s="491"/>
      <c r="W210" s="491"/>
      <c r="X210" s="491"/>
      <c r="Y210" s="491"/>
      <c r="Z210" s="491"/>
      <c r="AA210" s="491"/>
      <c r="AB210" s="491"/>
      <c r="AC210" s="491"/>
    </row>
    <row r="211" spans="1:29">
      <c r="A211" s="491"/>
      <c r="B211" s="491"/>
      <c r="C211" s="491"/>
      <c r="D211" s="491"/>
      <c r="E211" s="491"/>
      <c r="F211" s="491"/>
      <c r="G211" s="491"/>
      <c r="H211" s="491"/>
      <c r="I211" s="491"/>
      <c r="J211" s="491"/>
      <c r="K211" s="505"/>
      <c r="L211" s="506"/>
      <c r="M211" s="491"/>
      <c r="N211" s="491"/>
      <c r="O211" s="491"/>
      <c r="P211" s="491"/>
      <c r="Q211" s="491"/>
      <c r="R211" s="491"/>
      <c r="S211" s="491"/>
      <c r="T211" s="491"/>
      <c r="U211" s="491"/>
      <c r="V211" s="491"/>
      <c r="W211" s="491"/>
      <c r="X211" s="491"/>
      <c r="Y211" s="491"/>
      <c r="Z211" s="491"/>
      <c r="AA211" s="491"/>
      <c r="AB211" s="491"/>
      <c r="AC211" s="491"/>
    </row>
    <row r="212" spans="1:29">
      <c r="A212" s="491"/>
      <c r="B212" s="491"/>
      <c r="C212" s="491"/>
      <c r="D212" s="491"/>
      <c r="E212" s="491"/>
      <c r="F212" s="491"/>
      <c r="G212" s="491"/>
      <c r="H212" s="491"/>
      <c r="I212" s="491"/>
      <c r="J212" s="491"/>
      <c r="K212" s="505"/>
      <c r="L212" s="506"/>
      <c r="M212" s="491"/>
      <c r="N212" s="491"/>
      <c r="O212" s="491"/>
      <c r="P212" s="491"/>
      <c r="Q212" s="491"/>
      <c r="R212" s="491"/>
      <c r="S212" s="491"/>
      <c r="T212" s="491"/>
      <c r="U212" s="491"/>
      <c r="V212" s="491"/>
      <c r="W212" s="491"/>
      <c r="X212" s="491"/>
      <c r="Y212" s="491"/>
      <c r="Z212" s="491"/>
      <c r="AA212" s="491"/>
      <c r="AB212" s="491"/>
      <c r="AC212" s="491"/>
    </row>
    <row r="213" spans="1:29">
      <c r="A213" s="491"/>
      <c r="B213" s="491"/>
      <c r="C213" s="491"/>
      <c r="D213" s="491"/>
      <c r="E213" s="491"/>
      <c r="F213" s="491"/>
      <c r="G213" s="491"/>
      <c r="H213" s="491"/>
      <c r="I213" s="491"/>
      <c r="J213" s="491"/>
      <c r="K213" s="505"/>
      <c r="L213" s="506"/>
      <c r="M213" s="491"/>
      <c r="N213" s="491"/>
      <c r="O213" s="491"/>
      <c r="P213" s="491"/>
      <c r="Q213" s="491"/>
      <c r="R213" s="491"/>
      <c r="S213" s="491"/>
      <c r="T213" s="491"/>
      <c r="U213" s="491"/>
      <c r="V213" s="491"/>
      <c r="W213" s="491"/>
      <c r="X213" s="491"/>
      <c r="Y213" s="491"/>
      <c r="Z213" s="491"/>
      <c r="AA213" s="491"/>
      <c r="AB213" s="491"/>
      <c r="AC213" s="491"/>
    </row>
    <row r="214" spans="1:29">
      <c r="A214" s="491"/>
      <c r="B214" s="491"/>
      <c r="C214" s="491"/>
      <c r="D214" s="491"/>
      <c r="E214" s="491"/>
      <c r="F214" s="491"/>
      <c r="G214" s="491"/>
      <c r="H214" s="491"/>
      <c r="I214" s="491"/>
      <c r="J214" s="491"/>
      <c r="K214" s="505"/>
      <c r="L214" s="506"/>
      <c r="M214" s="491"/>
      <c r="N214" s="491"/>
      <c r="O214" s="491"/>
      <c r="P214" s="491"/>
      <c r="Q214" s="491"/>
      <c r="R214" s="491"/>
      <c r="S214" s="491"/>
      <c r="T214" s="491"/>
      <c r="U214" s="491"/>
      <c r="V214" s="491"/>
      <c r="W214" s="491"/>
      <c r="X214" s="491"/>
      <c r="Y214" s="491"/>
      <c r="Z214" s="491"/>
      <c r="AA214" s="491"/>
      <c r="AB214" s="491"/>
      <c r="AC214" s="491"/>
    </row>
    <row r="215" spans="1:29">
      <c r="A215" s="491"/>
      <c r="B215" s="491"/>
      <c r="C215" s="491"/>
      <c r="D215" s="491"/>
      <c r="E215" s="491"/>
      <c r="F215" s="491"/>
      <c r="G215" s="491"/>
      <c r="H215" s="491"/>
      <c r="I215" s="491"/>
      <c r="J215" s="491"/>
      <c r="K215" s="505"/>
      <c r="L215" s="506"/>
      <c r="M215" s="491"/>
      <c r="N215" s="491"/>
      <c r="O215" s="491"/>
      <c r="P215" s="491"/>
      <c r="Q215" s="491"/>
      <c r="R215" s="491"/>
      <c r="S215" s="491"/>
      <c r="T215" s="491"/>
      <c r="U215" s="491"/>
      <c r="V215" s="491"/>
      <c r="W215" s="491"/>
      <c r="X215" s="491"/>
      <c r="Y215" s="491"/>
      <c r="Z215" s="491"/>
      <c r="AA215" s="491"/>
      <c r="AB215" s="491"/>
      <c r="AC215" s="491"/>
    </row>
    <row r="216" spans="1:29">
      <c r="A216" s="491"/>
      <c r="B216" s="491"/>
      <c r="C216" s="491"/>
      <c r="D216" s="491"/>
      <c r="E216" s="491"/>
      <c r="F216" s="491"/>
      <c r="G216" s="491"/>
      <c r="H216" s="491"/>
      <c r="I216" s="491"/>
      <c r="J216" s="491"/>
      <c r="K216" s="505"/>
      <c r="L216" s="506"/>
      <c r="M216" s="491"/>
      <c r="N216" s="491"/>
      <c r="O216" s="491"/>
      <c r="P216" s="491"/>
      <c r="Q216" s="491"/>
      <c r="R216" s="491"/>
      <c r="S216" s="491"/>
      <c r="T216" s="491"/>
      <c r="U216" s="491"/>
      <c r="V216" s="491"/>
      <c r="W216" s="491"/>
      <c r="X216" s="491"/>
      <c r="Y216" s="491"/>
      <c r="Z216" s="491"/>
      <c r="AA216" s="491"/>
      <c r="AB216" s="491"/>
      <c r="AC216" s="491"/>
    </row>
    <row r="217" spans="1:29">
      <c r="A217" s="491"/>
      <c r="B217" s="491"/>
      <c r="C217" s="491"/>
      <c r="D217" s="491"/>
      <c r="E217" s="491"/>
      <c r="F217" s="491"/>
      <c r="G217" s="491"/>
      <c r="H217" s="491"/>
      <c r="I217" s="491"/>
      <c r="J217" s="491"/>
      <c r="K217" s="505"/>
      <c r="L217" s="506"/>
      <c r="M217" s="491"/>
      <c r="N217" s="491"/>
      <c r="O217" s="491"/>
      <c r="P217" s="491"/>
      <c r="Q217" s="491"/>
      <c r="R217" s="491"/>
      <c r="S217" s="491"/>
      <c r="T217" s="491"/>
      <c r="U217" s="491"/>
      <c r="V217" s="491"/>
      <c r="W217" s="491"/>
      <c r="X217" s="491"/>
      <c r="Y217" s="491"/>
      <c r="Z217" s="491"/>
      <c r="AA217" s="491"/>
      <c r="AB217" s="491"/>
      <c r="AC217" s="491"/>
    </row>
    <row r="218" spans="1:29">
      <c r="A218" s="491"/>
      <c r="B218" s="491"/>
      <c r="C218" s="491"/>
      <c r="D218" s="491"/>
      <c r="E218" s="491"/>
      <c r="F218" s="491"/>
      <c r="G218" s="491"/>
      <c r="H218" s="491"/>
      <c r="I218" s="491"/>
      <c r="J218" s="491"/>
      <c r="K218" s="505"/>
      <c r="L218" s="506"/>
      <c r="M218" s="491"/>
      <c r="N218" s="491"/>
      <c r="O218" s="491"/>
      <c r="P218" s="491"/>
      <c r="Q218" s="491"/>
      <c r="R218" s="491"/>
      <c r="S218" s="491"/>
      <c r="T218" s="491"/>
      <c r="U218" s="491"/>
      <c r="V218" s="491"/>
      <c r="W218" s="491"/>
      <c r="X218" s="491"/>
      <c r="Y218" s="491"/>
      <c r="Z218" s="491"/>
      <c r="AA218" s="491"/>
      <c r="AB218" s="491"/>
      <c r="AC218" s="491"/>
    </row>
    <row r="219" spans="1:29">
      <c r="A219" s="491"/>
      <c r="B219" s="491"/>
      <c r="C219" s="491"/>
      <c r="D219" s="491"/>
      <c r="E219" s="491"/>
      <c r="F219" s="491"/>
      <c r="G219" s="491"/>
      <c r="H219" s="491"/>
      <c r="I219" s="491"/>
      <c r="J219" s="491"/>
      <c r="K219" s="505"/>
      <c r="L219" s="506"/>
      <c r="M219" s="491"/>
      <c r="N219" s="491"/>
      <c r="O219" s="491"/>
      <c r="P219" s="491"/>
      <c r="Q219" s="491"/>
      <c r="R219" s="491"/>
      <c r="S219" s="491"/>
      <c r="T219" s="491"/>
      <c r="U219" s="491"/>
      <c r="V219" s="491"/>
      <c r="W219" s="491"/>
      <c r="X219" s="491"/>
      <c r="Y219" s="491"/>
      <c r="Z219" s="491"/>
      <c r="AA219" s="491"/>
      <c r="AB219" s="491"/>
      <c r="AC219" s="491"/>
    </row>
    <row r="220" spans="1:29">
      <c r="A220" s="491"/>
      <c r="B220" s="491"/>
      <c r="C220" s="491"/>
      <c r="D220" s="491"/>
      <c r="E220" s="491"/>
      <c r="F220" s="491"/>
      <c r="G220" s="491"/>
      <c r="H220" s="491"/>
      <c r="I220" s="491"/>
      <c r="J220" s="491"/>
      <c r="K220" s="505"/>
      <c r="L220" s="506"/>
      <c r="M220" s="491"/>
      <c r="N220" s="491"/>
      <c r="O220" s="491"/>
      <c r="P220" s="491"/>
      <c r="Q220" s="491"/>
      <c r="R220" s="491"/>
      <c r="S220" s="491"/>
      <c r="T220" s="491"/>
      <c r="U220" s="491"/>
      <c r="V220" s="491"/>
      <c r="W220" s="491"/>
      <c r="X220" s="491"/>
      <c r="Y220" s="491"/>
      <c r="Z220" s="491"/>
      <c r="AA220" s="491"/>
      <c r="AB220" s="491"/>
      <c r="AC220" s="491"/>
    </row>
    <row r="221" spans="1:29">
      <c r="A221" s="491"/>
      <c r="B221" s="491"/>
      <c r="C221" s="491"/>
      <c r="D221" s="491"/>
      <c r="E221" s="491"/>
      <c r="F221" s="491"/>
      <c r="G221" s="491"/>
      <c r="H221" s="491"/>
      <c r="I221" s="491"/>
      <c r="J221" s="491"/>
      <c r="K221" s="505"/>
      <c r="L221" s="506"/>
      <c r="M221" s="491"/>
      <c r="N221" s="491"/>
      <c r="O221" s="491"/>
      <c r="P221" s="491"/>
      <c r="Q221" s="491"/>
      <c r="R221" s="491"/>
      <c r="S221" s="491"/>
      <c r="T221" s="491"/>
      <c r="U221" s="491"/>
      <c r="V221" s="491"/>
      <c r="W221" s="491"/>
      <c r="X221" s="491"/>
      <c r="Y221" s="491"/>
      <c r="Z221" s="491"/>
      <c r="AA221" s="491"/>
      <c r="AB221" s="491"/>
      <c r="AC221" s="491"/>
    </row>
    <row r="222" spans="1:29">
      <c r="A222" s="491"/>
      <c r="B222" s="491"/>
      <c r="C222" s="491"/>
      <c r="D222" s="491"/>
      <c r="E222" s="491"/>
      <c r="F222" s="491"/>
      <c r="G222" s="491"/>
      <c r="H222" s="491"/>
      <c r="I222" s="491"/>
      <c r="J222" s="491"/>
      <c r="K222" s="505"/>
      <c r="L222" s="506"/>
      <c r="M222" s="491"/>
      <c r="N222" s="491"/>
      <c r="O222" s="491"/>
      <c r="P222" s="491"/>
      <c r="Q222" s="491"/>
      <c r="R222" s="491"/>
      <c r="S222" s="491"/>
      <c r="T222" s="491"/>
      <c r="U222" s="491"/>
      <c r="V222" s="491"/>
      <c r="W222" s="491"/>
      <c r="X222" s="491"/>
      <c r="Y222" s="491"/>
      <c r="Z222" s="491"/>
      <c r="AA222" s="491"/>
      <c r="AB222" s="491"/>
      <c r="AC222" s="491"/>
    </row>
    <row r="223" spans="1:29">
      <c r="A223" s="491"/>
      <c r="B223" s="491"/>
      <c r="C223" s="491"/>
      <c r="D223" s="491"/>
      <c r="E223" s="491"/>
      <c r="F223" s="491"/>
      <c r="G223" s="491"/>
      <c r="H223" s="491"/>
      <c r="I223" s="491"/>
      <c r="J223" s="491"/>
      <c r="K223" s="505"/>
      <c r="L223" s="506"/>
      <c r="M223" s="491"/>
      <c r="N223" s="491"/>
      <c r="O223" s="491"/>
      <c r="P223" s="491"/>
      <c r="Q223" s="491"/>
      <c r="R223" s="491"/>
      <c r="S223" s="491"/>
      <c r="T223" s="491"/>
      <c r="U223" s="491"/>
      <c r="V223" s="491"/>
      <c r="W223" s="491"/>
      <c r="X223" s="491"/>
      <c r="Y223" s="491"/>
      <c r="Z223" s="491"/>
      <c r="AA223" s="491"/>
      <c r="AB223" s="491"/>
      <c r="AC223" s="491"/>
    </row>
    <row r="224" spans="1:29">
      <c r="A224" s="491"/>
      <c r="B224" s="491"/>
      <c r="C224" s="491"/>
      <c r="D224" s="491"/>
      <c r="E224" s="491"/>
      <c r="F224" s="491"/>
      <c r="G224" s="491"/>
      <c r="H224" s="491"/>
      <c r="I224" s="491"/>
      <c r="J224" s="491"/>
      <c r="K224" s="505"/>
      <c r="L224" s="506"/>
      <c r="M224" s="491"/>
      <c r="N224" s="491"/>
      <c r="O224" s="491"/>
      <c r="P224" s="491"/>
      <c r="Q224" s="491"/>
      <c r="R224" s="491"/>
      <c r="S224" s="491"/>
      <c r="T224" s="491"/>
      <c r="U224" s="491"/>
      <c r="V224" s="491"/>
      <c r="W224" s="491"/>
      <c r="X224" s="491"/>
      <c r="Y224" s="491"/>
      <c r="Z224" s="491"/>
      <c r="AA224" s="491"/>
      <c r="AB224" s="491"/>
      <c r="AC224" s="491"/>
    </row>
    <row r="225" spans="1:29">
      <c r="A225" s="491"/>
      <c r="B225" s="491"/>
      <c r="C225" s="491"/>
      <c r="D225" s="491"/>
      <c r="E225" s="491"/>
      <c r="F225" s="491"/>
      <c r="G225" s="491"/>
      <c r="H225" s="491"/>
      <c r="I225" s="491"/>
      <c r="J225" s="491"/>
      <c r="K225" s="505"/>
      <c r="L225" s="506"/>
      <c r="M225" s="491"/>
      <c r="N225" s="491"/>
      <c r="O225" s="491"/>
      <c r="P225" s="491"/>
      <c r="Q225" s="491"/>
      <c r="R225" s="491"/>
      <c r="S225" s="491"/>
      <c r="T225" s="491"/>
      <c r="U225" s="491"/>
      <c r="V225" s="491"/>
      <c r="W225" s="491"/>
      <c r="X225" s="491"/>
      <c r="Y225" s="491"/>
      <c r="Z225" s="491"/>
      <c r="AA225" s="491"/>
      <c r="AB225" s="491"/>
      <c r="AC225" s="491"/>
    </row>
    <row r="226" spans="1:29">
      <c r="A226" s="491"/>
      <c r="B226" s="491"/>
      <c r="C226" s="491"/>
      <c r="D226" s="491"/>
      <c r="E226" s="491"/>
      <c r="F226" s="491"/>
      <c r="G226" s="491"/>
      <c r="H226" s="491"/>
      <c r="I226" s="491"/>
      <c r="J226" s="491"/>
      <c r="K226" s="505"/>
      <c r="L226" s="506"/>
      <c r="M226" s="491"/>
      <c r="N226" s="491"/>
      <c r="O226" s="491"/>
      <c r="P226" s="491"/>
      <c r="Q226" s="491"/>
      <c r="R226" s="491"/>
      <c r="S226" s="491"/>
      <c r="T226" s="491"/>
      <c r="U226" s="491"/>
      <c r="V226" s="491"/>
      <c r="W226" s="491"/>
      <c r="X226" s="491"/>
      <c r="Y226" s="491"/>
      <c r="Z226" s="491"/>
      <c r="AA226" s="491"/>
      <c r="AB226" s="491"/>
      <c r="AC226" s="491"/>
    </row>
    <row r="227" spans="1:29">
      <c r="A227" s="491"/>
      <c r="B227" s="491"/>
      <c r="C227" s="491"/>
      <c r="D227" s="491"/>
      <c r="E227" s="491"/>
      <c r="F227" s="491"/>
      <c r="G227" s="491"/>
      <c r="H227" s="491"/>
      <c r="I227" s="491"/>
      <c r="J227" s="491"/>
      <c r="K227" s="505"/>
      <c r="L227" s="506"/>
      <c r="M227" s="491"/>
      <c r="N227" s="491"/>
      <c r="O227" s="491"/>
      <c r="P227" s="491"/>
      <c r="Q227" s="491"/>
      <c r="R227" s="491"/>
      <c r="S227" s="491"/>
      <c r="T227" s="491"/>
      <c r="U227" s="491"/>
      <c r="V227" s="491"/>
      <c r="W227" s="491"/>
      <c r="X227" s="491"/>
      <c r="Y227" s="491"/>
      <c r="Z227" s="491"/>
      <c r="AA227" s="491"/>
      <c r="AB227" s="491"/>
      <c r="AC227" s="491"/>
    </row>
    <row r="228" spans="1:29">
      <c r="A228" s="491"/>
      <c r="B228" s="491"/>
      <c r="C228" s="491"/>
      <c r="D228" s="491"/>
      <c r="E228" s="491"/>
      <c r="F228" s="491"/>
      <c r="G228" s="491"/>
      <c r="H228" s="491"/>
      <c r="I228" s="491"/>
      <c r="J228" s="491"/>
      <c r="K228" s="505"/>
      <c r="L228" s="506"/>
      <c r="M228" s="491"/>
      <c r="N228" s="491"/>
      <c r="O228" s="491"/>
      <c r="P228" s="491"/>
      <c r="Q228" s="491"/>
      <c r="R228" s="491"/>
      <c r="S228" s="491"/>
      <c r="T228" s="491"/>
      <c r="U228" s="491"/>
      <c r="V228" s="491"/>
      <c r="W228" s="491"/>
      <c r="X228" s="491"/>
      <c r="Y228" s="491"/>
      <c r="Z228" s="491"/>
      <c r="AA228" s="491"/>
      <c r="AB228" s="491"/>
      <c r="AC228" s="491"/>
    </row>
    <row r="229" spans="1:29">
      <c r="A229" s="491"/>
      <c r="B229" s="491"/>
      <c r="C229" s="491"/>
      <c r="D229" s="491"/>
      <c r="E229" s="491"/>
      <c r="F229" s="491"/>
      <c r="G229" s="491"/>
      <c r="H229" s="491"/>
      <c r="I229" s="491"/>
      <c r="J229" s="491"/>
      <c r="K229" s="505"/>
      <c r="L229" s="506"/>
      <c r="M229" s="491"/>
      <c r="N229" s="491"/>
      <c r="O229" s="491"/>
      <c r="P229" s="491"/>
      <c r="Q229" s="491"/>
      <c r="R229" s="491"/>
      <c r="S229" s="491"/>
      <c r="T229" s="491"/>
      <c r="U229" s="491"/>
      <c r="V229" s="491"/>
      <c r="W229" s="491"/>
      <c r="X229" s="491"/>
      <c r="Y229" s="491"/>
      <c r="Z229" s="491"/>
      <c r="AA229" s="491"/>
      <c r="AB229" s="491"/>
      <c r="AC229" s="491"/>
    </row>
    <row r="230" spans="1:29">
      <c r="A230" s="491"/>
      <c r="B230" s="491"/>
      <c r="C230" s="491"/>
      <c r="D230" s="491"/>
      <c r="E230" s="491"/>
      <c r="F230" s="491"/>
      <c r="G230" s="491"/>
      <c r="H230" s="491"/>
      <c r="I230" s="491"/>
      <c r="J230" s="491"/>
      <c r="K230" s="505"/>
      <c r="L230" s="506"/>
      <c r="M230" s="491"/>
      <c r="N230" s="491"/>
      <c r="O230" s="491"/>
      <c r="P230" s="491"/>
      <c r="Q230" s="491"/>
      <c r="R230" s="491"/>
      <c r="S230" s="491"/>
      <c r="T230" s="491"/>
      <c r="U230" s="491"/>
      <c r="V230" s="491"/>
      <c r="W230" s="491"/>
      <c r="X230" s="491"/>
      <c r="Y230" s="491"/>
      <c r="Z230" s="491"/>
      <c r="AA230" s="491"/>
      <c r="AB230" s="491"/>
      <c r="AC230" s="491"/>
    </row>
    <row r="231" spans="1:29">
      <c r="A231" s="491"/>
      <c r="B231" s="491"/>
      <c r="C231" s="491"/>
      <c r="D231" s="491"/>
      <c r="E231" s="491"/>
      <c r="F231" s="491"/>
      <c r="G231" s="491"/>
      <c r="H231" s="491"/>
      <c r="I231" s="491"/>
      <c r="J231" s="491"/>
      <c r="K231" s="505"/>
      <c r="L231" s="506"/>
      <c r="M231" s="491"/>
      <c r="N231" s="491"/>
      <c r="O231" s="491"/>
      <c r="P231" s="491"/>
      <c r="Q231" s="491"/>
      <c r="R231" s="491"/>
      <c r="S231" s="491"/>
      <c r="T231" s="491"/>
      <c r="U231" s="491"/>
      <c r="V231" s="491"/>
      <c r="W231" s="491"/>
      <c r="X231" s="491"/>
      <c r="Y231" s="491"/>
      <c r="Z231" s="491"/>
      <c r="AA231" s="491"/>
      <c r="AB231" s="491"/>
      <c r="AC231" s="491"/>
    </row>
    <row r="232" spans="1:29">
      <c r="A232" s="491"/>
      <c r="B232" s="491"/>
      <c r="C232" s="491"/>
      <c r="D232" s="491"/>
      <c r="E232" s="491"/>
      <c r="F232" s="491"/>
      <c r="G232" s="491"/>
      <c r="H232" s="491"/>
      <c r="I232" s="491"/>
      <c r="J232" s="491"/>
      <c r="K232" s="505"/>
      <c r="L232" s="506"/>
      <c r="M232" s="491"/>
      <c r="N232" s="491"/>
      <c r="O232" s="491"/>
      <c r="P232" s="491"/>
      <c r="Q232" s="491"/>
      <c r="R232" s="491"/>
      <c r="S232" s="491"/>
      <c r="T232" s="491"/>
      <c r="U232" s="491"/>
      <c r="V232" s="491"/>
      <c r="W232" s="491"/>
      <c r="X232" s="491"/>
      <c r="Y232" s="491"/>
      <c r="Z232" s="491"/>
      <c r="AA232" s="491"/>
      <c r="AB232" s="491"/>
      <c r="AC232" s="491"/>
    </row>
    <row r="233" spans="1:29">
      <c r="A233" s="491"/>
      <c r="B233" s="491"/>
      <c r="C233" s="491"/>
      <c r="D233" s="491"/>
      <c r="E233" s="491"/>
      <c r="F233" s="491"/>
      <c r="G233" s="491"/>
      <c r="H233" s="491"/>
      <c r="I233" s="491"/>
      <c r="J233" s="491"/>
      <c r="K233" s="505"/>
      <c r="L233" s="506"/>
      <c r="M233" s="491"/>
      <c r="N233" s="491"/>
      <c r="O233" s="491"/>
      <c r="P233" s="491"/>
      <c r="Q233" s="491"/>
      <c r="R233" s="491"/>
      <c r="S233" s="491"/>
      <c r="T233" s="491"/>
      <c r="U233" s="491"/>
      <c r="V233" s="491"/>
      <c r="W233" s="491"/>
      <c r="X233" s="491"/>
      <c r="Y233" s="491"/>
      <c r="Z233" s="491"/>
      <c r="AA233" s="491"/>
      <c r="AB233" s="491"/>
      <c r="AC233" s="491"/>
    </row>
    <row r="234" spans="1:29">
      <c r="A234" s="491"/>
      <c r="B234" s="491"/>
      <c r="C234" s="491"/>
      <c r="D234" s="491"/>
      <c r="E234" s="491"/>
      <c r="F234" s="491"/>
      <c r="G234" s="491"/>
      <c r="H234" s="491"/>
      <c r="I234" s="491"/>
      <c r="J234" s="491"/>
      <c r="K234" s="505"/>
      <c r="L234" s="506"/>
      <c r="M234" s="491"/>
      <c r="N234" s="491"/>
      <c r="O234" s="491"/>
      <c r="P234" s="491"/>
      <c r="Q234" s="491"/>
      <c r="R234" s="491"/>
      <c r="S234" s="491"/>
      <c r="T234" s="491"/>
      <c r="U234" s="491"/>
      <c r="V234" s="491"/>
      <c r="W234" s="491"/>
      <c r="X234" s="491"/>
      <c r="Y234" s="491"/>
      <c r="Z234" s="491"/>
      <c r="AA234" s="491"/>
      <c r="AB234" s="491"/>
      <c r="AC234" s="491"/>
    </row>
    <row r="235" spans="1:29">
      <c r="A235" s="491"/>
      <c r="B235" s="491"/>
      <c r="C235" s="491"/>
      <c r="D235" s="491"/>
      <c r="E235" s="491"/>
      <c r="F235" s="491"/>
      <c r="G235" s="491"/>
      <c r="H235" s="491"/>
      <c r="I235" s="491"/>
      <c r="J235" s="491"/>
      <c r="K235" s="505"/>
      <c r="L235" s="506"/>
      <c r="M235" s="491"/>
      <c r="N235" s="491"/>
      <c r="O235" s="491"/>
      <c r="P235" s="491"/>
      <c r="Q235" s="491"/>
      <c r="R235" s="491"/>
      <c r="S235" s="491"/>
      <c r="T235" s="491"/>
      <c r="U235" s="491"/>
      <c r="V235" s="491"/>
      <c r="W235" s="491"/>
      <c r="X235" s="491"/>
      <c r="Y235" s="491"/>
      <c r="Z235" s="491"/>
      <c r="AA235" s="491"/>
      <c r="AB235" s="491"/>
      <c r="AC235" s="491"/>
    </row>
    <row r="236" spans="1:29">
      <c r="A236" s="491"/>
      <c r="B236" s="491"/>
      <c r="C236" s="491"/>
      <c r="D236" s="491"/>
      <c r="E236" s="491"/>
      <c r="F236" s="491"/>
      <c r="G236" s="491"/>
      <c r="H236" s="491"/>
      <c r="I236" s="491"/>
      <c r="J236" s="491"/>
      <c r="K236" s="505"/>
      <c r="L236" s="506"/>
      <c r="M236" s="491"/>
      <c r="N236" s="491"/>
      <c r="O236" s="491"/>
      <c r="P236" s="491"/>
      <c r="Q236" s="491"/>
      <c r="R236" s="491"/>
      <c r="S236" s="491"/>
      <c r="T236" s="491"/>
      <c r="U236" s="491"/>
      <c r="V236" s="491"/>
      <c r="W236" s="491"/>
      <c r="X236" s="491"/>
      <c r="Y236" s="491"/>
      <c r="Z236" s="491"/>
      <c r="AA236" s="491"/>
      <c r="AB236" s="491"/>
      <c r="AC236" s="491"/>
    </row>
    <row r="237" spans="1:29">
      <c r="A237" s="491"/>
      <c r="B237" s="491"/>
      <c r="C237" s="491"/>
      <c r="D237" s="491"/>
      <c r="E237" s="491"/>
      <c r="F237" s="491"/>
      <c r="G237" s="491"/>
      <c r="H237" s="491"/>
      <c r="I237" s="491"/>
      <c r="J237" s="491"/>
      <c r="K237" s="505"/>
      <c r="L237" s="506"/>
      <c r="M237" s="491"/>
      <c r="N237" s="491"/>
      <c r="O237" s="491"/>
      <c r="P237" s="491"/>
      <c r="Q237" s="491"/>
      <c r="R237" s="491"/>
      <c r="S237" s="491"/>
      <c r="T237" s="491"/>
      <c r="U237" s="491"/>
      <c r="V237" s="491"/>
      <c r="W237" s="491"/>
      <c r="X237" s="491"/>
      <c r="Y237" s="491"/>
      <c r="Z237" s="491"/>
      <c r="AA237" s="491"/>
      <c r="AB237" s="491"/>
      <c r="AC237" s="491"/>
    </row>
    <row r="238" spans="1:29">
      <c r="A238" s="491"/>
      <c r="B238" s="491"/>
      <c r="C238" s="491"/>
      <c r="D238" s="491"/>
      <c r="E238" s="491"/>
      <c r="F238" s="491"/>
      <c r="G238" s="491"/>
      <c r="H238" s="491"/>
      <c r="I238" s="491"/>
      <c r="J238" s="491"/>
      <c r="K238" s="505"/>
      <c r="L238" s="506"/>
      <c r="M238" s="491"/>
      <c r="N238" s="491"/>
      <c r="O238" s="491"/>
      <c r="P238" s="491"/>
      <c r="Q238" s="491"/>
      <c r="R238" s="491"/>
      <c r="S238" s="491"/>
      <c r="T238" s="491"/>
      <c r="U238" s="491"/>
      <c r="V238" s="491"/>
      <c r="W238" s="491"/>
      <c r="X238" s="491"/>
      <c r="Y238" s="491"/>
      <c r="Z238" s="491"/>
      <c r="AA238" s="491"/>
      <c r="AB238" s="491"/>
      <c r="AC238" s="491"/>
    </row>
    <row r="239" spans="1:29">
      <c r="A239" s="491"/>
      <c r="B239" s="491"/>
      <c r="C239" s="491"/>
      <c r="D239" s="491"/>
      <c r="E239" s="491"/>
      <c r="F239" s="491"/>
      <c r="G239" s="491"/>
      <c r="H239" s="491"/>
      <c r="I239" s="491"/>
      <c r="J239" s="491"/>
      <c r="K239" s="505"/>
      <c r="L239" s="506"/>
      <c r="M239" s="491"/>
      <c r="N239" s="491"/>
      <c r="O239" s="491"/>
      <c r="P239" s="491"/>
      <c r="Q239" s="491"/>
      <c r="R239" s="491"/>
      <c r="S239" s="491"/>
      <c r="T239" s="491"/>
      <c r="U239" s="491"/>
      <c r="V239" s="491"/>
      <c r="W239" s="491"/>
      <c r="X239" s="491"/>
      <c r="Y239" s="491"/>
      <c r="Z239" s="491"/>
      <c r="AA239" s="491"/>
      <c r="AB239" s="491"/>
      <c r="AC239" s="491"/>
    </row>
    <row r="240" spans="1:29">
      <c r="A240" s="491"/>
      <c r="B240" s="491"/>
      <c r="C240" s="491"/>
      <c r="D240" s="491"/>
      <c r="E240" s="491"/>
      <c r="F240" s="491"/>
      <c r="G240" s="491"/>
      <c r="H240" s="491"/>
      <c r="I240" s="491"/>
      <c r="J240" s="491"/>
      <c r="K240" s="505"/>
      <c r="L240" s="506"/>
      <c r="M240" s="491"/>
      <c r="N240" s="491"/>
      <c r="O240" s="491"/>
      <c r="P240" s="491"/>
      <c r="Q240" s="491"/>
      <c r="R240" s="491"/>
      <c r="S240" s="491"/>
      <c r="T240" s="491"/>
      <c r="U240" s="491"/>
      <c r="V240" s="491"/>
      <c r="W240" s="491"/>
      <c r="X240" s="491"/>
      <c r="Y240" s="491"/>
      <c r="Z240" s="491"/>
      <c r="AA240" s="491"/>
      <c r="AB240" s="491"/>
      <c r="AC240" s="491"/>
    </row>
    <row r="241" spans="1:29">
      <c r="A241" s="491"/>
      <c r="B241" s="491"/>
      <c r="C241" s="491"/>
      <c r="D241" s="491"/>
      <c r="E241" s="491"/>
      <c r="F241" s="491"/>
      <c r="G241" s="491"/>
      <c r="H241" s="491"/>
      <c r="I241" s="491"/>
      <c r="J241" s="491"/>
      <c r="K241" s="505"/>
      <c r="L241" s="506"/>
      <c r="M241" s="491"/>
      <c r="N241" s="491"/>
      <c r="O241" s="491"/>
      <c r="P241" s="491"/>
      <c r="Q241" s="491"/>
      <c r="R241" s="491"/>
      <c r="S241" s="491"/>
      <c r="T241" s="491"/>
      <c r="U241" s="491"/>
      <c r="V241" s="491"/>
      <c r="W241" s="491"/>
      <c r="X241" s="491"/>
      <c r="Y241" s="491"/>
      <c r="Z241" s="491"/>
      <c r="AA241" s="491"/>
      <c r="AB241" s="491"/>
      <c r="AC241" s="491"/>
    </row>
    <row r="242" spans="1:29">
      <c r="A242" s="491"/>
      <c r="B242" s="491"/>
      <c r="C242" s="491"/>
      <c r="D242" s="491"/>
      <c r="E242" s="491"/>
      <c r="F242" s="491"/>
      <c r="G242" s="491"/>
      <c r="H242" s="491"/>
      <c r="I242" s="491"/>
      <c r="J242" s="491"/>
      <c r="K242" s="505"/>
      <c r="L242" s="506"/>
      <c r="M242" s="491"/>
      <c r="N242" s="491"/>
      <c r="O242" s="491"/>
      <c r="P242" s="491"/>
      <c r="Q242" s="491"/>
      <c r="R242" s="491"/>
      <c r="S242" s="491"/>
      <c r="T242" s="491"/>
      <c r="U242" s="491"/>
      <c r="V242" s="491"/>
      <c r="W242" s="491"/>
      <c r="X242" s="491"/>
      <c r="Y242" s="491"/>
      <c r="Z242" s="491"/>
      <c r="AA242" s="491"/>
      <c r="AB242" s="491"/>
      <c r="AC242" s="491"/>
    </row>
    <row r="243" spans="1:29">
      <c r="A243" s="491"/>
      <c r="B243" s="491"/>
      <c r="C243" s="491"/>
      <c r="D243" s="491"/>
      <c r="E243" s="491"/>
      <c r="F243" s="491"/>
      <c r="G243" s="491"/>
      <c r="H243" s="491"/>
      <c r="I243" s="491"/>
      <c r="J243" s="491"/>
      <c r="K243" s="505"/>
      <c r="L243" s="506"/>
      <c r="M243" s="491"/>
      <c r="N243" s="491"/>
      <c r="O243" s="491"/>
      <c r="P243" s="491"/>
      <c r="Q243" s="491"/>
      <c r="R243" s="491"/>
      <c r="S243" s="491"/>
      <c r="T243" s="491"/>
      <c r="U243" s="491"/>
      <c r="V243" s="491"/>
      <c r="W243" s="491"/>
      <c r="X243" s="491"/>
      <c r="Y243" s="491"/>
      <c r="Z243" s="491"/>
      <c r="AA243" s="491"/>
      <c r="AB243" s="491"/>
      <c r="AC243" s="491"/>
    </row>
    <row r="244" spans="1:29">
      <c r="A244" s="491"/>
      <c r="B244" s="491"/>
      <c r="C244" s="491"/>
      <c r="D244" s="491"/>
      <c r="E244" s="491"/>
      <c r="F244" s="491"/>
      <c r="G244" s="491"/>
      <c r="H244" s="491"/>
      <c r="I244" s="491"/>
      <c r="J244" s="491"/>
      <c r="K244" s="505"/>
      <c r="L244" s="506"/>
      <c r="M244" s="491"/>
      <c r="N244" s="491"/>
      <c r="O244" s="491"/>
      <c r="P244" s="491"/>
      <c r="Q244" s="491"/>
      <c r="R244" s="491"/>
      <c r="S244" s="491"/>
      <c r="T244" s="491"/>
      <c r="U244" s="491"/>
      <c r="V244" s="491"/>
      <c r="W244" s="491"/>
      <c r="X244" s="491"/>
      <c r="Y244" s="491"/>
      <c r="Z244" s="491"/>
      <c r="AA244" s="491"/>
      <c r="AB244" s="491"/>
      <c r="AC244" s="491"/>
    </row>
    <row r="245" spans="1:29">
      <c r="A245" s="491"/>
      <c r="B245" s="491"/>
      <c r="C245" s="491"/>
      <c r="D245" s="491"/>
      <c r="E245" s="491"/>
      <c r="F245" s="491"/>
      <c r="G245" s="491"/>
      <c r="H245" s="491"/>
      <c r="I245" s="491"/>
      <c r="J245" s="491"/>
      <c r="K245" s="505"/>
      <c r="L245" s="506"/>
      <c r="M245" s="491"/>
      <c r="N245" s="491"/>
      <c r="O245" s="491"/>
      <c r="P245" s="491"/>
      <c r="Q245" s="491"/>
      <c r="R245" s="491"/>
      <c r="S245" s="491"/>
      <c r="T245" s="491"/>
      <c r="U245" s="491"/>
      <c r="V245" s="491"/>
      <c r="W245" s="491"/>
      <c r="X245" s="491"/>
      <c r="Y245" s="491"/>
      <c r="Z245" s="491"/>
      <c r="AA245" s="491"/>
      <c r="AB245" s="491"/>
      <c r="AC245" s="491"/>
    </row>
    <row r="246" spans="1:29">
      <c r="A246" s="491"/>
      <c r="B246" s="491"/>
      <c r="C246" s="491"/>
      <c r="D246" s="491"/>
      <c r="E246" s="491"/>
      <c r="F246" s="491"/>
      <c r="G246" s="491"/>
      <c r="H246" s="491"/>
      <c r="I246" s="491"/>
      <c r="J246" s="491"/>
      <c r="K246" s="505"/>
      <c r="L246" s="506"/>
      <c r="M246" s="491"/>
      <c r="N246" s="491"/>
      <c r="O246" s="491"/>
      <c r="P246" s="491"/>
      <c r="Q246" s="491"/>
      <c r="R246" s="491"/>
      <c r="S246" s="491"/>
      <c r="T246" s="491"/>
      <c r="U246" s="491"/>
      <c r="V246" s="491"/>
      <c r="W246" s="491"/>
      <c r="X246" s="491"/>
      <c r="Y246" s="491"/>
      <c r="Z246" s="491"/>
      <c r="AA246" s="491"/>
      <c r="AB246" s="491"/>
      <c r="AC246" s="491"/>
    </row>
    <row r="247" spans="1:29">
      <c r="A247" s="491"/>
      <c r="B247" s="491"/>
      <c r="C247" s="491"/>
      <c r="D247" s="491"/>
      <c r="E247" s="491"/>
      <c r="F247" s="491"/>
      <c r="G247" s="491"/>
      <c r="H247" s="491"/>
      <c r="I247" s="491"/>
      <c r="J247" s="491"/>
      <c r="K247" s="505"/>
      <c r="L247" s="506"/>
      <c r="M247" s="491"/>
      <c r="N247" s="491"/>
      <c r="O247" s="491"/>
      <c r="P247" s="491"/>
      <c r="Q247" s="491"/>
      <c r="R247" s="491"/>
      <c r="S247" s="491"/>
      <c r="T247" s="491"/>
      <c r="U247" s="491"/>
      <c r="V247" s="491"/>
      <c r="W247" s="491"/>
      <c r="X247" s="491"/>
      <c r="Y247" s="491"/>
      <c r="Z247" s="491"/>
      <c r="AA247" s="491"/>
      <c r="AB247" s="491"/>
      <c r="AC247" s="491"/>
    </row>
    <row r="248" spans="1:29">
      <c r="A248" s="491"/>
      <c r="B248" s="491"/>
      <c r="C248" s="491"/>
      <c r="D248" s="491"/>
      <c r="E248" s="491"/>
      <c r="F248" s="491"/>
      <c r="G248" s="491"/>
      <c r="H248" s="491"/>
      <c r="I248" s="491"/>
      <c r="J248" s="491"/>
      <c r="K248" s="505"/>
      <c r="L248" s="506"/>
      <c r="M248" s="491"/>
      <c r="N248" s="491"/>
      <c r="O248" s="491"/>
      <c r="P248" s="491"/>
      <c r="Q248" s="491"/>
      <c r="R248" s="491"/>
      <c r="S248" s="491"/>
      <c r="T248" s="491"/>
      <c r="U248" s="491"/>
      <c r="V248" s="491"/>
      <c r="W248" s="491"/>
      <c r="X248" s="491"/>
      <c r="Y248" s="491"/>
      <c r="Z248" s="491"/>
      <c r="AA248" s="491"/>
      <c r="AB248" s="491"/>
      <c r="AC248" s="491"/>
    </row>
    <row r="249" spans="1:29">
      <c r="A249" s="491"/>
      <c r="B249" s="491"/>
      <c r="C249" s="491"/>
      <c r="D249" s="491"/>
      <c r="E249" s="491"/>
      <c r="F249" s="491"/>
      <c r="G249" s="491"/>
      <c r="H249" s="491"/>
      <c r="I249" s="491"/>
      <c r="J249" s="491"/>
      <c r="K249" s="505"/>
      <c r="L249" s="506"/>
      <c r="M249" s="491"/>
      <c r="N249" s="491"/>
      <c r="O249" s="491"/>
      <c r="P249" s="491"/>
      <c r="Q249" s="491"/>
      <c r="R249" s="491"/>
      <c r="S249" s="491"/>
      <c r="T249" s="491"/>
      <c r="U249" s="491"/>
      <c r="V249" s="491"/>
      <c r="W249" s="491"/>
      <c r="X249" s="491"/>
      <c r="Y249" s="491"/>
      <c r="Z249" s="491"/>
      <c r="AA249" s="491"/>
      <c r="AB249" s="491"/>
      <c r="AC249" s="491"/>
    </row>
    <row r="250" spans="1:29">
      <c r="A250" s="491"/>
      <c r="B250" s="491"/>
      <c r="C250" s="491"/>
      <c r="D250" s="491"/>
      <c r="E250" s="491"/>
      <c r="F250" s="491"/>
      <c r="G250" s="491"/>
      <c r="H250" s="491"/>
      <c r="I250" s="491"/>
      <c r="J250" s="491"/>
      <c r="K250" s="505"/>
      <c r="L250" s="506"/>
      <c r="M250" s="491"/>
      <c r="N250" s="491"/>
      <c r="O250" s="491"/>
      <c r="P250" s="491"/>
      <c r="Q250" s="491"/>
      <c r="R250" s="491"/>
      <c r="S250" s="491"/>
      <c r="T250" s="491"/>
      <c r="U250" s="491"/>
      <c r="V250" s="491"/>
      <c r="W250" s="491"/>
      <c r="X250" s="491"/>
      <c r="Y250" s="491"/>
      <c r="Z250" s="491"/>
      <c r="AA250" s="491"/>
      <c r="AB250" s="491"/>
      <c r="AC250" s="491"/>
    </row>
    <row r="251" spans="1:29">
      <c r="A251" s="491"/>
      <c r="B251" s="491"/>
      <c r="C251" s="491"/>
      <c r="D251" s="491"/>
      <c r="E251" s="491"/>
      <c r="F251" s="491"/>
      <c r="G251" s="491"/>
      <c r="H251" s="491"/>
      <c r="I251" s="491"/>
      <c r="J251" s="491"/>
      <c r="K251" s="505"/>
      <c r="L251" s="506"/>
      <c r="M251" s="491"/>
      <c r="N251" s="491"/>
      <c r="O251" s="491"/>
      <c r="P251" s="491"/>
      <c r="Q251" s="491"/>
      <c r="R251" s="491"/>
      <c r="S251" s="491"/>
      <c r="T251" s="491"/>
      <c r="U251" s="491"/>
      <c r="V251" s="491"/>
      <c r="W251" s="491"/>
      <c r="X251" s="491"/>
      <c r="Y251" s="491"/>
      <c r="Z251" s="491"/>
      <c r="AA251" s="491"/>
      <c r="AB251" s="491"/>
      <c r="AC251" s="491"/>
    </row>
    <row r="252" spans="1:29">
      <c r="A252" s="491"/>
      <c r="B252" s="491"/>
      <c r="C252" s="491"/>
      <c r="D252" s="491"/>
      <c r="E252" s="491"/>
      <c r="F252" s="491"/>
      <c r="G252" s="491"/>
      <c r="H252" s="491"/>
      <c r="I252" s="491"/>
      <c r="J252" s="491"/>
      <c r="K252" s="505"/>
      <c r="L252" s="506"/>
      <c r="M252" s="491"/>
      <c r="N252" s="491"/>
      <c r="O252" s="491"/>
      <c r="P252" s="491"/>
      <c r="Q252" s="491"/>
      <c r="R252" s="491"/>
      <c r="S252" s="491"/>
      <c r="T252" s="491"/>
      <c r="U252" s="491"/>
      <c r="V252" s="491"/>
      <c r="W252" s="491"/>
      <c r="X252" s="491"/>
      <c r="Y252" s="491"/>
      <c r="Z252" s="491"/>
      <c r="AA252" s="491"/>
      <c r="AB252" s="491"/>
      <c r="AC252" s="491"/>
    </row>
    <row r="253" spans="1:29">
      <c r="A253" s="491"/>
      <c r="B253" s="491"/>
      <c r="C253" s="491"/>
      <c r="D253" s="491"/>
      <c r="E253" s="491"/>
      <c r="F253" s="491"/>
      <c r="G253" s="491"/>
      <c r="H253" s="491"/>
      <c r="I253" s="491"/>
      <c r="J253" s="491"/>
      <c r="K253" s="505"/>
      <c r="L253" s="506"/>
      <c r="M253" s="491"/>
      <c r="N253" s="491"/>
      <c r="O253" s="491"/>
      <c r="P253" s="491"/>
      <c r="Q253" s="491"/>
      <c r="R253" s="491"/>
      <c r="S253" s="491"/>
      <c r="T253" s="491"/>
      <c r="U253" s="491"/>
      <c r="V253" s="491"/>
      <c r="W253" s="491"/>
      <c r="X253" s="491"/>
      <c r="Y253" s="491"/>
      <c r="Z253" s="491"/>
      <c r="AA253" s="491"/>
      <c r="AB253" s="491"/>
      <c r="AC253" s="491"/>
    </row>
    <row r="254" spans="1:29">
      <c r="A254" s="491"/>
      <c r="B254" s="491"/>
      <c r="C254" s="491"/>
      <c r="D254" s="491"/>
      <c r="E254" s="491"/>
      <c r="F254" s="491"/>
      <c r="G254" s="491"/>
      <c r="H254" s="491"/>
      <c r="I254" s="491"/>
      <c r="J254" s="491"/>
      <c r="K254" s="505"/>
      <c r="L254" s="506"/>
      <c r="M254" s="491"/>
      <c r="N254" s="491"/>
      <c r="O254" s="491"/>
      <c r="P254" s="491"/>
      <c r="Q254" s="491"/>
      <c r="R254" s="491"/>
      <c r="S254" s="491"/>
      <c r="T254" s="491"/>
      <c r="U254" s="491"/>
      <c r="V254" s="491"/>
      <c r="W254" s="491"/>
      <c r="X254" s="491"/>
      <c r="Y254" s="491"/>
      <c r="Z254" s="491"/>
      <c r="AA254" s="491"/>
      <c r="AB254" s="491"/>
      <c r="AC254" s="491"/>
    </row>
    <row r="255" spans="1:29">
      <c r="A255" s="491"/>
      <c r="B255" s="491"/>
      <c r="C255" s="491"/>
      <c r="D255" s="491"/>
      <c r="E255" s="491"/>
      <c r="F255" s="491"/>
      <c r="G255" s="491"/>
      <c r="H255" s="491"/>
      <c r="I255" s="491"/>
      <c r="J255" s="491"/>
      <c r="K255" s="505"/>
      <c r="L255" s="506"/>
      <c r="M255" s="491"/>
      <c r="N255" s="491"/>
      <c r="O255" s="491"/>
      <c r="P255" s="491"/>
      <c r="Q255" s="491"/>
      <c r="R255" s="491"/>
      <c r="S255" s="491"/>
      <c r="T255" s="491"/>
      <c r="U255" s="491"/>
      <c r="V255" s="491"/>
      <c r="W255" s="491"/>
      <c r="X255" s="491"/>
      <c r="Y255" s="491"/>
      <c r="Z255" s="491"/>
      <c r="AA255" s="491"/>
      <c r="AB255" s="491"/>
      <c r="AC255" s="491"/>
    </row>
    <row r="256" spans="1:29">
      <c r="A256" s="491"/>
      <c r="B256" s="491"/>
      <c r="C256" s="491"/>
      <c r="D256" s="491"/>
      <c r="E256" s="491"/>
      <c r="F256" s="491"/>
      <c r="G256" s="491"/>
      <c r="H256" s="491"/>
      <c r="I256" s="491"/>
      <c r="J256" s="491"/>
      <c r="K256" s="505"/>
      <c r="L256" s="506"/>
      <c r="M256" s="491"/>
      <c r="N256" s="491"/>
      <c r="O256" s="491"/>
      <c r="P256" s="491"/>
      <c r="Q256" s="491"/>
      <c r="R256" s="491"/>
      <c r="S256" s="491"/>
      <c r="T256" s="491"/>
      <c r="U256" s="491"/>
      <c r="V256" s="491"/>
      <c r="W256" s="491"/>
      <c r="X256" s="491"/>
      <c r="Y256" s="491"/>
      <c r="Z256" s="491"/>
      <c r="AA256" s="491"/>
      <c r="AB256" s="491"/>
      <c r="AC256" s="491"/>
    </row>
    <row r="257" spans="1:29">
      <c r="A257" s="491"/>
      <c r="B257" s="491"/>
      <c r="C257" s="491"/>
      <c r="D257" s="491"/>
      <c r="E257" s="491"/>
      <c r="F257" s="491"/>
      <c r="G257" s="491"/>
      <c r="H257" s="491"/>
      <c r="I257" s="491"/>
      <c r="J257" s="491"/>
      <c r="K257" s="505"/>
      <c r="L257" s="506"/>
      <c r="M257" s="491"/>
      <c r="N257" s="491"/>
      <c r="O257" s="491"/>
      <c r="P257" s="491"/>
      <c r="Q257" s="491"/>
      <c r="R257" s="491"/>
      <c r="S257" s="491"/>
      <c r="T257" s="491"/>
      <c r="U257" s="491"/>
      <c r="V257" s="491"/>
      <c r="W257" s="491"/>
      <c r="X257" s="491"/>
      <c r="Y257" s="491"/>
      <c r="Z257" s="491"/>
      <c r="AA257" s="491"/>
      <c r="AB257" s="491"/>
      <c r="AC257" s="491"/>
    </row>
    <row r="258" spans="1:29">
      <c r="A258" s="491"/>
      <c r="B258" s="491"/>
      <c r="C258" s="491"/>
      <c r="D258" s="491"/>
      <c r="E258" s="491"/>
      <c r="F258" s="491"/>
      <c r="G258" s="491"/>
      <c r="H258" s="491"/>
      <c r="I258" s="491"/>
      <c r="J258" s="491"/>
      <c r="K258" s="505"/>
      <c r="L258" s="506"/>
      <c r="M258" s="491"/>
      <c r="N258" s="491"/>
      <c r="O258" s="491"/>
      <c r="P258" s="491"/>
      <c r="Q258" s="491"/>
      <c r="R258" s="491"/>
      <c r="S258" s="491"/>
      <c r="T258" s="491"/>
      <c r="U258" s="491"/>
      <c r="V258" s="491"/>
      <c r="W258" s="491"/>
      <c r="X258" s="491"/>
      <c r="Y258" s="491"/>
      <c r="Z258" s="491"/>
      <c r="AA258" s="491"/>
      <c r="AB258" s="491"/>
      <c r="AC258" s="491"/>
    </row>
    <row r="259" spans="1:29">
      <c r="A259" s="491"/>
      <c r="B259" s="491"/>
      <c r="C259" s="491"/>
      <c r="D259" s="491"/>
      <c r="E259" s="491"/>
      <c r="F259" s="491"/>
      <c r="G259" s="491"/>
      <c r="H259" s="491"/>
      <c r="I259" s="491"/>
      <c r="J259" s="491"/>
      <c r="K259" s="505"/>
      <c r="L259" s="506"/>
      <c r="M259" s="491"/>
      <c r="N259" s="491"/>
      <c r="O259" s="491"/>
      <c r="P259" s="491"/>
      <c r="Q259" s="491"/>
      <c r="R259" s="491"/>
      <c r="S259" s="491"/>
      <c r="T259" s="491"/>
      <c r="U259" s="491"/>
      <c r="V259" s="491"/>
      <c r="W259" s="491"/>
      <c r="X259" s="491"/>
      <c r="Y259" s="491"/>
      <c r="Z259" s="491"/>
      <c r="AA259" s="491"/>
      <c r="AB259" s="491"/>
      <c r="AC259" s="491"/>
    </row>
    <row r="260" spans="1:29">
      <c r="A260" s="491"/>
      <c r="B260" s="491"/>
      <c r="C260" s="491"/>
      <c r="D260" s="491"/>
      <c r="E260" s="491"/>
      <c r="F260" s="491"/>
      <c r="G260" s="491"/>
      <c r="H260" s="491"/>
      <c r="I260" s="491"/>
      <c r="J260" s="491"/>
      <c r="K260" s="505"/>
      <c r="L260" s="506"/>
      <c r="M260" s="491"/>
      <c r="N260" s="491"/>
      <c r="O260" s="491"/>
      <c r="P260" s="491"/>
      <c r="Q260" s="491"/>
      <c r="R260" s="491"/>
      <c r="S260" s="491"/>
      <c r="T260" s="491"/>
      <c r="U260" s="491"/>
      <c r="V260" s="491"/>
      <c r="W260" s="491"/>
      <c r="X260" s="491"/>
      <c r="Y260" s="491"/>
      <c r="Z260" s="491"/>
      <c r="AA260" s="491"/>
      <c r="AB260" s="491"/>
      <c r="AC260" s="491"/>
    </row>
    <row r="261" spans="1:29">
      <c r="A261" s="491"/>
      <c r="B261" s="491"/>
      <c r="C261" s="491"/>
      <c r="D261" s="491"/>
      <c r="E261" s="491"/>
      <c r="F261" s="491"/>
      <c r="G261" s="491"/>
      <c r="H261" s="491"/>
      <c r="I261" s="491"/>
      <c r="J261" s="491"/>
      <c r="K261" s="505"/>
      <c r="L261" s="506"/>
      <c r="M261" s="491"/>
      <c r="N261" s="491"/>
      <c r="O261" s="491"/>
      <c r="P261" s="491"/>
      <c r="Q261" s="491"/>
      <c r="R261" s="491"/>
      <c r="S261" s="491"/>
      <c r="T261" s="491"/>
      <c r="U261" s="491"/>
      <c r="V261" s="491"/>
      <c r="W261" s="491"/>
      <c r="X261" s="491"/>
      <c r="Y261" s="491"/>
      <c r="Z261" s="491"/>
      <c r="AA261" s="491"/>
      <c r="AB261" s="491"/>
      <c r="AC261" s="491"/>
    </row>
    <row r="262" spans="1:29">
      <c r="A262" s="491"/>
      <c r="B262" s="491"/>
      <c r="C262" s="491"/>
      <c r="D262" s="491"/>
      <c r="E262" s="491"/>
      <c r="F262" s="491"/>
      <c r="G262" s="491"/>
      <c r="H262" s="491"/>
      <c r="I262" s="491"/>
      <c r="J262" s="491"/>
      <c r="K262" s="505"/>
      <c r="L262" s="506"/>
      <c r="M262" s="491"/>
      <c r="N262" s="491"/>
      <c r="O262" s="491"/>
      <c r="P262" s="491"/>
      <c r="Q262" s="491"/>
      <c r="R262" s="491"/>
      <c r="S262" s="491"/>
      <c r="T262" s="491"/>
      <c r="U262" s="491"/>
      <c r="V262" s="491"/>
      <c r="W262" s="491"/>
      <c r="X262" s="491"/>
      <c r="Y262" s="491"/>
      <c r="Z262" s="491"/>
      <c r="AA262" s="491"/>
      <c r="AB262" s="491"/>
      <c r="AC262" s="491"/>
    </row>
    <row r="263" spans="1:29">
      <c r="A263" s="491"/>
      <c r="B263" s="491"/>
      <c r="C263" s="491"/>
      <c r="D263" s="491"/>
      <c r="E263" s="491"/>
      <c r="F263" s="491"/>
      <c r="G263" s="491"/>
      <c r="H263" s="491"/>
      <c r="I263" s="491"/>
      <c r="J263" s="491"/>
      <c r="K263" s="505"/>
      <c r="L263" s="506"/>
      <c r="M263" s="491"/>
      <c r="N263" s="491"/>
      <c r="O263" s="491"/>
      <c r="P263" s="491"/>
      <c r="Q263" s="491"/>
      <c r="R263" s="491"/>
      <c r="S263" s="491"/>
      <c r="T263" s="491"/>
      <c r="U263" s="491"/>
      <c r="V263" s="491"/>
      <c r="W263" s="491"/>
      <c r="X263" s="491"/>
      <c r="Y263" s="491"/>
      <c r="Z263" s="491"/>
      <c r="AA263" s="491"/>
      <c r="AB263" s="491"/>
      <c r="AC263" s="491"/>
    </row>
    <row r="264" spans="1:29">
      <c r="A264" s="491"/>
      <c r="B264" s="491"/>
      <c r="C264" s="491"/>
      <c r="D264" s="491"/>
      <c r="E264" s="491"/>
      <c r="F264" s="491"/>
      <c r="G264" s="491"/>
      <c r="H264" s="491"/>
      <c r="I264" s="491"/>
      <c r="J264" s="491"/>
      <c r="K264" s="505"/>
      <c r="L264" s="506"/>
      <c r="M264" s="491"/>
      <c r="N264" s="491"/>
      <c r="O264" s="491"/>
      <c r="P264" s="491"/>
      <c r="Q264" s="491"/>
      <c r="R264" s="491"/>
      <c r="S264" s="491"/>
      <c r="T264" s="491"/>
      <c r="U264" s="491"/>
      <c r="V264" s="491"/>
      <c r="W264" s="491"/>
      <c r="X264" s="491"/>
      <c r="Y264" s="491"/>
      <c r="Z264" s="491"/>
      <c r="AA264" s="491"/>
      <c r="AB264" s="491"/>
      <c r="AC264" s="491"/>
    </row>
    <row r="265" spans="1:29">
      <c r="A265" s="491"/>
      <c r="B265" s="491"/>
      <c r="C265" s="491"/>
      <c r="D265" s="491"/>
      <c r="E265" s="491"/>
      <c r="F265" s="491"/>
      <c r="G265" s="491"/>
      <c r="H265" s="491"/>
      <c r="I265" s="491"/>
      <c r="J265" s="491"/>
      <c r="K265" s="505"/>
      <c r="L265" s="506"/>
      <c r="M265" s="491"/>
      <c r="N265" s="491"/>
      <c r="O265" s="491"/>
      <c r="P265" s="491"/>
      <c r="Q265" s="491"/>
      <c r="R265" s="491"/>
      <c r="S265" s="491"/>
      <c r="T265" s="491"/>
      <c r="U265" s="491"/>
      <c r="V265" s="491"/>
      <c r="W265" s="491"/>
      <c r="X265" s="491"/>
      <c r="Y265" s="491"/>
      <c r="Z265" s="491"/>
      <c r="AA265" s="491"/>
      <c r="AB265" s="491"/>
      <c r="AC265" s="491"/>
    </row>
    <row r="266" spans="1:29">
      <c r="A266" s="491"/>
      <c r="B266" s="491"/>
      <c r="C266" s="491"/>
      <c r="D266" s="491"/>
      <c r="E266" s="491"/>
      <c r="F266" s="491"/>
      <c r="G266" s="491"/>
      <c r="H266" s="491"/>
      <c r="I266" s="491"/>
      <c r="J266" s="491"/>
      <c r="K266" s="505"/>
      <c r="L266" s="506"/>
      <c r="M266" s="491"/>
      <c r="N266" s="491"/>
      <c r="O266" s="491"/>
      <c r="P266" s="491"/>
      <c r="Q266" s="491"/>
      <c r="R266" s="491"/>
      <c r="S266" s="491"/>
      <c r="T266" s="491"/>
      <c r="U266" s="491"/>
      <c r="V266" s="491"/>
      <c r="W266" s="491"/>
      <c r="X266" s="491"/>
      <c r="Y266" s="491"/>
      <c r="Z266" s="491"/>
      <c r="AA266" s="491"/>
      <c r="AB266" s="491"/>
      <c r="AC266" s="491"/>
    </row>
    <row r="267" spans="1:29">
      <c r="A267" s="491"/>
      <c r="B267" s="491"/>
      <c r="C267" s="491"/>
      <c r="D267" s="491"/>
      <c r="E267" s="491"/>
      <c r="F267" s="491"/>
      <c r="G267" s="491"/>
      <c r="H267" s="491"/>
      <c r="I267" s="491"/>
      <c r="J267" s="491"/>
      <c r="K267" s="505"/>
      <c r="L267" s="506"/>
      <c r="M267" s="491"/>
      <c r="N267" s="491"/>
      <c r="O267" s="491"/>
      <c r="P267" s="491"/>
      <c r="Q267" s="491"/>
      <c r="R267" s="491"/>
      <c r="S267" s="491"/>
      <c r="T267" s="491"/>
      <c r="U267" s="491"/>
      <c r="V267" s="491"/>
      <c r="W267" s="491"/>
      <c r="X267" s="491"/>
      <c r="Y267" s="491"/>
      <c r="Z267" s="491"/>
      <c r="AA267" s="491"/>
      <c r="AB267" s="491"/>
      <c r="AC267" s="491"/>
    </row>
    <row r="268" spans="1:29">
      <c r="A268" s="491"/>
      <c r="B268" s="491"/>
      <c r="C268" s="491"/>
      <c r="D268" s="491"/>
      <c r="E268" s="491"/>
      <c r="F268" s="491"/>
      <c r="G268" s="491"/>
      <c r="H268" s="491"/>
      <c r="I268" s="491"/>
      <c r="J268" s="491"/>
      <c r="K268" s="505"/>
      <c r="L268" s="506"/>
      <c r="M268" s="491"/>
      <c r="N268" s="491"/>
      <c r="O268" s="491"/>
      <c r="P268" s="491"/>
      <c r="Q268" s="491"/>
      <c r="R268" s="491"/>
      <c r="S268" s="491"/>
      <c r="T268" s="491"/>
      <c r="U268" s="491"/>
      <c r="V268" s="491"/>
      <c r="W268" s="491"/>
      <c r="X268" s="491"/>
      <c r="Y268" s="491"/>
      <c r="Z268" s="491"/>
      <c r="AA268" s="491"/>
      <c r="AB268" s="491"/>
      <c r="AC268" s="49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7" priority="4">
      <formula>$D$48="简单平均"</formula>
    </cfRule>
  </conditionalFormatting>
  <conditionalFormatting sqref="H48">
    <cfRule type="expression" dxfId="7" priority="3">
      <formula>$D$48="简单平均"</formula>
    </cfRule>
  </conditionalFormatting>
  <conditionalFormatting sqref="J48">
    <cfRule type="expression" dxfId="7" priority="2">
      <formula>$D$48="简单平均"</formula>
    </cfRule>
  </conditionalFormatting>
  <conditionalFormatting sqref="E52">
    <cfRule type="expression" dxfId="10" priority="14" stopIfTrue="1">
      <formula>$F$52="超过30%"</formula>
    </cfRule>
  </conditionalFormatting>
  <conditionalFormatting sqref="G52">
    <cfRule type="expression" dxfId="10" priority="9" stopIfTrue="1">
      <formula>$H$52="超过30%"</formula>
    </cfRule>
  </conditionalFormatting>
  <conditionalFormatting sqref="I52">
    <cfRule type="expression" dxfId="10" priority="7" stopIfTrue="1">
      <formula>$J$52="超过30%"</formula>
    </cfRule>
  </conditionalFormatting>
  <conditionalFormatting sqref="E53">
    <cfRule type="expression" dxfId="10" priority="11" stopIfTrue="1">
      <formula>$F$53="超过20%"</formula>
    </cfRule>
  </conditionalFormatting>
  <conditionalFormatting sqref="G53">
    <cfRule type="expression" dxfId="10" priority="8" stopIfTrue="1">
      <formula>$H$53="超过20%"</formula>
    </cfRule>
  </conditionalFormatting>
  <conditionalFormatting sqref="I53">
    <cfRule type="expression" dxfId="10" priority="6" stopIfTrue="1">
      <formula>$J$53="超过20%"</formula>
    </cfRule>
  </conditionalFormatting>
  <conditionalFormatting sqref="E54">
    <cfRule type="expression" dxfId="10" priority="10" stopIfTrue="1">
      <formula>$F$54="超过30%"</formula>
    </cfRule>
  </conditionalFormatting>
  <conditionalFormatting sqref="G54">
    <cfRule type="expression" dxfId="10" priority="12" stopIfTrue="1">
      <formula>$H$54="超过30%"</formula>
    </cfRule>
  </conditionalFormatting>
  <conditionalFormatting sqref="I54">
    <cfRule type="expression" dxfId="10" priority="5" stopIfTrue="1">
      <formula>$J$54="超过30%"</formula>
    </cfRule>
  </conditionalFormatting>
  <conditionalFormatting sqref="F7:F46 H7:H46 J7:J46">
    <cfRule type="cellIs" dxfId="11" priority="1" operator="notEqual">
      <formula>100</formula>
    </cfRule>
  </conditionalFormatting>
  <conditionalFormatting sqref="F52:F54 H52:H54 J52:J54">
    <cfRule type="containsText" dxfId="12" priority="15" stopIfTrue="1" operator="between" text="超过">
      <formula>NOT(ISERROR(SEARCH("超过",F52)))</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pageSetUpPr fitToPage="1"/>
  </sheetPr>
  <dimension ref="A1:AG76"/>
  <sheetViews>
    <sheetView view="pageBreakPreview" zoomScale="85" zoomScaleNormal="60" topLeftCell="A13" workbookViewId="0">
      <selection activeCell="H33" sqref="H33"/>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550</v>
      </c>
      <c r="D1" s="710" t="s">
        <v>2405</v>
      </c>
      <c r="E1" s="711" t="s">
        <v>588</v>
      </c>
      <c r="F1" s="712">
        <f ca="1">J53</f>
        <v>68</v>
      </c>
      <c r="G1" s="713">
        <f>MATCH(C1,'数据-取费表'!A6:A16,0)+5</f>
        <v>8</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23">
        <f ca="1">C40+J29+L46</f>
        <v>46459.65</v>
      </c>
      <c r="C2" s="715"/>
      <c r="D2" s="716"/>
      <c r="E2" s="717"/>
      <c r="F2" s="717"/>
      <c r="G2" s="718"/>
      <c r="H2" s="719"/>
      <c r="I2" s="719"/>
      <c r="J2" s="719"/>
      <c r="K2" s="861"/>
      <c r="L2" s="719"/>
      <c r="M2" s="719"/>
    </row>
    <row r="3" ht="18" customHeight="1" spans="1:13">
      <c r="A3" s="720" t="s">
        <v>2350</v>
      </c>
      <c r="B3" s="721">
        <f ca="1">IF(ISERROR(B2*10000/F43),0,ROUND(B2*10000/F43,0))</f>
        <v>8283</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f ca="1">C6+C10+C12</f>
        <v>2951.71</v>
      </c>
      <c r="D5" s="731" t="s">
        <v>1918</v>
      </c>
      <c r="E5" s="732"/>
      <c r="F5" s="733"/>
      <c r="G5" s="727"/>
      <c r="H5" s="728">
        <v>1</v>
      </c>
      <c r="I5" s="729" t="s">
        <v>1917</v>
      </c>
      <c r="J5" s="730">
        <f ca="1">J6+J10+J12</f>
        <v>0</v>
      </c>
      <c r="K5" s="731" t="s">
        <v>1918</v>
      </c>
      <c r="L5" s="732"/>
      <c r="M5" s="733"/>
    </row>
    <row r="6" ht="18" customHeight="1" spans="1:13">
      <c r="A6" s="734" t="s">
        <v>855</v>
      </c>
      <c r="B6" s="735" t="s">
        <v>1919</v>
      </c>
      <c r="C6" s="736">
        <f ca="1">ROUND(F6*F8*F7*(1-F9)/10000,2)</f>
        <v>2948.02</v>
      </c>
      <c r="D6" s="737" t="s">
        <v>2406</v>
      </c>
      <c r="E6" s="738" t="s">
        <v>1921</v>
      </c>
      <c r="F6" s="739">
        <f ca="1">INDIRECT("'数据-取费表'!u"&amp;$G$1)</f>
        <v>1.6</v>
      </c>
      <c r="G6" s="727"/>
      <c r="H6" s="740" t="s">
        <v>855</v>
      </c>
      <c r="I6" s="735" t="s">
        <v>1919</v>
      </c>
      <c r="J6" s="736">
        <f ca="1">ROUND(M6*M8*M7*(1-M9)/10000,0)</f>
        <v>0</v>
      </c>
      <c r="K6" s="814" t="s">
        <v>2407</v>
      </c>
      <c r="L6" s="738" t="s">
        <v>1921</v>
      </c>
      <c r="M6" s="739">
        <f ca="1">INDIRECT("'数据-取费表'!z"&amp;$G$1)</f>
        <v>0</v>
      </c>
    </row>
    <row r="7" ht="18" customHeight="1" spans="1:13">
      <c r="A7" s="741"/>
      <c r="B7" s="742"/>
      <c r="C7" s="743"/>
      <c r="D7" s="744"/>
      <c r="E7" s="738" t="s">
        <v>1922</v>
      </c>
      <c r="F7" s="739">
        <f ca="1">IF(INDIRECT("'数据-取费表'!ah"&amp;$G$1)="",INDIRECT("'数据-取费表'!k"&amp;$G$1),INDIRECT("'数据-取费表'!ah"&amp;$G$1))</f>
        <v>56088.64</v>
      </c>
      <c r="G7" s="727"/>
      <c r="H7" s="745"/>
      <c r="I7" s="742"/>
      <c r="J7" s="743"/>
      <c r="K7" s="744"/>
      <c r="L7" s="738" t="s">
        <v>1922</v>
      </c>
      <c r="M7" s="739">
        <f ca="1">F7</f>
        <v>56088.64</v>
      </c>
    </row>
    <row r="8" ht="18" customHeight="1" spans="1:13">
      <c r="A8" s="746"/>
      <c r="B8" s="747"/>
      <c r="C8" s="743"/>
      <c r="D8" s="744"/>
      <c r="E8" s="738" t="s">
        <v>1923</v>
      </c>
      <c r="F8" s="739">
        <f ca="1">INDIRECT("'数据-取费表'!ai"&amp;$G$1)</f>
        <v>365</v>
      </c>
      <c r="G8" s="727"/>
      <c r="H8" s="745"/>
      <c r="I8" s="747"/>
      <c r="J8" s="743"/>
      <c r="K8" s="744"/>
      <c r="L8" s="738" t="s">
        <v>1923</v>
      </c>
      <c r="M8" s="739">
        <f ca="1">INDIRECT("'数据-取费表'!ai"&amp;$G$1)</f>
        <v>365</v>
      </c>
    </row>
    <row r="9" ht="18" customHeight="1" spans="1:13">
      <c r="A9" s="748"/>
      <c r="B9" s="749"/>
      <c r="C9" s="743"/>
      <c r="D9" s="744"/>
      <c r="E9" s="738" t="s">
        <v>1924</v>
      </c>
      <c r="F9" s="750">
        <f ca="1">INDIRECT("'数据-取费表'!w"&amp;$G$1)</f>
        <v>0.1</v>
      </c>
      <c r="G9" s="727"/>
      <c r="H9" s="751"/>
      <c r="I9" s="747"/>
      <c r="J9" s="743"/>
      <c r="K9" s="744"/>
      <c r="L9" s="795" t="s">
        <v>1924</v>
      </c>
      <c r="M9" s="760">
        <f ca="1">INDIRECT("'数据-取费表'!ab"&amp;$G$1)</f>
        <v>0</v>
      </c>
    </row>
    <row r="10" ht="18" customHeight="1" spans="1:13">
      <c r="A10" s="734" t="s">
        <v>857</v>
      </c>
      <c r="B10" s="752" t="s">
        <v>1925</v>
      </c>
      <c r="C10" s="124">
        <f ca="1">ROUND(IF(F10="押一",C6/12*F11,IF(F10="押二",C6/12*2*F11,IF(F10="押三",C6/12*3*F11,C11*F11))),2)</f>
        <v>3.69</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1103">
        <f ca="1">ROUND(C29*F13,2)</f>
        <v>30643.54</v>
      </c>
      <c r="D13" s="772" t="s">
        <v>2409</v>
      </c>
      <c r="E13" s="772" t="s">
        <v>1932</v>
      </c>
      <c r="F13" s="773">
        <f ca="1">INDIRECT("'数据-取费表'!y"&amp;$G$1)</f>
        <v>1</v>
      </c>
      <c r="G13" s="727"/>
      <c r="H13" s="769">
        <v>2</v>
      </c>
      <c r="I13" s="770" t="s">
        <v>1933</v>
      </c>
      <c r="J13" s="869">
        <f ca="1">ROUND(J14*J15,0)</f>
        <v>0</v>
      </c>
      <c r="K13" s="804" t="s">
        <v>1931</v>
      </c>
      <c r="L13" s="870"/>
      <c r="M13" s="871"/>
    </row>
    <row r="14" ht="18" customHeight="1" spans="1:13">
      <c r="A14" s="774" t="s">
        <v>879</v>
      </c>
      <c r="B14" s="738" t="s">
        <v>1068</v>
      </c>
      <c r="C14" s="775">
        <f>'数据-取费表'!P8+'数据-取费表'!T8</f>
        <v>22435.46</v>
      </c>
      <c r="D14" s="776" t="s">
        <v>1934</v>
      </c>
      <c r="E14" s="777"/>
      <c r="F14" s="778"/>
      <c r="G14" s="727"/>
      <c r="H14" s="779" t="s">
        <v>855</v>
      </c>
      <c r="I14" s="856" t="s">
        <v>1935</v>
      </c>
      <c r="J14" s="125">
        <f ca="1">C29</f>
        <v>30643.54</v>
      </c>
      <c r="K14" s="857"/>
      <c r="L14" s="872"/>
      <c r="M14" s="873"/>
    </row>
    <row r="15" s="702" customFormat="1" ht="18" customHeight="1" spans="1:33">
      <c r="A15" s="774" t="s">
        <v>883</v>
      </c>
      <c r="B15" s="738" t="s">
        <v>1070</v>
      </c>
      <c r="C15" s="1102">
        <f>ROUND(C14*F15,2)</f>
        <v>673.06</v>
      </c>
      <c r="D15" s="780" t="s">
        <v>1936</v>
      </c>
      <c r="E15" s="780" t="s">
        <v>1937</v>
      </c>
      <c r="F15" s="781">
        <f>'数据-取费表'!B33</f>
        <v>0.03</v>
      </c>
      <c r="G15" s="782"/>
      <c r="H15" s="768" t="s">
        <v>857</v>
      </c>
      <c r="I15" s="801" t="s">
        <v>1932</v>
      </c>
      <c r="J15" s="874">
        <f ca="1">INDIRECT("'数据-取费表'!ad"&amp;$G$1)</f>
        <v>0</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102">
        <f ca="1">ROUND(INDIRECT("'数据-取费表'!m"&amp;$G$1)*F16,2)</f>
        <v>1121.77</v>
      </c>
      <c r="D16" s="738" t="s">
        <v>1936</v>
      </c>
      <c r="E16" s="738" t="s">
        <v>1937</v>
      </c>
      <c r="F16" s="783">
        <f ca="1">IF(INDIRECT("'数据-取费表'!c"&amp;$G$1)="住宅",'数据-取费表'!B34,0)</f>
        <v>0.05</v>
      </c>
      <c r="G16" s="727"/>
      <c r="H16" s="769" t="s">
        <v>1997</v>
      </c>
      <c r="I16" s="770" t="s">
        <v>1938</v>
      </c>
      <c r="J16" s="771" t="e">
        <f ca="1">ROUND(J17+J22+J23+J24,0)</f>
        <v>#VALUE!</v>
      </c>
      <c r="K16" s="804" t="s">
        <v>1939</v>
      </c>
      <c r="L16" s="805"/>
      <c r="M16" s="733"/>
    </row>
    <row r="17" s="702" customFormat="1" ht="18" customHeight="1" spans="1:33">
      <c r="A17" s="774" t="s">
        <v>2410</v>
      </c>
      <c r="B17" s="738" t="s">
        <v>1940</v>
      </c>
      <c r="C17" s="125">
        <f>ROUND(F17*'数据-汇总表'!F21/10000,2)</f>
        <v>1710.7</v>
      </c>
      <c r="D17" s="738" t="s">
        <v>1941</v>
      </c>
      <c r="E17" s="738" t="s">
        <v>1942</v>
      </c>
      <c r="F17" s="784">
        <f>'数据-取费表'!B35</f>
        <v>305</v>
      </c>
      <c r="G17" s="782"/>
      <c r="H17" s="779" t="s">
        <v>855</v>
      </c>
      <c r="I17" s="738" t="s">
        <v>1943</v>
      </c>
      <c r="J17" s="807" t="e">
        <f ca="1">ROUND(IF(AND(项目基本情况!B11="自然人",项目基本情况!B10="北京市"),J6*M17/(1+'数据-取费表'!C42),J18+J19+J20),0)</f>
        <v>#VALUE!</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f>ROUND(C14*F18,2)</f>
        <v>336.53</v>
      </c>
      <c r="D18" s="738" t="s">
        <v>1936</v>
      </c>
      <c r="E18" s="738" t="s">
        <v>1937</v>
      </c>
      <c r="F18" s="783">
        <f>'数据-取费表'!B36</f>
        <v>0.015</v>
      </c>
      <c r="G18" s="782"/>
      <c r="H18" s="774" t="s">
        <v>879</v>
      </c>
      <c r="I18" s="738" t="s">
        <v>1946</v>
      </c>
      <c r="J18" s="125">
        <f ca="1">ROUND(J6*M18/(1+'数据-取费表'!C42),1)</f>
        <v>0</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25">
        <f ca="1">SUM(C14:C18)</f>
        <v>26277.52</v>
      </c>
      <c r="D19" s="785" t="s">
        <v>1949</v>
      </c>
      <c r="E19" s="127"/>
      <c r="F19" s="784"/>
      <c r="G19" s="727"/>
      <c r="H19" s="774" t="s">
        <v>883</v>
      </c>
      <c r="I19" s="738" t="s">
        <v>1950</v>
      </c>
      <c r="J19" s="125">
        <f ca="1">IF(K19="按租金收入计税",ROUND(J6*M19/(1+'数据-取费表'!C42),1),ROUND(C29*F33*0.7,1))</f>
        <v>2574.1</v>
      </c>
      <c r="K19" s="812" t="s">
        <v>1951</v>
      </c>
      <c r="L19" s="738" t="s">
        <v>1937</v>
      </c>
      <c r="M19" s="783">
        <f>IF(K19="按租金收入计税",'数据-取费表'!B51,'数据-取费表'!B50)</f>
        <v>0.012</v>
      </c>
    </row>
    <row r="20" s="702" customFormat="1" ht="18" customHeight="1" spans="1:33">
      <c r="A20" s="779" t="s">
        <v>857</v>
      </c>
      <c r="B20" s="738" t="s">
        <v>1953</v>
      </c>
      <c r="C20" s="125">
        <f ca="1">ROUND(C19*F20,2)</f>
        <v>788.33</v>
      </c>
      <c r="D20" s="786" t="s">
        <v>1954</v>
      </c>
      <c r="E20" s="738" t="s">
        <v>1937</v>
      </c>
      <c r="F20" s="783">
        <f>'数据-取费表'!B37</f>
        <v>0.03</v>
      </c>
      <c r="G20" s="782"/>
      <c r="H20" s="787" t="s">
        <v>886</v>
      </c>
      <c r="I20" s="814" t="s">
        <v>1955</v>
      </c>
      <c r="J20" s="815" t="e">
        <f ca="1">ROUND(M20*M21/10000,0)</f>
        <v>#VALUE!</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1150">
        <f>'数据-取费表'!B38</f>
        <v>0.03</v>
      </c>
      <c r="G21" s="782"/>
      <c r="H21" s="789"/>
      <c r="I21" s="818"/>
      <c r="J21" s="819"/>
      <c r="K21" s="820"/>
      <c r="L21" s="738" t="s">
        <v>1962</v>
      </c>
      <c r="M21" s="739" t="e">
        <f ca="1">INDIRECT("'数据-取费表'!r"&amp;$G$1)</f>
        <v>#VALUE!</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f ca="1">ROUND(J14*M22,0)</f>
        <v>306</v>
      </c>
      <c r="K22" s="808" t="s">
        <v>1966</v>
      </c>
      <c r="L22" s="738" t="s">
        <v>1937</v>
      </c>
      <c r="M22" s="821">
        <f ca="1">INDIRECT("'数据-取费表'!Ak"&amp;$G$1)</f>
        <v>0.01</v>
      </c>
    </row>
    <row r="23" s="702" customFormat="1" ht="18" customHeight="1" spans="1:33">
      <c r="A23" s="774" t="s">
        <v>879</v>
      </c>
      <c r="B23" s="738" t="s">
        <v>1967</v>
      </c>
      <c r="C23" s="125">
        <f ca="1">ROUND(IF('数据-取费表'!B22&lt;=1,(C19+C20)*F24*F23/2,(C19+C20)*(POWER((1+F24),F23/2)-1)),2)</f>
        <v>1285.63</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f ca="1">ROUND(J13*M23,0)</f>
        <v>0</v>
      </c>
      <c r="K23" s="808" t="s">
        <v>1970</v>
      </c>
      <c r="L23" s="738" t="s">
        <v>1937</v>
      </c>
      <c r="M23" s="822">
        <f ca="1">INDIRECT("'数据-取费表'!Al"&amp;$G$1)</f>
        <v>0.001</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f ca="1">ROUND(J5*M24,0)</f>
        <v>0</v>
      </c>
      <c r="K24" s="800" t="s">
        <v>1973</v>
      </c>
      <c r="L24" s="801" t="s">
        <v>1937</v>
      </c>
      <c r="M24" s="767">
        <f ca="1">INDIRECT("'数据-取费表'!Am"&amp;$G$1)</f>
        <v>0.01</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#VALUE!</v>
      </c>
      <c r="K25" s="824" t="s">
        <v>1978</v>
      </c>
      <c r="L25" s="825"/>
      <c r="M25" s="826"/>
    </row>
    <row r="26" ht="18" customHeight="1" spans="1:13">
      <c r="A26" s="774" t="s">
        <v>879</v>
      </c>
      <c r="B26" s="738" t="s">
        <v>1979</v>
      </c>
      <c r="C26" s="125">
        <f ca="1">ROUND((C19+C20)*F26,2)</f>
        <v>811.98</v>
      </c>
      <c r="D26" s="786" t="s">
        <v>1980</v>
      </c>
      <c r="E26" s="795" t="s">
        <v>1981</v>
      </c>
      <c r="F26" s="750">
        <f ca="1">INDIRECT("'数据-取费表'!q"&amp;$G$1)</f>
        <v>0.03</v>
      </c>
      <c r="G26" s="727"/>
      <c r="H26" s="796" t="s">
        <v>2415</v>
      </c>
      <c r="I26" s="827" t="s">
        <v>2416</v>
      </c>
      <c r="J26" s="736">
        <f ca="1">IF(J5&lt;&gt;0,ROUND(J25*(1-((1+M28)/(1+M26))^M27)/(M26-M28),0),0)</f>
        <v>0</v>
      </c>
      <c r="K26" s="816" t="s">
        <v>1983</v>
      </c>
      <c r="L26" s="738" t="s">
        <v>2417</v>
      </c>
      <c r="M26" s="750">
        <f ca="1">INDIRECT("'数据-取费表'!I"&amp;$G$1)</f>
        <v>0.045</v>
      </c>
    </row>
    <row r="27" ht="18" customHeight="1" spans="1:13">
      <c r="A27" s="774" t="s">
        <v>883</v>
      </c>
      <c r="B27" s="738" t="s">
        <v>1985</v>
      </c>
      <c r="C27" s="125">
        <f ca="1">ROUND(F21*F26,4)</f>
        <v>0.0009</v>
      </c>
      <c r="D27" s="786" t="s">
        <v>1986</v>
      </c>
      <c r="E27" s="780"/>
      <c r="F27" s="781"/>
      <c r="G27" s="727"/>
      <c r="H27" s="797"/>
      <c r="I27" s="828"/>
      <c r="J27" s="743"/>
      <c r="K27" s="829" t="s">
        <v>1987</v>
      </c>
      <c r="L27" s="738" t="s">
        <v>1988</v>
      </c>
      <c r="M27" s="830">
        <f ca="1">INDIRECT("'数据-取费表'!ag"&amp;$G$1)</f>
        <v>0</v>
      </c>
    </row>
    <row r="28" s="702" customFormat="1" ht="18" customHeight="1" spans="1:33">
      <c r="A28" s="794" t="s">
        <v>913</v>
      </c>
      <c r="B28" s="856" t="s">
        <v>2418</v>
      </c>
      <c r="C28" s="125">
        <f>ROUND(F28/(1+'数据-取费表'!C42),4)</f>
        <v>0.016</v>
      </c>
      <c r="D28" s="786" t="s">
        <v>2419</v>
      </c>
      <c r="E28" s="738" t="s">
        <v>1937</v>
      </c>
      <c r="F28" s="1151">
        <f>ROUND(1.5%*1.12,4)</f>
        <v>0.0168</v>
      </c>
      <c r="G28" s="782"/>
      <c r="H28" s="769"/>
      <c r="I28" s="831"/>
      <c r="J28" s="771"/>
      <c r="K28" s="820"/>
      <c r="L28" s="738" t="s">
        <v>1992</v>
      </c>
      <c r="M28" s="750">
        <f ca="1">INDIRECT("'数据-取费表'!aa"&amp;$G$1)</f>
        <v>0</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f ca="1">ROUND((C19+C20+C23+C26)/(1-F21-C24-C27-C28),2)</f>
        <v>30643.54</v>
      </c>
      <c r="D29" s="800"/>
      <c r="E29" s="801"/>
      <c r="F29" s="802"/>
      <c r="G29" s="782"/>
      <c r="H29" s="803" t="s">
        <v>2421</v>
      </c>
      <c r="I29" s="832" t="s">
        <v>2422</v>
      </c>
      <c r="J29" s="833">
        <f ca="1">ROUND(J26/(1+F40)^F41,0)</f>
        <v>0</v>
      </c>
      <c r="K29" s="834" t="s">
        <v>1996</v>
      </c>
      <c r="L29" s="835"/>
      <c r="M29" s="836">
        <f ca="1">INDIRECT("'数据-取费表'!k"&amp;$G$1)</f>
        <v>56088.64</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771">
        <f ca="1">ROUND(C31+C36+C37+C38,2)</f>
        <v>750.69</v>
      </c>
      <c r="D30" s="804" t="s">
        <v>1939</v>
      </c>
      <c r="E30" s="805"/>
      <c r="F30" s="733"/>
      <c r="G30" s="727"/>
      <c r="H30" s="806"/>
      <c r="I30" s="879"/>
      <c r="J30" s="880"/>
      <c r="K30" s="183"/>
      <c r="L30" s="881"/>
      <c r="M30" s="882"/>
    </row>
    <row r="31" ht="18" customHeight="1" spans="1:13">
      <c r="A31" s="779" t="s">
        <v>855</v>
      </c>
      <c r="B31" s="738" t="s">
        <v>1943</v>
      </c>
      <c r="C31" s="807">
        <f ca="1">ROUND(IF(AND(项目基本情况!B11="自然人",项目基本情况!B10="北京市"),C6*F31/(1+'数据-取费表'!C42),C32+C33+C34),2)</f>
        <v>384.09</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f ca="1">ROUND(C6*F32/(1+'数据-取费表'!C42),2)</f>
        <v>47.17</v>
      </c>
      <c r="D32" s="808" t="s">
        <v>1947</v>
      </c>
      <c r="E32" s="738" t="s">
        <v>1937</v>
      </c>
      <c r="F32" s="1151">
        <f>F28</f>
        <v>0.0168</v>
      </c>
      <c r="G32" s="727"/>
      <c r="H32" s="811"/>
      <c r="I32" s="883"/>
      <c r="J32" s="884"/>
      <c r="K32" s="885"/>
      <c r="L32" s="886"/>
      <c r="M32" s="887"/>
    </row>
    <row r="33" ht="18" customHeight="1" spans="1:13">
      <c r="A33" s="774" t="s">
        <v>883</v>
      </c>
      <c r="B33" s="738" t="s">
        <v>1950</v>
      </c>
      <c r="C33" s="125">
        <f ca="1">IF(D33="按租金收入计税",ROUND(C6*F33/(1+'数据-取费表'!C42),2),IF(D33="按房产原值计税",ROUND(C29*F33*0.7,2),INDIRECT("'数据-取费表'!Aj"&amp;$G$1)))</f>
        <v>336.92</v>
      </c>
      <c r="D33" s="812" t="s">
        <v>2423</v>
      </c>
      <c r="E33" s="738" t="s">
        <v>1937</v>
      </c>
      <c r="F33" s="1152">
        <f>IF(D33="按租金收入计税",'数据-取费表'!B51,'数据-取费表'!B50)</f>
        <v>0.12</v>
      </c>
      <c r="G33" s="727"/>
      <c r="H33" s="813"/>
      <c r="I33" s="813"/>
      <c r="J33" s="813"/>
      <c r="K33" s="888"/>
      <c r="L33" s="813"/>
      <c r="M33" s="813"/>
    </row>
    <row r="34" ht="18" customHeight="1" spans="1:13">
      <c r="A34" s="787" t="s">
        <v>886</v>
      </c>
      <c r="B34" s="814" t="s">
        <v>1955</v>
      </c>
      <c r="C34" s="815">
        <f>ROUND(F34*F35/10000,1)</f>
        <v>0</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f>ROUND(地块信息表!D24*0.3,2)</f>
        <v>27364.21</v>
      </c>
      <c r="G35" s="727"/>
      <c r="H35" s="806"/>
      <c r="I35" s="893" t="s">
        <v>2425</v>
      </c>
      <c r="J35" s="894">
        <f ca="1">ROUND(C13*J36,0)</f>
        <v>2451</v>
      </c>
      <c r="K35" s="888"/>
      <c r="L35" s="813"/>
      <c r="M35" s="813"/>
    </row>
    <row r="36" ht="18" customHeight="1" spans="1:13">
      <c r="A36" s="779" t="s">
        <v>857</v>
      </c>
      <c r="B36" s="738" t="s">
        <v>1965</v>
      </c>
      <c r="C36" s="125">
        <f ca="1">ROUND(C29*F36,2)</f>
        <v>306.44</v>
      </c>
      <c r="D36" s="808" t="s">
        <v>2001</v>
      </c>
      <c r="E36" s="738" t="s">
        <v>1937</v>
      </c>
      <c r="F36" s="821">
        <f ca="1">INDIRECT("'数据-取费表'!Ak"&amp;$G$1)</f>
        <v>0.01</v>
      </c>
      <c r="G36" s="727"/>
      <c r="H36" s="813"/>
      <c r="I36" s="895" t="s">
        <v>2426</v>
      </c>
      <c r="J36" s="896">
        <f ca="1">INDIRECT("'数据-取费表'!j"&amp;$G$1)</f>
        <v>0.08</v>
      </c>
      <c r="K36" s="897"/>
      <c r="L36" s="813"/>
      <c r="M36" s="813"/>
    </row>
    <row r="37" ht="18" customHeight="1" spans="1:13">
      <c r="A37" s="779" t="s">
        <v>1061</v>
      </c>
      <c r="B37" s="738" t="s">
        <v>1969</v>
      </c>
      <c r="C37" s="125">
        <f ca="1">ROUND(C13*F37,2)</f>
        <v>30.64</v>
      </c>
      <c r="D37" s="808" t="s">
        <v>1970</v>
      </c>
      <c r="E37" s="738" t="s">
        <v>1937</v>
      </c>
      <c r="F37" s="822">
        <f ca="1">INDIRECT("'数据-取费表'!Al"&amp;$G$1)</f>
        <v>0.001</v>
      </c>
      <c r="G37" s="727"/>
      <c r="H37" s="813"/>
      <c r="I37" s="898" t="s">
        <v>2427</v>
      </c>
      <c r="J37" s="899"/>
      <c r="K37" s="897"/>
      <c r="L37" s="813"/>
      <c r="M37" s="813"/>
    </row>
    <row r="38" ht="18" customHeight="1" spans="1:13">
      <c r="A38" s="768" t="s">
        <v>2413</v>
      </c>
      <c r="B38" s="801" t="s">
        <v>1953</v>
      </c>
      <c r="C38" s="799">
        <f ca="1">ROUND(C5*F38,2)</f>
        <v>29.52</v>
      </c>
      <c r="D38" s="800" t="s">
        <v>1973</v>
      </c>
      <c r="E38" s="801" t="s">
        <v>1937</v>
      </c>
      <c r="F38" s="767">
        <f ca="1">INDIRECT("'数据-取费表'!Am"&amp;$G$1)</f>
        <v>0.01</v>
      </c>
      <c r="G38" s="727"/>
      <c r="H38" s="813"/>
      <c r="I38" s="900" t="s">
        <v>2428</v>
      </c>
      <c r="J38" s="901"/>
      <c r="K38" s="902"/>
      <c r="L38" s="813"/>
      <c r="M38" s="813"/>
    </row>
    <row r="39" ht="24.65" customHeight="1" spans="1:13">
      <c r="A39" s="769" t="s">
        <v>2414</v>
      </c>
      <c r="B39" s="823" t="s">
        <v>1977</v>
      </c>
      <c r="C39" s="771">
        <f ca="1">C5-C30</f>
        <v>2201.02</v>
      </c>
      <c r="D39" s="824" t="s">
        <v>1978</v>
      </c>
      <c r="E39" s="825"/>
      <c r="F39" s="826"/>
      <c r="G39" s="727"/>
      <c r="H39" s="813"/>
      <c r="I39" s="893" t="s">
        <v>2429</v>
      </c>
      <c r="J39" s="903">
        <f ca="1">ROUND(J35/C39,3)</f>
        <v>1.114</v>
      </c>
      <c r="K39" s="902"/>
      <c r="L39" s="813"/>
      <c r="M39" s="813"/>
    </row>
    <row r="40" ht="18" customHeight="1" spans="1:13">
      <c r="A40" s="728" t="s">
        <v>2415</v>
      </c>
      <c r="B40" s="827" t="s">
        <v>2430</v>
      </c>
      <c r="C40" s="736">
        <f ca="1">ROUND(C39*(1-((1+F42)/(1+F40))^F41)/(F40-F42),2)</f>
        <v>46459.65</v>
      </c>
      <c r="D40" s="816" t="s">
        <v>1983</v>
      </c>
      <c r="E40" s="738" t="s">
        <v>2417</v>
      </c>
      <c r="F40" s="750">
        <f>'数据-取费表'!I8</f>
        <v>0.045</v>
      </c>
      <c r="G40" s="727"/>
      <c r="H40" s="727"/>
      <c r="I40" s="893" t="s">
        <v>2431</v>
      </c>
      <c r="J40" s="903">
        <f ca="1">1-J39</f>
        <v>-0.114</v>
      </c>
      <c r="K40" s="902"/>
      <c r="L40" s="727"/>
      <c r="M40" s="727"/>
    </row>
    <row r="41" ht="18" customHeight="1" spans="1:13">
      <c r="A41" s="748"/>
      <c r="B41" s="828"/>
      <c r="C41" s="743"/>
      <c r="D41" s="829" t="s">
        <v>1987</v>
      </c>
      <c r="E41" s="738" t="s">
        <v>1988</v>
      </c>
      <c r="F41" s="830">
        <f ca="1">J53</f>
        <v>68</v>
      </c>
      <c r="G41" s="727"/>
      <c r="H41" s="183"/>
      <c r="I41" s="900" t="s">
        <v>2432</v>
      </c>
      <c r="J41" s="904"/>
      <c r="K41" s="897"/>
      <c r="L41" s="183"/>
      <c r="M41" s="183"/>
    </row>
    <row r="42" ht="18" customHeight="1" spans="1:13">
      <c r="A42" s="757"/>
      <c r="B42" s="831"/>
      <c r="C42" s="771"/>
      <c r="D42" s="820"/>
      <c r="E42" s="738" t="s">
        <v>1992</v>
      </c>
      <c r="F42" s="750">
        <f ca="1">INDIRECT("'数据-取费表'!v"&amp;$G$1)</f>
        <v>0</v>
      </c>
      <c r="G42" s="727"/>
      <c r="H42" s="183"/>
      <c r="I42" s="905" t="s">
        <v>2433</v>
      </c>
      <c r="J42" s="903">
        <f ca="1">ROUND(C13/C40,3)</f>
        <v>0.66</v>
      </c>
      <c r="K42" s="897"/>
      <c r="L42" s="183"/>
      <c r="M42" s="183"/>
    </row>
    <row r="43" ht="18" customHeight="1" spans="1:13">
      <c r="A43" s="803" t="s">
        <v>2421</v>
      </c>
      <c r="B43" s="832" t="s">
        <v>2434</v>
      </c>
      <c r="C43" s="833">
        <f ca="1">ROUND(C40*10000/F43,0)</f>
        <v>8283</v>
      </c>
      <c r="D43" s="834" t="s">
        <v>2435</v>
      </c>
      <c r="E43" s="835" t="s">
        <v>2436</v>
      </c>
      <c r="F43" s="836">
        <f ca="1">F7</f>
        <v>56088.64</v>
      </c>
      <c r="G43" s="727"/>
      <c r="H43" s="183"/>
      <c r="I43" s="905" t="s">
        <v>2437</v>
      </c>
      <c r="J43" s="906">
        <f ca="1">1-J42</f>
        <v>0.34</v>
      </c>
      <c r="K43" s="897"/>
      <c r="L43" s="183"/>
      <c r="M43" s="183"/>
    </row>
    <row r="44" s="632" customFormat="1" ht="18" customHeight="1" spans="1:17">
      <c r="A44" s="837"/>
      <c r="B44" s="837"/>
      <c r="C44" s="838"/>
      <c r="D44" s="837"/>
      <c r="E44" s="837"/>
      <c r="F44" s="837"/>
      <c r="K44" s="907"/>
      <c r="Q44" s="706"/>
    </row>
    <row r="45" s="632" customFormat="1" ht="18" customHeight="1" spans="1:17">
      <c r="A45" s="837"/>
      <c r="B45" s="837"/>
      <c r="C45" s="838"/>
      <c r="D45" s="837"/>
      <c r="E45" s="837"/>
      <c r="F45" s="837"/>
      <c r="K45" s="907"/>
      <c r="Q45" s="706"/>
    </row>
    <row r="46" s="632" customFormat="1" ht="18" customHeight="1" spans="1:18">
      <c r="A46" s="839" t="s">
        <v>2438</v>
      </c>
      <c r="B46" s="837"/>
      <c r="C46" s="840">
        <f ca="1">C67-C40</f>
        <v>-53572.65</v>
      </c>
      <c r="D46" s="841"/>
      <c r="E46" s="841"/>
      <c r="F46" s="841"/>
      <c r="I46" s="908" t="s">
        <v>2014</v>
      </c>
      <c r="J46" s="909"/>
      <c r="K46" s="910"/>
      <c r="L46" s="911">
        <f ca="1">IF(OR(M47="住宅",D1="土地（套用方法）"),0,IF(L48&gt;J51,L60,J60))</f>
        <v>0</v>
      </c>
      <c r="M46" s="716"/>
      <c r="O46" s="912" t="s">
        <v>2015</v>
      </c>
      <c r="P46" s="913"/>
      <c r="Q46" s="918"/>
      <c r="R46" s="913"/>
    </row>
    <row r="47" s="632" customFormat="1" ht="18" customHeight="1" spans="1:18">
      <c r="A47" s="842">
        <v>1</v>
      </c>
      <c r="B47" s="843" t="s">
        <v>2439</v>
      </c>
      <c r="C47" s="840">
        <f ca="1">C48+C52+C54</f>
        <v>0</v>
      </c>
      <c r="D47" s="841"/>
      <c r="E47" s="841"/>
      <c r="F47" s="841"/>
      <c r="I47" s="914" t="s">
        <v>2016</v>
      </c>
      <c r="J47" s="915" t="s">
        <v>2076</v>
      </c>
      <c r="K47" s="916" t="s">
        <v>2017</v>
      </c>
      <c r="L47" s="917">
        <f ca="1">INDIRECT("'数据-取费表'!d"&amp;$G$1)</f>
        <v>70</v>
      </c>
      <c r="M47" s="918" t="str">
        <f>IF(ISNUMBER(FIND("住宅",C1)),"住宅","非住宅")</f>
        <v>住宅</v>
      </c>
      <c r="O47" s="919" t="s">
        <v>1318</v>
      </c>
      <c r="P47" s="920" t="s">
        <v>2018</v>
      </c>
      <c r="Q47" s="959" t="s">
        <v>2019</v>
      </c>
      <c r="R47" s="920" t="s">
        <v>2020</v>
      </c>
    </row>
    <row r="48" s="632" customFormat="1" ht="18" customHeight="1" spans="1:18">
      <c r="A48" s="844" t="s">
        <v>1124</v>
      </c>
      <c r="B48" s="845" t="s">
        <v>2440</v>
      </c>
      <c r="C48" s="846">
        <f ca="1">ROUND(F48*F50*F49*(1-F51)/10000,0)</f>
        <v>0</v>
      </c>
      <c r="D48" s="847" t="s">
        <v>2407</v>
      </c>
      <c r="E48" s="848" t="s">
        <v>2441</v>
      </c>
      <c r="F48" s="849"/>
      <c r="G48" s="850"/>
      <c r="I48" s="921" t="s">
        <v>2021</v>
      </c>
      <c r="J48" s="922" t="s">
        <v>2071</v>
      </c>
      <c r="K48" s="923" t="s">
        <v>2022</v>
      </c>
      <c r="L48" s="924">
        <f ca="1">INDIRECT("'数据-取费表'!f"&amp;$G$1)</f>
        <v>70</v>
      </c>
      <c r="M48" s="716"/>
      <c r="O48" s="925" t="s">
        <v>2023</v>
      </c>
      <c r="P48" s="926" t="s">
        <v>2024</v>
      </c>
      <c r="Q48" s="960">
        <f ca="1">C40+J29</f>
        <v>46459.65</v>
      </c>
      <c r="R48" s="926" t="s">
        <v>2025</v>
      </c>
    </row>
    <row r="49" s="632" customFormat="1" ht="18" customHeight="1" spans="1:18">
      <c r="A49" s="748"/>
      <c r="B49" s="828"/>
      <c r="C49" s="743"/>
      <c r="D49" s="744"/>
      <c r="E49" s="738" t="s">
        <v>1922</v>
      </c>
      <c r="F49" s="739">
        <f ca="1">F7</f>
        <v>56088.64</v>
      </c>
      <c r="G49" s="850"/>
      <c r="H49" s="851"/>
      <c r="I49" s="921" t="s">
        <v>2026</v>
      </c>
      <c r="J49" s="927"/>
      <c r="K49" s="928" t="s">
        <v>2027</v>
      </c>
      <c r="L49" s="929"/>
      <c r="M49" s="716"/>
      <c r="O49" s="925" t="s">
        <v>2028</v>
      </c>
      <c r="P49" s="926" t="s">
        <v>2029</v>
      </c>
      <c r="Q49" s="960" t="str">
        <f ca="1">J60</f>
        <v>0</v>
      </c>
      <c r="R49" s="926" t="s">
        <v>2030</v>
      </c>
    </row>
    <row r="50" s="632" customFormat="1" ht="18" customHeight="1" spans="1:18">
      <c r="A50" s="748"/>
      <c r="B50" s="828"/>
      <c r="C50" s="743"/>
      <c r="D50" s="744"/>
      <c r="E50" s="738" t="s">
        <v>1923</v>
      </c>
      <c r="F50" s="739">
        <f ca="1">F8</f>
        <v>365</v>
      </c>
      <c r="H50" s="851"/>
      <c r="I50" s="921" t="s">
        <v>2031</v>
      </c>
      <c r="J50" s="930">
        <f>SUMPRODUCT((I63:I65=J47)*(J62:L62=J48)*(J63:L65))</f>
        <v>60</v>
      </c>
      <c r="K50" s="928" t="s">
        <v>2032</v>
      </c>
      <c r="L50" s="929"/>
      <c r="M50" s="716"/>
      <c r="O50" s="931" t="s">
        <v>2033</v>
      </c>
      <c r="P50" s="926" t="s">
        <v>2034</v>
      </c>
      <c r="Q50" s="960">
        <f ca="1">C29</f>
        <v>30643.54</v>
      </c>
      <c r="R50" s="926" t="s">
        <v>2025</v>
      </c>
    </row>
    <row r="51" s="632" customFormat="1" ht="18" customHeight="1" spans="1:18">
      <c r="A51" s="748"/>
      <c r="B51" s="828"/>
      <c r="C51" s="743"/>
      <c r="D51" s="744"/>
      <c r="E51" s="738" t="s">
        <v>1924</v>
      </c>
      <c r="F51" s="852"/>
      <c r="H51" s="851"/>
      <c r="I51" s="932" t="s">
        <v>2035</v>
      </c>
      <c r="J51" s="924">
        <f>IF(J49="",J50,J49+J50-YEAR('数据-取费表'!B2))</f>
        <v>60</v>
      </c>
      <c r="K51" s="921" t="s">
        <v>2036</v>
      </c>
      <c r="L51" s="933">
        <f ca="1">ROUND(-PV(INDIRECT("'数据-取费表'!h"&amp;$G$1),J51,(C39-C13*J36),0),0)</f>
        <v>-5666</v>
      </c>
      <c r="M51" s="716"/>
      <c r="O51" s="931" t="s">
        <v>2037</v>
      </c>
      <c r="P51" s="926" t="s">
        <v>2038</v>
      </c>
      <c r="Q51" s="961" t="e">
        <f ca="1">J58</f>
        <v>#VALUE!</v>
      </c>
      <c r="R51" s="962"/>
    </row>
    <row r="52" s="632" customFormat="1" ht="18" customHeight="1" spans="1:18">
      <c r="A52" s="728" t="s">
        <v>2442</v>
      </c>
      <c r="B52" s="752" t="s">
        <v>1925</v>
      </c>
      <c r="C52" s="124">
        <f ca="1">ROUND(IF(F52="押一",C48/12*F11,IF(F52="押二",C48/12*2*F11,IF(F52="押三",C48/12*3*F11,C53*F11))),0)</f>
        <v>0</v>
      </c>
      <c r="D52" s="753" t="s">
        <v>1926</v>
      </c>
      <c r="E52" s="754" t="s">
        <v>1927</v>
      </c>
      <c r="F52" s="755"/>
      <c r="I52" s="934" t="s">
        <v>2039</v>
      </c>
      <c r="J52" s="935"/>
      <c r="K52" s="934" t="s">
        <v>1188</v>
      </c>
      <c r="L52" s="935"/>
      <c r="M52" s="716"/>
      <c r="O52" s="931" t="s">
        <v>2040</v>
      </c>
      <c r="P52" s="926" t="s">
        <v>2041</v>
      </c>
      <c r="Q52" s="961">
        <f>J52</f>
        <v>0</v>
      </c>
      <c r="R52" s="962"/>
    </row>
    <row r="53" s="632" customFormat="1" ht="39.75" customHeight="1" spans="1:18">
      <c r="A53" s="748"/>
      <c r="B53" s="758" t="s">
        <v>1928</v>
      </c>
      <c r="C53" s="759"/>
      <c r="D53" s="753"/>
      <c r="E53" s="754"/>
      <c r="F53" s="853"/>
      <c r="I53" s="936" t="s">
        <v>2042</v>
      </c>
      <c r="J53" s="937">
        <f ca="1">IF(M47="住宅",IF(D1="——",MAX(J51,L48),MAX(J51,L48-'数据-取费表'!B20)),IF(D1="——",MIN(J51,L48),MIN(J51,L48-'数据-取费表'!B20)))</f>
        <v>68</v>
      </c>
      <c r="K53" s="938" t="s">
        <v>2443</v>
      </c>
      <c r="L53" s="939"/>
      <c r="M53" s="716"/>
      <c r="O53" s="931" t="s">
        <v>2043</v>
      </c>
      <c r="P53" s="926" t="s">
        <v>2044</v>
      </c>
      <c r="Q53" s="960">
        <f ca="1">J53</f>
        <v>68</v>
      </c>
      <c r="R53" s="926" t="s">
        <v>2045</v>
      </c>
    </row>
    <row r="54" s="632" customFormat="1" ht="18" customHeight="1" spans="1:18">
      <c r="A54" s="762" t="s">
        <v>1061</v>
      </c>
      <c r="B54" s="763" t="s">
        <v>1929</v>
      </c>
      <c r="C54" s="764"/>
      <c r="D54" s="753"/>
      <c r="E54" s="754"/>
      <c r="F54" s="853"/>
      <c r="I54" s="63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907"/>
      <c r="M54" s="716"/>
      <c r="O54" s="925" t="s">
        <v>2046</v>
      </c>
      <c r="P54" s="926" t="s">
        <v>2047</v>
      </c>
      <c r="Q54" s="960">
        <f ca="1">Q48+Q49</f>
        <v>46459.65</v>
      </c>
      <c r="R54" s="962" t="s">
        <v>2048</v>
      </c>
    </row>
    <row r="55" s="632" customFormat="1" ht="18" customHeight="1" spans="1:18">
      <c r="A55" s="854">
        <v>2</v>
      </c>
      <c r="B55" s="855" t="s">
        <v>1933</v>
      </c>
      <c r="C55" s="124">
        <f ca="1">C13</f>
        <v>30643.54</v>
      </c>
      <c r="D55" s="795"/>
      <c r="E55" s="795"/>
      <c r="F55" s="853"/>
      <c r="I55" s="940" t="s">
        <v>2049</v>
      </c>
      <c r="J55" s="941" t="e">
        <f ca="1">ROUND(IF(J47="钢混",J57/J50,1-(1-2%)*(J50-J57)/J50),3)</f>
        <v>#VALUE!</v>
      </c>
      <c r="K55" s="942" t="s">
        <v>2050</v>
      </c>
      <c r="L55" s="943"/>
      <c r="M55" s="716"/>
      <c r="O55" s="944" t="s">
        <v>2051</v>
      </c>
      <c r="P55" s="913"/>
      <c r="Q55" s="918"/>
      <c r="R55" s="913"/>
    </row>
    <row r="56" s="632" customFormat="1" ht="42.75" customHeight="1" spans="1:18">
      <c r="A56" s="794"/>
      <c r="B56" s="856" t="s">
        <v>1994</v>
      </c>
      <c r="C56" s="125">
        <f ca="1">C29</f>
        <v>30643.54</v>
      </c>
      <c r="D56" s="808"/>
      <c r="E56" s="738"/>
      <c r="F56" s="783"/>
      <c r="I56" s="945" t="s">
        <v>2052</v>
      </c>
      <c r="J56" s="946"/>
      <c r="K56" s="921" t="s">
        <v>2053</v>
      </c>
      <c r="L56" s="924">
        <f ca="1">IF(L48&lt;J51,"——",L48-J51)</f>
        <v>10</v>
      </c>
      <c r="M56" s="716"/>
      <c r="O56" s="919" t="s">
        <v>1318</v>
      </c>
      <c r="P56" s="920" t="s">
        <v>2018</v>
      </c>
      <c r="Q56" s="959" t="s">
        <v>2019</v>
      </c>
      <c r="R56" s="920" t="s">
        <v>2020</v>
      </c>
    </row>
    <row r="57" s="632" customFormat="1" ht="28.5" customHeight="1" spans="1:18">
      <c r="A57" s="854" t="s">
        <v>1997</v>
      </c>
      <c r="B57" s="855" t="s">
        <v>1938</v>
      </c>
      <c r="C57" s="124">
        <f ca="1">ROUND(C58+C63+C64+C65,0)</f>
        <v>337</v>
      </c>
      <c r="D57" s="857" t="s">
        <v>1939</v>
      </c>
      <c r="E57" s="127"/>
      <c r="F57" s="784"/>
      <c r="I57" s="947" t="s">
        <v>2054</v>
      </c>
      <c r="J57" s="948" t="str">
        <f ca="1">IF(OR(M47="住宅",J51&lt;L48,J56="是"),"——",J51-L48)</f>
        <v>——</v>
      </c>
      <c r="K57" s="921" t="s">
        <v>2055</v>
      </c>
      <c r="L57" s="924">
        <f ca="1">IF(L48&lt;J51,"——",IF(L55="比较法",L49,IF(L55="基准地价",L50,L51)))</f>
        <v>-5666</v>
      </c>
      <c r="M57" s="716"/>
      <c r="O57" s="925" t="s">
        <v>2023</v>
      </c>
      <c r="P57" s="926" t="s">
        <v>2024</v>
      </c>
      <c r="Q57" s="960">
        <f ca="1">C40+J29</f>
        <v>46459.65</v>
      </c>
      <c r="R57" s="926" t="s">
        <v>2025</v>
      </c>
    </row>
    <row r="58" s="632" customFormat="1" ht="28.5" customHeight="1" spans="1:18">
      <c r="A58" s="779" t="s">
        <v>855</v>
      </c>
      <c r="B58" s="738" t="s">
        <v>1943</v>
      </c>
      <c r="C58" s="807">
        <f ca="1">ROUND(IF(AND(项目基本情况!B11="自然人",项目基本情况!B10="北京市"),C48*F58/(1+'数据-取费表'!C42),C59+C60+C61),0)</f>
        <v>0</v>
      </c>
      <c r="D58" s="776" t="s">
        <v>1944</v>
      </c>
      <c r="E58" s="808" t="s">
        <v>1945</v>
      </c>
      <c r="F58" s="809" t="str">
        <f ca="1">IF(项目基本情况!B11="企业","——",IF('数据-取费表'!B10="住宅",IF(F48*F49*F50/12/(1+'数据-取费表'!F30)&gt;100000,4%,2.5%),IF(F48*F49*F50/12/(1+'数据-取费表'!F30)&gt;100000,12%,7%)))</f>
        <v>——</v>
      </c>
      <c r="I58" s="947" t="s">
        <v>2056</v>
      </c>
      <c r="J58" s="949" t="e">
        <f ca="1">IF(J55&lt;0.4,0.4,J55)</f>
        <v>#VALUE!</v>
      </c>
      <c r="K58" s="921" t="s">
        <v>2057</v>
      </c>
      <c r="L58" s="924" t="e">
        <f ca="1">ROUND(POWER(1+L52,L47-L48)*(POWER(1+L52,L48)-1)/(POWER(1+L52,L47)-1),4)</f>
        <v>#DIV/0!</v>
      </c>
      <c r="M58" s="716"/>
      <c r="O58" s="925" t="s">
        <v>2028</v>
      </c>
      <c r="P58" s="926" t="s">
        <v>2058</v>
      </c>
      <c r="Q58" s="960">
        <f ca="1">L60</f>
        <v>0</v>
      </c>
      <c r="R58" s="962" t="s">
        <v>2059</v>
      </c>
    </row>
    <row r="59" s="632" customFormat="1" ht="28.5" customHeight="1" spans="1:18">
      <c r="A59" s="774" t="s">
        <v>879</v>
      </c>
      <c r="B59" s="738" t="s">
        <v>1946</v>
      </c>
      <c r="C59" s="125">
        <f ca="1">ROUND(C47*F59/1.05,1)</f>
        <v>0</v>
      </c>
      <c r="D59" s="808" t="s">
        <v>1947</v>
      </c>
      <c r="E59" s="738" t="s">
        <v>1937</v>
      </c>
      <c r="F59" s="783">
        <f t="shared" ref="F59:F65" si="0">F32</f>
        <v>0.0168</v>
      </c>
      <c r="I59" s="947" t="s">
        <v>2060</v>
      </c>
      <c r="J59" s="948" t="str">
        <f ca="1">IF(OR(M47="住宅",J51&lt;L48,J56="是"),"——",ROUND(C29*J58,0))</f>
        <v>——</v>
      </c>
      <c r="K59" s="921" t="str">
        <f>IF(D1="——","建筑物剩余耐用年限下的土地年期修正系数Kn","建设期及建筑物耐用年限下的土地年期修正系数Kn")</f>
        <v>建设期及建筑物耐用年限下的土地年期修正系数Kn</v>
      </c>
      <c r="L59" s="924" t="e">
        <f ca="1">ROUND(IF(D1="土地（套用方法）",POWER(1+L52,L47-(J51+'数据-取费表'!B20))*(POWER(1+L52,(J51+'数据-取费表'!B20))-1)/(POWER(1+L52,L47)-1),POWER(1+L52,L47-J51)*(POWER(1+L52,J51)-1)/(POWER(1+L52,L47)-1)),4)</f>
        <v>#DIV/0!</v>
      </c>
      <c r="M59" s="716"/>
      <c r="O59" s="931" t="s">
        <v>2033</v>
      </c>
      <c r="P59" s="926" t="s">
        <v>2062</v>
      </c>
      <c r="Q59" s="960">
        <f>IF(L55="比较法",L49,IF(L55="基准地价",L50,0))</f>
        <v>0</v>
      </c>
      <c r="R59" s="926" t="s">
        <v>2025</v>
      </c>
    </row>
    <row r="60" s="632" customFormat="1" ht="18" customHeight="1" spans="1:18">
      <c r="A60" s="774" t="s">
        <v>883</v>
      </c>
      <c r="B60" s="738" t="s">
        <v>1950</v>
      </c>
      <c r="C60" s="125">
        <f ca="1">IF(D60="按租金收入计税",ROUND(C48*F60/(1+'数据-取费表'!C42),1),IF(D60="按房产原值计税",ROUND(C56*F60*0.7,1),INDIRECT("'数据-取费表'!Aj"&amp;$G$1)))</f>
        <v>0</v>
      </c>
      <c r="D60" s="808" t="str">
        <f>D33</f>
        <v>按租金收入计税</v>
      </c>
      <c r="E60" s="738" t="s">
        <v>1937</v>
      </c>
      <c r="F60" s="783">
        <f t="shared" si="0"/>
        <v>0.12</v>
      </c>
      <c r="I60" s="950" t="s">
        <v>2063</v>
      </c>
      <c r="J60" s="951" t="str">
        <f ca="1">IF(OR(M47="住宅",J51&lt;L48,J56="是"),"0",ROUND(J59/(1+J52)^J53,0))</f>
        <v>0</v>
      </c>
      <c r="K60" s="952" t="s">
        <v>2064</v>
      </c>
      <c r="L60" s="951">
        <f ca="1">IF(OR(M47="住宅",L48&lt;J51),0,ROUND(L57*(L58/L59-1),0))</f>
        <v>0</v>
      </c>
      <c r="M60" s="716"/>
      <c r="O60" s="931" t="s">
        <v>2037</v>
      </c>
      <c r="P60" s="926" t="s">
        <v>2065</v>
      </c>
      <c r="Q60" s="961">
        <f>L52</f>
        <v>0</v>
      </c>
      <c r="R60" s="962"/>
    </row>
    <row r="61" s="632" customFormat="1" ht="18" customHeight="1" spans="1:18">
      <c r="A61" s="787" t="s">
        <v>886</v>
      </c>
      <c r="B61" s="814" t="s">
        <v>1955</v>
      </c>
      <c r="C61" s="815">
        <f>ROUND(F61*F62/10000,1)</f>
        <v>0</v>
      </c>
      <c r="D61" s="816" t="s">
        <v>1956</v>
      </c>
      <c r="E61" s="738" t="s">
        <v>1957</v>
      </c>
      <c r="F61" s="792">
        <f t="shared" si="0"/>
        <v>0</v>
      </c>
      <c r="K61" s="907"/>
      <c r="O61" s="931" t="s">
        <v>2040</v>
      </c>
      <c r="P61" s="926" t="s">
        <v>2066</v>
      </c>
      <c r="Q61" s="960" t="e">
        <f ca="1">L58</f>
        <v>#DIV/0!</v>
      </c>
      <c r="R61" s="962" t="s">
        <v>2067</v>
      </c>
    </row>
    <row r="62" s="632" customFormat="1" ht="15.75" spans="1:18">
      <c r="A62" s="817"/>
      <c r="B62" s="818"/>
      <c r="C62" s="819"/>
      <c r="D62" s="820"/>
      <c r="E62" s="738" t="s">
        <v>1962</v>
      </c>
      <c r="F62" s="739">
        <f t="shared" si="0"/>
        <v>27364.21</v>
      </c>
      <c r="I62" s="953" t="s">
        <v>2068</v>
      </c>
      <c r="J62" s="954" t="s">
        <v>2069</v>
      </c>
      <c r="K62" s="954" t="s">
        <v>2070</v>
      </c>
      <c r="L62" s="954" t="s">
        <v>2071</v>
      </c>
      <c r="M62" s="955" t="s">
        <v>2072</v>
      </c>
      <c r="O62" s="931" t="s">
        <v>2043</v>
      </c>
      <c r="P62" s="926" t="str">
        <f>K59</f>
        <v>建设期及建筑物耐用年限下的土地年期修正系数Kn</v>
      </c>
      <c r="Q62" s="960" t="e">
        <f ca="1">L59</f>
        <v>#DIV/0!</v>
      </c>
      <c r="R62" s="962" t="s">
        <v>2074</v>
      </c>
    </row>
    <row r="63" s="632" customFormat="1" ht="15.75" spans="1:18">
      <c r="A63" s="779" t="s">
        <v>857</v>
      </c>
      <c r="B63" s="738" t="s">
        <v>1965</v>
      </c>
      <c r="C63" s="125">
        <f ca="1">ROUND(C56*F63,1)</f>
        <v>306.4</v>
      </c>
      <c r="D63" s="808" t="s">
        <v>2001</v>
      </c>
      <c r="E63" s="738" t="s">
        <v>1937</v>
      </c>
      <c r="F63" s="821">
        <f ca="1" t="shared" si="0"/>
        <v>0.01</v>
      </c>
      <c r="I63" s="953" t="s">
        <v>2075</v>
      </c>
      <c r="J63" s="954">
        <v>70</v>
      </c>
      <c r="K63" s="954">
        <v>50</v>
      </c>
      <c r="L63" s="954">
        <v>80</v>
      </c>
      <c r="M63" s="956">
        <v>0.02</v>
      </c>
      <c r="O63" s="925" t="s">
        <v>2046</v>
      </c>
      <c r="P63" s="926" t="s">
        <v>2047</v>
      </c>
      <c r="Q63" s="960">
        <f ca="1">Q57+Q58</f>
        <v>46459.65</v>
      </c>
      <c r="R63" s="962" t="s">
        <v>2048</v>
      </c>
    </row>
    <row r="64" s="632" customFormat="1" ht="16.5" spans="1:18">
      <c r="A64" s="779" t="s">
        <v>1061</v>
      </c>
      <c r="B64" s="738" t="s">
        <v>1969</v>
      </c>
      <c r="C64" s="125">
        <f ca="1">ROUND(C55*F64,1)</f>
        <v>30.6</v>
      </c>
      <c r="D64" s="808" t="s">
        <v>1970</v>
      </c>
      <c r="E64" s="738" t="s">
        <v>1937</v>
      </c>
      <c r="F64" s="822">
        <f ca="1" t="shared" si="0"/>
        <v>0.001</v>
      </c>
      <c r="I64" s="953" t="s">
        <v>2076</v>
      </c>
      <c r="J64" s="954">
        <v>50</v>
      </c>
      <c r="K64" s="954">
        <v>35</v>
      </c>
      <c r="L64" s="954">
        <v>60</v>
      </c>
      <c r="M64" s="904">
        <v>0</v>
      </c>
      <c r="O64" s="944" t="s">
        <v>2077</v>
      </c>
      <c r="P64" s="913"/>
      <c r="Q64" s="918"/>
      <c r="R64" s="913"/>
    </row>
    <row r="65" s="632" customFormat="1" ht="15.75" spans="1:18">
      <c r="A65" s="779" t="s">
        <v>2413</v>
      </c>
      <c r="B65" s="738" t="s">
        <v>1953</v>
      </c>
      <c r="C65" s="125">
        <f ca="1">ROUND(C47*F65,1)</f>
        <v>0</v>
      </c>
      <c r="D65" s="808" t="s">
        <v>1973</v>
      </c>
      <c r="E65" s="738" t="s">
        <v>1937</v>
      </c>
      <c r="F65" s="750">
        <f ca="1" t="shared" si="0"/>
        <v>0.01</v>
      </c>
      <c r="I65" s="953" t="s">
        <v>2078</v>
      </c>
      <c r="J65" s="954">
        <v>40</v>
      </c>
      <c r="K65" s="954">
        <v>30</v>
      </c>
      <c r="L65" s="954">
        <v>50</v>
      </c>
      <c r="M65" s="956">
        <v>0.02</v>
      </c>
      <c r="O65" s="919" t="s">
        <v>1318</v>
      </c>
      <c r="P65" s="920" t="s">
        <v>2018</v>
      </c>
      <c r="Q65" s="959" t="s">
        <v>2019</v>
      </c>
      <c r="R65" s="920" t="s">
        <v>2020</v>
      </c>
    </row>
    <row r="66" s="632" customFormat="1" ht="15.75" spans="1:18">
      <c r="A66" s="854" t="s">
        <v>2414</v>
      </c>
      <c r="B66" s="963" t="s">
        <v>1977</v>
      </c>
      <c r="C66" s="124">
        <f ca="1">C47-C57</f>
        <v>-337</v>
      </c>
      <c r="D66" s="776" t="s">
        <v>1978</v>
      </c>
      <c r="E66" s="964"/>
      <c r="F66" s="965"/>
      <c r="K66" s="907"/>
      <c r="O66" s="925" t="s">
        <v>2023</v>
      </c>
      <c r="P66" s="926" t="s">
        <v>2024</v>
      </c>
      <c r="Q66" s="960">
        <f ca="1">C40+J29</f>
        <v>46459.65</v>
      </c>
      <c r="R66" s="926" t="s">
        <v>2025</v>
      </c>
    </row>
    <row r="67" s="632" customFormat="1" ht="20.25" spans="1:18">
      <c r="A67" s="728" t="s">
        <v>2415</v>
      </c>
      <c r="B67" s="827" t="s">
        <v>2430</v>
      </c>
      <c r="C67" s="736">
        <f ca="1">ROUND(C66*(1-((1+F69)/(1+F67))^F68)/(F67-F69),0)</f>
        <v>-7113</v>
      </c>
      <c r="D67" s="816" t="s">
        <v>1983</v>
      </c>
      <c r="E67" s="738" t="s">
        <v>1984</v>
      </c>
      <c r="F67" s="750">
        <f>F40</f>
        <v>0.045</v>
      </c>
      <c r="K67" s="907"/>
      <c r="O67" s="925" t="s">
        <v>2028</v>
      </c>
      <c r="P67" s="926" t="s">
        <v>2058</v>
      </c>
      <c r="Q67" s="960">
        <f ca="1">L60</f>
        <v>0</v>
      </c>
      <c r="R67" s="962" t="s">
        <v>2059</v>
      </c>
    </row>
    <row r="68" ht="24" spans="1:18">
      <c r="A68" s="748"/>
      <c r="B68" s="828"/>
      <c r="C68" s="743"/>
      <c r="D68" s="829" t="s">
        <v>1987</v>
      </c>
      <c r="E68" s="738" t="s">
        <v>1988</v>
      </c>
      <c r="F68" s="830">
        <f ca="1">F41</f>
        <v>68</v>
      </c>
      <c r="O68" s="931" t="s">
        <v>2033</v>
      </c>
      <c r="P68" s="926" t="s">
        <v>2062</v>
      </c>
      <c r="Q68" s="967">
        <f ca="1">L51</f>
        <v>-5666</v>
      </c>
      <c r="R68" s="968" t="s">
        <v>2079</v>
      </c>
    </row>
    <row r="69" ht="20.25" spans="1:18">
      <c r="A69" s="757"/>
      <c r="B69" s="831"/>
      <c r="C69" s="771"/>
      <c r="D69" s="820"/>
      <c r="E69" s="738" t="s">
        <v>1992</v>
      </c>
      <c r="F69" s="852"/>
      <c r="O69" s="931" t="s">
        <v>2037</v>
      </c>
      <c r="P69" s="966" t="s">
        <v>2080</v>
      </c>
      <c r="Q69" s="960">
        <f ca="1">ROUND(Q70-Q71*Q72,0)</f>
        <v>-250</v>
      </c>
      <c r="R69" s="962"/>
    </row>
    <row r="70" ht="15.75" spans="1:18">
      <c r="A70" s="803" t="s">
        <v>2421</v>
      </c>
      <c r="B70" s="832" t="s">
        <v>2434</v>
      </c>
      <c r="C70" s="833">
        <f ca="1">ROUND(C67*10000/F70,0)</f>
        <v>-1268</v>
      </c>
      <c r="D70" s="834" t="s">
        <v>2435</v>
      </c>
      <c r="E70" s="835" t="s">
        <v>2436</v>
      </c>
      <c r="F70" s="836">
        <f ca="1">F43</f>
        <v>56088.64</v>
      </c>
      <c r="O70" s="931" t="s">
        <v>2081</v>
      </c>
      <c r="P70" s="966" t="s">
        <v>2082</v>
      </c>
      <c r="Q70" s="960">
        <f ca="1">C39</f>
        <v>2201.02</v>
      </c>
      <c r="R70" s="926" t="s">
        <v>2025</v>
      </c>
    </row>
    <row r="71" ht="15.75" spans="15:18">
      <c r="O71" s="931" t="s">
        <v>2083</v>
      </c>
      <c r="P71" s="966" t="s">
        <v>2084</v>
      </c>
      <c r="Q71" s="960">
        <f ca="1">C13</f>
        <v>30643.54</v>
      </c>
      <c r="R71" s="926" t="s">
        <v>2025</v>
      </c>
    </row>
    <row r="72" ht="15.75" spans="15:18">
      <c r="O72" s="931" t="s">
        <v>2085</v>
      </c>
      <c r="P72" s="966" t="s">
        <v>2086</v>
      </c>
      <c r="Q72" s="961">
        <f ca="1">J36</f>
        <v>0.08</v>
      </c>
      <c r="R72" s="962"/>
    </row>
    <row r="73" ht="15.75" spans="15:18">
      <c r="O73" s="931" t="s">
        <v>2040</v>
      </c>
      <c r="P73" s="926" t="s">
        <v>2065</v>
      </c>
      <c r="Q73" s="961">
        <f>L52</f>
        <v>0</v>
      </c>
      <c r="R73" s="962"/>
    </row>
    <row r="74" ht="20.25" spans="15:18">
      <c r="O74" s="931" t="s">
        <v>2043</v>
      </c>
      <c r="P74" s="926" t="s">
        <v>2066</v>
      </c>
      <c r="Q74" s="960" t="e">
        <f ca="1">L58</f>
        <v>#DIV/0!</v>
      </c>
      <c r="R74" s="962" t="s">
        <v>2067</v>
      </c>
    </row>
    <row r="75" ht="15.75" spans="15:18">
      <c r="O75" s="931" t="s">
        <v>2087</v>
      </c>
      <c r="P75" s="926" t="str">
        <f>K59</f>
        <v>建设期及建筑物耐用年限下的土地年期修正系数Kn</v>
      </c>
      <c r="Q75" s="960" t="e">
        <f ca="1">L59</f>
        <v>#DIV/0!</v>
      </c>
      <c r="R75" s="962" t="s">
        <v>2074</v>
      </c>
    </row>
    <row r="76" ht="15.75" spans="15:18">
      <c r="O76" s="925" t="s">
        <v>2046</v>
      </c>
      <c r="P76" s="926" t="s">
        <v>2047</v>
      </c>
      <c r="Q76" s="960">
        <f ca="1">Q66+Q67</f>
        <v>46459.65</v>
      </c>
      <c r="R76" s="962" t="s">
        <v>2048</v>
      </c>
    </row>
  </sheetData>
  <sheetProtection formatCells="0" formatColumns="0" formatRows="0"/>
  <mergeCells count="3">
    <mergeCell ref="K53:L53"/>
    <mergeCell ref="B6:B9"/>
    <mergeCell ref="I6:I9"/>
  </mergeCells>
  <conditionalFormatting sqref="C11">
    <cfRule type="expression" dxfId="13" priority="4">
      <formula>$F$10="自定义"</formula>
    </cfRule>
  </conditionalFormatting>
  <conditionalFormatting sqref="J11">
    <cfRule type="expression" dxfId="13" priority="2">
      <formula>$M$10="自定义"</formula>
    </cfRule>
  </conditionalFormatting>
  <conditionalFormatting sqref="C53">
    <cfRule type="expression" dxfId="13" priority="1">
      <formula>$F$52="自定义"</formula>
    </cfRule>
  </conditionalFormatting>
  <conditionalFormatting sqref="I55">
    <cfRule type="expression" dxfId="14" priority="8">
      <formula>$J$51&gt;$L$48</formula>
    </cfRule>
  </conditionalFormatting>
  <conditionalFormatting sqref="K55">
    <cfRule type="expression" dxfId="14" priority="7">
      <formula>$L$48&gt;$J$51</formula>
    </cfRule>
  </conditionalFormatting>
  <conditionalFormatting sqref="I60">
    <cfRule type="expression" dxfId="14" priority="6">
      <formula>$J$51&gt;$L$48</formula>
    </cfRule>
  </conditionalFormatting>
  <conditionalFormatting sqref="K60">
    <cfRule type="expression" dxfId="14"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7" right="0.7" top="0.75" bottom="0.75" header="0.3" footer="0.3"/>
  <pageSetup paperSize="9" scale="64" orientation="landscape"/>
  <headerFooter/>
  <ignoredErrors>
    <ignoredError sqref="F62:F65 F67:F68 F70 F49:F50" evalError="1"/>
  </ignoredError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topLeftCell="A97" workbookViewId="0">
      <selection activeCell="A113" sqref="A113"/>
    </sheetView>
  </sheetViews>
  <sheetFormatPr defaultColWidth="9" defaultRowHeight="13.5"/>
  <sheetData/>
  <pageMargins left="0.75" right="0.75" top="1" bottom="1" header="0.5" footer="0.5"/>
  <headerFooter/>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E490"/>
  <sheetViews>
    <sheetView view="pageBreakPreview" zoomScale="80" zoomScaleNormal="80" workbookViewId="0">
      <selection activeCell="C8" sqref="C8"/>
    </sheetView>
  </sheetViews>
  <sheetFormatPr defaultColWidth="6.63333333333333" defaultRowHeight="12.75"/>
  <cols>
    <col min="1" max="1" width="9.725" style="980" customWidth="1"/>
    <col min="2" max="2" width="32.45" style="981" customWidth="1"/>
    <col min="3" max="3" width="10.3666666666667" style="982" customWidth="1"/>
    <col min="4" max="4" width="12" style="981" customWidth="1"/>
    <col min="5" max="5" width="9.45" style="980" customWidth="1"/>
    <col min="6" max="6" width="10.0916666666667" style="981" customWidth="1"/>
    <col min="7" max="7" width="11.6333333333333"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983" t="s">
        <v>1055</v>
      </c>
      <c r="B1" s="1140" t="s">
        <v>551</v>
      </c>
      <c r="C1" s="985"/>
      <c r="D1" s="985"/>
      <c r="E1" s="985"/>
      <c r="F1" s="985"/>
      <c r="G1" s="985"/>
      <c r="H1" s="985"/>
      <c r="I1" s="985"/>
      <c r="J1" s="985"/>
      <c r="K1" s="991">
        <f>MATCH(B1,'数据-取费表'!A6:A16,0)+5</f>
        <v>9</v>
      </c>
      <c r="L1" s="72"/>
      <c r="M1" s="72"/>
      <c r="N1" s="72"/>
      <c r="O1" s="72"/>
      <c r="P1" s="72"/>
      <c r="Q1" s="72"/>
      <c r="R1" s="72"/>
      <c r="S1" s="72"/>
      <c r="T1" s="72"/>
      <c r="U1" s="72"/>
      <c r="V1" s="72"/>
      <c r="W1" s="72"/>
      <c r="X1" s="72"/>
      <c r="Y1" s="72"/>
      <c r="Z1" s="72"/>
    </row>
    <row r="2" s="157" customFormat="1" ht="18" customHeight="1" spans="1:26">
      <c r="A2" s="986" t="s">
        <v>919</v>
      </c>
      <c r="B2" s="1141">
        <f ca="1">C36</f>
        <v>4265.95</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988" t="s">
        <v>920</v>
      </c>
      <c r="B3" s="989">
        <f ca="1">ROUND(B2*10000/IF(B1="",'数据-汇总表'!E3,INDIRECT("'数据-取费表'!K"&amp;$K$1)),0)</f>
        <v>2118</v>
      </c>
      <c r="C3" s="985" t="e">
        <f ca="1">ROUND(B2*10000/C9,0)</f>
        <v>#DIV/0!</v>
      </c>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t="e">
        <f ca="1">ROUND(B2*10000/IF(B1="",'数据-汇总表'!D3,INDIRECT("'数据-取费表'!R"&amp;$K$1)),0)</f>
        <v>#VALUE!</v>
      </c>
      <c r="C4" s="990"/>
      <c r="D4" s="991"/>
      <c r="E4" s="991"/>
      <c r="F4" s="991"/>
      <c r="G4" s="991"/>
      <c r="H4" s="991"/>
      <c r="I4" s="991"/>
      <c r="J4" s="991"/>
      <c r="K4" s="991"/>
      <c r="L4" s="72"/>
      <c r="M4" s="72"/>
      <c r="N4" s="72"/>
      <c r="O4" s="72"/>
      <c r="P4" s="72"/>
      <c r="Q4" s="72"/>
      <c r="R4" s="72"/>
      <c r="S4" s="72"/>
      <c r="T4" s="72"/>
      <c r="U4" s="72"/>
      <c r="V4" s="72"/>
      <c r="W4" s="72"/>
      <c r="X4" s="72"/>
      <c r="Y4" s="72"/>
      <c r="Z4" s="72"/>
    </row>
    <row r="5" s="157" customFormat="1" ht="18" customHeight="1" spans="1:26">
      <c r="A5" s="650"/>
      <c r="B5" s="651" t="e">
        <f ca="1">ROUND(B2/(IF(B1="",'数据-汇总表'!D3,INDIRECT("'数据-取费表'!R"&amp;$K$1))/666.67),0)</f>
        <v>#VALUE!</v>
      </c>
      <c r="C5" s="652" t="s">
        <v>922</v>
      </c>
      <c r="D5" s="991"/>
      <c r="E5" s="991"/>
      <c r="F5" s="991"/>
      <c r="G5" s="991"/>
      <c r="H5" s="991"/>
      <c r="I5" s="991"/>
      <c r="J5" s="991"/>
      <c r="K5" s="991"/>
      <c r="L5" s="72"/>
      <c r="M5" s="72"/>
      <c r="N5" s="72"/>
      <c r="O5" s="72"/>
      <c r="P5" s="72"/>
      <c r="Q5" s="72"/>
      <c r="R5" s="72"/>
      <c r="S5" s="72"/>
      <c r="T5" s="72"/>
      <c r="U5" s="72"/>
      <c r="V5" s="72"/>
      <c r="W5" s="72"/>
      <c r="X5" s="72"/>
      <c r="Y5" s="72"/>
      <c r="Z5" s="72"/>
    </row>
    <row r="6" s="969" customFormat="1" ht="16.5" customHeight="1" spans="1:26">
      <c r="A6" s="992" t="s">
        <v>2089</v>
      </c>
      <c r="B6" s="993"/>
      <c r="C6" s="1142">
        <f ca="1">SUM(C10:K10)</f>
        <v>22963.34</v>
      </c>
      <c r="D6" s="993"/>
      <c r="E6" s="993"/>
      <c r="F6" s="993"/>
      <c r="G6" s="993"/>
      <c r="H6" s="993"/>
      <c r="I6" s="993"/>
      <c r="J6" s="993"/>
      <c r="K6" s="1077"/>
      <c r="L6" s="1078"/>
      <c r="M6" s="1078"/>
      <c r="N6" s="1078"/>
      <c r="O6" s="1078"/>
      <c r="P6" s="1078"/>
      <c r="Q6" s="1078"/>
      <c r="R6" s="1078"/>
      <c r="S6" s="1078"/>
      <c r="T6" s="1078"/>
      <c r="U6" s="1078"/>
      <c r="V6" s="1078"/>
      <c r="W6" s="1078"/>
      <c r="X6" s="1078"/>
      <c r="Y6" s="1078"/>
      <c r="Z6" s="1078"/>
    </row>
    <row r="7" s="970" customFormat="1" ht="24" spans="1:31">
      <c r="A7" s="995" t="s">
        <v>1058</v>
      </c>
      <c r="B7" s="996" t="s">
        <v>1059</v>
      </c>
      <c r="C7" s="997" t="s">
        <v>2334</v>
      </c>
      <c r="D7" s="997"/>
      <c r="E7" s="997"/>
      <c r="F7" s="997"/>
      <c r="G7" s="997"/>
      <c r="H7" s="997"/>
      <c r="I7" s="997"/>
      <c r="J7" s="997"/>
      <c r="K7" s="1079"/>
      <c r="AA7" s="1097"/>
      <c r="AB7" s="1097"/>
      <c r="AC7" s="1097"/>
      <c r="AD7" s="1097"/>
      <c r="AE7" s="1097"/>
    </row>
    <row r="8" s="971" customFormat="1" ht="13.5" customHeight="1" spans="1:31">
      <c r="A8" s="998" t="s">
        <v>855</v>
      </c>
      <c r="B8" s="785" t="s">
        <v>1060</v>
      </c>
      <c r="C8" s="999">
        <f ca="1">'不动产收益法--商业'!C47</f>
        <v>11403</v>
      </c>
      <c r="D8" s="999"/>
      <c r="E8" s="999"/>
      <c r="F8" s="999"/>
      <c r="G8" s="999"/>
      <c r="H8" s="999"/>
      <c r="I8" s="999"/>
      <c r="J8" s="999"/>
      <c r="K8" s="1080"/>
      <c r="AA8" s="981"/>
      <c r="AB8" s="981"/>
      <c r="AC8" s="981"/>
      <c r="AD8" s="981"/>
      <c r="AE8" s="981"/>
    </row>
    <row r="9" s="971" customFormat="1" ht="13.5" customHeight="1" spans="1:31">
      <c r="A9" s="998" t="s">
        <v>857</v>
      </c>
      <c r="B9" s="785" t="s">
        <v>470</v>
      </c>
      <c r="C9" s="1001">
        <f>SUMIF('数据-汇总表'!$C19:$C33,'剩余法-待开发-商业'!C7,'数据-汇总表'!$E19:$E33)</f>
        <v>0</v>
      </c>
      <c r="D9" s="1001">
        <f>SUMIF('数据-汇总表'!$C19:$C33,'剩余法-待开发-商业'!D7,'数据-汇总表'!$E19:$E33)</f>
        <v>0</v>
      </c>
      <c r="E9" s="1001">
        <f>SUMIF('数据-汇总表'!$C19:$C33,'剩余法-待开发-商业'!E7,'数据-汇总表'!$E19:$E33)</f>
        <v>0</v>
      </c>
      <c r="F9" s="1001">
        <f>SUMIF('数据-汇总表'!$C19:$C33,'剩余法-待开发-商业'!F7,'数据-汇总表'!$E19:$E33)</f>
        <v>0</v>
      </c>
      <c r="G9" s="1001">
        <f>SUMIF('数据-汇总表'!$C19:$C33,'剩余法-待开发-商业'!G7,'数据-汇总表'!$E19:$E33)</f>
        <v>0</v>
      </c>
      <c r="H9" s="1001">
        <f>SUMIF('数据-汇总表'!$C19:$C33,'剩余法-待开发-商业'!H7,'数据-汇总表'!$E19:$E33)</f>
        <v>0</v>
      </c>
      <c r="I9" s="1001">
        <f>SUMIF('数据-汇总表'!$C19:$C33,'剩余法-待开发-商业'!I7,'数据-汇总表'!$E19:$E33)</f>
        <v>0</v>
      </c>
      <c r="J9" s="1001">
        <f>SUMIF('数据-汇总表'!$C19:$C33,'剩余法-待开发-商业'!J7,'数据-汇总表'!$E19:$E33)</f>
        <v>0</v>
      </c>
      <c r="K9" s="1081">
        <f>SUMIF('数据-汇总表'!$C19:$C33,'剩余法-待开发-商业'!K7,'数据-汇总表'!$E19:$E33)</f>
        <v>0</v>
      </c>
      <c r="AA9" s="981"/>
      <c r="AB9" s="981"/>
      <c r="AC9" s="981"/>
      <c r="AD9" s="981"/>
      <c r="AE9" s="981"/>
    </row>
    <row r="10" s="971" customFormat="1" ht="13.5" customHeight="1" spans="1:31">
      <c r="A10" s="1002" t="s">
        <v>1061</v>
      </c>
      <c r="B10" s="1003" t="s">
        <v>1062</v>
      </c>
      <c r="C10" s="1143">
        <f ca="1">'不动产收益法--商业'!C46</f>
        <v>22963.34</v>
      </c>
      <c r="D10" s="1143"/>
      <c r="E10" s="1143"/>
      <c r="F10" s="1143"/>
      <c r="G10" s="1005"/>
      <c r="H10" s="1005"/>
      <c r="I10" s="1005"/>
      <c r="J10" s="1005"/>
      <c r="K10" s="1082"/>
      <c r="N10" s="971" t="s">
        <v>2341</v>
      </c>
      <c r="AA10" s="981"/>
      <c r="AB10" s="981"/>
      <c r="AC10" s="981"/>
      <c r="AD10" s="981"/>
      <c r="AE10" s="981"/>
    </row>
    <row r="11" s="969" customFormat="1" ht="16.5" customHeight="1" spans="1:26">
      <c r="A11" s="1006" t="s">
        <v>2090</v>
      </c>
      <c r="B11" s="993"/>
      <c r="C11" s="993"/>
      <c r="D11" s="993"/>
      <c r="E11" s="993"/>
      <c r="F11" s="993"/>
      <c r="G11" s="993"/>
      <c r="H11" s="993"/>
      <c r="I11" s="993"/>
      <c r="J11" s="993"/>
      <c r="K11" s="1077"/>
      <c r="L11" s="1078"/>
      <c r="M11" s="1078"/>
      <c r="N11" s="1078"/>
      <c r="O11" s="1078"/>
      <c r="P11" s="1078"/>
      <c r="Q11" s="1078"/>
      <c r="R11" s="1078"/>
      <c r="S11" s="1078"/>
      <c r="T11" s="1078"/>
      <c r="U11" s="1078"/>
      <c r="V11" s="1078"/>
      <c r="W11" s="1078"/>
      <c r="X11" s="1078"/>
      <c r="Y11" s="1078"/>
      <c r="Z11" s="1078"/>
    </row>
    <row r="12" s="837" customFormat="1" ht="13.5" customHeight="1" spans="1:26">
      <c r="A12" s="1007" t="s">
        <v>1058</v>
      </c>
      <c r="B12" s="1008" t="s">
        <v>1059</v>
      </c>
      <c r="C12" s="1009" t="s">
        <v>1064</v>
      </c>
      <c r="D12" s="1010" t="s">
        <v>1065</v>
      </c>
      <c r="E12" s="1010" t="s">
        <v>1066</v>
      </c>
      <c r="F12" s="1010" t="s">
        <v>1067</v>
      </c>
      <c r="G12" s="1008"/>
      <c r="H12" s="1011"/>
      <c r="I12" s="1011"/>
      <c r="J12" s="1011"/>
      <c r="K12" s="1083"/>
      <c r="L12" s="1084"/>
      <c r="M12" s="1084"/>
      <c r="N12" s="1084"/>
      <c r="O12" s="1084"/>
      <c r="P12" s="1084"/>
      <c r="Q12" s="1084"/>
      <c r="R12" s="1084"/>
      <c r="S12" s="1084"/>
      <c r="T12" s="1084"/>
      <c r="U12" s="1084"/>
      <c r="V12" s="1084"/>
      <c r="W12" s="1084"/>
      <c r="X12" s="1084"/>
      <c r="Y12" s="1084"/>
      <c r="Z12" s="1084"/>
    </row>
    <row r="13" s="972" customFormat="1" ht="13.5" customHeight="1" spans="1:26">
      <c r="A13" s="1012" t="s">
        <v>879</v>
      </c>
      <c r="B13" s="1013" t="s">
        <v>1068</v>
      </c>
      <c r="C13" s="1102">
        <f>'数据-取费表'!M9</f>
        <v>11075.63</v>
      </c>
      <c r="D13" s="1015"/>
      <c r="E13" s="80"/>
      <c r="F13" s="1016"/>
      <c r="G13" s="1008"/>
      <c r="H13" s="1011"/>
      <c r="I13" s="1011"/>
      <c r="J13" s="1011"/>
      <c r="K13" s="1083"/>
      <c r="L13" s="973"/>
      <c r="M13" s="973"/>
      <c r="N13" s="973"/>
      <c r="O13" s="973"/>
      <c r="P13" s="973"/>
      <c r="Q13" s="973"/>
      <c r="R13" s="973"/>
      <c r="S13" s="973"/>
      <c r="T13" s="973"/>
      <c r="U13" s="973"/>
      <c r="V13" s="973"/>
      <c r="W13" s="973"/>
      <c r="X13" s="973"/>
      <c r="Y13" s="973"/>
      <c r="Z13" s="973"/>
    </row>
    <row r="14" s="972" customFormat="1" ht="13.5" customHeight="1" spans="1:26">
      <c r="A14" s="1012" t="s">
        <v>1069</v>
      </c>
      <c r="B14" s="1013" t="s">
        <v>1070</v>
      </c>
      <c r="C14" s="125">
        <f>ROUND(C13*F14,2)</f>
        <v>332.27</v>
      </c>
      <c r="D14" s="1015"/>
      <c r="E14" s="80"/>
      <c r="F14" s="1017">
        <f>'数据-取费表'!B33</f>
        <v>0.03</v>
      </c>
      <c r="G14" s="1008" t="s">
        <v>1071</v>
      </c>
      <c r="H14" s="1011"/>
      <c r="I14" s="1011"/>
      <c r="J14" s="1011"/>
      <c r="K14" s="1083"/>
      <c r="L14" s="973"/>
      <c r="M14" s="973"/>
      <c r="N14" s="973"/>
      <c r="O14" s="973"/>
      <c r="P14" s="973"/>
      <c r="Q14" s="973"/>
      <c r="R14" s="973"/>
      <c r="S14" s="973"/>
      <c r="T14" s="973"/>
      <c r="U14" s="973"/>
      <c r="V14" s="973"/>
      <c r="W14" s="973"/>
      <c r="X14" s="973"/>
      <c r="Y14" s="973"/>
      <c r="Z14" s="973"/>
    </row>
    <row r="15" s="972" customFormat="1" ht="13.5" customHeight="1" spans="1:26">
      <c r="A15" s="1012" t="s">
        <v>1072</v>
      </c>
      <c r="B15" s="1013" t="s">
        <v>1073</v>
      </c>
      <c r="C15" s="125">
        <f ca="1">ROUND(IF(B1="",SUMIF('数据-取费表'!C:C,"住宅",'数据-取费表'!P:P)*F15,IF(INDIRECT("'数据-取费表'!c"&amp;$K$1)="住宅",INDIRECT("'数据-取费表'!P"&amp;$K$1)*F15,0)),0)</f>
        <v>0</v>
      </c>
      <c r="D15" s="1015"/>
      <c r="E15" s="80"/>
      <c r="F15" s="1017">
        <f>'数据-取费表'!B34</f>
        <v>0.05</v>
      </c>
      <c r="G15" s="1008" t="s">
        <v>2091</v>
      </c>
      <c r="H15" s="1011"/>
      <c r="I15" s="1011"/>
      <c r="J15" s="1011"/>
      <c r="K15" s="1083"/>
      <c r="L15" s="973"/>
      <c r="M15" s="973"/>
      <c r="N15" s="973"/>
      <c r="O15" s="973"/>
      <c r="P15" s="973"/>
      <c r="Q15" s="973"/>
      <c r="R15" s="973"/>
      <c r="S15" s="973"/>
      <c r="T15" s="973"/>
      <c r="U15" s="973"/>
      <c r="V15" s="973"/>
      <c r="W15" s="973"/>
      <c r="X15" s="973"/>
      <c r="Y15" s="973"/>
      <c r="Z15" s="973"/>
    </row>
    <row r="16" s="973" customFormat="1" ht="13.5" customHeight="1" spans="1:31">
      <c r="A16" s="1012" t="s">
        <v>1074</v>
      </c>
      <c r="B16" s="1013" t="s">
        <v>1075</v>
      </c>
      <c r="C16" s="125">
        <f>ROUND(D16*E16/10000,2)</f>
        <v>614.19</v>
      </c>
      <c r="D16" s="1015">
        <f>地块信息表!M24</f>
        <v>20137.5</v>
      </c>
      <c r="E16" s="125">
        <f>'数据-取费表'!B35</f>
        <v>305</v>
      </c>
      <c r="F16" s="1017"/>
      <c r="G16" s="1008"/>
      <c r="H16" s="1011"/>
      <c r="I16" s="1011"/>
      <c r="J16" s="1011"/>
      <c r="K16" s="1083"/>
      <c r="AA16" s="972"/>
      <c r="AB16" s="972"/>
      <c r="AC16" s="972"/>
      <c r="AD16" s="972"/>
      <c r="AE16" s="972"/>
    </row>
    <row r="17" s="972" customFormat="1" ht="13.5" customHeight="1" spans="1:26">
      <c r="A17" s="1012" t="s">
        <v>1076</v>
      </c>
      <c r="B17" s="1013" t="s">
        <v>1077</v>
      </c>
      <c r="C17" s="1018">
        <f>ROUND(C13*F17,2)</f>
        <v>166.13</v>
      </c>
      <c r="D17" s="1019"/>
      <c r="E17" s="1018"/>
      <c r="F17" s="1020">
        <f>'数据-取费表'!B36</f>
        <v>0.015</v>
      </c>
      <c r="G17" s="785" t="s">
        <v>2092</v>
      </c>
      <c r="H17" s="1021"/>
      <c r="I17" s="1021"/>
      <c r="J17" s="1021"/>
      <c r="K17" s="1085"/>
      <c r="L17" s="973"/>
      <c r="M17" s="973"/>
      <c r="N17" s="973"/>
      <c r="O17" s="973"/>
      <c r="P17" s="973"/>
      <c r="Q17" s="973"/>
      <c r="R17" s="973"/>
      <c r="S17" s="973"/>
      <c r="T17" s="973"/>
      <c r="U17" s="973"/>
      <c r="V17" s="973"/>
      <c r="W17" s="973"/>
      <c r="X17" s="973"/>
      <c r="Y17" s="973"/>
      <c r="Z17" s="973"/>
    </row>
    <row r="18" s="972" customFormat="1" ht="13.5" customHeight="1" spans="1:26">
      <c r="A18" s="1022" t="s">
        <v>1078</v>
      </c>
      <c r="B18" s="1023" t="s">
        <v>1079</v>
      </c>
      <c r="C18" s="1029">
        <f ca="1">SUM(C13:C17)</f>
        <v>12188.22</v>
      </c>
      <c r="D18" s="1025"/>
      <c r="E18" s="1026"/>
      <c r="F18" s="1026"/>
      <c r="G18" s="1027" t="s">
        <v>2093</v>
      </c>
      <c r="H18" s="1028"/>
      <c r="I18" s="1028"/>
      <c r="J18" s="1028"/>
      <c r="K18" s="1086"/>
      <c r="L18" s="973"/>
      <c r="M18" s="973">
        <v>55</v>
      </c>
      <c r="N18" s="973"/>
      <c r="O18" s="973"/>
      <c r="P18" s="973"/>
      <c r="Q18" s="973"/>
      <c r="R18" s="973"/>
      <c r="S18" s="973"/>
      <c r="T18" s="973"/>
      <c r="U18" s="973"/>
      <c r="V18" s="973"/>
      <c r="W18" s="973"/>
      <c r="X18" s="973"/>
      <c r="Y18" s="973"/>
      <c r="Z18" s="973"/>
    </row>
    <row r="19" s="972" customFormat="1" ht="13.5" customHeight="1" spans="1:26">
      <c r="A19" s="1022" t="s">
        <v>1081</v>
      </c>
      <c r="B19" s="1023" t="s">
        <v>2094</v>
      </c>
      <c r="C19" s="1010">
        <f t="shared" ref="C19:C21" si="0">ROUND(D19*E19/10000,0)</f>
        <v>0</v>
      </c>
      <c r="D19" s="1029">
        <f>D16</f>
        <v>20137.5</v>
      </c>
      <c r="E19" s="1010">
        <f>'数据-取费表'!B32</f>
        <v>0</v>
      </c>
      <c r="F19" s="1026"/>
      <c r="G19" s="1008" t="s">
        <v>2095</v>
      </c>
      <c r="H19" s="1011"/>
      <c r="I19" s="1028"/>
      <c r="J19" s="1028"/>
      <c r="K19" s="1086"/>
      <c r="L19" s="973"/>
      <c r="M19" s="973">
        <v>60</v>
      </c>
      <c r="N19" s="973"/>
      <c r="O19" s="973"/>
      <c r="P19" s="973"/>
      <c r="Q19" s="973"/>
      <c r="R19" s="973"/>
      <c r="S19" s="973"/>
      <c r="T19" s="973"/>
      <c r="U19" s="973"/>
      <c r="V19" s="973"/>
      <c r="W19" s="973"/>
      <c r="X19" s="973"/>
      <c r="Y19" s="973"/>
      <c r="Z19" s="973"/>
    </row>
    <row r="20" s="972" customFormat="1" ht="13.5" customHeight="1" spans="1:26">
      <c r="A20" s="1022" t="s">
        <v>1084</v>
      </c>
      <c r="B20" s="1023" t="s">
        <v>2096</v>
      </c>
      <c r="C20" s="1010">
        <f ca="1">C21+C22-IF(B1="",'数据-取费表'!B29,IF(G20="已全部缴纳",C21+C22,H20))</f>
        <v>322.2</v>
      </c>
      <c r="D20" s="1029"/>
      <c r="E20" s="1010"/>
      <c r="F20" s="1030"/>
      <c r="G20" s="1031" t="s">
        <v>2097</v>
      </c>
      <c r="H20" s="1032">
        <v>0</v>
      </c>
      <c r="I20" s="1087" t="s">
        <v>1112</v>
      </c>
      <c r="J20" s="1028"/>
      <c r="K20" s="1086"/>
      <c r="L20" s="973"/>
      <c r="M20" s="973">
        <f>M18/M19</f>
        <v>0.916666666666667</v>
      </c>
      <c r="N20" s="973"/>
      <c r="O20" s="973"/>
      <c r="P20" s="973"/>
      <c r="Q20" s="973"/>
      <c r="R20" s="973"/>
      <c r="S20" s="973"/>
      <c r="T20" s="973"/>
      <c r="U20" s="973"/>
      <c r="V20" s="973"/>
      <c r="W20" s="973"/>
      <c r="X20" s="973"/>
      <c r="Y20" s="973"/>
      <c r="Z20" s="973"/>
    </row>
    <row r="21" s="972" customFormat="1" ht="13.5" customHeight="1" spans="1:26">
      <c r="A21" s="1012" t="s">
        <v>879</v>
      </c>
      <c r="B21" s="1013" t="s">
        <v>2098</v>
      </c>
      <c r="C21" s="125">
        <f ca="1" t="shared" si="0"/>
        <v>0</v>
      </c>
      <c r="D21" s="1015">
        <f ca="1">IF(B1="",'数据-汇总表'!E5,IF(INDIRECT("'数据-取费表'!c"&amp;$K$1)="住宅",INDIRECT("'数据-取费表'!k"&amp;$K$1),0))</f>
        <v>0</v>
      </c>
      <c r="E21" s="125">
        <f>'数据-取费表'!B27</f>
        <v>180</v>
      </c>
      <c r="F21" s="1017"/>
      <c r="G21" s="857"/>
      <c r="H21" s="1033"/>
      <c r="I21" s="1033"/>
      <c r="J21" s="1033"/>
      <c r="K21" s="1088"/>
      <c r="L21" s="973"/>
      <c r="M21" s="973"/>
      <c r="N21" s="973"/>
      <c r="O21" s="973"/>
      <c r="P21" s="973"/>
      <c r="Q21" s="973"/>
      <c r="R21" s="973"/>
      <c r="S21" s="973"/>
      <c r="T21" s="973"/>
      <c r="U21" s="973"/>
      <c r="V21" s="973"/>
      <c r="W21" s="973"/>
      <c r="X21" s="973"/>
      <c r="Y21" s="973"/>
      <c r="Z21" s="973"/>
    </row>
    <row r="22" s="972" customFormat="1" ht="13.5" customHeight="1" spans="1:26">
      <c r="A22" s="1012" t="s">
        <v>883</v>
      </c>
      <c r="B22" s="1013" t="s">
        <v>2099</v>
      </c>
      <c r="C22" s="125">
        <f>ROUND(D22*E22/10000,2)</f>
        <v>322.2</v>
      </c>
      <c r="D22" s="1015">
        <f>D19</f>
        <v>20137.5</v>
      </c>
      <c r="E22" s="125">
        <f>'数据-取费表'!B28</f>
        <v>160</v>
      </c>
      <c r="F22" s="1017"/>
      <c r="G22" s="857"/>
      <c r="H22" s="1033"/>
      <c r="I22" s="1033"/>
      <c r="J22" s="1033"/>
      <c r="K22" s="1088"/>
      <c r="L22" s="973"/>
      <c r="M22" s="973"/>
      <c r="N22" s="973"/>
      <c r="O22" s="973"/>
      <c r="P22" s="973"/>
      <c r="Q22" s="973"/>
      <c r="R22" s="973"/>
      <c r="S22" s="973"/>
      <c r="T22" s="973"/>
      <c r="U22" s="973"/>
      <c r="V22" s="973"/>
      <c r="W22" s="973"/>
      <c r="X22" s="973"/>
      <c r="Y22" s="973"/>
      <c r="Z22" s="973"/>
    </row>
    <row r="23" s="972" customFormat="1" ht="13.5" customHeight="1" spans="1:26">
      <c r="A23" s="1022" t="s">
        <v>2100</v>
      </c>
      <c r="B23" s="1034" t="s">
        <v>2101</v>
      </c>
      <c r="C23" s="1029">
        <f ca="1">ROUND((C18+C19+C20)*F23,2)</f>
        <v>375.31</v>
      </c>
      <c r="D23" s="1026"/>
      <c r="E23" s="1026"/>
      <c r="F23" s="1144">
        <f>'数据-取费表'!B37</f>
        <v>0.03</v>
      </c>
      <c r="G23" s="1008" t="s">
        <v>2102</v>
      </c>
      <c r="H23" s="1011"/>
      <c r="I23" s="1011"/>
      <c r="J23" s="1011"/>
      <c r="K23" s="1083"/>
      <c r="L23" s="1089"/>
      <c r="M23" s="1089"/>
      <c r="N23" s="1089"/>
      <c r="O23" s="973"/>
      <c r="P23" s="973"/>
      <c r="Q23" s="973"/>
      <c r="R23" s="973"/>
      <c r="S23" s="973"/>
      <c r="T23" s="973"/>
      <c r="U23" s="973"/>
      <c r="V23" s="973"/>
      <c r="W23" s="973"/>
      <c r="X23" s="973"/>
      <c r="Y23" s="973"/>
      <c r="Z23" s="973"/>
    </row>
    <row r="24" s="972" customFormat="1" ht="13.5" customHeight="1" spans="1:26">
      <c r="A24" s="1022" t="s">
        <v>1089</v>
      </c>
      <c r="B24" s="1034" t="s">
        <v>2103</v>
      </c>
      <c r="C24" s="1145">
        <f ca="1">ROUND(C6*F24,2)</f>
        <v>688.9</v>
      </c>
      <c r="D24" s="1019"/>
      <c r="E24" s="1036"/>
      <c r="F24" s="1144">
        <f>'数据-取费表'!B38</f>
        <v>0.03</v>
      </c>
      <c r="G24" s="1037" t="s">
        <v>2104</v>
      </c>
      <c r="H24" s="1021"/>
      <c r="I24" s="1021"/>
      <c r="J24" s="1021"/>
      <c r="K24" s="1085"/>
      <c r="L24" s="1089"/>
      <c r="M24" s="1089"/>
      <c r="N24" s="1089"/>
      <c r="O24" s="973"/>
      <c r="P24" s="973"/>
      <c r="Q24" s="973"/>
      <c r="R24" s="973"/>
      <c r="S24" s="973"/>
      <c r="T24" s="973"/>
      <c r="U24" s="973"/>
      <c r="V24" s="973"/>
      <c r="W24" s="973"/>
      <c r="X24" s="973"/>
      <c r="Y24" s="973"/>
      <c r="Z24" s="973"/>
    </row>
    <row r="25" s="974" customFormat="1" ht="13.5" customHeight="1" spans="1:26">
      <c r="A25" s="1022" t="s">
        <v>1091</v>
      </c>
      <c r="B25" s="1034" t="s">
        <v>2105</v>
      </c>
      <c r="C25" s="1038">
        <f>F25</f>
        <v>0.0305</v>
      </c>
      <c r="D25" s="1039" t="s">
        <v>2106</v>
      </c>
      <c r="E25" s="1040"/>
      <c r="F25" s="1035">
        <f>'数据-取费表'!B48+'数据-取费表'!B49</f>
        <v>0.0305</v>
      </c>
      <c r="G25" s="1041" t="s">
        <v>2107</v>
      </c>
      <c r="H25" s="1011"/>
      <c r="I25" s="1011"/>
      <c r="J25" s="1011"/>
      <c r="K25" s="1083"/>
      <c r="L25" s="1090"/>
      <c r="M25" s="1090"/>
      <c r="N25" s="1090"/>
      <c r="O25" s="1090"/>
      <c r="P25" s="1090"/>
      <c r="Q25" s="1090"/>
      <c r="R25" s="1090"/>
      <c r="S25" s="1090"/>
      <c r="T25" s="1090"/>
      <c r="U25" s="1090"/>
      <c r="V25" s="1090"/>
      <c r="W25" s="1090"/>
      <c r="X25" s="1090"/>
      <c r="Y25" s="1090"/>
      <c r="Z25" s="1090"/>
    </row>
    <row r="26" s="975" customFormat="1" ht="13.5" customHeight="1" spans="1:26">
      <c r="A26" s="1022" t="s">
        <v>2108</v>
      </c>
      <c r="B26" s="1042" t="s">
        <v>2109</v>
      </c>
      <c r="C26" s="1146">
        <f ca="1">C28</f>
        <v>644.79</v>
      </c>
      <c r="D26" s="1044">
        <f ca="1">C27</f>
        <v>0.1002</v>
      </c>
      <c r="E26" s="1040" t="s">
        <v>2106</v>
      </c>
      <c r="F26" s="1045">
        <f ca="1">'数据-取费表'!B40</f>
        <v>0.0475</v>
      </c>
      <c r="G26" s="790" t="str">
        <f>IF('数据-取费表'!B22&lt;=1,"单利计息。","复利计息。")&amp;"后续开发成本、管理费用及销售费用产生的利息。"</f>
        <v>复利计息。后续开发成本、管理费用及销售费用产生的利息。</v>
      </c>
      <c r="H26" s="1028"/>
      <c r="I26" s="1028"/>
      <c r="J26" s="1028"/>
      <c r="K26" s="1086"/>
      <c r="L26" s="1089"/>
      <c r="M26" s="1089"/>
      <c r="N26" s="1089"/>
      <c r="O26" s="1089"/>
      <c r="P26" s="1089"/>
      <c r="Q26" s="1089"/>
      <c r="R26" s="1089"/>
      <c r="S26" s="1089"/>
      <c r="T26" s="1089"/>
      <c r="U26" s="1089"/>
      <c r="V26" s="1089"/>
      <c r="W26" s="1089"/>
      <c r="X26" s="1089"/>
      <c r="Y26" s="1089"/>
      <c r="Z26" s="1089"/>
    </row>
    <row r="27" s="976" customFormat="1" ht="13.5" customHeight="1" spans="1:26">
      <c r="A27" s="998" t="s">
        <v>879</v>
      </c>
      <c r="B27" s="1046" t="s">
        <v>2110</v>
      </c>
      <c r="C27" s="1047">
        <f ca="1">ROUND(IF('数据-取费表'!B22&lt;=1,(1+C25)*F26*'数据-取费表'!B24,(1+C25)*(POWER((1+F26),'数据-取费表'!B24)-1)),4)</f>
        <v>0.1002</v>
      </c>
      <c r="D27" s="1048"/>
      <c r="E27" s="1036"/>
      <c r="F27" s="1049"/>
      <c r="G27" s="790" t="str">
        <f>IF('数据-取费表'!B22&lt;=1,"（1+取得税费率/(1+5%)）×年利率×建设期","（1+取得税费率）/(1+5%)×((1+年利率)^建设期-1)")</f>
        <v>（1+取得税费率）/(1+5%)×((1+年利率)^建设期-1)</v>
      </c>
      <c r="H27" s="1021"/>
      <c r="I27" s="1021"/>
      <c r="J27" s="1021"/>
      <c r="K27" s="1085"/>
      <c r="L27" s="1091"/>
      <c r="M27" s="1091"/>
      <c r="N27" s="1091"/>
      <c r="O27" s="1091"/>
      <c r="P27" s="1091"/>
      <c r="Q27" s="1091"/>
      <c r="R27" s="1091"/>
      <c r="S27" s="1091"/>
      <c r="T27" s="1091"/>
      <c r="U27" s="1091"/>
      <c r="V27" s="1091"/>
      <c r="W27" s="1091"/>
      <c r="X27" s="1091"/>
      <c r="Y27" s="1091"/>
      <c r="Z27" s="1091"/>
    </row>
    <row r="28" s="976" customFormat="1" ht="13.5" customHeight="1" spans="1:26">
      <c r="A28" s="998" t="s">
        <v>883</v>
      </c>
      <c r="B28" s="1046" t="s">
        <v>2111</v>
      </c>
      <c r="C28" s="1147">
        <f ca="1">ROUND(IF('数据-取费表'!B22&lt;=1,(C18+C19+C20+C23+C24)*F26*'数据-取费表'!B24/2,(C18+C19+C20+C23+C24)*(POWER((1+F26),'数据-取费表'!B24/2)-1)),2)</f>
        <v>644.79</v>
      </c>
      <c r="D28" s="1048"/>
      <c r="E28" s="1036"/>
      <c r="F28" s="1049"/>
      <c r="G28" s="790" t="str">
        <f>IF('数据-取费表'!B22&lt;=1,"（1）-（4）项×年利率×建设期÷2","（1）-（4）项×((1+年利率)^(建设期÷2)-1)")</f>
        <v>（1）-（4）项×((1+年利率)^(建设期÷2)-1)</v>
      </c>
      <c r="H28" s="1021"/>
      <c r="I28" s="1021"/>
      <c r="J28" s="1021"/>
      <c r="K28" s="1085"/>
      <c r="L28" s="1091"/>
      <c r="M28" s="1091"/>
      <c r="N28" s="1091"/>
      <c r="O28" s="1091"/>
      <c r="P28" s="1091"/>
      <c r="Q28" s="1091"/>
      <c r="R28" s="1091"/>
      <c r="S28" s="1091"/>
      <c r="T28" s="1091"/>
      <c r="U28" s="1091"/>
      <c r="V28" s="1091"/>
      <c r="W28" s="1091"/>
      <c r="X28" s="1091"/>
      <c r="Y28" s="1091"/>
      <c r="Z28" s="1091"/>
    </row>
    <row r="29" s="976" customFormat="1" ht="13.5" customHeight="1" spans="1:26">
      <c r="A29" s="1051" t="s">
        <v>2112</v>
      </c>
      <c r="B29" s="1023" t="s">
        <v>2113</v>
      </c>
      <c r="C29" s="1145">
        <f ca="1">ROUND(C6*F29/(1+'数据-取费表'!C42),2)</f>
        <v>1224.71</v>
      </c>
      <c r="D29" s="1026"/>
      <c r="E29" s="1026"/>
      <c r="F29" s="1052">
        <f>'数据-取费表'!B41</f>
        <v>0.056</v>
      </c>
      <c r="G29" s="1037" t="s">
        <v>2114</v>
      </c>
      <c r="H29" s="1011"/>
      <c r="I29" s="1011"/>
      <c r="J29" s="1011"/>
      <c r="K29" s="1083"/>
      <c r="L29" s="1091"/>
      <c r="M29" s="1091"/>
      <c r="N29" s="1091"/>
      <c r="O29" s="1091"/>
      <c r="P29" s="1091"/>
      <c r="Q29" s="1091"/>
      <c r="R29" s="1091"/>
      <c r="S29" s="1091"/>
      <c r="T29" s="1091"/>
      <c r="U29" s="1091"/>
      <c r="V29" s="1091"/>
      <c r="W29" s="1091"/>
      <c r="X29" s="1091"/>
      <c r="Y29" s="1091"/>
      <c r="Z29" s="1091"/>
    </row>
    <row r="30" s="977" customFormat="1" ht="13.5" customHeight="1" spans="1:26">
      <c r="A30" s="1053" t="s">
        <v>2115</v>
      </c>
      <c r="B30" s="1054" t="s">
        <v>2116</v>
      </c>
      <c r="C30" s="1043">
        <f ca="1">C31</f>
        <v>15444.13</v>
      </c>
      <c r="D30" s="1055">
        <f ca="1">C32</f>
        <v>0.1307</v>
      </c>
      <c r="E30" s="1040" t="s">
        <v>2106</v>
      </c>
      <c r="F30" s="1045"/>
      <c r="G30" s="1041" t="s">
        <v>2117</v>
      </c>
      <c r="H30" s="1011"/>
      <c r="I30" s="1011"/>
      <c r="J30" s="1011"/>
      <c r="K30" s="1083"/>
      <c r="L30" s="1092"/>
      <c r="M30" s="1092"/>
      <c r="N30" s="1092"/>
      <c r="O30" s="1092"/>
      <c r="P30" s="1092"/>
      <c r="Q30" s="1092"/>
      <c r="R30" s="1092"/>
      <c r="S30" s="1092"/>
      <c r="T30" s="1092"/>
      <c r="U30" s="1092"/>
      <c r="V30" s="1092"/>
      <c r="W30" s="1092"/>
      <c r="X30" s="1092"/>
      <c r="Y30" s="1092"/>
      <c r="Z30" s="1092"/>
    </row>
    <row r="31" s="976" customFormat="1" ht="13.5" customHeight="1" spans="1:26">
      <c r="A31" s="998" t="s">
        <v>879</v>
      </c>
      <c r="B31" s="1046"/>
      <c r="C31" s="1102">
        <f ca="1">C18+C19+C20+C23+C24+C26+C29</f>
        <v>15444.13</v>
      </c>
      <c r="D31" s="1048"/>
      <c r="E31" s="1036"/>
      <c r="F31" s="1049"/>
      <c r="G31" s="785"/>
      <c r="H31" s="1021"/>
      <c r="I31" s="1021"/>
      <c r="J31" s="1021"/>
      <c r="K31" s="1085"/>
      <c r="L31" s="1091"/>
      <c r="M31" s="1091"/>
      <c r="N31" s="1091"/>
      <c r="O31" s="1091"/>
      <c r="P31" s="1091"/>
      <c r="Q31" s="1091"/>
      <c r="R31" s="1091"/>
      <c r="S31" s="1091"/>
      <c r="T31" s="1091"/>
      <c r="U31" s="1091"/>
      <c r="V31" s="1091"/>
      <c r="W31" s="1091"/>
      <c r="X31" s="1091"/>
      <c r="Y31" s="1091"/>
      <c r="Z31" s="1091"/>
    </row>
    <row r="32" s="976" customFormat="1" ht="13.5" customHeight="1" spans="1:26">
      <c r="A32" s="998" t="s">
        <v>883</v>
      </c>
      <c r="B32" s="1046"/>
      <c r="C32" s="125">
        <f ca="1">ROUND(C25+D26,4)</f>
        <v>0.1307</v>
      </c>
      <c r="D32" s="1048"/>
      <c r="E32" s="1036"/>
      <c r="F32" s="1049"/>
      <c r="G32" s="785"/>
      <c r="H32" s="1021"/>
      <c r="I32" s="1021"/>
      <c r="J32" s="1021"/>
      <c r="K32" s="1085"/>
      <c r="L32" s="1091"/>
      <c r="M32" s="1091"/>
      <c r="N32" s="1091"/>
      <c r="O32" s="1091"/>
      <c r="P32" s="1091"/>
      <c r="Q32" s="1091"/>
      <c r="R32" s="1091"/>
      <c r="S32" s="1091"/>
      <c r="T32" s="1091"/>
      <c r="U32" s="1091"/>
      <c r="V32" s="1091"/>
      <c r="W32" s="1091"/>
      <c r="X32" s="1091"/>
      <c r="Y32" s="1091"/>
      <c r="Z32" s="1091"/>
    </row>
    <row r="33" s="978" customFormat="1" ht="13.5" customHeight="1" spans="1:26">
      <c r="A33" s="1056" t="s">
        <v>2118</v>
      </c>
      <c r="B33" s="1057" t="s">
        <v>1087</v>
      </c>
      <c r="C33" s="1058">
        <f ca="1">C35</f>
        <v>2036.19</v>
      </c>
      <c r="D33" s="1044">
        <f ca="1">C34</f>
        <v>0.1546</v>
      </c>
      <c r="E33" s="1040" t="s">
        <v>2106</v>
      </c>
      <c r="F33" s="1059">
        <f ca="1">IF(B1="",'数据-取费表'!Q16,INDIRECT("'数据-取费表'!q"&amp;$K$1))</f>
        <v>0.15</v>
      </c>
      <c r="G33" s="1027"/>
      <c r="H33" s="1028"/>
      <c r="I33" s="1028"/>
      <c r="J33" s="1028"/>
      <c r="K33" s="1086"/>
      <c r="L33" s="1093"/>
      <c r="M33" s="1093"/>
      <c r="N33" s="1093"/>
      <c r="O33" s="1093"/>
      <c r="P33" s="1093"/>
      <c r="Q33" s="1093"/>
      <c r="R33" s="1093"/>
      <c r="S33" s="1093"/>
      <c r="T33" s="1093"/>
      <c r="U33" s="1093"/>
      <c r="V33" s="1093"/>
      <c r="W33" s="1093"/>
      <c r="X33" s="1093"/>
      <c r="Y33" s="1093"/>
      <c r="Z33" s="1093"/>
    </row>
    <row r="34" s="979" customFormat="1" ht="13.5" customHeight="1" spans="1:26">
      <c r="A34" s="1060" t="s">
        <v>879</v>
      </c>
      <c r="B34" s="1061" t="s">
        <v>2119</v>
      </c>
      <c r="C34" s="1048">
        <f ca="1">ROUND((1+C25)*F33,4)</f>
        <v>0.1546</v>
      </c>
      <c r="D34" s="1048"/>
      <c r="E34" s="1036"/>
      <c r="F34" s="1062"/>
      <c r="G34" s="785" t="s">
        <v>2120</v>
      </c>
      <c r="H34" s="1021"/>
      <c r="I34" s="1021"/>
      <c r="J34" s="1021"/>
      <c r="K34" s="1085"/>
      <c r="L34" s="1094"/>
      <c r="M34" s="1094"/>
      <c r="N34" s="1094"/>
      <c r="O34" s="1094"/>
      <c r="P34" s="1094"/>
      <c r="Q34" s="1094"/>
      <c r="R34" s="1094"/>
      <c r="S34" s="1094"/>
      <c r="T34" s="1094"/>
      <c r="U34" s="1094"/>
      <c r="V34" s="1094"/>
      <c r="W34" s="1094"/>
      <c r="X34" s="1094"/>
      <c r="Y34" s="1094"/>
      <c r="Z34" s="1094"/>
    </row>
    <row r="35" s="979" customFormat="1" ht="13.5" customHeight="1" spans="1:26">
      <c r="A35" s="1063" t="s">
        <v>883</v>
      </c>
      <c r="B35" s="1064" t="s">
        <v>2121</v>
      </c>
      <c r="C35" s="1148">
        <f ca="1">ROUND((C18+C19+C20+C23+C24)*F33,2)</f>
        <v>2036.19</v>
      </c>
      <c r="D35" s="1066"/>
      <c r="E35" s="1067"/>
      <c r="F35" s="1068"/>
      <c r="G35" s="1003"/>
      <c r="H35" s="1069"/>
      <c r="I35" s="1069"/>
      <c r="J35" s="1069"/>
      <c r="K35" s="1095"/>
      <c r="L35" s="1094"/>
      <c r="M35" s="1094"/>
      <c r="N35" s="1094"/>
      <c r="O35" s="1094"/>
      <c r="P35" s="1094"/>
      <c r="Q35" s="1094"/>
      <c r="R35" s="1094"/>
      <c r="S35" s="1094"/>
      <c r="T35" s="1094"/>
      <c r="U35" s="1094"/>
      <c r="V35" s="1094"/>
      <c r="W35" s="1094"/>
      <c r="X35" s="1094"/>
      <c r="Y35" s="1094"/>
      <c r="Z35" s="1094"/>
    </row>
    <row r="36" s="837" customFormat="1" ht="13.5" customHeight="1" spans="1:26">
      <c r="A36" s="350" t="s">
        <v>2122</v>
      </c>
      <c r="B36" s="1070"/>
      <c r="C36" s="1149">
        <f ca="1">ROUND((C6-C30-C33)/(1+D30+D33),2)</f>
        <v>4265.95</v>
      </c>
      <c r="D36" s="1070"/>
      <c r="E36" s="1070"/>
      <c r="F36" s="1070"/>
      <c r="G36" s="1072" t="s">
        <v>2123</v>
      </c>
      <c r="H36" s="1070"/>
      <c r="I36" s="1070"/>
      <c r="J36" s="1070"/>
      <c r="K36" s="1096"/>
      <c r="L36" s="1084"/>
      <c r="M36" s="1084"/>
      <c r="N36" s="1084"/>
      <c r="O36" s="1084"/>
      <c r="P36" s="1084"/>
      <c r="Q36" s="1084"/>
      <c r="R36" s="1084"/>
      <c r="S36" s="1084"/>
      <c r="T36" s="1084"/>
      <c r="U36" s="1084"/>
      <c r="V36" s="1084"/>
      <c r="W36" s="1084"/>
      <c r="X36" s="1084"/>
      <c r="Y36" s="1084"/>
      <c r="Z36" s="1084"/>
    </row>
    <row r="37" s="971" customFormat="1" spans="1:5">
      <c r="A37" s="1073"/>
      <c r="C37" s="1074"/>
      <c r="E37" s="1073"/>
    </row>
    <row r="38" s="971" customFormat="1" customHeight="1" spans="1:5">
      <c r="A38" s="1073"/>
      <c r="C38" s="1074"/>
      <c r="E38" s="1073"/>
    </row>
    <row r="39" s="971" customFormat="1" spans="1:5">
      <c r="A39" s="1073"/>
      <c r="B39" s="1075"/>
      <c r="C39" s="1076" t="s">
        <v>2342</v>
      </c>
      <c r="D39" s="971">
        <f ca="1">ROUND(C36*10000/D16,0)</f>
        <v>2118</v>
      </c>
      <c r="E39" s="1073"/>
    </row>
    <row r="40" s="971" customFormat="1" spans="1:5">
      <c r="A40" s="1073"/>
      <c r="C40" s="1076" t="s">
        <v>2343</v>
      </c>
      <c r="D40" s="971">
        <f ca="1">ROUND(C36*10000/地块信息表!D25,0)</f>
        <v>4209</v>
      </c>
      <c r="E40" s="1073"/>
    </row>
    <row r="41" s="971" customFormat="1" spans="1:5">
      <c r="A41" s="1073"/>
      <c r="C41" s="1076" t="s">
        <v>2344</v>
      </c>
      <c r="D41" s="971">
        <f ca="1">D40/15</f>
        <v>280.6</v>
      </c>
      <c r="E41" s="1073"/>
    </row>
    <row r="42" s="971" customFormat="1" spans="1:5">
      <c r="A42" s="1073"/>
      <c r="C42" s="1074"/>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row r="213" s="971" customFormat="1" spans="1:5">
      <c r="A213" s="1073"/>
      <c r="C213" s="1074"/>
      <c r="E213" s="1073"/>
    </row>
    <row r="214" s="971" customFormat="1" spans="1:5">
      <c r="A214" s="1073"/>
      <c r="C214" s="1074"/>
      <c r="E214" s="1073"/>
    </row>
    <row r="215" s="971" customFormat="1" spans="1:5">
      <c r="A215" s="1073"/>
      <c r="C215" s="1074"/>
      <c r="E215" s="1073"/>
    </row>
    <row r="216" s="971" customFormat="1" spans="1:5">
      <c r="A216" s="1073"/>
      <c r="C216" s="1074"/>
      <c r="E216" s="1073"/>
    </row>
    <row r="217" s="971" customFormat="1" spans="1:5">
      <c r="A217" s="1073"/>
      <c r="C217" s="1074"/>
      <c r="E217" s="1073"/>
    </row>
    <row r="218" s="971" customFormat="1" spans="1:5">
      <c r="A218" s="1073"/>
      <c r="C218" s="1074"/>
      <c r="E218" s="1073"/>
    </row>
    <row r="219" s="971" customFormat="1" spans="1:5">
      <c r="A219" s="1073"/>
      <c r="C219" s="1074"/>
      <c r="E219" s="1073"/>
    </row>
    <row r="220" s="971" customFormat="1" spans="1:5">
      <c r="A220" s="1073"/>
      <c r="C220" s="1074"/>
      <c r="E220" s="1073"/>
    </row>
    <row r="221" s="971" customFormat="1" spans="1:5">
      <c r="A221" s="1073"/>
      <c r="C221" s="1074"/>
      <c r="E221" s="1073"/>
    </row>
    <row r="222" s="971" customFormat="1" spans="1:5">
      <c r="A222" s="1073"/>
      <c r="C222" s="1074"/>
      <c r="E222" s="1073"/>
    </row>
    <row r="223" s="971" customFormat="1" spans="1:5">
      <c r="A223" s="1073"/>
      <c r="C223" s="1074"/>
      <c r="E223" s="1073"/>
    </row>
    <row r="224" s="971" customFormat="1" spans="1:5">
      <c r="A224" s="1073"/>
      <c r="C224" s="1074"/>
      <c r="E224" s="1073"/>
    </row>
    <row r="225" s="971" customFormat="1" spans="1:5">
      <c r="A225" s="1073"/>
      <c r="C225" s="1074"/>
      <c r="E225" s="1073"/>
    </row>
    <row r="226" s="971" customFormat="1" spans="1:5">
      <c r="A226" s="1073"/>
      <c r="C226" s="1074"/>
      <c r="E226" s="1073"/>
    </row>
    <row r="227" s="971" customFormat="1" spans="1:5">
      <c r="A227" s="1073"/>
      <c r="C227" s="1074"/>
      <c r="E227" s="1073"/>
    </row>
    <row r="228" s="971" customFormat="1" spans="1:5">
      <c r="A228" s="1073"/>
      <c r="C228" s="1074"/>
      <c r="E228" s="1073"/>
    </row>
    <row r="229" s="971" customFormat="1" spans="1:5">
      <c r="A229" s="1073"/>
      <c r="C229" s="1074"/>
      <c r="E229" s="1073"/>
    </row>
    <row r="230" s="971" customFormat="1" spans="1:5">
      <c r="A230" s="1073"/>
      <c r="C230" s="1074"/>
      <c r="E230" s="1073"/>
    </row>
    <row r="231" s="971" customFormat="1" spans="1:5">
      <c r="A231" s="1073"/>
      <c r="C231" s="1074"/>
      <c r="E231" s="1073"/>
    </row>
    <row r="232" s="971" customFormat="1" spans="1:5">
      <c r="A232" s="1073"/>
      <c r="C232" s="1074"/>
      <c r="E232" s="1073"/>
    </row>
    <row r="233" s="971" customFormat="1" spans="1:5">
      <c r="A233" s="1073"/>
      <c r="C233" s="1074"/>
      <c r="E233" s="1073"/>
    </row>
    <row r="234" s="971" customFormat="1" spans="1:5">
      <c r="A234" s="1073"/>
      <c r="C234" s="1074"/>
      <c r="E234" s="1073"/>
    </row>
    <row r="235" s="971" customFormat="1" spans="1:5">
      <c r="A235" s="1073"/>
      <c r="C235" s="1074"/>
      <c r="E235" s="1073"/>
    </row>
    <row r="236" s="971" customFormat="1" spans="1:5">
      <c r="A236" s="1073"/>
      <c r="C236" s="1074"/>
      <c r="E236" s="1073"/>
    </row>
    <row r="237" s="971" customFormat="1" spans="1:5">
      <c r="A237" s="1073"/>
      <c r="C237" s="1074"/>
      <c r="E237" s="1073"/>
    </row>
    <row r="238" s="971" customFormat="1" spans="1:5">
      <c r="A238" s="1073"/>
      <c r="C238" s="1074"/>
      <c r="E238" s="1073"/>
    </row>
    <row r="239" s="971" customFormat="1" spans="1:5">
      <c r="A239" s="1073"/>
      <c r="C239" s="1074"/>
      <c r="E239" s="1073"/>
    </row>
    <row r="240" s="971" customFormat="1" spans="1:5">
      <c r="A240" s="1073"/>
      <c r="C240" s="1074"/>
      <c r="E240" s="1073"/>
    </row>
    <row r="241" s="971" customFormat="1" spans="1:5">
      <c r="A241" s="1073"/>
      <c r="C241" s="1074"/>
      <c r="E241" s="1073"/>
    </row>
    <row r="242" s="971" customFormat="1" spans="1:5">
      <c r="A242" s="1073"/>
      <c r="C242" s="1074"/>
      <c r="E242" s="1073"/>
    </row>
    <row r="243" s="971" customFormat="1" spans="1:5">
      <c r="A243" s="1073"/>
      <c r="C243" s="1074"/>
      <c r="E243" s="1073"/>
    </row>
    <row r="244" s="971" customFormat="1" spans="1:5">
      <c r="A244" s="1073"/>
      <c r="C244" s="1074"/>
      <c r="E244" s="1073"/>
    </row>
    <row r="245" s="971" customFormat="1" spans="1:5">
      <c r="A245" s="1073"/>
      <c r="C245" s="1074"/>
      <c r="E245" s="1073"/>
    </row>
    <row r="246" s="971" customFormat="1" spans="1:5">
      <c r="A246" s="1073"/>
      <c r="C246" s="1074"/>
      <c r="E246" s="1073"/>
    </row>
    <row r="247" s="971" customFormat="1" spans="1:5">
      <c r="A247" s="1073"/>
      <c r="C247" s="1074"/>
      <c r="E247" s="1073"/>
    </row>
    <row r="248" s="971" customFormat="1" spans="1:5">
      <c r="A248" s="1073"/>
      <c r="C248" s="1074"/>
      <c r="E248" s="1073"/>
    </row>
    <row r="249" s="971" customFormat="1" spans="1:5">
      <c r="A249" s="1073"/>
      <c r="C249" s="1074"/>
      <c r="E249" s="1073"/>
    </row>
    <row r="250" s="971" customFormat="1" spans="1:5">
      <c r="A250" s="1073"/>
      <c r="C250" s="1074"/>
      <c r="E250" s="1073"/>
    </row>
    <row r="251" s="971" customFormat="1" spans="1:5">
      <c r="A251" s="1073"/>
      <c r="C251" s="1074"/>
      <c r="E251" s="1073"/>
    </row>
    <row r="252" s="971" customFormat="1" spans="1:5">
      <c r="A252" s="1073"/>
      <c r="C252" s="1074"/>
      <c r="E252" s="1073"/>
    </row>
    <row r="253" s="971" customFormat="1" spans="1:5">
      <c r="A253" s="1073"/>
      <c r="C253" s="1074"/>
      <c r="E253" s="1073"/>
    </row>
    <row r="254" s="971" customFormat="1" spans="1:5">
      <c r="A254" s="1073"/>
      <c r="C254" s="1074"/>
      <c r="E254" s="1073"/>
    </row>
    <row r="255" s="971" customFormat="1" spans="1:5">
      <c r="A255" s="1073"/>
      <c r="C255" s="1074"/>
      <c r="E255" s="1073"/>
    </row>
    <row r="256" s="971" customFormat="1" spans="1:5">
      <c r="A256" s="1073"/>
      <c r="C256" s="1074"/>
      <c r="E256" s="1073"/>
    </row>
    <row r="257" s="971" customFormat="1" spans="1:5">
      <c r="A257" s="1073"/>
      <c r="C257" s="1074"/>
      <c r="E257" s="1073"/>
    </row>
    <row r="258" s="971" customFormat="1" spans="1:5">
      <c r="A258" s="1073"/>
      <c r="C258" s="1074"/>
      <c r="E258" s="1073"/>
    </row>
    <row r="259" s="971" customFormat="1" spans="1:5">
      <c r="A259" s="1073"/>
      <c r="C259" s="1074"/>
      <c r="E259" s="1073"/>
    </row>
    <row r="260" s="971" customFormat="1" spans="1:5">
      <c r="A260" s="1073"/>
      <c r="C260" s="1074"/>
      <c r="E260" s="1073"/>
    </row>
    <row r="261" s="971" customFormat="1" spans="1:5">
      <c r="A261" s="1073"/>
      <c r="C261" s="1074"/>
      <c r="E261" s="1073"/>
    </row>
    <row r="262" s="971" customFormat="1" spans="1:5">
      <c r="A262" s="1073"/>
      <c r="C262" s="1074"/>
      <c r="E262" s="1073"/>
    </row>
    <row r="263" s="971" customFormat="1" spans="1:5">
      <c r="A263" s="1073"/>
      <c r="C263" s="1074"/>
      <c r="E263" s="1073"/>
    </row>
    <row r="264" s="971" customFormat="1" spans="1:5">
      <c r="A264" s="1073"/>
      <c r="C264" s="1074"/>
      <c r="E264" s="1073"/>
    </row>
    <row r="265" s="971" customFormat="1" spans="1:5">
      <c r="A265" s="1073"/>
      <c r="C265" s="1074"/>
      <c r="E265" s="1073"/>
    </row>
    <row r="266" s="971" customFormat="1" spans="1:5">
      <c r="A266" s="1073"/>
      <c r="C266" s="1074"/>
      <c r="E266" s="1073"/>
    </row>
    <row r="267" s="971" customFormat="1" spans="1:5">
      <c r="A267" s="1073"/>
      <c r="C267" s="1074"/>
      <c r="E267" s="1073"/>
    </row>
    <row r="268" s="971" customFormat="1" spans="1:5">
      <c r="A268" s="1073"/>
      <c r="C268" s="1074"/>
      <c r="E268" s="1073"/>
    </row>
    <row r="269" s="971" customFormat="1" spans="1:5">
      <c r="A269" s="1073"/>
      <c r="C269" s="1074"/>
      <c r="E269" s="1073"/>
    </row>
    <row r="270" s="971" customFormat="1" spans="1:5">
      <c r="A270" s="1073"/>
      <c r="C270" s="1074"/>
      <c r="E270" s="1073"/>
    </row>
    <row r="271" s="971" customFormat="1" spans="1:5">
      <c r="A271" s="1073"/>
      <c r="C271" s="1074"/>
      <c r="E271" s="1073"/>
    </row>
    <row r="272" s="971" customFormat="1" spans="1:5">
      <c r="A272" s="1073"/>
      <c r="C272" s="1074"/>
      <c r="E272" s="1073"/>
    </row>
    <row r="273" s="971" customFormat="1" spans="1:5">
      <c r="A273" s="1073"/>
      <c r="C273" s="1074"/>
      <c r="E273" s="1073"/>
    </row>
    <row r="274" s="971" customFormat="1" spans="1:5">
      <c r="A274" s="1073"/>
      <c r="C274" s="1074"/>
      <c r="E274" s="1073"/>
    </row>
    <row r="275" s="971" customFormat="1" spans="1:5">
      <c r="A275" s="1073"/>
      <c r="C275" s="1074"/>
      <c r="E275" s="1073"/>
    </row>
    <row r="276" s="971" customFormat="1" spans="1:5">
      <c r="A276" s="1073"/>
      <c r="C276" s="1074"/>
      <c r="E276" s="1073"/>
    </row>
    <row r="277" s="971" customFormat="1" spans="1:5">
      <c r="A277" s="1073"/>
      <c r="C277" s="1074"/>
      <c r="E277" s="1073"/>
    </row>
    <row r="278" s="971" customFormat="1" spans="1:5">
      <c r="A278" s="1073"/>
      <c r="C278" s="1074"/>
      <c r="E278" s="1073"/>
    </row>
    <row r="279" s="971" customFormat="1" spans="1:5">
      <c r="A279" s="1073"/>
      <c r="C279" s="1074"/>
      <c r="E279" s="1073"/>
    </row>
    <row r="280" s="971" customFormat="1" spans="1:5">
      <c r="A280" s="1073"/>
      <c r="C280" s="1074"/>
      <c r="E280" s="1073"/>
    </row>
    <row r="281" s="971" customFormat="1" spans="1:5">
      <c r="A281" s="1073"/>
      <c r="C281" s="1074"/>
      <c r="E281" s="1073"/>
    </row>
    <row r="282" s="971" customFormat="1" spans="1:5">
      <c r="A282" s="1073"/>
      <c r="C282" s="1074"/>
      <c r="E282" s="1073"/>
    </row>
    <row r="283" s="971" customFormat="1" spans="1:5">
      <c r="A283" s="1073"/>
      <c r="C283" s="1074"/>
      <c r="E283" s="1073"/>
    </row>
    <row r="284" s="971" customFormat="1" spans="1:5">
      <c r="A284" s="1073"/>
      <c r="C284" s="1074"/>
      <c r="E284" s="1073"/>
    </row>
    <row r="285" s="971" customFormat="1" spans="1:5">
      <c r="A285" s="1073"/>
      <c r="C285" s="1074"/>
      <c r="E285" s="1073"/>
    </row>
    <row r="286" s="971" customFormat="1" spans="1:5">
      <c r="A286" s="1073"/>
      <c r="C286" s="1074"/>
      <c r="E286" s="1073"/>
    </row>
    <row r="287" s="971" customFormat="1" spans="1:5">
      <c r="A287" s="1073"/>
      <c r="C287" s="1074"/>
      <c r="E287" s="1073"/>
    </row>
    <row r="288" s="971" customFormat="1" spans="1:5">
      <c r="A288" s="1073"/>
      <c r="C288" s="1074"/>
      <c r="E288" s="1073"/>
    </row>
    <row r="289" s="971" customFormat="1" spans="1:5">
      <c r="A289" s="1073"/>
      <c r="C289" s="1074"/>
      <c r="E289" s="1073"/>
    </row>
    <row r="290" s="971" customFormat="1" spans="1:5">
      <c r="A290" s="1073"/>
      <c r="C290" s="1074"/>
      <c r="E290" s="1073"/>
    </row>
    <row r="291" s="971" customFormat="1" spans="1:5">
      <c r="A291" s="1073"/>
      <c r="C291" s="1074"/>
      <c r="E291" s="1073"/>
    </row>
    <row r="292" s="971" customFormat="1" spans="1:5">
      <c r="A292" s="1073"/>
      <c r="C292" s="1074"/>
      <c r="E292" s="1073"/>
    </row>
    <row r="293" s="971" customFormat="1" spans="1:5">
      <c r="A293" s="1073"/>
      <c r="C293" s="1074"/>
      <c r="E293" s="1073"/>
    </row>
    <row r="294" s="971" customFormat="1" spans="1:5">
      <c r="A294" s="1073"/>
      <c r="C294" s="1074"/>
      <c r="E294" s="1073"/>
    </row>
    <row r="295" s="971" customFormat="1" spans="1:5">
      <c r="A295" s="1073"/>
      <c r="C295" s="1074"/>
      <c r="E295" s="1073"/>
    </row>
    <row r="296" s="971" customFormat="1" spans="1:5">
      <c r="A296" s="1073"/>
      <c r="C296" s="1074"/>
      <c r="E296" s="1073"/>
    </row>
    <row r="297" s="971" customFormat="1" spans="1:5">
      <c r="A297" s="1073"/>
      <c r="C297" s="1074"/>
      <c r="E297" s="1073"/>
    </row>
    <row r="298" s="971" customFormat="1" spans="1:5">
      <c r="A298" s="1073"/>
      <c r="C298" s="1074"/>
      <c r="E298" s="1073"/>
    </row>
    <row r="299" s="971" customFormat="1" spans="1:5">
      <c r="A299" s="1073"/>
      <c r="C299" s="1074"/>
      <c r="E299" s="1073"/>
    </row>
    <row r="300" s="971" customFormat="1" spans="1:5">
      <c r="A300" s="1073"/>
      <c r="C300" s="1074"/>
      <c r="E300" s="1073"/>
    </row>
    <row r="301" s="971" customFormat="1" spans="1:5">
      <c r="A301" s="1073"/>
      <c r="C301" s="1074"/>
      <c r="E301" s="1073"/>
    </row>
    <row r="302" s="971" customFormat="1" spans="1:5">
      <c r="A302" s="1073"/>
      <c r="C302" s="1074"/>
      <c r="E302" s="1073"/>
    </row>
    <row r="303" s="971" customFormat="1" spans="1:5">
      <c r="A303" s="1073"/>
      <c r="C303" s="1074"/>
      <c r="E303" s="1073"/>
    </row>
    <row r="304" s="971" customFormat="1" spans="1:5">
      <c r="A304" s="1073"/>
      <c r="C304" s="1074"/>
      <c r="E304" s="1073"/>
    </row>
    <row r="305" s="971" customFormat="1" spans="1:5">
      <c r="A305" s="1073"/>
      <c r="C305" s="1074"/>
      <c r="E305" s="1073"/>
    </row>
    <row r="306" s="971" customFormat="1" spans="1:5">
      <c r="A306" s="1073"/>
      <c r="C306" s="1074"/>
      <c r="E306" s="1073"/>
    </row>
    <row r="307" s="971" customFormat="1" spans="1:5">
      <c r="A307" s="1073"/>
      <c r="C307" s="1074"/>
      <c r="E307" s="1073"/>
    </row>
    <row r="308" s="971" customFormat="1" spans="1:5">
      <c r="A308" s="1073"/>
      <c r="C308" s="1074"/>
      <c r="E308" s="1073"/>
    </row>
    <row r="309" s="971" customFormat="1" spans="1:5">
      <c r="A309" s="1073"/>
      <c r="C309" s="1074"/>
      <c r="E309" s="1073"/>
    </row>
    <row r="310" s="971" customFormat="1" spans="1:5">
      <c r="A310" s="1073"/>
      <c r="C310" s="1074"/>
      <c r="E310" s="1073"/>
    </row>
    <row r="311" s="971" customFormat="1" spans="1:5">
      <c r="A311" s="1073"/>
      <c r="C311" s="1074"/>
      <c r="E311" s="1073"/>
    </row>
    <row r="312" s="971" customFormat="1" spans="1:5">
      <c r="A312" s="1073"/>
      <c r="C312" s="1074"/>
      <c r="E312" s="1073"/>
    </row>
    <row r="313" s="971" customFormat="1" spans="1:5">
      <c r="A313" s="1073"/>
      <c r="C313" s="1074"/>
      <c r="E313" s="1073"/>
    </row>
    <row r="314" s="971" customFormat="1" spans="1:5">
      <c r="A314" s="1073"/>
      <c r="C314" s="1074"/>
      <c r="E314" s="1073"/>
    </row>
    <row r="315" s="971" customFormat="1" spans="1:5">
      <c r="A315" s="1073"/>
      <c r="C315" s="1074"/>
      <c r="E315" s="1073"/>
    </row>
    <row r="316" s="971" customFormat="1" spans="1:5">
      <c r="A316" s="1073"/>
      <c r="C316" s="1074"/>
      <c r="E316" s="1073"/>
    </row>
    <row r="317" s="971" customFormat="1" spans="1:5">
      <c r="A317" s="1073"/>
      <c r="C317" s="1074"/>
      <c r="E317" s="1073"/>
    </row>
    <row r="318" s="971" customFormat="1" spans="1:5">
      <c r="A318" s="1073"/>
      <c r="C318" s="1074"/>
      <c r="E318" s="1073"/>
    </row>
    <row r="319" s="971" customFormat="1" spans="1:5">
      <c r="A319" s="1073"/>
      <c r="C319" s="1074"/>
      <c r="E319" s="1073"/>
    </row>
    <row r="320" s="971" customFormat="1" spans="1:5">
      <c r="A320" s="1073"/>
      <c r="C320" s="1074"/>
      <c r="E320" s="1073"/>
    </row>
    <row r="321" s="971" customFormat="1" spans="1:5">
      <c r="A321" s="1073"/>
      <c r="C321" s="1074"/>
      <c r="E321" s="1073"/>
    </row>
    <row r="322" s="971" customFormat="1" spans="1:5">
      <c r="A322" s="1073"/>
      <c r="C322" s="1074"/>
      <c r="E322" s="1073"/>
    </row>
    <row r="323" s="971" customFormat="1" spans="1:5">
      <c r="A323" s="1073"/>
      <c r="C323" s="1074"/>
      <c r="E323" s="1073"/>
    </row>
    <row r="324" s="971" customFormat="1" spans="1:5">
      <c r="A324" s="1073"/>
      <c r="C324" s="1074"/>
      <c r="E324" s="1073"/>
    </row>
    <row r="325" s="971" customFormat="1" spans="1:5">
      <c r="A325" s="1073"/>
      <c r="C325" s="1074"/>
      <c r="E325" s="1073"/>
    </row>
    <row r="326" s="971" customFormat="1" spans="1:5">
      <c r="A326" s="1073"/>
      <c r="C326" s="1074"/>
      <c r="E326" s="1073"/>
    </row>
    <row r="327" s="971" customFormat="1" spans="1:5">
      <c r="A327" s="1073"/>
      <c r="C327" s="1074"/>
      <c r="E327" s="1073"/>
    </row>
    <row r="328" s="971" customFormat="1" spans="1:5">
      <c r="A328" s="1073"/>
      <c r="C328" s="1074"/>
      <c r="E328" s="1073"/>
    </row>
    <row r="329" s="971" customFormat="1" spans="1:5">
      <c r="A329" s="1073"/>
      <c r="C329" s="1074"/>
      <c r="E329" s="1073"/>
    </row>
    <row r="330" s="971" customFormat="1" spans="1:5">
      <c r="A330" s="1073"/>
      <c r="C330" s="1074"/>
      <c r="E330" s="1073"/>
    </row>
    <row r="331" s="971" customFormat="1" spans="1:5">
      <c r="A331" s="1073"/>
      <c r="C331" s="1074"/>
      <c r="E331" s="1073"/>
    </row>
    <row r="332" s="971" customFormat="1" spans="1:5">
      <c r="A332" s="1073"/>
      <c r="C332" s="1074"/>
      <c r="E332" s="1073"/>
    </row>
    <row r="333" s="971" customFormat="1" spans="1:5">
      <c r="A333" s="1073"/>
      <c r="C333" s="1074"/>
      <c r="E333" s="1073"/>
    </row>
    <row r="334" s="971" customFormat="1" spans="1:5">
      <c r="A334" s="1073"/>
      <c r="C334" s="1074"/>
      <c r="E334" s="1073"/>
    </row>
    <row r="335" s="971" customFormat="1" spans="1:5">
      <c r="A335" s="1073"/>
      <c r="C335" s="1074"/>
      <c r="E335" s="1073"/>
    </row>
    <row r="336" s="971" customFormat="1" spans="1:5">
      <c r="A336" s="1073"/>
      <c r="C336" s="1074"/>
      <c r="E336" s="1073"/>
    </row>
    <row r="337" s="971" customFormat="1" spans="1:5">
      <c r="A337" s="1073"/>
      <c r="C337" s="1074"/>
      <c r="E337" s="1073"/>
    </row>
    <row r="338" s="971" customFormat="1" spans="1:5">
      <c r="A338" s="1073"/>
      <c r="C338" s="1074"/>
      <c r="E338" s="1073"/>
    </row>
    <row r="339" s="971" customFormat="1" spans="1:5">
      <c r="A339" s="1073"/>
      <c r="C339" s="1074"/>
      <c r="E339" s="1073"/>
    </row>
    <row r="340" s="971" customFormat="1" spans="1:5">
      <c r="A340" s="1073"/>
      <c r="C340" s="1074"/>
      <c r="E340" s="1073"/>
    </row>
    <row r="341" s="971" customFormat="1" spans="1:5">
      <c r="A341" s="1073"/>
      <c r="C341" s="1074"/>
      <c r="E341" s="1073"/>
    </row>
    <row r="342" s="971" customFormat="1" spans="1:5">
      <c r="A342" s="1073"/>
      <c r="C342" s="1074"/>
      <c r="E342" s="1073"/>
    </row>
    <row r="343" s="971" customFormat="1" spans="1:5">
      <c r="A343" s="1073"/>
      <c r="C343" s="1074"/>
      <c r="E343" s="1073"/>
    </row>
    <row r="344" s="971" customFormat="1" spans="1:5">
      <c r="A344" s="1073"/>
      <c r="C344" s="1074"/>
      <c r="E344" s="1073"/>
    </row>
    <row r="345" s="971" customFormat="1" spans="1:5">
      <c r="A345" s="1073"/>
      <c r="C345" s="1074"/>
      <c r="E345" s="1073"/>
    </row>
    <row r="346" s="971" customFormat="1" spans="1:5">
      <c r="A346" s="1073"/>
      <c r="C346" s="1074"/>
      <c r="E346" s="1073"/>
    </row>
    <row r="347" s="971" customFormat="1" spans="1:5">
      <c r="A347" s="1073"/>
      <c r="C347" s="1074"/>
      <c r="E347" s="1073"/>
    </row>
    <row r="348" s="971" customFormat="1" spans="1:5">
      <c r="A348" s="1073"/>
      <c r="C348" s="1074"/>
      <c r="E348" s="1073"/>
    </row>
    <row r="349" s="971" customFormat="1" spans="1:5">
      <c r="A349" s="1073"/>
      <c r="C349" s="1074"/>
      <c r="E349" s="1073"/>
    </row>
    <row r="350" s="971" customFormat="1" spans="1:5">
      <c r="A350" s="1073"/>
      <c r="C350" s="1074"/>
      <c r="E350" s="1073"/>
    </row>
    <row r="351" s="971" customFormat="1" spans="1:5">
      <c r="A351" s="1073"/>
      <c r="C351" s="1074"/>
      <c r="E351" s="1073"/>
    </row>
    <row r="352" s="971" customFormat="1" spans="1:5">
      <c r="A352" s="1073"/>
      <c r="C352" s="1074"/>
      <c r="E352" s="1073"/>
    </row>
    <row r="353" s="971" customFormat="1" spans="1:5">
      <c r="A353" s="1073"/>
      <c r="C353" s="1074"/>
      <c r="E353" s="1073"/>
    </row>
    <row r="354" s="971" customFormat="1" spans="1:5">
      <c r="A354" s="1073"/>
      <c r="C354" s="1074"/>
      <c r="E354" s="1073"/>
    </row>
    <row r="355" s="971" customFormat="1" spans="1:5">
      <c r="A355" s="1073"/>
      <c r="C355" s="1074"/>
      <c r="E355" s="1073"/>
    </row>
    <row r="356" s="971" customFormat="1" spans="1:5">
      <c r="A356" s="1073"/>
      <c r="C356" s="1074"/>
      <c r="E356" s="1073"/>
    </row>
    <row r="357" s="971" customFormat="1" spans="1:5">
      <c r="A357" s="1073"/>
      <c r="C357" s="1074"/>
      <c r="E357" s="1073"/>
    </row>
    <row r="358" s="971" customFormat="1" spans="1:5">
      <c r="A358" s="1073"/>
      <c r="C358" s="1074"/>
      <c r="E358" s="1073"/>
    </row>
    <row r="359" s="971" customFormat="1" spans="1:5">
      <c r="A359" s="1073"/>
      <c r="C359" s="1074"/>
      <c r="E359" s="1073"/>
    </row>
    <row r="360" s="971" customFormat="1" spans="1:5">
      <c r="A360" s="1073"/>
      <c r="C360" s="1074"/>
      <c r="E360" s="1073"/>
    </row>
    <row r="361" s="971" customFormat="1" spans="1:5">
      <c r="A361" s="1073"/>
      <c r="C361" s="1074"/>
      <c r="E361" s="1073"/>
    </row>
    <row r="362" s="971" customFormat="1" spans="1:5">
      <c r="A362" s="1073"/>
      <c r="C362" s="1074"/>
      <c r="E362" s="1073"/>
    </row>
    <row r="363" s="971" customFormat="1" spans="1:5">
      <c r="A363" s="1073"/>
      <c r="C363" s="1074"/>
      <c r="E363" s="1073"/>
    </row>
    <row r="364" s="971" customFormat="1" spans="1:5">
      <c r="A364" s="1073"/>
      <c r="C364" s="1074"/>
      <c r="E364" s="1073"/>
    </row>
    <row r="365" s="971" customFormat="1" spans="1:5">
      <c r="A365" s="1073"/>
      <c r="C365" s="1074"/>
      <c r="E365" s="1073"/>
    </row>
    <row r="366" s="971" customFormat="1" spans="1:5">
      <c r="A366" s="1073"/>
      <c r="C366" s="1074"/>
      <c r="E366" s="1073"/>
    </row>
    <row r="367" s="971" customFormat="1" spans="1:5">
      <c r="A367" s="1073"/>
      <c r="C367" s="1074"/>
      <c r="E367" s="1073"/>
    </row>
    <row r="368" s="971" customFormat="1" spans="1:5">
      <c r="A368" s="1073"/>
      <c r="C368" s="1074"/>
      <c r="E368" s="1073"/>
    </row>
    <row r="369" s="971" customFormat="1" spans="1:5">
      <c r="A369" s="1073"/>
      <c r="C369" s="1074"/>
      <c r="E369" s="1073"/>
    </row>
    <row r="370" s="971" customFormat="1" spans="1:5">
      <c r="A370" s="1073"/>
      <c r="C370" s="1074"/>
      <c r="E370" s="1073"/>
    </row>
    <row r="371" s="971" customFormat="1" spans="1:5">
      <c r="A371" s="1073"/>
      <c r="C371" s="1074"/>
      <c r="E371" s="1073"/>
    </row>
    <row r="372" s="971" customFormat="1" spans="1:5">
      <c r="A372" s="1073"/>
      <c r="C372" s="1074"/>
      <c r="E372" s="1073"/>
    </row>
    <row r="373" s="971" customFormat="1" spans="1:5">
      <c r="A373" s="1073"/>
      <c r="C373" s="1074"/>
      <c r="E373" s="1073"/>
    </row>
    <row r="374" s="971" customFormat="1" spans="1:5">
      <c r="A374" s="1073"/>
      <c r="C374" s="1074"/>
      <c r="E374" s="1073"/>
    </row>
    <row r="375" s="971" customFormat="1" spans="1:5">
      <c r="A375" s="1073"/>
      <c r="C375" s="1074"/>
      <c r="E375" s="1073"/>
    </row>
    <row r="376" s="971" customFormat="1" spans="1:5">
      <c r="A376" s="1073"/>
      <c r="C376" s="1074"/>
      <c r="E376" s="1073"/>
    </row>
    <row r="377" s="971" customFormat="1" spans="1:5">
      <c r="A377" s="1073"/>
      <c r="C377" s="1074"/>
      <c r="E377" s="1073"/>
    </row>
    <row r="378" s="971" customFormat="1" spans="1:5">
      <c r="A378" s="1073"/>
      <c r="C378" s="1074"/>
      <c r="E378" s="1073"/>
    </row>
    <row r="379" s="971" customFormat="1" spans="1:5">
      <c r="A379" s="1073"/>
      <c r="C379" s="1074"/>
      <c r="E379" s="1073"/>
    </row>
    <row r="380" s="971" customFormat="1" spans="1:5">
      <c r="A380" s="1073"/>
      <c r="C380" s="1074"/>
      <c r="E380" s="1073"/>
    </row>
    <row r="381" s="971" customFormat="1" spans="1:5">
      <c r="A381" s="1073"/>
      <c r="C381" s="1074"/>
      <c r="E381" s="1073"/>
    </row>
    <row r="382" s="971" customFormat="1" spans="1:5">
      <c r="A382" s="1073"/>
      <c r="C382" s="1074"/>
      <c r="E382" s="1073"/>
    </row>
    <row r="383" s="971" customFormat="1" spans="1:5">
      <c r="A383" s="1073"/>
      <c r="C383" s="1074"/>
      <c r="E383" s="1073"/>
    </row>
    <row r="384" s="971" customFormat="1" spans="1:5">
      <c r="A384" s="1073"/>
      <c r="C384" s="1074"/>
      <c r="E384" s="1073"/>
    </row>
    <row r="385" s="971" customFormat="1" spans="1:5">
      <c r="A385" s="1073"/>
      <c r="C385" s="1074"/>
      <c r="E385" s="1073"/>
    </row>
    <row r="386" s="971" customFormat="1" spans="1:5">
      <c r="A386" s="1073"/>
      <c r="C386" s="1074"/>
      <c r="E386" s="1073"/>
    </row>
    <row r="387" s="971" customFormat="1" spans="1:5">
      <c r="A387" s="1073"/>
      <c r="C387" s="1074"/>
      <c r="E387" s="1073"/>
    </row>
    <row r="388" s="971" customFormat="1" spans="1:5">
      <c r="A388" s="1073"/>
      <c r="C388" s="1074"/>
      <c r="E388" s="1073"/>
    </row>
    <row r="389" s="971" customFormat="1" spans="1:5">
      <c r="A389" s="1073"/>
      <c r="C389" s="1074"/>
      <c r="E389" s="1073"/>
    </row>
    <row r="390" s="971" customFormat="1" spans="1:5">
      <c r="A390" s="1073"/>
      <c r="C390" s="1074"/>
      <c r="E390" s="1073"/>
    </row>
    <row r="391" s="971" customFormat="1" spans="1:5">
      <c r="A391" s="1073"/>
      <c r="C391" s="1074"/>
      <c r="E391" s="1073"/>
    </row>
    <row r="392" s="971" customFormat="1" spans="1:5">
      <c r="A392" s="1073"/>
      <c r="C392" s="1074"/>
      <c r="E392" s="1073"/>
    </row>
    <row r="393" s="971" customFormat="1" spans="1:5">
      <c r="A393" s="1073"/>
      <c r="C393" s="1074"/>
      <c r="E393" s="1073"/>
    </row>
    <row r="394" s="971" customFormat="1" spans="1:5">
      <c r="A394" s="1073"/>
      <c r="C394" s="1074"/>
      <c r="E394" s="1073"/>
    </row>
    <row r="395" s="971" customFormat="1" spans="1:5">
      <c r="A395" s="1073"/>
      <c r="C395" s="1074"/>
      <c r="E395" s="1073"/>
    </row>
    <row r="396" s="971" customFormat="1" spans="1:5">
      <c r="A396" s="1073"/>
      <c r="C396" s="1074"/>
      <c r="E396" s="1073"/>
    </row>
    <row r="397" s="971" customFormat="1" spans="1:5">
      <c r="A397" s="1073"/>
      <c r="C397" s="1074"/>
      <c r="E397" s="1073"/>
    </row>
    <row r="398" s="971" customFormat="1" spans="1:5">
      <c r="A398" s="1073"/>
      <c r="C398" s="1074"/>
      <c r="E398" s="1073"/>
    </row>
    <row r="399" s="971" customFormat="1" spans="1:5">
      <c r="A399" s="1073"/>
      <c r="C399" s="1074"/>
      <c r="E399" s="1073"/>
    </row>
    <row r="400" s="971" customFormat="1" spans="1:5">
      <c r="A400" s="1073"/>
      <c r="C400" s="1074"/>
      <c r="E400" s="1073"/>
    </row>
    <row r="401" s="971" customFormat="1" spans="1:5">
      <c r="A401" s="1073"/>
      <c r="C401" s="1074"/>
      <c r="E401" s="1073"/>
    </row>
    <row r="402" s="971" customFormat="1" spans="1:5">
      <c r="A402" s="1073"/>
      <c r="C402" s="1074"/>
      <c r="E402" s="1073"/>
    </row>
    <row r="403" s="971" customFormat="1" spans="1:5">
      <c r="A403" s="1073"/>
      <c r="C403" s="1074"/>
      <c r="E403" s="1073"/>
    </row>
    <row r="404" s="971" customFormat="1" spans="1:5">
      <c r="A404" s="1073"/>
      <c r="C404" s="1074"/>
      <c r="E404" s="1073"/>
    </row>
    <row r="405" s="971" customFormat="1" spans="1:5">
      <c r="A405" s="1073"/>
      <c r="C405" s="1074"/>
      <c r="E405" s="1073"/>
    </row>
    <row r="406" s="971" customFormat="1" spans="1:5">
      <c r="A406" s="1073"/>
      <c r="C406" s="1074"/>
      <c r="E406" s="1073"/>
    </row>
    <row r="407" s="971" customFormat="1" spans="1:5">
      <c r="A407" s="1073"/>
      <c r="C407" s="1074"/>
      <c r="E407" s="1073"/>
    </row>
    <row r="408" s="971" customFormat="1" spans="1:5">
      <c r="A408" s="1073"/>
      <c r="C408" s="1074"/>
      <c r="E408" s="1073"/>
    </row>
    <row r="409" s="971" customFormat="1" spans="1:5">
      <c r="A409" s="1073"/>
      <c r="C409" s="1074"/>
      <c r="E409" s="1073"/>
    </row>
    <row r="410" s="971" customFormat="1" spans="1:5">
      <c r="A410" s="1073"/>
      <c r="C410" s="1074"/>
      <c r="E410" s="1073"/>
    </row>
    <row r="411" s="971" customFormat="1" spans="1:5">
      <c r="A411" s="1073"/>
      <c r="C411" s="1074"/>
      <c r="E411" s="1073"/>
    </row>
    <row r="412" s="971" customFormat="1" spans="1:5">
      <c r="A412" s="1073"/>
      <c r="C412" s="1074"/>
      <c r="E412" s="1073"/>
    </row>
    <row r="413" s="971" customFormat="1" spans="1:5">
      <c r="A413" s="1073"/>
      <c r="C413" s="1074"/>
      <c r="E413" s="1073"/>
    </row>
    <row r="414" s="971" customFormat="1" spans="1:5">
      <c r="A414" s="1073"/>
      <c r="C414" s="1074"/>
      <c r="E414" s="1073"/>
    </row>
    <row r="415" s="971" customFormat="1" spans="1:5">
      <c r="A415" s="1073"/>
      <c r="C415" s="1074"/>
      <c r="E415" s="1073"/>
    </row>
    <row r="416" s="971" customFormat="1" spans="1:5">
      <c r="A416" s="1073"/>
      <c r="C416" s="1074"/>
      <c r="E416" s="1073"/>
    </row>
    <row r="417" s="971" customFormat="1" spans="1:5">
      <c r="A417" s="1073"/>
      <c r="C417" s="1074"/>
      <c r="E417" s="1073"/>
    </row>
    <row r="418" s="971" customFormat="1" spans="1:5">
      <c r="A418" s="1073"/>
      <c r="C418" s="1074"/>
      <c r="E418" s="1073"/>
    </row>
    <row r="419" s="971" customFormat="1" spans="1:5">
      <c r="A419" s="1073"/>
      <c r="C419" s="1074"/>
      <c r="E419" s="1073"/>
    </row>
    <row r="420" s="971" customFormat="1" spans="1:5">
      <c r="A420" s="1073"/>
      <c r="C420" s="1074"/>
      <c r="E420" s="1073"/>
    </row>
    <row r="421" s="971" customFormat="1" spans="1:5">
      <c r="A421" s="1073"/>
      <c r="C421" s="1074"/>
      <c r="E421" s="1073"/>
    </row>
    <row r="422" s="971" customFormat="1" spans="1:5">
      <c r="A422" s="1073"/>
      <c r="C422" s="1074"/>
      <c r="E422" s="1073"/>
    </row>
    <row r="423" s="971" customFormat="1" spans="1:5">
      <c r="A423" s="1073"/>
      <c r="C423" s="1074"/>
      <c r="E423" s="1073"/>
    </row>
    <row r="424" s="971" customFormat="1" spans="1:5">
      <c r="A424" s="1073"/>
      <c r="C424" s="1074"/>
      <c r="E424" s="1073"/>
    </row>
    <row r="425" s="971" customFormat="1" spans="1:5">
      <c r="A425" s="1073"/>
      <c r="C425" s="1074"/>
      <c r="E425" s="1073"/>
    </row>
    <row r="426" s="971" customFormat="1" spans="1:5">
      <c r="A426" s="1073"/>
      <c r="C426" s="1074"/>
      <c r="E426" s="1073"/>
    </row>
    <row r="427" s="971" customFormat="1" spans="1:5">
      <c r="A427" s="1073"/>
      <c r="C427" s="1074"/>
      <c r="E427" s="1073"/>
    </row>
    <row r="428" s="971" customFormat="1" spans="1:5">
      <c r="A428" s="1073"/>
      <c r="C428" s="1074"/>
      <c r="E428" s="1073"/>
    </row>
    <row r="429" s="971" customFormat="1" spans="1:5">
      <c r="A429" s="1073"/>
      <c r="C429" s="1074"/>
      <c r="E429" s="1073"/>
    </row>
    <row r="430" s="971" customFormat="1" spans="1:5">
      <c r="A430" s="1073"/>
      <c r="C430" s="1074"/>
      <c r="E430" s="1073"/>
    </row>
    <row r="431" s="971" customFormat="1" spans="1:5">
      <c r="A431" s="1073"/>
      <c r="C431" s="1074"/>
      <c r="E431" s="1073"/>
    </row>
    <row r="432" s="971" customFormat="1" spans="1:5">
      <c r="A432" s="1073"/>
      <c r="C432" s="1074"/>
      <c r="E432" s="1073"/>
    </row>
    <row r="433" s="971" customFormat="1" spans="1:5">
      <c r="A433" s="1073"/>
      <c r="C433" s="1074"/>
      <c r="E433" s="1073"/>
    </row>
    <row r="434" s="971" customFormat="1" spans="1:5">
      <c r="A434" s="1073"/>
      <c r="C434" s="1074"/>
      <c r="E434" s="1073"/>
    </row>
    <row r="435" s="971" customFormat="1" spans="1:5">
      <c r="A435" s="1073"/>
      <c r="C435" s="1074"/>
      <c r="E435" s="1073"/>
    </row>
    <row r="436" s="971" customFormat="1" spans="1:5">
      <c r="A436" s="1073"/>
      <c r="C436" s="1074"/>
      <c r="E436" s="1073"/>
    </row>
    <row r="437" s="971" customFormat="1" spans="1:5">
      <c r="A437" s="1073"/>
      <c r="C437" s="1074"/>
      <c r="E437" s="1073"/>
    </row>
    <row r="438" s="971" customFormat="1" spans="1:5">
      <c r="A438" s="1073"/>
      <c r="C438" s="1074"/>
      <c r="E438" s="1073"/>
    </row>
    <row r="439" s="971" customFormat="1" spans="1:5">
      <c r="A439" s="1073"/>
      <c r="C439" s="1074"/>
      <c r="E439" s="1073"/>
    </row>
    <row r="440" s="971" customFormat="1" spans="1:5">
      <c r="A440" s="1073"/>
      <c r="C440" s="1074"/>
      <c r="E440" s="1073"/>
    </row>
    <row r="441" s="971" customFormat="1" spans="1:5">
      <c r="A441" s="1073"/>
      <c r="C441" s="1074"/>
      <c r="E441" s="1073"/>
    </row>
    <row r="442" s="971" customFormat="1" spans="1:5">
      <c r="A442" s="1073"/>
      <c r="C442" s="1074"/>
      <c r="E442" s="1073"/>
    </row>
    <row r="443" s="971" customFormat="1" spans="1:5">
      <c r="A443" s="1073"/>
      <c r="C443" s="1074"/>
      <c r="E443" s="1073"/>
    </row>
    <row r="444" s="971" customFormat="1" spans="1:5">
      <c r="A444" s="1073"/>
      <c r="C444" s="1074"/>
      <c r="E444" s="1073"/>
    </row>
    <row r="445" s="971" customFormat="1" spans="1:5">
      <c r="A445" s="1073"/>
      <c r="C445" s="1074"/>
      <c r="E445" s="1073"/>
    </row>
    <row r="446" s="971" customFormat="1" spans="1:5">
      <c r="A446" s="1073"/>
      <c r="C446" s="1074"/>
      <c r="E446" s="1073"/>
    </row>
    <row r="447" s="971" customFormat="1" spans="1:5">
      <c r="A447" s="1073"/>
      <c r="C447" s="1074"/>
      <c r="E447" s="1073"/>
    </row>
    <row r="448" s="971" customFormat="1" spans="1:5">
      <c r="A448" s="1073"/>
      <c r="C448" s="1074"/>
      <c r="E448" s="1073"/>
    </row>
    <row r="449" s="971" customFormat="1" spans="1:5">
      <c r="A449" s="1073"/>
      <c r="C449" s="1074"/>
      <c r="E449" s="1073"/>
    </row>
    <row r="450" s="971" customFormat="1" spans="1:5">
      <c r="A450" s="1073"/>
      <c r="C450" s="1074"/>
      <c r="E450" s="1073"/>
    </row>
    <row r="451" s="971" customFormat="1" spans="1:5">
      <c r="A451" s="1073"/>
      <c r="C451" s="1074"/>
      <c r="E451" s="1073"/>
    </row>
    <row r="452" s="971" customFormat="1" spans="1:5">
      <c r="A452" s="1073"/>
      <c r="C452" s="1074"/>
      <c r="E452" s="1073"/>
    </row>
    <row r="453" s="971" customFormat="1" spans="1:5">
      <c r="A453" s="1073"/>
      <c r="C453" s="1074"/>
      <c r="E453" s="1073"/>
    </row>
    <row r="454" s="971" customFormat="1" spans="1:5">
      <c r="A454" s="1073"/>
      <c r="C454" s="1074"/>
      <c r="E454" s="1073"/>
    </row>
    <row r="455" s="971" customFormat="1" spans="1:5">
      <c r="A455" s="1073"/>
      <c r="C455" s="1074"/>
      <c r="E455" s="1073"/>
    </row>
    <row r="456" s="971" customFormat="1" spans="1:5">
      <c r="A456" s="1073"/>
      <c r="C456" s="1074"/>
      <c r="E456" s="1073"/>
    </row>
    <row r="457" s="971" customFormat="1" spans="1:5">
      <c r="A457" s="1073"/>
      <c r="C457" s="1074"/>
      <c r="E457" s="1073"/>
    </row>
    <row r="458" s="971" customFormat="1" spans="1:5">
      <c r="A458" s="1073"/>
      <c r="C458" s="1074"/>
      <c r="E458" s="1073"/>
    </row>
    <row r="459" s="971" customFormat="1" spans="1:5">
      <c r="A459" s="1073"/>
      <c r="C459" s="1074"/>
      <c r="E459" s="1073"/>
    </row>
    <row r="460" s="971" customFormat="1" spans="1:5">
      <c r="A460" s="1073"/>
      <c r="C460" s="1074"/>
      <c r="E460" s="1073"/>
    </row>
    <row r="461" s="971" customFormat="1" spans="1:5">
      <c r="A461" s="1073"/>
      <c r="C461" s="1074"/>
      <c r="E461" s="1073"/>
    </row>
    <row r="462" s="971" customFormat="1" spans="1:5">
      <c r="A462" s="1073"/>
      <c r="C462" s="1074"/>
      <c r="E462" s="1073"/>
    </row>
    <row r="463" s="971" customFormat="1" spans="1:5">
      <c r="A463" s="1073"/>
      <c r="C463" s="1074"/>
      <c r="E463" s="1073"/>
    </row>
    <row r="464" s="971" customFormat="1" spans="1:5">
      <c r="A464" s="1073"/>
      <c r="C464" s="1074"/>
      <c r="E464" s="1073"/>
    </row>
    <row r="465" s="971" customFormat="1" spans="1:5">
      <c r="A465" s="1073"/>
      <c r="C465" s="1074"/>
      <c r="E465" s="1073"/>
    </row>
    <row r="466" s="971" customFormat="1" spans="1:5">
      <c r="A466" s="1073"/>
      <c r="C466" s="1074"/>
      <c r="E466" s="1073"/>
    </row>
    <row r="467" s="971" customFormat="1" spans="1:5">
      <c r="A467" s="1073"/>
      <c r="C467" s="1074"/>
      <c r="E467" s="1073"/>
    </row>
    <row r="468" s="971" customFormat="1" spans="1:5">
      <c r="A468" s="1073"/>
      <c r="C468" s="1074"/>
      <c r="E468" s="1073"/>
    </row>
    <row r="469" s="971" customFormat="1" spans="1:5">
      <c r="A469" s="1073"/>
      <c r="C469" s="1074"/>
      <c r="E469" s="1073"/>
    </row>
    <row r="470" s="971" customFormat="1" spans="1:5">
      <c r="A470" s="1073"/>
      <c r="C470" s="1074"/>
      <c r="E470" s="1073"/>
    </row>
    <row r="471" s="971" customFormat="1" spans="1:5">
      <c r="A471" s="1073"/>
      <c r="C471" s="1074"/>
      <c r="E471" s="1073"/>
    </row>
    <row r="472" s="971" customFormat="1" spans="1:5">
      <c r="A472" s="1073"/>
      <c r="C472" s="1074"/>
      <c r="E472" s="1073"/>
    </row>
    <row r="473" s="971" customFormat="1" spans="1:5">
      <c r="A473" s="1073"/>
      <c r="C473" s="1074"/>
      <c r="E473" s="1073"/>
    </row>
    <row r="474" s="971" customFormat="1" spans="1:5">
      <c r="A474" s="1073"/>
      <c r="C474" s="1074"/>
      <c r="E474" s="1073"/>
    </row>
    <row r="475" s="971" customFormat="1" spans="1:5">
      <c r="A475" s="1073"/>
      <c r="C475" s="1074"/>
      <c r="E475" s="1073"/>
    </row>
    <row r="476" s="971" customFormat="1" spans="1:5">
      <c r="A476" s="1073"/>
      <c r="C476" s="1074"/>
      <c r="E476" s="1073"/>
    </row>
    <row r="477" s="971" customFormat="1" spans="1:5">
      <c r="A477" s="1073"/>
      <c r="C477" s="1074"/>
      <c r="E477" s="1073"/>
    </row>
    <row r="478" s="971" customFormat="1" spans="1:5">
      <c r="A478" s="1073"/>
      <c r="C478" s="1074"/>
      <c r="E478" s="1073"/>
    </row>
    <row r="479" s="971" customFormat="1" spans="1:5">
      <c r="A479" s="1073"/>
      <c r="C479" s="1074"/>
      <c r="E479" s="1073"/>
    </row>
    <row r="480" s="971" customFormat="1" spans="1:5">
      <c r="A480" s="1073"/>
      <c r="C480" s="1074"/>
      <c r="E480" s="1073"/>
    </row>
    <row r="481" s="971" customFormat="1" spans="1:5">
      <c r="A481" s="1073"/>
      <c r="C481" s="1074"/>
      <c r="E481" s="1073"/>
    </row>
    <row r="482" s="971" customFormat="1" spans="1:5">
      <c r="A482" s="1073"/>
      <c r="C482" s="1074"/>
      <c r="E482" s="1073"/>
    </row>
    <row r="483" s="971" customFormat="1" spans="1:5">
      <c r="A483" s="1073"/>
      <c r="C483" s="1074"/>
      <c r="E483" s="1073"/>
    </row>
    <row r="484" s="971" customFormat="1" spans="1:5">
      <c r="A484" s="1073"/>
      <c r="C484" s="1074"/>
      <c r="E484" s="1073"/>
    </row>
    <row r="485" s="971" customFormat="1" spans="1:5">
      <c r="A485" s="1073"/>
      <c r="C485" s="1074"/>
      <c r="E485" s="1073"/>
    </row>
    <row r="486" s="971" customFormat="1" spans="1:5">
      <c r="A486" s="1073"/>
      <c r="C486" s="1074"/>
      <c r="E486" s="1073"/>
    </row>
    <row r="487" s="971" customFormat="1" spans="1:5">
      <c r="A487" s="1073"/>
      <c r="C487" s="1074"/>
      <c r="E487" s="1073"/>
    </row>
    <row r="488" s="971" customFormat="1" spans="1:5">
      <c r="A488" s="1073"/>
      <c r="C488" s="1074"/>
      <c r="E488" s="1073"/>
    </row>
    <row r="489" s="971" customFormat="1" spans="1:5">
      <c r="A489" s="1073"/>
      <c r="C489" s="1074"/>
      <c r="E489" s="1073"/>
    </row>
    <row r="490" s="971" customFormat="1" spans="1:5">
      <c r="A490" s="1073"/>
      <c r="C490" s="1074"/>
      <c r="E490" s="1073"/>
    </row>
  </sheetData>
  <sheetProtection formatCells="0" formatColumns="0" formatRows="0"/>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6" fitToHeight="0" orientation="portrait"/>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76"/>
  <sheetViews>
    <sheetView view="pageBreakPreview" zoomScale="70" zoomScaleNormal="60" workbookViewId="0">
      <selection activeCell="C18" sqref="C18"/>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2444</v>
      </c>
      <c r="D1" s="710" t="s">
        <v>2405</v>
      </c>
      <c r="E1" s="711" t="s">
        <v>588</v>
      </c>
      <c r="F1" s="712" t="e">
        <f ca="1">J53</f>
        <v>#N/A</v>
      </c>
      <c r="G1" s="713" t="e">
        <f>MATCH(C1,'数据-取费表'!A6:A16,0)+5</f>
        <v>#N/A</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23" t="e">
        <f ca="1">C40+J29+L46</f>
        <v>#N/A</v>
      </c>
      <c r="C2" s="715"/>
      <c r="D2" s="716"/>
      <c r="E2" s="717"/>
      <c r="F2" s="717"/>
      <c r="G2" s="718"/>
      <c r="H2" s="719"/>
      <c r="I2" s="719"/>
      <c r="J2" s="719"/>
      <c r="K2" s="861"/>
      <c r="L2" s="719"/>
      <c r="M2" s="719"/>
    </row>
    <row r="3" ht="18" customHeight="1" spans="1:13">
      <c r="A3" s="720" t="s">
        <v>2350</v>
      </c>
      <c r="B3" s="721">
        <f ca="1">IF(ISERROR(B2*10000/F43),0,ROUND(B2*10000/F43,0))</f>
        <v>0</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t="e">
        <f ca="1">C6+C10+C12</f>
        <v>#N/A</v>
      </c>
      <c r="D5" s="731" t="s">
        <v>1918</v>
      </c>
      <c r="E5" s="732"/>
      <c r="F5" s="733"/>
      <c r="G5" s="727"/>
      <c r="H5" s="728">
        <v>1</v>
      </c>
      <c r="I5" s="729" t="s">
        <v>1917</v>
      </c>
      <c r="J5" s="730" t="e">
        <f ca="1">J6+J10+J12</f>
        <v>#N/A</v>
      </c>
      <c r="K5" s="731" t="s">
        <v>1918</v>
      </c>
      <c r="L5" s="732"/>
      <c r="M5" s="733"/>
    </row>
    <row r="6" ht="18" customHeight="1" spans="1:13">
      <c r="A6" s="734" t="s">
        <v>855</v>
      </c>
      <c r="B6" s="735" t="s">
        <v>1919</v>
      </c>
      <c r="C6" s="736" t="e">
        <f ca="1">ROUND(F6*F8*F7*(1-F9)/10000,0)</f>
        <v>#N/A</v>
      </c>
      <c r="D6" s="737" t="s">
        <v>2406</v>
      </c>
      <c r="E6" s="738" t="s">
        <v>1921</v>
      </c>
      <c r="F6" s="739" t="e">
        <f ca="1">INDIRECT("'数据-取费表'!u"&amp;$G$1)</f>
        <v>#N/A</v>
      </c>
      <c r="G6" s="727"/>
      <c r="H6" s="740" t="s">
        <v>855</v>
      </c>
      <c r="I6" s="735" t="s">
        <v>1919</v>
      </c>
      <c r="J6" s="736" t="e">
        <f ca="1">ROUND(M6*M8*M7*(1-M9)/10000,0)</f>
        <v>#N/A</v>
      </c>
      <c r="K6" s="814" t="s">
        <v>2407</v>
      </c>
      <c r="L6" s="738" t="s">
        <v>1921</v>
      </c>
      <c r="M6" s="739" t="e">
        <f ca="1">INDIRECT("'数据-取费表'!z"&amp;$G$1)</f>
        <v>#N/A</v>
      </c>
    </row>
    <row r="7" ht="18" customHeight="1" spans="1:13">
      <c r="A7" s="741"/>
      <c r="B7" s="742"/>
      <c r="C7" s="743"/>
      <c r="D7" s="744"/>
      <c r="E7" s="738" t="s">
        <v>1922</v>
      </c>
      <c r="F7" s="739" t="e">
        <f ca="1">IF(INDIRECT("'数据-取费表'!ah"&amp;$G$1)="",INDIRECT("'数据-取费表'!k"&amp;$G$1),INDIRECT("'数据-取费表'!ah"&amp;$G$1))</f>
        <v>#N/A</v>
      </c>
      <c r="G7" s="727"/>
      <c r="H7" s="745"/>
      <c r="I7" s="742"/>
      <c r="J7" s="743"/>
      <c r="K7" s="744"/>
      <c r="L7" s="738" t="s">
        <v>1922</v>
      </c>
      <c r="M7" s="739" t="e">
        <f ca="1">F7</f>
        <v>#N/A</v>
      </c>
    </row>
    <row r="8" ht="18" customHeight="1" spans="1:13">
      <c r="A8" s="746"/>
      <c r="B8" s="747"/>
      <c r="C8" s="743"/>
      <c r="D8" s="744"/>
      <c r="E8" s="738" t="s">
        <v>1923</v>
      </c>
      <c r="F8" s="739" t="e">
        <f ca="1">INDIRECT("'数据-取费表'!ai"&amp;$G$1)</f>
        <v>#N/A</v>
      </c>
      <c r="G8" s="727"/>
      <c r="H8" s="745"/>
      <c r="I8" s="747"/>
      <c r="J8" s="743"/>
      <c r="K8" s="744"/>
      <c r="L8" s="738" t="s">
        <v>1923</v>
      </c>
      <c r="M8" s="739" t="e">
        <f ca="1">INDIRECT("'数据-取费表'!ai"&amp;$G$1)</f>
        <v>#N/A</v>
      </c>
    </row>
    <row r="9" ht="18" customHeight="1" spans="1:13">
      <c r="A9" s="748"/>
      <c r="B9" s="749"/>
      <c r="C9" s="743"/>
      <c r="D9" s="744"/>
      <c r="E9" s="738" t="s">
        <v>1924</v>
      </c>
      <c r="F9" s="750" t="e">
        <f ca="1">INDIRECT("'数据-取费表'!w"&amp;$G$1)</f>
        <v>#N/A</v>
      </c>
      <c r="G9" s="727"/>
      <c r="H9" s="751"/>
      <c r="I9" s="747"/>
      <c r="J9" s="743"/>
      <c r="K9" s="744"/>
      <c r="L9" s="795" t="s">
        <v>1924</v>
      </c>
      <c r="M9" s="760" t="e">
        <f ca="1">INDIRECT("'数据-取费表'!ab"&amp;$G$1)</f>
        <v>#N/A</v>
      </c>
    </row>
    <row r="10" ht="18" customHeight="1" spans="1:13">
      <c r="A10" s="734" t="s">
        <v>857</v>
      </c>
      <c r="B10" s="752" t="s">
        <v>1925</v>
      </c>
      <c r="C10" s="124" t="e">
        <f ca="1">ROUND(IF(F10="押一",C6/12*F11,IF(F10="押二",C6/12*2*F11,IF(F10="押三",C6/12*3*F11,C11*F11))),0)</f>
        <v>#N/A</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771" t="e">
        <f ca="1">ROUND(C29*F13,0)</f>
        <v>#N/A</v>
      </c>
      <c r="D13" s="772" t="s">
        <v>2409</v>
      </c>
      <c r="E13" s="772" t="s">
        <v>1932</v>
      </c>
      <c r="F13" s="773" t="e">
        <f ca="1">INDIRECT("'数据-取费表'!y"&amp;$G$1)</f>
        <v>#N/A</v>
      </c>
      <c r="G13" s="727"/>
      <c r="H13" s="769">
        <v>2</v>
      </c>
      <c r="I13" s="770" t="s">
        <v>1933</v>
      </c>
      <c r="J13" s="869" t="e">
        <f ca="1">ROUND(J14*J15,0)</f>
        <v>#N/A</v>
      </c>
      <c r="K13" s="804" t="s">
        <v>1931</v>
      </c>
      <c r="L13" s="870"/>
      <c r="M13" s="871"/>
    </row>
    <row r="14" ht="18" customHeight="1" spans="1:13">
      <c r="A14" s="774" t="s">
        <v>879</v>
      </c>
      <c r="B14" s="738" t="s">
        <v>1068</v>
      </c>
      <c r="C14" s="775">
        <f>'数据-取费表'!P8+ROUND('数据-取费表'!L22*'数据-取费表'!L14/10000,0)</f>
        <v>22435.46</v>
      </c>
      <c r="D14" s="776" t="s">
        <v>1934</v>
      </c>
      <c r="E14" s="777"/>
      <c r="F14" s="778"/>
      <c r="G14" s="727"/>
      <c r="H14" s="779" t="s">
        <v>855</v>
      </c>
      <c r="I14" s="856" t="s">
        <v>1935</v>
      </c>
      <c r="J14" s="125" t="e">
        <f ca="1">C29</f>
        <v>#N/A</v>
      </c>
      <c r="K14" s="857"/>
      <c r="L14" s="872"/>
      <c r="M14" s="873"/>
    </row>
    <row r="15" s="702" customFormat="1" ht="18" customHeight="1" spans="1:33">
      <c r="A15" s="774" t="s">
        <v>883</v>
      </c>
      <c r="B15" s="738" t="s">
        <v>1070</v>
      </c>
      <c r="C15" s="125">
        <f>ROUND(C14*F15,0)</f>
        <v>673</v>
      </c>
      <c r="D15" s="780" t="s">
        <v>1936</v>
      </c>
      <c r="E15" s="780" t="s">
        <v>1937</v>
      </c>
      <c r="F15" s="781">
        <f>'数据-取费表'!B33</f>
        <v>0.03</v>
      </c>
      <c r="G15" s="782"/>
      <c r="H15" s="768" t="s">
        <v>857</v>
      </c>
      <c r="I15" s="801" t="s">
        <v>1932</v>
      </c>
      <c r="J15" s="874" t="e">
        <f ca="1">INDIRECT("'数据-取费表'!ad"&amp;$G$1)</f>
        <v>#N/A</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25" t="e">
        <f ca="1">ROUND(INDIRECT("'数据-取费表'!m"&amp;$G$1)*F16,0)</f>
        <v>#N/A</v>
      </c>
      <c r="D16" s="738" t="s">
        <v>1936</v>
      </c>
      <c r="E16" s="738" t="s">
        <v>1937</v>
      </c>
      <c r="F16" s="783" t="e">
        <f ca="1">IF(INDIRECT("'数据-取费表'!c"&amp;$G$1)="住宅",'数据-取费表'!B34,0)</f>
        <v>#N/A</v>
      </c>
      <c r="G16" s="727"/>
      <c r="H16" s="769" t="s">
        <v>1997</v>
      </c>
      <c r="I16" s="770" t="s">
        <v>1938</v>
      </c>
      <c r="J16" s="771" t="e">
        <f ca="1">ROUND(J17+J22+J23+J24,0)</f>
        <v>#N/A</v>
      </c>
      <c r="K16" s="804" t="s">
        <v>1939</v>
      </c>
      <c r="L16" s="805"/>
      <c r="M16" s="733"/>
    </row>
    <row r="17" s="702" customFormat="1" ht="18" customHeight="1" spans="1:33">
      <c r="A17" s="774" t="s">
        <v>2410</v>
      </c>
      <c r="B17" s="738" t="s">
        <v>1940</v>
      </c>
      <c r="C17" s="125">
        <f>ROUND(F17*('数据-汇总表'!E21+'数据-取费表'!L22)/10000,0)</f>
        <v>1711</v>
      </c>
      <c r="D17" s="738" t="s">
        <v>1941</v>
      </c>
      <c r="E17" s="738" t="s">
        <v>1942</v>
      </c>
      <c r="F17" s="784">
        <f>'数据-取费表'!B35</f>
        <v>305</v>
      </c>
      <c r="G17" s="782"/>
      <c r="H17" s="779" t="s">
        <v>855</v>
      </c>
      <c r="I17" s="738" t="s">
        <v>1943</v>
      </c>
      <c r="J17" s="807" t="e">
        <f ca="1">ROUND(IF(AND(项目基本情况!B11="自然人",项目基本情况!B10="北京市"),J6*M17/(1+'数据-取费表'!C42),J18+J19+J20),0)</f>
        <v>#N/A</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f>ROUND(C14*F18,0)</f>
        <v>337</v>
      </c>
      <c r="D18" s="738" t="s">
        <v>1936</v>
      </c>
      <c r="E18" s="738" t="s">
        <v>1937</v>
      </c>
      <c r="F18" s="783">
        <f>'数据-取费表'!B36</f>
        <v>0.015</v>
      </c>
      <c r="G18" s="782"/>
      <c r="H18" s="774" t="s">
        <v>879</v>
      </c>
      <c r="I18" s="738" t="s">
        <v>1946</v>
      </c>
      <c r="J18" s="125" t="e">
        <f ca="1">ROUND(J6*M18/(1+'数据-取费表'!C42),1)</f>
        <v>#N/A</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25" t="e">
        <f ca="1">SUM(C14:C18)</f>
        <v>#N/A</v>
      </c>
      <c r="D19" s="785" t="s">
        <v>1949</v>
      </c>
      <c r="E19" s="127"/>
      <c r="F19" s="784"/>
      <c r="G19" s="727"/>
      <c r="H19" s="774" t="s">
        <v>883</v>
      </c>
      <c r="I19" s="738" t="s">
        <v>1950</v>
      </c>
      <c r="J19" s="125" t="e">
        <f ca="1">IF(K19="按租金收入计税",ROUND(J6*M19/(1+'数据-取费表'!C42),1),ROUND(C29*F33*0.7,1))</f>
        <v>#N/A</v>
      </c>
      <c r="K19" s="812" t="s">
        <v>1951</v>
      </c>
      <c r="L19" s="738" t="s">
        <v>1937</v>
      </c>
      <c r="M19" s="783">
        <f>IF(K19="按租金收入计税",'数据-取费表'!B51,'数据-取费表'!B50)</f>
        <v>0.012</v>
      </c>
    </row>
    <row r="20" s="702" customFormat="1" ht="18" customHeight="1" spans="1:33">
      <c r="A20" s="779" t="s">
        <v>857</v>
      </c>
      <c r="B20" s="738" t="s">
        <v>1953</v>
      </c>
      <c r="C20" s="125" t="e">
        <f ca="1">ROUND(C19*F20,0)</f>
        <v>#N/A</v>
      </c>
      <c r="D20" s="786" t="s">
        <v>1954</v>
      </c>
      <c r="E20" s="738" t="s">
        <v>1937</v>
      </c>
      <c r="F20" s="783">
        <f>'数据-取费表'!B37</f>
        <v>0.03</v>
      </c>
      <c r="G20" s="782"/>
      <c r="H20" s="787" t="s">
        <v>886</v>
      </c>
      <c r="I20" s="814" t="s">
        <v>1955</v>
      </c>
      <c r="J20" s="815" t="e">
        <f ca="1">ROUND(M20*M21/10000,0)</f>
        <v>#N/A</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783">
        <f>'剩余法-待开发-住宅自持'!F24</f>
        <v>0.03</v>
      </c>
      <c r="G21" s="782"/>
      <c r="H21" s="789"/>
      <c r="I21" s="818"/>
      <c r="J21" s="819"/>
      <c r="K21" s="820"/>
      <c r="L21" s="738" t="s">
        <v>1962</v>
      </c>
      <c r="M21" s="739" t="e">
        <f ca="1">INDIRECT("'数据-取费表'!r"&amp;$G$1)</f>
        <v>#N/A</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t="e">
        <f ca="1">ROUND(J14*M22,0)</f>
        <v>#N/A</v>
      </c>
      <c r="K22" s="808" t="s">
        <v>1966</v>
      </c>
      <c r="L22" s="738" t="s">
        <v>1937</v>
      </c>
      <c r="M22" s="821" t="e">
        <f ca="1">INDIRECT("'数据-取费表'!Ak"&amp;$G$1)</f>
        <v>#N/A</v>
      </c>
    </row>
    <row r="23" s="702" customFormat="1" ht="18" customHeight="1" spans="1:33">
      <c r="A23" s="774" t="s">
        <v>879</v>
      </c>
      <c r="B23" s="738" t="s">
        <v>1967</v>
      </c>
      <c r="C23" s="125" t="e">
        <f ca="1">ROUND(IF('数据-取费表'!B22&lt;=1,(C19+C20)*F24*F23/2,(C19+C20)*(POWER((1+F24),F23/2)-1)),0)</f>
        <v>#N/A</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t="e">
        <f ca="1">ROUND(J13*M23,0)</f>
        <v>#N/A</v>
      </c>
      <c r="K23" s="808" t="s">
        <v>1970</v>
      </c>
      <c r="L23" s="738" t="s">
        <v>1937</v>
      </c>
      <c r="M23" s="822" t="e">
        <f ca="1">INDIRECT("'数据-取费表'!Al"&amp;$G$1)</f>
        <v>#N/A</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t="e">
        <f ca="1">ROUND(J5*M24,0)</f>
        <v>#N/A</v>
      </c>
      <c r="K24" s="800" t="s">
        <v>1973</v>
      </c>
      <c r="L24" s="801" t="s">
        <v>1937</v>
      </c>
      <c r="M24" s="767" t="e">
        <f ca="1">INDIRECT("'数据-取费表'!Am"&amp;$G$1)</f>
        <v>#N/A</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#N/A</v>
      </c>
      <c r="K25" s="824" t="s">
        <v>1978</v>
      </c>
      <c r="L25" s="825"/>
      <c r="M25" s="826"/>
    </row>
    <row r="26" ht="18" customHeight="1" spans="1:13">
      <c r="A26" s="774" t="s">
        <v>879</v>
      </c>
      <c r="B26" s="738" t="s">
        <v>1979</v>
      </c>
      <c r="C26" s="125" t="e">
        <f ca="1">ROUND((C19+C20)*F26,0)</f>
        <v>#N/A</v>
      </c>
      <c r="D26" s="786" t="s">
        <v>1980</v>
      </c>
      <c r="E26" s="795" t="s">
        <v>1981</v>
      </c>
      <c r="F26" s="750" t="e">
        <f ca="1">INDIRECT("'数据-取费表'!q"&amp;$G$1)</f>
        <v>#N/A</v>
      </c>
      <c r="G26" s="727"/>
      <c r="H26" s="796" t="s">
        <v>2415</v>
      </c>
      <c r="I26" s="827" t="s">
        <v>2416</v>
      </c>
      <c r="J26" s="736" t="e">
        <f ca="1">IF(J5&lt;&gt;0,ROUND(J25*(1-((1+M28)/(1+M26))^M27)/(M26-M28),0),0)</f>
        <v>#N/A</v>
      </c>
      <c r="K26" s="816" t="s">
        <v>1983</v>
      </c>
      <c r="L26" s="738" t="s">
        <v>2417</v>
      </c>
      <c r="M26" s="750" t="e">
        <f ca="1">INDIRECT("'数据-取费表'!I"&amp;$G$1)</f>
        <v>#N/A</v>
      </c>
    </row>
    <row r="27" ht="18" customHeight="1" spans="1:13">
      <c r="A27" s="774" t="s">
        <v>883</v>
      </c>
      <c r="B27" s="738" t="s">
        <v>1985</v>
      </c>
      <c r="C27" s="125" t="e">
        <f ca="1">ROUND(F21*F26,4)</f>
        <v>#N/A</v>
      </c>
      <c r="D27" s="786" t="s">
        <v>1986</v>
      </c>
      <c r="E27" s="780"/>
      <c r="F27" s="781"/>
      <c r="G27" s="727"/>
      <c r="H27" s="797"/>
      <c r="I27" s="828"/>
      <c r="J27" s="743"/>
      <c r="K27" s="829" t="s">
        <v>1987</v>
      </c>
      <c r="L27" s="738" t="s">
        <v>1988</v>
      </c>
      <c r="M27" s="830" t="e">
        <f ca="1">INDIRECT("'数据-取费表'!ag"&amp;$G$1)</f>
        <v>#N/A</v>
      </c>
    </row>
    <row r="28" s="702" customFormat="1" ht="18" customHeight="1" spans="1:33">
      <c r="A28" s="794" t="s">
        <v>913</v>
      </c>
      <c r="B28" s="738" t="s">
        <v>1990</v>
      </c>
      <c r="C28" s="125">
        <f>ROUND(F28/(1+'数据-取费表'!C42),4)</f>
        <v>0.0533</v>
      </c>
      <c r="D28" s="786" t="s">
        <v>2419</v>
      </c>
      <c r="E28" s="738" t="s">
        <v>1937</v>
      </c>
      <c r="F28" s="783">
        <f>'数据-取费表'!B41</f>
        <v>0.056</v>
      </c>
      <c r="G28" s="782"/>
      <c r="H28" s="769"/>
      <c r="I28" s="831"/>
      <c r="J28" s="771"/>
      <c r="K28" s="820"/>
      <c r="L28" s="738" t="s">
        <v>1992</v>
      </c>
      <c r="M28" s="750" t="e">
        <f ca="1">INDIRECT("'数据-取费表'!aa"&amp;$G$1)</f>
        <v>#N/A</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t="e">
        <f ca="1">ROUND((C19+C20+C23+C26)/(1-F21-C24-C27-C28),0)</f>
        <v>#N/A</v>
      </c>
      <c r="D29" s="800"/>
      <c r="E29" s="801"/>
      <c r="F29" s="802"/>
      <c r="G29" s="782"/>
      <c r="H29" s="803" t="s">
        <v>2421</v>
      </c>
      <c r="I29" s="832" t="s">
        <v>2422</v>
      </c>
      <c r="J29" s="833" t="e">
        <f ca="1">ROUND(J26/(1+F40)^F41,0)</f>
        <v>#N/A</v>
      </c>
      <c r="K29" s="834" t="s">
        <v>1996</v>
      </c>
      <c r="L29" s="835"/>
      <c r="M29" s="836" t="e">
        <f ca="1">INDIRECT("'数据-取费表'!k"&amp;$G$1)</f>
        <v>#N/A</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771" t="e">
        <f ca="1">ROUND(C31+C36+C37+C38,0)</f>
        <v>#N/A</v>
      </c>
      <c r="D30" s="804" t="s">
        <v>1939</v>
      </c>
      <c r="E30" s="805"/>
      <c r="F30" s="733"/>
      <c r="G30" s="727"/>
      <c r="H30" s="806"/>
      <c r="I30" s="879"/>
      <c r="J30" s="880"/>
      <c r="K30" s="183"/>
      <c r="L30" s="881"/>
      <c r="M30" s="882"/>
    </row>
    <row r="31" ht="18" customHeight="1" spans="1:13">
      <c r="A31" s="779" t="s">
        <v>855</v>
      </c>
      <c r="B31" s="738" t="s">
        <v>1943</v>
      </c>
      <c r="C31" s="807" t="e">
        <f ca="1">ROUND(IF(AND(项目基本情况!B11="自然人",项目基本情况!B10="北京市"),C6*F31/(1+'数据-取费表'!C42),C32+C33+C34),0)</f>
        <v>#N/A</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t="e">
        <f ca="1">ROUND(C6*F32/(1+'数据-取费表'!C42),1)</f>
        <v>#N/A</v>
      </c>
      <c r="D32" s="808" t="s">
        <v>1947</v>
      </c>
      <c r="E32" s="738" t="s">
        <v>1937</v>
      </c>
      <c r="F32" s="783">
        <f>'数据-取费表'!B41</f>
        <v>0.056</v>
      </c>
      <c r="G32" s="727"/>
      <c r="H32" s="811"/>
      <c r="I32" s="883"/>
      <c r="J32" s="884"/>
      <c r="K32" s="885"/>
      <c r="L32" s="886"/>
      <c r="M32" s="887"/>
    </row>
    <row r="33" ht="18" customHeight="1" spans="1:13">
      <c r="A33" s="774" t="s">
        <v>883</v>
      </c>
      <c r="B33" s="738" t="s">
        <v>1950</v>
      </c>
      <c r="C33" s="125" t="e">
        <f ca="1">IF(D33="按租金收入计税",ROUND(C6*F33/(1+'数据-取费表'!C42),1),IF(D33="按房产原值计税",ROUND(C29*F33*0.7,1),INDIRECT("'数据-取费表'!Aj"&amp;$G$1)))</f>
        <v>#N/A</v>
      </c>
      <c r="D33" s="812" t="s">
        <v>2423</v>
      </c>
      <c r="E33" s="738" t="s">
        <v>1937</v>
      </c>
      <c r="F33" s="783">
        <f>IF(D33="按租金收入计税",'数据-取费表'!B51,'数据-取费表'!B50)</f>
        <v>0.12</v>
      </c>
      <c r="G33" s="727"/>
      <c r="H33" s="813"/>
      <c r="I33" s="813"/>
      <c r="J33" s="813"/>
      <c r="K33" s="888"/>
      <c r="L33" s="813"/>
      <c r="M33" s="813"/>
    </row>
    <row r="34" ht="18" customHeight="1" spans="1:13">
      <c r="A34" s="787" t="s">
        <v>886</v>
      </c>
      <c r="B34" s="814" t="s">
        <v>1955</v>
      </c>
      <c r="C34" s="815" t="e">
        <f ca="1">ROUND(F34*F35/10000,1)</f>
        <v>#N/A</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t="e">
        <f ca="1">INDIRECT("'数据-取费表'!r"&amp;$G$1)</f>
        <v>#N/A</v>
      </c>
      <c r="G35" s="727"/>
      <c r="H35" s="806"/>
      <c r="I35" s="893" t="s">
        <v>2425</v>
      </c>
      <c r="J35" s="894" t="e">
        <f ca="1">ROUND(C13*J36,0)</f>
        <v>#N/A</v>
      </c>
      <c r="K35" s="888"/>
      <c r="L35" s="813"/>
      <c r="M35" s="813"/>
    </row>
    <row r="36" ht="18" customHeight="1" spans="1:13">
      <c r="A36" s="779" t="s">
        <v>857</v>
      </c>
      <c r="B36" s="738" t="s">
        <v>1965</v>
      </c>
      <c r="C36" s="125" t="e">
        <f ca="1">ROUND(C29*F36,1)</f>
        <v>#N/A</v>
      </c>
      <c r="D36" s="808" t="s">
        <v>2001</v>
      </c>
      <c r="E36" s="738" t="s">
        <v>1937</v>
      </c>
      <c r="F36" s="821" t="e">
        <f ca="1">INDIRECT("'数据-取费表'!Ak"&amp;$G$1)</f>
        <v>#N/A</v>
      </c>
      <c r="G36" s="727"/>
      <c r="H36" s="813"/>
      <c r="I36" s="895" t="s">
        <v>2426</v>
      </c>
      <c r="J36" s="896" t="e">
        <f ca="1">INDIRECT("'数据-取费表'!j"&amp;$G$1)</f>
        <v>#N/A</v>
      </c>
      <c r="K36" s="897"/>
      <c r="L36" s="813"/>
      <c r="M36" s="813"/>
    </row>
    <row r="37" ht="18" customHeight="1" spans="1:13">
      <c r="A37" s="779" t="s">
        <v>1061</v>
      </c>
      <c r="B37" s="738" t="s">
        <v>1969</v>
      </c>
      <c r="C37" s="125" t="e">
        <f ca="1">ROUND(C13*F37,1)</f>
        <v>#N/A</v>
      </c>
      <c r="D37" s="808" t="s">
        <v>1970</v>
      </c>
      <c r="E37" s="738" t="s">
        <v>1937</v>
      </c>
      <c r="F37" s="822" t="e">
        <f ca="1">INDIRECT("'数据-取费表'!Al"&amp;$G$1)</f>
        <v>#N/A</v>
      </c>
      <c r="G37" s="727"/>
      <c r="H37" s="813"/>
      <c r="I37" s="898" t="s">
        <v>2427</v>
      </c>
      <c r="J37" s="899"/>
      <c r="K37" s="897"/>
      <c r="L37" s="813"/>
      <c r="M37" s="813"/>
    </row>
    <row r="38" ht="18" customHeight="1" spans="1:13">
      <c r="A38" s="768" t="s">
        <v>2413</v>
      </c>
      <c r="B38" s="801" t="s">
        <v>1953</v>
      </c>
      <c r="C38" s="799" t="e">
        <f ca="1">ROUND(C5*F38,1)</f>
        <v>#N/A</v>
      </c>
      <c r="D38" s="800" t="s">
        <v>1973</v>
      </c>
      <c r="E38" s="801" t="s">
        <v>1937</v>
      </c>
      <c r="F38" s="767" t="e">
        <f ca="1">INDIRECT("'数据-取费表'!Am"&amp;$G$1)</f>
        <v>#N/A</v>
      </c>
      <c r="G38" s="727"/>
      <c r="H38" s="813"/>
      <c r="I38" s="900" t="s">
        <v>2428</v>
      </c>
      <c r="J38" s="901"/>
      <c r="K38" s="902"/>
      <c r="L38" s="813"/>
      <c r="M38" s="813"/>
    </row>
    <row r="39" ht="24.65" customHeight="1" spans="1:13">
      <c r="A39" s="769" t="s">
        <v>2414</v>
      </c>
      <c r="B39" s="823" t="s">
        <v>1977</v>
      </c>
      <c r="C39" s="771" t="e">
        <f ca="1">C5-C30</f>
        <v>#N/A</v>
      </c>
      <c r="D39" s="824" t="s">
        <v>1978</v>
      </c>
      <c r="E39" s="825"/>
      <c r="F39" s="826"/>
      <c r="G39" s="727"/>
      <c r="H39" s="813"/>
      <c r="I39" s="893" t="s">
        <v>2429</v>
      </c>
      <c r="J39" s="903" t="e">
        <f ca="1">ROUND(J35/C39,3)</f>
        <v>#N/A</v>
      </c>
      <c r="K39" s="902"/>
      <c r="L39" s="813"/>
      <c r="M39" s="813"/>
    </row>
    <row r="40" ht="18" customHeight="1" spans="1:13">
      <c r="A40" s="728" t="s">
        <v>2415</v>
      </c>
      <c r="B40" s="827" t="s">
        <v>2430</v>
      </c>
      <c r="C40" s="736" t="e">
        <f ca="1">ROUND(C39*(1-((1+F42)/(1+F40))^F41)/(F40-F42),0)</f>
        <v>#N/A</v>
      </c>
      <c r="D40" s="816" t="s">
        <v>1983</v>
      </c>
      <c r="E40" s="738" t="s">
        <v>2417</v>
      </c>
      <c r="F40" s="750" t="e">
        <f ca="1">INDIRECT("'数据-取费表'!I"&amp;$G$1)</f>
        <v>#N/A</v>
      </c>
      <c r="G40" s="727"/>
      <c r="H40" s="727"/>
      <c r="I40" s="893" t="s">
        <v>2431</v>
      </c>
      <c r="J40" s="903" t="e">
        <f ca="1">1-J39</f>
        <v>#N/A</v>
      </c>
      <c r="K40" s="902"/>
      <c r="L40" s="727"/>
      <c r="M40" s="727"/>
    </row>
    <row r="41" ht="18" customHeight="1" spans="1:13">
      <c r="A41" s="748"/>
      <c r="B41" s="828"/>
      <c r="C41" s="743"/>
      <c r="D41" s="829" t="s">
        <v>1987</v>
      </c>
      <c r="E41" s="738" t="s">
        <v>1988</v>
      </c>
      <c r="F41" s="830">
        <v>38</v>
      </c>
      <c r="G41" s="727"/>
      <c r="H41" s="183"/>
      <c r="I41" s="900" t="s">
        <v>2432</v>
      </c>
      <c r="J41" s="904"/>
      <c r="K41" s="897"/>
      <c r="L41" s="183"/>
      <c r="M41" s="183"/>
    </row>
    <row r="42" ht="18" customHeight="1" spans="1:13">
      <c r="A42" s="757"/>
      <c r="B42" s="831"/>
      <c r="C42" s="771"/>
      <c r="D42" s="820"/>
      <c r="E42" s="738" t="s">
        <v>1992</v>
      </c>
      <c r="F42" s="750" t="e">
        <f ca="1">INDIRECT("'数据-取费表'!v"&amp;$G$1)</f>
        <v>#N/A</v>
      </c>
      <c r="G42" s="727"/>
      <c r="H42" s="183"/>
      <c r="I42" s="905" t="s">
        <v>2433</v>
      </c>
      <c r="J42" s="903" t="e">
        <f ca="1">ROUND(C13/C40,3)</f>
        <v>#N/A</v>
      </c>
      <c r="K42" s="897"/>
      <c r="L42" s="183"/>
      <c r="M42" s="183"/>
    </row>
    <row r="43" ht="18" customHeight="1" spans="1:13">
      <c r="A43" s="803" t="s">
        <v>2421</v>
      </c>
      <c r="B43" s="832" t="s">
        <v>2434</v>
      </c>
      <c r="C43" s="833" t="e">
        <f ca="1">ROUND(C40*10000/F43,0)</f>
        <v>#N/A</v>
      </c>
      <c r="D43" s="834" t="s">
        <v>2435</v>
      </c>
      <c r="E43" s="835" t="s">
        <v>2436</v>
      </c>
      <c r="F43" s="836" t="e">
        <f ca="1">F7</f>
        <v>#N/A</v>
      </c>
      <c r="G43" s="727"/>
      <c r="H43" s="183"/>
      <c r="I43" s="905" t="s">
        <v>2437</v>
      </c>
      <c r="J43" s="906" t="e">
        <f ca="1">1-J42</f>
        <v>#N/A</v>
      </c>
      <c r="K43" s="897"/>
      <c r="L43" s="183"/>
      <c r="M43" s="183"/>
    </row>
    <row r="44" s="632" customFormat="1" ht="18" customHeight="1" spans="1:17">
      <c r="A44" s="837"/>
      <c r="B44" s="837"/>
      <c r="C44" s="838"/>
      <c r="D44" s="837"/>
      <c r="E44" s="837"/>
      <c r="F44" s="837"/>
      <c r="K44" s="907"/>
      <c r="Q44" s="706"/>
    </row>
    <row r="45" s="632" customFormat="1" ht="18" customHeight="1" spans="1:17">
      <c r="A45" s="837"/>
      <c r="B45" s="837"/>
      <c r="C45" s="838"/>
      <c r="D45" s="837"/>
      <c r="E45" s="837"/>
      <c r="F45" s="837"/>
      <c r="K45" s="907"/>
      <c r="Q45" s="706"/>
    </row>
    <row r="46" s="632" customFormat="1" ht="18" customHeight="1" spans="1:18">
      <c r="A46" s="839" t="s">
        <v>2438</v>
      </c>
      <c r="B46" s="837"/>
      <c r="C46" s="840" t="e">
        <f ca="1">C67-C40</f>
        <v>#N/A</v>
      </c>
      <c r="D46" s="841"/>
      <c r="E46" s="841"/>
      <c r="F46" s="841"/>
      <c r="I46" s="908" t="s">
        <v>2014</v>
      </c>
      <c r="J46" s="909"/>
      <c r="K46" s="910"/>
      <c r="L46" s="911">
        <f ca="1">IF(OR(M47="住宅",D1="土地（套用方法）"),0,IF(L48&gt;J51,L60,J60))</f>
        <v>0</v>
      </c>
      <c r="M46" s="716"/>
      <c r="O46" s="912" t="s">
        <v>2015</v>
      </c>
      <c r="P46" s="913"/>
      <c r="Q46" s="918"/>
      <c r="R46" s="913"/>
    </row>
    <row r="47" s="632" customFormat="1" ht="18" customHeight="1" spans="1:18">
      <c r="A47" s="842">
        <v>1</v>
      </c>
      <c r="B47" s="843" t="s">
        <v>2439</v>
      </c>
      <c r="C47" s="840" t="e">
        <f ca="1">C48+C52+C54</f>
        <v>#N/A</v>
      </c>
      <c r="D47" s="841"/>
      <c r="E47" s="841"/>
      <c r="F47" s="841"/>
      <c r="I47" s="914" t="s">
        <v>2016</v>
      </c>
      <c r="J47" s="915" t="s">
        <v>2076</v>
      </c>
      <c r="K47" s="916" t="s">
        <v>2017</v>
      </c>
      <c r="L47" s="917" t="e">
        <f ca="1">INDIRECT("'数据-取费表'!d"&amp;$G$1)</f>
        <v>#N/A</v>
      </c>
      <c r="M47" s="918" t="str">
        <f>IF(ISNUMBER(FIND("住宅",C1)),"住宅","非住宅")</f>
        <v>非住宅</v>
      </c>
      <c r="O47" s="919" t="s">
        <v>1318</v>
      </c>
      <c r="P47" s="920" t="s">
        <v>2018</v>
      </c>
      <c r="Q47" s="959" t="s">
        <v>2019</v>
      </c>
      <c r="R47" s="920" t="s">
        <v>2020</v>
      </c>
    </row>
    <row r="48" s="632" customFormat="1" ht="18" customHeight="1" spans="1:18">
      <c r="A48" s="844" t="s">
        <v>1124</v>
      </c>
      <c r="B48" s="845" t="s">
        <v>2440</v>
      </c>
      <c r="C48" s="846" t="e">
        <f ca="1">ROUND(F48*F50*F49*(1-F51)/10000,0)</f>
        <v>#N/A</v>
      </c>
      <c r="D48" s="847" t="s">
        <v>2407</v>
      </c>
      <c r="E48" s="848" t="s">
        <v>2441</v>
      </c>
      <c r="F48" s="849"/>
      <c r="G48" s="850"/>
      <c r="I48" s="921" t="s">
        <v>2021</v>
      </c>
      <c r="J48" s="922" t="s">
        <v>2071</v>
      </c>
      <c r="K48" s="923" t="s">
        <v>2022</v>
      </c>
      <c r="L48" s="924" t="e">
        <f ca="1">INDIRECT("'数据-取费表'!f"&amp;$G$1)</f>
        <v>#N/A</v>
      </c>
      <c r="M48" s="716"/>
      <c r="O48" s="925" t="s">
        <v>2023</v>
      </c>
      <c r="P48" s="926" t="s">
        <v>2024</v>
      </c>
      <c r="Q48" s="960" t="e">
        <f ca="1">C40+J29</f>
        <v>#N/A</v>
      </c>
      <c r="R48" s="926" t="s">
        <v>2025</v>
      </c>
    </row>
    <row r="49" s="632" customFormat="1" ht="18" customHeight="1" spans="1:18">
      <c r="A49" s="748"/>
      <c r="B49" s="828"/>
      <c r="C49" s="743"/>
      <c r="D49" s="744"/>
      <c r="E49" s="738" t="s">
        <v>1922</v>
      </c>
      <c r="F49" s="739" t="e">
        <f ca="1">F7</f>
        <v>#N/A</v>
      </c>
      <c r="G49" s="850"/>
      <c r="H49" s="851"/>
      <c r="I49" s="921" t="s">
        <v>2026</v>
      </c>
      <c r="J49" s="927"/>
      <c r="K49" s="928" t="s">
        <v>2027</v>
      </c>
      <c r="L49" s="929"/>
      <c r="M49" s="716"/>
      <c r="O49" s="925" t="s">
        <v>2028</v>
      </c>
      <c r="P49" s="926" t="s">
        <v>2029</v>
      </c>
      <c r="Q49" s="960" t="e">
        <f ca="1">J60</f>
        <v>#N/A</v>
      </c>
      <c r="R49" s="926" t="s">
        <v>2030</v>
      </c>
    </row>
    <row r="50" s="632" customFormat="1" ht="18" customHeight="1" spans="1:18">
      <c r="A50" s="748"/>
      <c r="B50" s="828"/>
      <c r="C50" s="743"/>
      <c r="D50" s="744"/>
      <c r="E50" s="738" t="s">
        <v>1923</v>
      </c>
      <c r="F50" s="739" t="e">
        <f ca="1">F8</f>
        <v>#N/A</v>
      </c>
      <c r="H50" s="851"/>
      <c r="I50" s="921" t="s">
        <v>2031</v>
      </c>
      <c r="J50" s="930">
        <f>SUMPRODUCT((I63:I65=J47)*(J62:L62=J48)*(J63:L65))</f>
        <v>60</v>
      </c>
      <c r="K50" s="928" t="s">
        <v>2032</v>
      </c>
      <c r="L50" s="929"/>
      <c r="M50" s="716"/>
      <c r="O50" s="931" t="s">
        <v>2033</v>
      </c>
      <c r="P50" s="926" t="s">
        <v>2034</v>
      </c>
      <c r="Q50" s="960" t="e">
        <f ca="1">C29</f>
        <v>#N/A</v>
      </c>
      <c r="R50" s="926" t="s">
        <v>2025</v>
      </c>
    </row>
    <row r="51" s="632" customFormat="1" ht="18" customHeight="1" spans="1:18">
      <c r="A51" s="748"/>
      <c r="B51" s="828"/>
      <c r="C51" s="743"/>
      <c r="D51" s="744"/>
      <c r="E51" s="738" t="s">
        <v>1924</v>
      </c>
      <c r="F51" s="852"/>
      <c r="H51" s="851"/>
      <c r="I51" s="932" t="s">
        <v>2035</v>
      </c>
      <c r="J51" s="924">
        <f>IF(J49="",J50,J49+J50-YEAR('数据-取费表'!B2))</f>
        <v>60</v>
      </c>
      <c r="K51" s="921" t="s">
        <v>2036</v>
      </c>
      <c r="L51" s="933" t="e">
        <f ca="1">ROUND(-PV(INDIRECT("'数据-取费表'!h"&amp;$G$1),J51,(C39-C13*J36),0),0)</f>
        <v>#N/A</v>
      </c>
      <c r="M51" s="716"/>
      <c r="O51" s="931" t="s">
        <v>2037</v>
      </c>
      <c r="P51" s="926" t="s">
        <v>2038</v>
      </c>
      <c r="Q51" s="961" t="e">
        <f ca="1">J58</f>
        <v>#N/A</v>
      </c>
      <c r="R51" s="962"/>
    </row>
    <row r="52" s="632" customFormat="1" ht="18" customHeight="1" spans="1:18">
      <c r="A52" s="728" t="s">
        <v>2442</v>
      </c>
      <c r="B52" s="752" t="s">
        <v>1925</v>
      </c>
      <c r="C52" s="124">
        <f ca="1">ROUND(IF(F52="押一",C48/12*F11,IF(F52="押二",C48/12*2*F11,IF(F52="押三",C48/12*3*F11,C53*F11))),0)</f>
        <v>0</v>
      </c>
      <c r="D52" s="753" t="s">
        <v>1926</v>
      </c>
      <c r="E52" s="754" t="s">
        <v>1927</v>
      </c>
      <c r="F52" s="755"/>
      <c r="I52" s="934" t="s">
        <v>2039</v>
      </c>
      <c r="J52" s="935"/>
      <c r="K52" s="934" t="s">
        <v>1188</v>
      </c>
      <c r="L52" s="935"/>
      <c r="M52" s="716"/>
      <c r="O52" s="931" t="s">
        <v>2040</v>
      </c>
      <c r="P52" s="926" t="s">
        <v>2041</v>
      </c>
      <c r="Q52" s="961">
        <f>J52</f>
        <v>0</v>
      </c>
      <c r="R52" s="962"/>
    </row>
    <row r="53" s="632" customFormat="1" ht="39.75" customHeight="1" spans="1:18">
      <c r="A53" s="748"/>
      <c r="B53" s="758" t="s">
        <v>1928</v>
      </c>
      <c r="C53" s="759"/>
      <c r="D53" s="753"/>
      <c r="E53" s="754"/>
      <c r="F53" s="853"/>
      <c r="I53" s="936" t="s">
        <v>2042</v>
      </c>
      <c r="J53" s="937" t="e">
        <f ca="1">IF(M47="住宅",IF(D1="——",MAX(J51,L48),MAX(J51,L48-'数据-取费表'!B20)),IF(D1="——",MIN(J51,L48),MIN(J51,L48-'数据-取费表'!B20)))</f>
        <v>#N/A</v>
      </c>
      <c r="K53" s="938" t="s">
        <v>2443</v>
      </c>
      <c r="L53" s="939"/>
      <c r="M53" s="716"/>
      <c r="O53" s="931" t="s">
        <v>2043</v>
      </c>
      <c r="P53" s="926" t="s">
        <v>2044</v>
      </c>
      <c r="Q53" s="960" t="e">
        <f ca="1">J53</f>
        <v>#N/A</v>
      </c>
      <c r="R53" s="926" t="s">
        <v>2045</v>
      </c>
    </row>
    <row r="54" s="632" customFormat="1" ht="18" customHeight="1" spans="1:18">
      <c r="A54" s="762" t="s">
        <v>1061</v>
      </c>
      <c r="B54" s="763" t="s">
        <v>1929</v>
      </c>
      <c r="C54" s="764"/>
      <c r="D54" s="753"/>
      <c r="E54" s="754"/>
      <c r="F54" s="853"/>
      <c r="I54" s="63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907"/>
      <c r="M54" s="716"/>
      <c r="O54" s="925" t="s">
        <v>2046</v>
      </c>
      <c r="P54" s="926" t="s">
        <v>2047</v>
      </c>
      <c r="Q54" s="960" t="e">
        <f ca="1">Q48+Q49</f>
        <v>#N/A</v>
      </c>
      <c r="R54" s="962" t="s">
        <v>2048</v>
      </c>
    </row>
    <row r="55" s="632" customFormat="1" ht="18" customHeight="1" spans="1:18">
      <c r="A55" s="854">
        <v>2</v>
      </c>
      <c r="B55" s="855" t="s">
        <v>1933</v>
      </c>
      <c r="C55" s="124" t="e">
        <f ca="1">C13</f>
        <v>#N/A</v>
      </c>
      <c r="D55" s="795"/>
      <c r="E55" s="795"/>
      <c r="F55" s="853"/>
      <c r="I55" s="940" t="s">
        <v>2049</v>
      </c>
      <c r="J55" s="941" t="e">
        <f ca="1">ROUND(IF(J47="钢混",J57/J50,1-(1-2%)*(J50-J57)/J50),3)</f>
        <v>#N/A</v>
      </c>
      <c r="K55" s="942" t="s">
        <v>2050</v>
      </c>
      <c r="L55" s="943"/>
      <c r="M55" s="716"/>
      <c r="O55" s="944" t="s">
        <v>2051</v>
      </c>
      <c r="P55" s="913"/>
      <c r="Q55" s="918"/>
      <c r="R55" s="913"/>
    </row>
    <row r="56" s="632" customFormat="1" ht="42.75" customHeight="1" spans="1:18">
      <c r="A56" s="794"/>
      <c r="B56" s="856" t="s">
        <v>1994</v>
      </c>
      <c r="C56" s="125" t="e">
        <f ca="1">C29</f>
        <v>#N/A</v>
      </c>
      <c r="D56" s="808"/>
      <c r="E56" s="738"/>
      <c r="F56" s="783"/>
      <c r="I56" s="945" t="s">
        <v>2052</v>
      </c>
      <c r="J56" s="946"/>
      <c r="K56" s="921" t="s">
        <v>2053</v>
      </c>
      <c r="L56" s="924" t="e">
        <f ca="1">IF(L48&lt;J51,"——",L48-J51)</f>
        <v>#N/A</v>
      </c>
      <c r="M56" s="716"/>
      <c r="O56" s="919" t="s">
        <v>1318</v>
      </c>
      <c r="P56" s="920" t="s">
        <v>2018</v>
      </c>
      <c r="Q56" s="959" t="s">
        <v>2019</v>
      </c>
      <c r="R56" s="920" t="s">
        <v>2020</v>
      </c>
    </row>
    <row r="57" s="632" customFormat="1" ht="28.5" customHeight="1" spans="1:18">
      <c r="A57" s="854" t="s">
        <v>1997</v>
      </c>
      <c r="B57" s="855" t="s">
        <v>1938</v>
      </c>
      <c r="C57" s="124" t="e">
        <f ca="1">ROUND(C58+C63+C64+C65,0)</f>
        <v>#N/A</v>
      </c>
      <c r="D57" s="857" t="s">
        <v>1939</v>
      </c>
      <c r="E57" s="127"/>
      <c r="F57" s="784"/>
      <c r="I57" s="947" t="s">
        <v>2054</v>
      </c>
      <c r="J57" s="948" t="e">
        <f ca="1">IF(OR(M47="住宅",J51&lt;L48,J56="是"),"——",J51-L48)</f>
        <v>#N/A</v>
      </c>
      <c r="K57" s="921" t="s">
        <v>2055</v>
      </c>
      <c r="L57" s="924" t="e">
        <f ca="1">IF(L48&lt;J51,"——",IF(L55="比较法",L49,IF(L55="基准地价",L50,L51)))</f>
        <v>#N/A</v>
      </c>
      <c r="M57" s="716"/>
      <c r="O57" s="925" t="s">
        <v>2023</v>
      </c>
      <c r="P57" s="926" t="s">
        <v>2024</v>
      </c>
      <c r="Q57" s="960" t="e">
        <f ca="1">C40+J29</f>
        <v>#N/A</v>
      </c>
      <c r="R57" s="926" t="s">
        <v>2025</v>
      </c>
    </row>
    <row r="58" s="632" customFormat="1" ht="28.5" customHeight="1" spans="1:18">
      <c r="A58" s="779" t="s">
        <v>855</v>
      </c>
      <c r="B58" s="738" t="s">
        <v>1943</v>
      </c>
      <c r="C58" s="807" t="e">
        <f ca="1">ROUND(IF(AND(项目基本情况!B11="自然人",项目基本情况!B10="北京市"),C48*F58/(1+'数据-取费表'!C42),C59+C60+C61),0)</f>
        <v>#N/A</v>
      </c>
      <c r="D58" s="776" t="s">
        <v>1944</v>
      </c>
      <c r="E58" s="808" t="s">
        <v>1945</v>
      </c>
      <c r="F58" s="809" t="str">
        <f ca="1">IF(项目基本情况!B11="企业","——",IF('数据-取费表'!B10="住宅",IF(F48*F49*F50/12/(1+'数据-取费表'!F30)&gt;100000,4%,2.5%),IF(F48*F49*F50/12/(1+'数据-取费表'!F30)&gt;100000,12%,7%)))</f>
        <v>——</v>
      </c>
      <c r="I58" s="947" t="s">
        <v>2056</v>
      </c>
      <c r="J58" s="949" t="e">
        <f ca="1">IF(J55&lt;0.4,0.4,J55)</f>
        <v>#N/A</v>
      </c>
      <c r="K58" s="921" t="s">
        <v>2057</v>
      </c>
      <c r="L58" s="924" t="e">
        <f ca="1">ROUND(POWER(1+L52,L47-L48)*(POWER(1+L52,L48)-1)/(POWER(1+L52,L47)-1),4)</f>
        <v>#N/A</v>
      </c>
      <c r="M58" s="716"/>
      <c r="O58" s="925" t="s">
        <v>2028</v>
      </c>
      <c r="P58" s="926" t="s">
        <v>2058</v>
      </c>
      <c r="Q58" s="960" t="e">
        <f ca="1">L60</f>
        <v>#N/A</v>
      </c>
      <c r="R58" s="962" t="s">
        <v>2059</v>
      </c>
    </row>
    <row r="59" s="632" customFormat="1" ht="28.5" customHeight="1" spans="1:18">
      <c r="A59" s="774" t="s">
        <v>879</v>
      </c>
      <c r="B59" s="738" t="s">
        <v>1946</v>
      </c>
      <c r="C59" s="125" t="e">
        <f ca="1">ROUND(C47*F59/1.05,1)</f>
        <v>#N/A</v>
      </c>
      <c r="D59" s="808" t="s">
        <v>1947</v>
      </c>
      <c r="E59" s="738" t="s">
        <v>1937</v>
      </c>
      <c r="F59" s="783">
        <f t="shared" ref="F59:F65" si="0">F32</f>
        <v>0.056</v>
      </c>
      <c r="I59" s="947" t="s">
        <v>2060</v>
      </c>
      <c r="J59" s="948" t="e">
        <f ca="1">IF(OR(M47="住宅",J51&lt;L48,J56="是"),"——",ROUND(C29*J58,0))</f>
        <v>#N/A</v>
      </c>
      <c r="K59" s="921" t="str">
        <f>IF(D1="——","建筑物剩余耐用年限下的土地年期修正系数Kn","建设期及建筑物耐用年限下的土地年期修正系数Kn")</f>
        <v>建设期及建筑物耐用年限下的土地年期修正系数Kn</v>
      </c>
      <c r="L59" s="924" t="e">
        <f ca="1">ROUND(IF(D1="土地（套用方法）",POWER(1+L52,L47-(J51+'数据-取费表'!B20))*(POWER(1+L52,(J51+'数据-取费表'!B20))-1)/(POWER(1+L52,L47)-1),POWER(1+L52,L47-J51)*(POWER(1+L52,J51)-1)/(POWER(1+L52,L47)-1)),4)</f>
        <v>#N/A</v>
      </c>
      <c r="M59" s="716"/>
      <c r="O59" s="931" t="s">
        <v>2033</v>
      </c>
      <c r="P59" s="926" t="s">
        <v>2062</v>
      </c>
      <c r="Q59" s="960">
        <f>IF(L55="比较法",L49,IF(L55="基准地价",L50,0))</f>
        <v>0</v>
      </c>
      <c r="R59" s="926" t="s">
        <v>2025</v>
      </c>
    </row>
    <row r="60" s="632" customFormat="1" ht="18" customHeight="1" spans="1:18">
      <c r="A60" s="774" t="s">
        <v>883</v>
      </c>
      <c r="B60" s="738" t="s">
        <v>1950</v>
      </c>
      <c r="C60" s="125" t="e">
        <f ca="1">IF(D60="按租金收入计税",ROUND(C48*F60/(1+'数据-取费表'!C42),1),IF(D60="按房产原值计税",ROUND(C56*F60*0.7,1),INDIRECT("'数据-取费表'!Aj"&amp;$G$1)))</f>
        <v>#N/A</v>
      </c>
      <c r="D60" s="808" t="str">
        <f>D33</f>
        <v>按租金收入计税</v>
      </c>
      <c r="E60" s="738" t="s">
        <v>1937</v>
      </c>
      <c r="F60" s="783">
        <f t="shared" si="0"/>
        <v>0.12</v>
      </c>
      <c r="I60" s="950" t="s">
        <v>2063</v>
      </c>
      <c r="J60" s="951" t="e">
        <f ca="1">IF(OR(M47="住宅",J51&lt;L48,J56="是"),"0",ROUND(J59/(1+J52)^J53,0))</f>
        <v>#N/A</v>
      </c>
      <c r="K60" s="952" t="s">
        <v>2064</v>
      </c>
      <c r="L60" s="951" t="e">
        <f ca="1">IF(OR(M47="住宅",L48&lt;J51),0,ROUND(L57*(L58/L59-1),0))</f>
        <v>#N/A</v>
      </c>
      <c r="M60" s="716"/>
      <c r="O60" s="931" t="s">
        <v>2037</v>
      </c>
      <c r="P60" s="926" t="s">
        <v>2065</v>
      </c>
      <c r="Q60" s="961">
        <f>L52</f>
        <v>0</v>
      </c>
      <c r="R60" s="962"/>
    </row>
    <row r="61" s="632" customFormat="1" ht="18" customHeight="1" spans="1:18">
      <c r="A61" s="787" t="s">
        <v>886</v>
      </c>
      <c r="B61" s="814" t="s">
        <v>1955</v>
      </c>
      <c r="C61" s="815" t="e">
        <f ca="1">ROUND(F61*F62/10000,1)</f>
        <v>#N/A</v>
      </c>
      <c r="D61" s="816" t="s">
        <v>1956</v>
      </c>
      <c r="E61" s="738" t="s">
        <v>1957</v>
      </c>
      <c r="F61" s="792">
        <f t="shared" si="0"/>
        <v>0</v>
      </c>
      <c r="K61" s="907"/>
      <c r="O61" s="931" t="s">
        <v>2040</v>
      </c>
      <c r="P61" s="926" t="s">
        <v>2066</v>
      </c>
      <c r="Q61" s="960" t="e">
        <f ca="1">L58</f>
        <v>#N/A</v>
      </c>
      <c r="R61" s="962" t="s">
        <v>2067</v>
      </c>
    </row>
    <row r="62" s="632" customFormat="1" ht="15.75" spans="1:18">
      <c r="A62" s="817"/>
      <c r="B62" s="818"/>
      <c r="C62" s="819"/>
      <c r="D62" s="820"/>
      <c r="E62" s="738" t="s">
        <v>1962</v>
      </c>
      <c r="F62" s="739" t="e">
        <f ca="1" t="shared" si="0"/>
        <v>#N/A</v>
      </c>
      <c r="I62" s="953" t="s">
        <v>2068</v>
      </c>
      <c r="J62" s="954" t="s">
        <v>2069</v>
      </c>
      <c r="K62" s="954" t="s">
        <v>2070</v>
      </c>
      <c r="L62" s="954" t="s">
        <v>2071</v>
      </c>
      <c r="M62" s="955" t="s">
        <v>2072</v>
      </c>
      <c r="O62" s="931" t="s">
        <v>2043</v>
      </c>
      <c r="P62" s="926" t="str">
        <f>K59</f>
        <v>建设期及建筑物耐用年限下的土地年期修正系数Kn</v>
      </c>
      <c r="Q62" s="960" t="e">
        <f ca="1">L59</f>
        <v>#N/A</v>
      </c>
      <c r="R62" s="962" t="s">
        <v>2074</v>
      </c>
    </row>
    <row r="63" s="632" customFormat="1" ht="15.75" spans="1:18">
      <c r="A63" s="779" t="s">
        <v>857</v>
      </c>
      <c r="B63" s="738" t="s">
        <v>1965</v>
      </c>
      <c r="C63" s="125" t="e">
        <f ca="1">ROUND(C56*F63,1)</f>
        <v>#N/A</v>
      </c>
      <c r="D63" s="808" t="s">
        <v>2001</v>
      </c>
      <c r="E63" s="738" t="s">
        <v>1937</v>
      </c>
      <c r="F63" s="821" t="e">
        <f ca="1" t="shared" si="0"/>
        <v>#N/A</v>
      </c>
      <c r="I63" s="953" t="s">
        <v>2075</v>
      </c>
      <c r="J63" s="954">
        <v>70</v>
      </c>
      <c r="K63" s="954">
        <v>50</v>
      </c>
      <c r="L63" s="954">
        <v>80</v>
      </c>
      <c r="M63" s="956">
        <v>0.02</v>
      </c>
      <c r="O63" s="925" t="s">
        <v>2046</v>
      </c>
      <c r="P63" s="926" t="s">
        <v>2047</v>
      </c>
      <c r="Q63" s="960" t="e">
        <f ca="1">Q57+Q58</f>
        <v>#N/A</v>
      </c>
      <c r="R63" s="962" t="s">
        <v>2048</v>
      </c>
    </row>
    <row r="64" s="632" customFormat="1" ht="16.5" spans="1:18">
      <c r="A64" s="779" t="s">
        <v>1061</v>
      </c>
      <c r="B64" s="738" t="s">
        <v>1969</v>
      </c>
      <c r="C64" s="125" t="e">
        <f ca="1">ROUND(C55*F64,1)</f>
        <v>#N/A</v>
      </c>
      <c r="D64" s="808" t="s">
        <v>1970</v>
      </c>
      <c r="E64" s="738" t="s">
        <v>1937</v>
      </c>
      <c r="F64" s="822" t="e">
        <f ca="1" t="shared" si="0"/>
        <v>#N/A</v>
      </c>
      <c r="I64" s="953" t="s">
        <v>2076</v>
      </c>
      <c r="J64" s="954">
        <v>50</v>
      </c>
      <c r="K64" s="954">
        <v>35</v>
      </c>
      <c r="L64" s="954">
        <v>60</v>
      </c>
      <c r="M64" s="904">
        <v>0</v>
      </c>
      <c r="O64" s="944" t="s">
        <v>2077</v>
      </c>
      <c r="P64" s="913"/>
      <c r="Q64" s="918"/>
      <c r="R64" s="913"/>
    </row>
    <row r="65" s="632" customFormat="1" ht="15.75" spans="1:18">
      <c r="A65" s="779" t="s">
        <v>2413</v>
      </c>
      <c r="B65" s="738" t="s">
        <v>1953</v>
      </c>
      <c r="C65" s="125" t="e">
        <f ca="1">ROUND(C47*F65,1)</f>
        <v>#N/A</v>
      </c>
      <c r="D65" s="808" t="s">
        <v>1973</v>
      </c>
      <c r="E65" s="738" t="s">
        <v>1937</v>
      </c>
      <c r="F65" s="750" t="e">
        <f ca="1" t="shared" si="0"/>
        <v>#N/A</v>
      </c>
      <c r="I65" s="953" t="s">
        <v>2078</v>
      </c>
      <c r="J65" s="954">
        <v>40</v>
      </c>
      <c r="K65" s="954">
        <v>30</v>
      </c>
      <c r="L65" s="954">
        <v>50</v>
      </c>
      <c r="M65" s="956">
        <v>0.02</v>
      </c>
      <c r="O65" s="919" t="s">
        <v>1318</v>
      </c>
      <c r="P65" s="920" t="s">
        <v>2018</v>
      </c>
      <c r="Q65" s="959" t="s">
        <v>2019</v>
      </c>
      <c r="R65" s="920" t="s">
        <v>2020</v>
      </c>
    </row>
    <row r="66" s="632" customFormat="1" ht="15.75" spans="1:18">
      <c r="A66" s="854" t="s">
        <v>2414</v>
      </c>
      <c r="B66" s="963" t="s">
        <v>1977</v>
      </c>
      <c r="C66" s="124" t="e">
        <f ca="1">C47-C57</f>
        <v>#N/A</v>
      </c>
      <c r="D66" s="776" t="s">
        <v>1978</v>
      </c>
      <c r="E66" s="964"/>
      <c r="F66" s="965"/>
      <c r="K66" s="907"/>
      <c r="O66" s="925" t="s">
        <v>2023</v>
      </c>
      <c r="P66" s="926" t="s">
        <v>2024</v>
      </c>
      <c r="Q66" s="960" t="e">
        <f ca="1">C40+J29</f>
        <v>#N/A</v>
      </c>
      <c r="R66" s="926" t="s">
        <v>2025</v>
      </c>
    </row>
    <row r="67" s="632" customFormat="1" ht="20.25" spans="1:18">
      <c r="A67" s="728" t="s">
        <v>2415</v>
      </c>
      <c r="B67" s="827" t="s">
        <v>2430</v>
      </c>
      <c r="C67" s="736" t="e">
        <f ca="1">ROUND(C66*(1-((1+F69)/(1+F67))^F68)/(F67-F69),0)</f>
        <v>#N/A</v>
      </c>
      <c r="D67" s="816" t="s">
        <v>1983</v>
      </c>
      <c r="E67" s="738" t="s">
        <v>1984</v>
      </c>
      <c r="F67" s="750" t="e">
        <f ca="1" t="shared" ref="F67:F70" si="1">F40</f>
        <v>#N/A</v>
      </c>
      <c r="K67" s="907"/>
      <c r="O67" s="925" t="s">
        <v>2028</v>
      </c>
      <c r="P67" s="926" t="s">
        <v>2058</v>
      </c>
      <c r="Q67" s="960" t="e">
        <f ca="1">L60</f>
        <v>#N/A</v>
      </c>
      <c r="R67" s="962" t="s">
        <v>2059</v>
      </c>
    </row>
    <row r="68" ht="24" spans="1:18">
      <c r="A68" s="748"/>
      <c r="B68" s="828"/>
      <c r="C68" s="743"/>
      <c r="D68" s="829" t="s">
        <v>1987</v>
      </c>
      <c r="E68" s="738" t="s">
        <v>1988</v>
      </c>
      <c r="F68" s="830">
        <f t="shared" si="1"/>
        <v>38</v>
      </c>
      <c r="O68" s="931" t="s">
        <v>2033</v>
      </c>
      <c r="P68" s="926" t="s">
        <v>2062</v>
      </c>
      <c r="Q68" s="967" t="e">
        <f ca="1">L51</f>
        <v>#N/A</v>
      </c>
      <c r="R68" s="968" t="s">
        <v>2079</v>
      </c>
    </row>
    <row r="69" ht="20.25" spans="1:18">
      <c r="A69" s="757"/>
      <c r="B69" s="831"/>
      <c r="C69" s="771"/>
      <c r="D69" s="820"/>
      <c r="E69" s="738" t="s">
        <v>1992</v>
      </c>
      <c r="F69" s="852"/>
      <c r="O69" s="931" t="s">
        <v>2037</v>
      </c>
      <c r="P69" s="966" t="s">
        <v>2080</v>
      </c>
      <c r="Q69" s="960" t="e">
        <f ca="1">ROUND(Q70-Q71*Q72,0)</f>
        <v>#N/A</v>
      </c>
      <c r="R69" s="962"/>
    </row>
    <row r="70" ht="15.75" spans="1:18">
      <c r="A70" s="803" t="s">
        <v>2421</v>
      </c>
      <c r="B70" s="832" t="s">
        <v>2434</v>
      </c>
      <c r="C70" s="833" t="e">
        <f ca="1">ROUND(C67*10000/F70,0)</f>
        <v>#N/A</v>
      </c>
      <c r="D70" s="834" t="s">
        <v>2435</v>
      </c>
      <c r="E70" s="835" t="s">
        <v>2436</v>
      </c>
      <c r="F70" s="836" t="e">
        <f ca="1" t="shared" si="1"/>
        <v>#N/A</v>
      </c>
      <c r="O70" s="931" t="s">
        <v>2081</v>
      </c>
      <c r="P70" s="966" t="s">
        <v>2082</v>
      </c>
      <c r="Q70" s="960" t="e">
        <f ca="1">C39</f>
        <v>#N/A</v>
      </c>
      <c r="R70" s="926" t="s">
        <v>2025</v>
      </c>
    </row>
    <row r="71" ht="15.75" spans="15:18">
      <c r="O71" s="931" t="s">
        <v>2083</v>
      </c>
      <c r="P71" s="966" t="s">
        <v>2084</v>
      </c>
      <c r="Q71" s="960" t="e">
        <f ca="1">C13</f>
        <v>#N/A</v>
      </c>
      <c r="R71" s="926" t="s">
        <v>2025</v>
      </c>
    </row>
    <row r="72" ht="15.75" spans="15:18">
      <c r="O72" s="931" t="s">
        <v>2085</v>
      </c>
      <c r="P72" s="966" t="s">
        <v>2086</v>
      </c>
      <c r="Q72" s="961" t="e">
        <f ca="1">J36</f>
        <v>#N/A</v>
      </c>
      <c r="R72" s="962"/>
    </row>
    <row r="73" ht="15.75" spans="15:18">
      <c r="O73" s="931" t="s">
        <v>2040</v>
      </c>
      <c r="P73" s="926" t="s">
        <v>2065</v>
      </c>
      <c r="Q73" s="961">
        <f>L52</f>
        <v>0</v>
      </c>
      <c r="R73" s="962"/>
    </row>
    <row r="74" ht="20.25" spans="15:18">
      <c r="O74" s="931" t="s">
        <v>2043</v>
      </c>
      <c r="P74" s="926" t="s">
        <v>2066</v>
      </c>
      <c r="Q74" s="960" t="e">
        <f ca="1">L58</f>
        <v>#N/A</v>
      </c>
      <c r="R74" s="962" t="s">
        <v>2067</v>
      </c>
    </row>
    <row r="75" ht="15.75" spans="15:18">
      <c r="O75" s="931" t="s">
        <v>2087</v>
      </c>
      <c r="P75" s="926" t="str">
        <f>K59</f>
        <v>建设期及建筑物耐用年限下的土地年期修正系数Kn</v>
      </c>
      <c r="Q75" s="960" t="e">
        <f ca="1">L59</f>
        <v>#N/A</v>
      </c>
      <c r="R75" s="962" t="s">
        <v>2074</v>
      </c>
    </row>
    <row r="76" ht="15.75" spans="15:18">
      <c r="O76" s="925" t="s">
        <v>2046</v>
      </c>
      <c r="P76" s="926" t="s">
        <v>2047</v>
      </c>
      <c r="Q76" s="960" t="e">
        <f ca="1">Q66+Q67</f>
        <v>#N/A</v>
      </c>
      <c r="R76" s="962" t="s">
        <v>2048</v>
      </c>
    </row>
  </sheetData>
  <sheetProtection formatCells="0" formatColumns="0" formatRows="0"/>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3">
    <cfRule type="expression" dxfId="13" priority="1">
      <formula>$F$52="自定义"</formula>
    </cfRule>
  </conditionalFormatting>
  <conditionalFormatting sqref="I55">
    <cfRule type="expression" dxfId="14" priority="7">
      <formula>$J$51&gt;$L$48</formula>
    </cfRule>
  </conditionalFormatting>
  <conditionalFormatting sqref="K55">
    <cfRule type="expression" dxfId="14" priority="6">
      <formula>$L$48&gt;$J$51</formula>
    </cfRule>
  </conditionalFormatting>
  <conditionalFormatting sqref="I60">
    <cfRule type="expression" dxfId="14" priority="5">
      <formula>$J$51&gt;$L$48</formula>
    </cfRule>
  </conditionalFormatting>
  <conditionalFormatting sqref="K60">
    <cfRule type="expression" dxfId="14"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7" right="0.7" top="0.75" bottom="0.75" header="0.3" footer="0.3"/>
  <pageSetup paperSize="9" scale="64" orientation="landscape"/>
  <headerFooter/>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76"/>
  <sheetViews>
    <sheetView view="pageBreakPreview" zoomScale="70" zoomScaleNormal="60" topLeftCell="A28" workbookViewId="0">
      <selection activeCell="L46" sqref="L46"/>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2445</v>
      </c>
      <c r="D1" s="710" t="s">
        <v>2405</v>
      </c>
      <c r="E1" s="711" t="s">
        <v>588</v>
      </c>
      <c r="F1" s="712" t="e">
        <f ca="1">J53</f>
        <v>#N/A</v>
      </c>
      <c r="G1" s="713" t="e">
        <f>MATCH(C1,'数据-取费表'!A6:A16,0)+5</f>
        <v>#N/A</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23" t="e">
        <f ca="1">C40+J29+L46</f>
        <v>#N/A</v>
      </c>
      <c r="C2" s="715"/>
      <c r="D2" s="716"/>
      <c r="E2" s="717"/>
      <c r="F2" s="717"/>
      <c r="G2" s="718"/>
      <c r="H2" s="719"/>
      <c r="I2" s="719"/>
      <c r="J2" s="719"/>
      <c r="K2" s="861"/>
      <c r="L2" s="719"/>
      <c r="M2" s="719"/>
    </row>
    <row r="3" ht="18" customHeight="1" spans="1:13">
      <c r="A3" s="720" t="s">
        <v>2350</v>
      </c>
      <c r="B3" s="721">
        <f ca="1">IF(ISERROR(B2*10000/F43),0,ROUND(B2*10000/F43,0))</f>
        <v>0</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t="e">
        <f ca="1">C6+C10+C12</f>
        <v>#N/A</v>
      </c>
      <c r="D5" s="731" t="s">
        <v>1918</v>
      </c>
      <c r="E5" s="732"/>
      <c r="F5" s="733"/>
      <c r="G5" s="727"/>
      <c r="H5" s="728">
        <v>1</v>
      </c>
      <c r="I5" s="729" t="s">
        <v>1917</v>
      </c>
      <c r="J5" s="730" t="e">
        <f ca="1">J6+J10+J12</f>
        <v>#N/A</v>
      </c>
      <c r="K5" s="731" t="s">
        <v>1918</v>
      </c>
      <c r="L5" s="732"/>
      <c r="M5" s="733"/>
    </row>
    <row r="6" ht="18" customHeight="1" spans="1:13">
      <c r="A6" s="734" t="s">
        <v>855</v>
      </c>
      <c r="B6" s="735" t="s">
        <v>1919</v>
      </c>
      <c r="C6" s="736" t="e">
        <f ca="1">ROUND(F6*F8*F7*(1-F9)/10000,0)</f>
        <v>#N/A</v>
      </c>
      <c r="D6" s="737" t="s">
        <v>2406</v>
      </c>
      <c r="E6" s="738" t="s">
        <v>1921</v>
      </c>
      <c r="F6" s="739" t="e">
        <f ca="1">INDIRECT("'数据-取费表'!u"&amp;$G$1)</f>
        <v>#N/A</v>
      </c>
      <c r="G6" s="727"/>
      <c r="H6" s="740" t="s">
        <v>855</v>
      </c>
      <c r="I6" s="735" t="s">
        <v>1919</v>
      </c>
      <c r="J6" s="736" t="e">
        <f ca="1">ROUND(M6*M8*M7*(1-M9)/10000,0)</f>
        <v>#N/A</v>
      </c>
      <c r="K6" s="814" t="s">
        <v>2407</v>
      </c>
      <c r="L6" s="738" t="s">
        <v>1921</v>
      </c>
      <c r="M6" s="739" t="e">
        <f ca="1">INDIRECT("'数据-取费表'!z"&amp;$G$1)</f>
        <v>#N/A</v>
      </c>
    </row>
    <row r="7" ht="18" customHeight="1" spans="1:13">
      <c r="A7" s="741"/>
      <c r="B7" s="742"/>
      <c r="C7" s="743"/>
      <c r="D7" s="744"/>
      <c r="E7" s="738" t="s">
        <v>1922</v>
      </c>
      <c r="F7" s="739" t="e">
        <f ca="1">IF(INDIRECT("'数据-取费表'!ah"&amp;$G$1)="",INDIRECT("'数据-取费表'!k"&amp;$G$1),INDIRECT("'数据-取费表'!ah"&amp;$G$1))</f>
        <v>#N/A</v>
      </c>
      <c r="G7" s="727"/>
      <c r="H7" s="745"/>
      <c r="I7" s="742"/>
      <c r="J7" s="743"/>
      <c r="K7" s="744"/>
      <c r="L7" s="738" t="s">
        <v>1922</v>
      </c>
      <c r="M7" s="739" t="e">
        <f ca="1">F7</f>
        <v>#N/A</v>
      </c>
    </row>
    <row r="8" ht="18" customHeight="1" spans="1:13">
      <c r="A8" s="746"/>
      <c r="B8" s="747"/>
      <c r="C8" s="743"/>
      <c r="D8" s="744"/>
      <c r="E8" s="738" t="s">
        <v>1923</v>
      </c>
      <c r="F8" s="739" t="e">
        <f ca="1">INDIRECT("'数据-取费表'!ai"&amp;$G$1)</f>
        <v>#N/A</v>
      </c>
      <c r="G8" s="727"/>
      <c r="H8" s="745"/>
      <c r="I8" s="747"/>
      <c r="J8" s="743"/>
      <c r="K8" s="744"/>
      <c r="L8" s="738" t="s">
        <v>1923</v>
      </c>
      <c r="M8" s="739" t="e">
        <f ca="1">INDIRECT("'数据-取费表'!ai"&amp;$G$1)</f>
        <v>#N/A</v>
      </c>
    </row>
    <row r="9" ht="18" customHeight="1" spans="1:13">
      <c r="A9" s="748"/>
      <c r="B9" s="749"/>
      <c r="C9" s="743"/>
      <c r="D9" s="744"/>
      <c r="E9" s="738" t="s">
        <v>1924</v>
      </c>
      <c r="F9" s="750" t="e">
        <f ca="1">INDIRECT("'数据-取费表'!w"&amp;$G$1)</f>
        <v>#N/A</v>
      </c>
      <c r="G9" s="727"/>
      <c r="H9" s="751"/>
      <c r="I9" s="747"/>
      <c r="J9" s="743"/>
      <c r="K9" s="744"/>
      <c r="L9" s="795" t="s">
        <v>1924</v>
      </c>
      <c r="M9" s="760" t="e">
        <f ca="1">INDIRECT("'数据-取费表'!ab"&amp;$G$1)</f>
        <v>#N/A</v>
      </c>
    </row>
    <row r="10" ht="18" customHeight="1" spans="1:13">
      <c r="A10" s="734" t="s">
        <v>857</v>
      </c>
      <c r="B10" s="752" t="s">
        <v>1925</v>
      </c>
      <c r="C10" s="124" t="e">
        <f ca="1">ROUND(IF(F10="押一",C6/12*F11,IF(F10="押二",C6/12*2*F11,IF(F10="押三",C6/12*3*F11,C11*F11))),0)</f>
        <v>#N/A</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771" t="e">
        <f ca="1">ROUND(C29*F13,0)</f>
        <v>#VALUE!</v>
      </c>
      <c r="D13" s="772" t="s">
        <v>2409</v>
      </c>
      <c r="E13" s="772" t="s">
        <v>1932</v>
      </c>
      <c r="F13" s="773" t="e">
        <f ca="1">INDIRECT("'数据-取费表'!y"&amp;$G$1)</f>
        <v>#N/A</v>
      </c>
      <c r="G13" s="727"/>
      <c r="H13" s="769">
        <v>2</v>
      </c>
      <c r="I13" s="770" t="s">
        <v>1933</v>
      </c>
      <c r="J13" s="869" t="e">
        <f ca="1">ROUND(J14*J15,0)</f>
        <v>#VALUE!</v>
      </c>
      <c r="K13" s="804" t="s">
        <v>1931</v>
      </c>
      <c r="L13" s="870"/>
      <c r="M13" s="871"/>
    </row>
    <row r="14" ht="18" customHeight="1" spans="1:13">
      <c r="A14" s="774" t="s">
        <v>879</v>
      </c>
      <c r="B14" s="738" t="s">
        <v>1068</v>
      </c>
      <c r="C14" s="1139" t="e">
        <f>'数据-取费表'!P7+ROUND('数据-取费表'!L21*'数据-取费表'!L14/10000,0)</f>
        <v>#VALUE!</v>
      </c>
      <c r="D14" s="776" t="s">
        <v>1934</v>
      </c>
      <c r="E14" s="777"/>
      <c r="F14" s="778"/>
      <c r="G14" s="727"/>
      <c r="H14" s="779" t="s">
        <v>855</v>
      </c>
      <c r="I14" s="856" t="s">
        <v>1935</v>
      </c>
      <c r="J14" s="125" t="e">
        <f ca="1">C29</f>
        <v>#VALUE!</v>
      </c>
      <c r="K14" s="857"/>
      <c r="L14" s="872"/>
      <c r="M14" s="873"/>
    </row>
    <row r="15" s="702" customFormat="1" ht="18" customHeight="1" spans="1:33">
      <c r="A15" s="774" t="s">
        <v>883</v>
      </c>
      <c r="B15" s="738" t="s">
        <v>1070</v>
      </c>
      <c r="C15" s="125" t="e">
        <f>ROUND(C14*F15,0)</f>
        <v>#VALUE!</v>
      </c>
      <c r="D15" s="780" t="s">
        <v>1936</v>
      </c>
      <c r="E15" s="780" t="s">
        <v>1937</v>
      </c>
      <c r="F15" s="781">
        <f>'数据-取费表'!B33</f>
        <v>0.03</v>
      </c>
      <c r="G15" s="782"/>
      <c r="H15" s="768" t="s">
        <v>857</v>
      </c>
      <c r="I15" s="801" t="s">
        <v>1932</v>
      </c>
      <c r="J15" s="874" t="e">
        <f ca="1">INDIRECT("'数据-取费表'!ad"&amp;$G$1)</f>
        <v>#N/A</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25" t="e">
        <f ca="1">ROUND(INDIRECT("'数据-取费表'!m"&amp;$G$1)*F16,0)</f>
        <v>#N/A</v>
      </c>
      <c r="D16" s="738" t="s">
        <v>1936</v>
      </c>
      <c r="E16" s="738" t="s">
        <v>1937</v>
      </c>
      <c r="F16" s="783" t="e">
        <f ca="1">IF(INDIRECT("'数据-取费表'!c"&amp;$G$1)="住宅",'数据-取费表'!B34,0)</f>
        <v>#N/A</v>
      </c>
      <c r="G16" s="727"/>
      <c r="H16" s="769" t="s">
        <v>1997</v>
      </c>
      <c r="I16" s="770" t="s">
        <v>1938</v>
      </c>
      <c r="J16" s="771" t="e">
        <f ca="1">ROUND(J17+J22+J23+J24,0)</f>
        <v>#N/A</v>
      </c>
      <c r="K16" s="804" t="s">
        <v>1939</v>
      </c>
      <c r="L16" s="805"/>
      <c r="M16" s="733"/>
    </row>
    <row r="17" s="702" customFormat="1" ht="18" customHeight="1" spans="1:33">
      <c r="A17" s="774" t="s">
        <v>2410</v>
      </c>
      <c r="B17" s="738" t="s">
        <v>1940</v>
      </c>
      <c r="C17" s="125" t="e">
        <f>ROUND(F17*('数据-汇总表'!E20+'数据-取费表'!L21)/10000,0)</f>
        <v>#VALUE!</v>
      </c>
      <c r="D17" s="738" t="s">
        <v>1941</v>
      </c>
      <c r="E17" s="738" t="s">
        <v>1942</v>
      </c>
      <c r="F17" s="784">
        <f>'数据-取费表'!B35</f>
        <v>305</v>
      </c>
      <c r="G17" s="782"/>
      <c r="H17" s="779" t="s">
        <v>855</v>
      </c>
      <c r="I17" s="738" t="s">
        <v>1943</v>
      </c>
      <c r="J17" s="807" t="e">
        <f ca="1">ROUND(IF(AND(项目基本情况!B11="自然人",项目基本情况!B10="北京市"),J6*M17/(1+'数据-取费表'!C42),J18+J19+J20),0)</f>
        <v>#N/A</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t="e">
        <f>ROUND(C14*F18,0)</f>
        <v>#VALUE!</v>
      </c>
      <c r="D18" s="738" t="s">
        <v>1936</v>
      </c>
      <c r="E18" s="738" t="s">
        <v>1937</v>
      </c>
      <c r="F18" s="783">
        <f>'数据-取费表'!B36</f>
        <v>0.015</v>
      </c>
      <c r="G18" s="782"/>
      <c r="H18" s="774" t="s">
        <v>879</v>
      </c>
      <c r="I18" s="738" t="s">
        <v>1946</v>
      </c>
      <c r="J18" s="125" t="e">
        <f ca="1">ROUND(J6*M18/(1+'数据-取费表'!C42),1)</f>
        <v>#N/A</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25" t="e">
        <f ca="1">SUM(C14:C18)</f>
        <v>#VALUE!</v>
      </c>
      <c r="D19" s="785" t="s">
        <v>1949</v>
      </c>
      <c r="E19" s="127"/>
      <c r="F19" s="784"/>
      <c r="G19" s="727"/>
      <c r="H19" s="774" t="s">
        <v>883</v>
      </c>
      <c r="I19" s="738" t="s">
        <v>1950</v>
      </c>
      <c r="J19" s="125" t="e">
        <f ca="1">IF(K19="按租金收入计税",ROUND(J6*M19/(1+'数据-取费表'!C42),1),ROUND(C29*F33*0.7,1))</f>
        <v>#VALUE!</v>
      </c>
      <c r="K19" s="812" t="s">
        <v>1951</v>
      </c>
      <c r="L19" s="738" t="s">
        <v>1937</v>
      </c>
      <c r="M19" s="783">
        <f>IF(K19="按租金收入计税",'数据-取费表'!B51,'数据-取费表'!B50)</f>
        <v>0.012</v>
      </c>
    </row>
    <row r="20" s="702" customFormat="1" ht="18" customHeight="1" spans="1:33">
      <c r="A20" s="779" t="s">
        <v>857</v>
      </c>
      <c r="B20" s="738" t="s">
        <v>1953</v>
      </c>
      <c r="C20" s="125" t="e">
        <f ca="1">ROUND(C19*F20,0)</f>
        <v>#VALUE!</v>
      </c>
      <c r="D20" s="786" t="s">
        <v>1954</v>
      </c>
      <c r="E20" s="738" t="s">
        <v>1937</v>
      </c>
      <c r="F20" s="783">
        <f>'数据-取费表'!B37</f>
        <v>0.03</v>
      </c>
      <c r="G20" s="782"/>
      <c r="H20" s="787" t="s">
        <v>886</v>
      </c>
      <c r="I20" s="814" t="s">
        <v>1955</v>
      </c>
      <c r="J20" s="815" t="e">
        <f ca="1">ROUND(M20*M21/10000,0)</f>
        <v>#N/A</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783">
        <f>'剩余法-待开发-住宅自持'!F24</f>
        <v>0.03</v>
      </c>
      <c r="G21" s="782"/>
      <c r="H21" s="789"/>
      <c r="I21" s="818"/>
      <c r="J21" s="819"/>
      <c r="K21" s="820"/>
      <c r="L21" s="738" t="s">
        <v>1962</v>
      </c>
      <c r="M21" s="739" t="e">
        <f ca="1">INDIRECT("'数据-取费表'!r"&amp;$G$1)</f>
        <v>#N/A</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t="e">
        <f ca="1">ROUND(J14*M22,0)</f>
        <v>#VALUE!</v>
      </c>
      <c r="K22" s="808" t="s">
        <v>1966</v>
      </c>
      <c r="L22" s="738" t="s">
        <v>1937</v>
      </c>
      <c r="M22" s="821" t="e">
        <f ca="1">INDIRECT("'数据-取费表'!Ak"&amp;$G$1)</f>
        <v>#N/A</v>
      </c>
    </row>
    <row r="23" s="702" customFormat="1" ht="18" customHeight="1" spans="1:33">
      <c r="A23" s="774" t="s">
        <v>879</v>
      </c>
      <c r="B23" s="738" t="s">
        <v>1967</v>
      </c>
      <c r="C23" s="125" t="e">
        <f ca="1">ROUND(IF('数据-取费表'!B22&lt;=1,(C19+C20)*F24*F23/2,(C19+C20)*(POWER((1+F24),F23/2)-1)),0)</f>
        <v>#VALUE!</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t="e">
        <f ca="1">ROUND(J13*M23,0)</f>
        <v>#VALUE!</v>
      </c>
      <c r="K23" s="808" t="s">
        <v>1970</v>
      </c>
      <c r="L23" s="738" t="s">
        <v>1937</v>
      </c>
      <c r="M23" s="822" t="e">
        <f ca="1">INDIRECT("'数据-取费表'!Al"&amp;$G$1)</f>
        <v>#N/A</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t="e">
        <f ca="1">ROUND(J5*M24,0)</f>
        <v>#N/A</v>
      </c>
      <c r="K24" s="800" t="s">
        <v>1973</v>
      </c>
      <c r="L24" s="801" t="s">
        <v>1937</v>
      </c>
      <c r="M24" s="767" t="e">
        <f ca="1">INDIRECT("'数据-取费表'!Am"&amp;$G$1)</f>
        <v>#N/A</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#N/A</v>
      </c>
      <c r="K25" s="824" t="s">
        <v>1978</v>
      </c>
      <c r="L25" s="825"/>
      <c r="M25" s="826"/>
    </row>
    <row r="26" ht="18" customHeight="1" spans="1:13">
      <c r="A26" s="774" t="s">
        <v>879</v>
      </c>
      <c r="B26" s="738" t="s">
        <v>1979</v>
      </c>
      <c r="C26" s="125" t="e">
        <f ca="1">ROUND((C19+C20)*F26,0)</f>
        <v>#VALUE!</v>
      </c>
      <c r="D26" s="786" t="s">
        <v>1980</v>
      </c>
      <c r="E26" s="795" t="s">
        <v>1981</v>
      </c>
      <c r="F26" s="750" t="e">
        <f ca="1">INDIRECT("'数据-取费表'!q"&amp;$G$1)</f>
        <v>#N/A</v>
      </c>
      <c r="G26" s="727"/>
      <c r="H26" s="796" t="s">
        <v>2415</v>
      </c>
      <c r="I26" s="827" t="s">
        <v>2416</v>
      </c>
      <c r="J26" s="736" t="e">
        <f ca="1">IF(J5&lt;&gt;0,ROUND(J25*(1-((1+M28)/(1+M26))^M27)/(M26-M28),0),0)</f>
        <v>#N/A</v>
      </c>
      <c r="K26" s="816" t="s">
        <v>1983</v>
      </c>
      <c r="L26" s="738" t="s">
        <v>2417</v>
      </c>
      <c r="M26" s="750" t="e">
        <f ca="1">INDIRECT("'数据-取费表'!I"&amp;$G$1)</f>
        <v>#N/A</v>
      </c>
    </row>
    <row r="27" ht="18" customHeight="1" spans="1:13">
      <c r="A27" s="774" t="s">
        <v>883</v>
      </c>
      <c r="B27" s="738" t="s">
        <v>1985</v>
      </c>
      <c r="C27" s="125" t="e">
        <f ca="1">ROUND(F21*F26,4)</f>
        <v>#N/A</v>
      </c>
      <c r="D27" s="786" t="s">
        <v>1986</v>
      </c>
      <c r="E27" s="780"/>
      <c r="F27" s="781"/>
      <c r="G27" s="727"/>
      <c r="H27" s="797"/>
      <c r="I27" s="828"/>
      <c r="J27" s="743"/>
      <c r="K27" s="829" t="s">
        <v>1987</v>
      </c>
      <c r="L27" s="738" t="s">
        <v>1988</v>
      </c>
      <c r="M27" s="830" t="e">
        <f ca="1">INDIRECT("'数据-取费表'!ag"&amp;$G$1)</f>
        <v>#N/A</v>
      </c>
    </row>
    <row r="28" s="702" customFormat="1" ht="18" customHeight="1" spans="1:33">
      <c r="A28" s="794" t="s">
        <v>913</v>
      </c>
      <c r="B28" s="738" t="s">
        <v>1990</v>
      </c>
      <c r="C28" s="125">
        <f>ROUND(F28/(1+'数据-取费表'!C42),4)</f>
        <v>0.0533</v>
      </c>
      <c r="D28" s="786" t="s">
        <v>2419</v>
      </c>
      <c r="E28" s="738" t="s">
        <v>1937</v>
      </c>
      <c r="F28" s="783">
        <f>'数据-取费表'!B41</f>
        <v>0.056</v>
      </c>
      <c r="G28" s="782"/>
      <c r="H28" s="769"/>
      <c r="I28" s="831"/>
      <c r="J28" s="771"/>
      <c r="K28" s="820"/>
      <c r="L28" s="738" t="s">
        <v>1992</v>
      </c>
      <c r="M28" s="750" t="e">
        <f ca="1">INDIRECT("'数据-取费表'!aa"&amp;$G$1)</f>
        <v>#N/A</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t="e">
        <f ca="1">ROUND((C19+C20+C23+C26)/(1-F21-C24-C27-C28),0)</f>
        <v>#VALUE!</v>
      </c>
      <c r="D29" s="800"/>
      <c r="E29" s="801"/>
      <c r="F29" s="802"/>
      <c r="G29" s="782"/>
      <c r="H29" s="803" t="s">
        <v>2421</v>
      </c>
      <c r="I29" s="832" t="s">
        <v>2422</v>
      </c>
      <c r="J29" s="833" t="e">
        <f ca="1">ROUND(J26/(1+F40)^F41,0)</f>
        <v>#N/A</v>
      </c>
      <c r="K29" s="834" t="s">
        <v>1996</v>
      </c>
      <c r="L29" s="835"/>
      <c r="M29" s="836" t="e">
        <f ca="1">INDIRECT("'数据-取费表'!k"&amp;$G$1)</f>
        <v>#N/A</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771" t="e">
        <f ca="1">ROUND(C31+C36+C37+C38,0)</f>
        <v>#N/A</v>
      </c>
      <c r="D30" s="804" t="s">
        <v>1939</v>
      </c>
      <c r="E30" s="805"/>
      <c r="F30" s="733"/>
      <c r="G30" s="727"/>
      <c r="H30" s="806"/>
      <c r="I30" s="879"/>
      <c r="J30" s="880"/>
      <c r="K30" s="183"/>
      <c r="L30" s="881"/>
      <c r="M30" s="882"/>
    </row>
    <row r="31" ht="18" customHeight="1" spans="1:13">
      <c r="A31" s="779" t="s">
        <v>855</v>
      </c>
      <c r="B31" s="738" t="s">
        <v>1943</v>
      </c>
      <c r="C31" s="807" t="e">
        <f ca="1">ROUND(IF(AND(项目基本情况!B11="自然人",项目基本情况!B10="北京市"),C6*F31/(1+'数据-取费表'!C42),C32+C33+C34),0)</f>
        <v>#N/A</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t="e">
        <f ca="1">ROUND(C6*F32/(1+'数据-取费表'!C42),1)</f>
        <v>#N/A</v>
      </c>
      <c r="D32" s="808" t="s">
        <v>1947</v>
      </c>
      <c r="E32" s="738" t="s">
        <v>1937</v>
      </c>
      <c r="F32" s="783">
        <f>'数据-取费表'!B41</f>
        <v>0.056</v>
      </c>
      <c r="G32" s="727"/>
      <c r="H32" s="811"/>
      <c r="I32" s="883"/>
      <c r="J32" s="884"/>
      <c r="K32" s="885"/>
      <c r="L32" s="886"/>
      <c r="M32" s="887"/>
    </row>
    <row r="33" ht="18" customHeight="1" spans="1:13">
      <c r="A33" s="774" t="s">
        <v>883</v>
      </c>
      <c r="B33" s="738" t="s">
        <v>1950</v>
      </c>
      <c r="C33" s="125" t="e">
        <f ca="1">IF(D33="按租金收入计税",ROUND(C6*F33/(1+'数据-取费表'!C42),1),IF(D33="按房产原值计税",ROUND(C29*F33*0.7,1),INDIRECT("'数据-取费表'!Aj"&amp;$G$1)))</f>
        <v>#N/A</v>
      </c>
      <c r="D33" s="812" t="s">
        <v>2423</v>
      </c>
      <c r="E33" s="738" t="s">
        <v>1937</v>
      </c>
      <c r="F33" s="783">
        <f>IF(D33="按租金收入计税",'数据-取费表'!B51,'数据-取费表'!B50)</f>
        <v>0.12</v>
      </c>
      <c r="G33" s="727"/>
      <c r="H33" s="813"/>
      <c r="I33" s="813"/>
      <c r="J33" s="813"/>
      <c r="K33" s="888"/>
      <c r="L33" s="813"/>
      <c r="M33" s="813"/>
    </row>
    <row r="34" ht="18" customHeight="1" spans="1:13">
      <c r="A34" s="787" t="s">
        <v>886</v>
      </c>
      <c r="B34" s="814" t="s">
        <v>1955</v>
      </c>
      <c r="C34" s="815" t="e">
        <f ca="1">ROUND(F34*F35/10000,1)</f>
        <v>#N/A</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t="e">
        <f ca="1">INDIRECT("'数据-取费表'!r"&amp;$G$1)</f>
        <v>#N/A</v>
      </c>
      <c r="G35" s="727"/>
      <c r="H35" s="806"/>
      <c r="I35" s="893" t="s">
        <v>2425</v>
      </c>
      <c r="J35" s="894" t="e">
        <f ca="1">ROUND(C13*J36,0)</f>
        <v>#VALUE!</v>
      </c>
      <c r="K35" s="888"/>
      <c r="L35" s="813"/>
      <c r="M35" s="813"/>
    </row>
    <row r="36" ht="18" customHeight="1" spans="1:13">
      <c r="A36" s="779" t="s">
        <v>857</v>
      </c>
      <c r="B36" s="738" t="s">
        <v>1965</v>
      </c>
      <c r="C36" s="125" t="e">
        <f ca="1">ROUND(C29*F36,1)</f>
        <v>#VALUE!</v>
      </c>
      <c r="D36" s="808" t="s">
        <v>2001</v>
      </c>
      <c r="E36" s="738" t="s">
        <v>1937</v>
      </c>
      <c r="F36" s="821" t="e">
        <f ca="1">INDIRECT("'数据-取费表'!Ak"&amp;$G$1)</f>
        <v>#N/A</v>
      </c>
      <c r="G36" s="727"/>
      <c r="H36" s="813"/>
      <c r="I36" s="895" t="s">
        <v>2426</v>
      </c>
      <c r="J36" s="896" t="e">
        <f ca="1">INDIRECT("'数据-取费表'!j"&amp;$G$1)</f>
        <v>#N/A</v>
      </c>
      <c r="K36" s="897"/>
      <c r="L36" s="813"/>
      <c r="M36" s="813"/>
    </row>
    <row r="37" ht="18" customHeight="1" spans="1:13">
      <c r="A37" s="779" t="s">
        <v>1061</v>
      </c>
      <c r="B37" s="738" t="s">
        <v>1969</v>
      </c>
      <c r="C37" s="125" t="e">
        <f ca="1">ROUND(C13*F37,1)</f>
        <v>#VALUE!</v>
      </c>
      <c r="D37" s="808" t="s">
        <v>1970</v>
      </c>
      <c r="E37" s="738" t="s">
        <v>1937</v>
      </c>
      <c r="F37" s="822" t="e">
        <f ca="1">INDIRECT("'数据-取费表'!Al"&amp;$G$1)</f>
        <v>#N/A</v>
      </c>
      <c r="G37" s="727"/>
      <c r="H37" s="813"/>
      <c r="I37" s="898" t="s">
        <v>2427</v>
      </c>
      <c r="J37" s="899"/>
      <c r="K37" s="897"/>
      <c r="L37" s="813"/>
      <c r="M37" s="813"/>
    </row>
    <row r="38" ht="18" customHeight="1" spans="1:13">
      <c r="A38" s="768" t="s">
        <v>2413</v>
      </c>
      <c r="B38" s="801" t="s">
        <v>1953</v>
      </c>
      <c r="C38" s="799" t="e">
        <f ca="1">ROUND(C5*F38,1)</f>
        <v>#N/A</v>
      </c>
      <c r="D38" s="800" t="s">
        <v>1973</v>
      </c>
      <c r="E38" s="801" t="s">
        <v>1937</v>
      </c>
      <c r="F38" s="767" t="e">
        <f ca="1">INDIRECT("'数据-取费表'!Am"&amp;$G$1)</f>
        <v>#N/A</v>
      </c>
      <c r="G38" s="727"/>
      <c r="H38" s="813"/>
      <c r="I38" s="900" t="s">
        <v>2428</v>
      </c>
      <c r="J38" s="901"/>
      <c r="K38" s="902"/>
      <c r="L38" s="813"/>
      <c r="M38" s="813"/>
    </row>
    <row r="39" ht="24.65" customHeight="1" spans="1:13">
      <c r="A39" s="769" t="s">
        <v>2414</v>
      </c>
      <c r="B39" s="823" t="s">
        <v>1977</v>
      </c>
      <c r="C39" s="771" t="e">
        <f ca="1">C5-C30</f>
        <v>#N/A</v>
      </c>
      <c r="D39" s="824" t="s">
        <v>1978</v>
      </c>
      <c r="E39" s="825"/>
      <c r="F39" s="826"/>
      <c r="G39" s="727"/>
      <c r="H39" s="813"/>
      <c r="I39" s="893" t="s">
        <v>2429</v>
      </c>
      <c r="J39" s="903" t="e">
        <f ca="1">ROUND(J35/C39,3)</f>
        <v>#VALUE!</v>
      </c>
      <c r="K39" s="902"/>
      <c r="L39" s="813"/>
      <c r="M39" s="813"/>
    </row>
    <row r="40" ht="18" customHeight="1" spans="1:13">
      <c r="A40" s="728" t="s">
        <v>2415</v>
      </c>
      <c r="B40" s="827" t="s">
        <v>2430</v>
      </c>
      <c r="C40" s="736" t="e">
        <f ca="1">ROUND(C39*(1-((1+F42)/(1+F40))^F41)/(F40-F42),0)</f>
        <v>#N/A</v>
      </c>
      <c r="D40" s="816" t="s">
        <v>1983</v>
      </c>
      <c r="E40" s="738" t="s">
        <v>2417</v>
      </c>
      <c r="F40" s="750" t="e">
        <f ca="1">INDIRECT("'数据-取费表'!I"&amp;$G$1)</f>
        <v>#N/A</v>
      </c>
      <c r="G40" s="727"/>
      <c r="H40" s="727"/>
      <c r="I40" s="893" t="s">
        <v>2431</v>
      </c>
      <c r="J40" s="903" t="e">
        <f ca="1">1-J39</f>
        <v>#VALUE!</v>
      </c>
      <c r="K40" s="902"/>
      <c r="L40" s="727"/>
      <c r="M40" s="727"/>
    </row>
    <row r="41" ht="18" customHeight="1" spans="1:13">
      <c r="A41" s="748"/>
      <c r="B41" s="828"/>
      <c r="C41" s="743"/>
      <c r="D41" s="829" t="s">
        <v>1987</v>
      </c>
      <c r="E41" s="738" t="s">
        <v>1988</v>
      </c>
      <c r="F41" s="830">
        <v>48</v>
      </c>
      <c r="G41" s="727"/>
      <c r="H41" s="183"/>
      <c r="I41" s="900" t="s">
        <v>2432</v>
      </c>
      <c r="J41" s="904"/>
      <c r="K41" s="897"/>
      <c r="L41" s="183"/>
      <c r="M41" s="183"/>
    </row>
    <row r="42" ht="18" customHeight="1" spans="1:13">
      <c r="A42" s="757"/>
      <c r="B42" s="831"/>
      <c r="C42" s="771"/>
      <c r="D42" s="820"/>
      <c r="E42" s="738" t="s">
        <v>1992</v>
      </c>
      <c r="F42" s="750" t="e">
        <f ca="1">INDIRECT("'数据-取费表'!v"&amp;$G$1)</f>
        <v>#N/A</v>
      </c>
      <c r="G42" s="727"/>
      <c r="H42" s="183"/>
      <c r="I42" s="905" t="s">
        <v>2433</v>
      </c>
      <c r="J42" s="903" t="e">
        <f ca="1">ROUND(C13/C40,3)</f>
        <v>#VALUE!</v>
      </c>
      <c r="K42" s="897"/>
      <c r="L42" s="183"/>
      <c r="M42" s="183"/>
    </row>
    <row r="43" ht="18" customHeight="1" spans="1:13">
      <c r="A43" s="803" t="s">
        <v>2421</v>
      </c>
      <c r="B43" s="832" t="s">
        <v>2434</v>
      </c>
      <c r="C43" s="833" t="e">
        <f ca="1">ROUND(C40*10000/F43,0)</f>
        <v>#N/A</v>
      </c>
      <c r="D43" s="834" t="s">
        <v>2435</v>
      </c>
      <c r="E43" s="835" t="s">
        <v>2436</v>
      </c>
      <c r="F43" s="836" t="e">
        <f ca="1">F7</f>
        <v>#N/A</v>
      </c>
      <c r="G43" s="727"/>
      <c r="H43" s="183"/>
      <c r="I43" s="905" t="s">
        <v>2437</v>
      </c>
      <c r="J43" s="906" t="e">
        <f ca="1">1-J42</f>
        <v>#VALUE!</v>
      </c>
      <c r="K43" s="897"/>
      <c r="L43" s="183"/>
      <c r="M43" s="183"/>
    </row>
    <row r="44" s="632" customFormat="1" ht="18" customHeight="1" spans="1:17">
      <c r="A44" s="837"/>
      <c r="B44" s="837"/>
      <c r="C44" s="838"/>
      <c r="D44" s="837"/>
      <c r="E44" s="837"/>
      <c r="F44" s="837"/>
      <c r="K44" s="907"/>
      <c r="Q44" s="706"/>
    </row>
    <row r="45" s="632" customFormat="1" ht="18" customHeight="1" spans="1:17">
      <c r="A45" s="837"/>
      <c r="B45" s="837"/>
      <c r="C45" s="838"/>
      <c r="D45" s="837"/>
      <c r="E45" s="837"/>
      <c r="F45" s="837"/>
      <c r="K45" s="907"/>
      <c r="Q45" s="706"/>
    </row>
    <row r="46" s="632" customFormat="1" ht="18" customHeight="1" spans="1:18">
      <c r="A46" s="839" t="s">
        <v>2438</v>
      </c>
      <c r="B46" s="837"/>
      <c r="C46" s="840" t="e">
        <f ca="1">C67-C40</f>
        <v>#N/A</v>
      </c>
      <c r="D46" s="841"/>
      <c r="E46" s="841"/>
      <c r="F46" s="841"/>
      <c r="I46" s="908" t="s">
        <v>2014</v>
      </c>
      <c r="J46" s="909"/>
      <c r="K46" s="910"/>
      <c r="L46" s="911">
        <f ca="1">IF(OR(M47="住宅",D1="土地（套用方法）"),0,IF(L48&gt;J51,L60,J60))</f>
        <v>0</v>
      </c>
      <c r="M46" s="716"/>
      <c r="O46" s="912" t="s">
        <v>2015</v>
      </c>
      <c r="P46" s="913"/>
      <c r="Q46" s="918"/>
      <c r="R46" s="913"/>
    </row>
    <row r="47" s="632" customFormat="1" ht="18" customHeight="1" spans="1:18">
      <c r="A47" s="842">
        <v>1</v>
      </c>
      <c r="B47" s="843" t="s">
        <v>2439</v>
      </c>
      <c r="C47" s="840" t="e">
        <f ca="1">C48+C52+C54</f>
        <v>#N/A</v>
      </c>
      <c r="D47" s="841"/>
      <c r="E47" s="841"/>
      <c r="F47" s="841"/>
      <c r="I47" s="914" t="s">
        <v>2016</v>
      </c>
      <c r="J47" s="915" t="s">
        <v>2076</v>
      </c>
      <c r="K47" s="916" t="s">
        <v>2017</v>
      </c>
      <c r="L47" s="917" t="e">
        <f ca="1">INDIRECT("'数据-取费表'!d"&amp;$G$1)</f>
        <v>#N/A</v>
      </c>
      <c r="M47" s="918" t="str">
        <f>IF(ISNUMBER(FIND("住宅",C1)),"住宅","非住宅")</f>
        <v>非住宅</v>
      </c>
      <c r="O47" s="919" t="s">
        <v>1318</v>
      </c>
      <c r="P47" s="920" t="s">
        <v>2018</v>
      </c>
      <c r="Q47" s="959" t="s">
        <v>2019</v>
      </c>
      <c r="R47" s="920" t="s">
        <v>2020</v>
      </c>
    </row>
    <row r="48" s="632" customFormat="1" ht="18" customHeight="1" spans="1:18">
      <c r="A48" s="844" t="s">
        <v>1124</v>
      </c>
      <c r="B48" s="845" t="s">
        <v>2440</v>
      </c>
      <c r="C48" s="846" t="e">
        <f ca="1">ROUND(F48*F50*F49*(1-F51)/10000,0)</f>
        <v>#N/A</v>
      </c>
      <c r="D48" s="847" t="s">
        <v>2407</v>
      </c>
      <c r="E48" s="848" t="s">
        <v>2441</v>
      </c>
      <c r="F48" s="849"/>
      <c r="G48" s="850"/>
      <c r="I48" s="921" t="s">
        <v>2021</v>
      </c>
      <c r="J48" s="922" t="s">
        <v>2071</v>
      </c>
      <c r="K48" s="923" t="s">
        <v>2022</v>
      </c>
      <c r="L48" s="924" t="e">
        <f ca="1">INDIRECT("'数据-取费表'!f"&amp;$G$1)</f>
        <v>#N/A</v>
      </c>
      <c r="M48" s="716"/>
      <c r="O48" s="925" t="s">
        <v>2023</v>
      </c>
      <c r="P48" s="926" t="s">
        <v>2024</v>
      </c>
      <c r="Q48" s="960" t="e">
        <f ca="1">C40+J29</f>
        <v>#N/A</v>
      </c>
      <c r="R48" s="926" t="s">
        <v>2025</v>
      </c>
    </row>
    <row r="49" s="632" customFormat="1" ht="18" customHeight="1" spans="1:18">
      <c r="A49" s="748"/>
      <c r="B49" s="828"/>
      <c r="C49" s="743"/>
      <c r="D49" s="744"/>
      <c r="E49" s="738" t="s">
        <v>1922</v>
      </c>
      <c r="F49" s="739" t="e">
        <f ca="1">F7</f>
        <v>#N/A</v>
      </c>
      <c r="G49" s="850"/>
      <c r="H49" s="851"/>
      <c r="I49" s="921" t="s">
        <v>2026</v>
      </c>
      <c r="J49" s="927"/>
      <c r="K49" s="928" t="s">
        <v>2027</v>
      </c>
      <c r="L49" s="929"/>
      <c r="M49" s="716"/>
      <c r="O49" s="925" t="s">
        <v>2028</v>
      </c>
      <c r="P49" s="926" t="s">
        <v>2029</v>
      </c>
      <c r="Q49" s="960" t="e">
        <f ca="1">J60</f>
        <v>#N/A</v>
      </c>
      <c r="R49" s="926" t="s">
        <v>2030</v>
      </c>
    </row>
    <row r="50" s="632" customFormat="1" ht="18" customHeight="1" spans="1:18">
      <c r="A50" s="748"/>
      <c r="B50" s="828"/>
      <c r="C50" s="743"/>
      <c r="D50" s="744"/>
      <c r="E50" s="738" t="s">
        <v>1923</v>
      </c>
      <c r="F50" s="739" t="e">
        <f ca="1">F8</f>
        <v>#N/A</v>
      </c>
      <c r="H50" s="851"/>
      <c r="I50" s="921" t="s">
        <v>2031</v>
      </c>
      <c r="J50" s="930">
        <f>SUMPRODUCT((I63:I65=J47)*(J62:L62=J48)*(J63:L65))</f>
        <v>60</v>
      </c>
      <c r="K50" s="928" t="s">
        <v>2032</v>
      </c>
      <c r="L50" s="929"/>
      <c r="M50" s="716"/>
      <c r="O50" s="931" t="s">
        <v>2033</v>
      </c>
      <c r="P50" s="926" t="s">
        <v>2034</v>
      </c>
      <c r="Q50" s="960" t="e">
        <f ca="1">C29</f>
        <v>#VALUE!</v>
      </c>
      <c r="R50" s="926" t="s">
        <v>2025</v>
      </c>
    </row>
    <row r="51" s="632" customFormat="1" ht="18" customHeight="1" spans="1:18">
      <c r="A51" s="748"/>
      <c r="B51" s="828"/>
      <c r="C51" s="743"/>
      <c r="D51" s="744"/>
      <c r="E51" s="738" t="s">
        <v>1924</v>
      </c>
      <c r="F51" s="852"/>
      <c r="H51" s="851"/>
      <c r="I51" s="932" t="s">
        <v>2035</v>
      </c>
      <c r="J51" s="924">
        <f>IF(J49="",J50,J49+J50-YEAR('数据-取费表'!B2))</f>
        <v>60</v>
      </c>
      <c r="K51" s="921" t="s">
        <v>2036</v>
      </c>
      <c r="L51" s="933" t="e">
        <f ca="1">ROUND(-PV(INDIRECT("'数据-取费表'!h"&amp;$G$1),J51,(C39-C13*J36),0),0)</f>
        <v>#N/A</v>
      </c>
      <c r="M51" s="716"/>
      <c r="O51" s="931" t="s">
        <v>2037</v>
      </c>
      <c r="P51" s="926" t="s">
        <v>2038</v>
      </c>
      <c r="Q51" s="961" t="e">
        <f ca="1">J58</f>
        <v>#N/A</v>
      </c>
      <c r="R51" s="962"/>
    </row>
    <row r="52" s="632" customFormat="1" ht="18" customHeight="1" spans="1:18">
      <c r="A52" s="728" t="s">
        <v>2442</v>
      </c>
      <c r="B52" s="752" t="s">
        <v>1925</v>
      </c>
      <c r="C52" s="124">
        <f ca="1">ROUND(IF(F52="押一",C48/12*F11,IF(F52="押二",C48/12*2*F11,IF(F52="押三",C48/12*3*F11,C53*F11))),0)</f>
        <v>0</v>
      </c>
      <c r="D52" s="753" t="s">
        <v>1926</v>
      </c>
      <c r="E52" s="754" t="s">
        <v>1927</v>
      </c>
      <c r="F52" s="755"/>
      <c r="I52" s="934" t="s">
        <v>2039</v>
      </c>
      <c r="J52" s="935"/>
      <c r="K52" s="934" t="s">
        <v>1188</v>
      </c>
      <c r="L52" s="935"/>
      <c r="M52" s="716"/>
      <c r="O52" s="931" t="s">
        <v>2040</v>
      </c>
      <c r="P52" s="926" t="s">
        <v>2041</v>
      </c>
      <c r="Q52" s="961">
        <f>J52</f>
        <v>0</v>
      </c>
      <c r="R52" s="962"/>
    </row>
    <row r="53" s="632" customFormat="1" ht="39.75" customHeight="1" spans="1:18">
      <c r="A53" s="748"/>
      <c r="B53" s="758" t="s">
        <v>1928</v>
      </c>
      <c r="C53" s="759"/>
      <c r="D53" s="753"/>
      <c r="E53" s="754"/>
      <c r="F53" s="853"/>
      <c r="I53" s="936" t="s">
        <v>2042</v>
      </c>
      <c r="J53" s="937" t="e">
        <f ca="1">IF(M47="住宅",IF(D1="——",MAX(J51,L48),MAX(J51,L48-'数据-取费表'!B20)),IF(D1="——",MIN(J51,L48),MIN(J51,L48-'数据-取费表'!B20)))</f>
        <v>#N/A</v>
      </c>
      <c r="K53" s="938" t="s">
        <v>2443</v>
      </c>
      <c r="L53" s="939"/>
      <c r="M53" s="716"/>
      <c r="O53" s="931" t="s">
        <v>2043</v>
      </c>
      <c r="P53" s="926" t="s">
        <v>2044</v>
      </c>
      <c r="Q53" s="960" t="e">
        <f ca="1">J53</f>
        <v>#N/A</v>
      </c>
      <c r="R53" s="926" t="s">
        <v>2045</v>
      </c>
    </row>
    <row r="54" s="632" customFormat="1" ht="18" customHeight="1" spans="1:18">
      <c r="A54" s="762" t="s">
        <v>1061</v>
      </c>
      <c r="B54" s="763" t="s">
        <v>1929</v>
      </c>
      <c r="C54" s="764"/>
      <c r="D54" s="753"/>
      <c r="E54" s="754"/>
      <c r="F54" s="853"/>
      <c r="I54" s="63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907"/>
      <c r="M54" s="716"/>
      <c r="O54" s="925" t="s">
        <v>2046</v>
      </c>
      <c r="P54" s="926" t="s">
        <v>2047</v>
      </c>
      <c r="Q54" s="960" t="e">
        <f ca="1">Q48+Q49</f>
        <v>#N/A</v>
      </c>
      <c r="R54" s="962" t="s">
        <v>2048</v>
      </c>
    </row>
    <row r="55" s="632" customFormat="1" ht="18" customHeight="1" spans="1:18">
      <c r="A55" s="854">
        <v>2</v>
      </c>
      <c r="B55" s="855" t="s">
        <v>1933</v>
      </c>
      <c r="C55" s="124" t="e">
        <f ca="1">C13</f>
        <v>#VALUE!</v>
      </c>
      <c r="D55" s="795"/>
      <c r="E55" s="795"/>
      <c r="F55" s="853"/>
      <c r="I55" s="940" t="s">
        <v>2049</v>
      </c>
      <c r="J55" s="941" t="e">
        <f ca="1">ROUND(IF(J47="钢混",J57/J50,1-(1-2%)*(J50-J57)/J50),3)</f>
        <v>#N/A</v>
      </c>
      <c r="K55" s="942" t="s">
        <v>2050</v>
      </c>
      <c r="L55" s="943"/>
      <c r="M55" s="716"/>
      <c r="O55" s="944" t="s">
        <v>2051</v>
      </c>
      <c r="P55" s="913"/>
      <c r="Q55" s="918"/>
      <c r="R55" s="913"/>
    </row>
    <row r="56" s="632" customFormat="1" ht="42.75" customHeight="1" spans="1:18">
      <c r="A56" s="794"/>
      <c r="B56" s="856" t="s">
        <v>1994</v>
      </c>
      <c r="C56" s="125" t="e">
        <f ca="1">C29</f>
        <v>#VALUE!</v>
      </c>
      <c r="D56" s="808"/>
      <c r="E56" s="738"/>
      <c r="F56" s="783"/>
      <c r="I56" s="945" t="s">
        <v>2052</v>
      </c>
      <c r="J56" s="946"/>
      <c r="K56" s="921" t="s">
        <v>2053</v>
      </c>
      <c r="L56" s="924" t="e">
        <f ca="1">IF(L48&lt;J51,"——",L48-J51)</f>
        <v>#N/A</v>
      </c>
      <c r="M56" s="716"/>
      <c r="O56" s="919" t="s">
        <v>1318</v>
      </c>
      <c r="P56" s="920" t="s">
        <v>2018</v>
      </c>
      <c r="Q56" s="959" t="s">
        <v>2019</v>
      </c>
      <c r="R56" s="920" t="s">
        <v>2020</v>
      </c>
    </row>
    <row r="57" s="632" customFormat="1" ht="28.5" customHeight="1" spans="1:18">
      <c r="A57" s="854" t="s">
        <v>1997</v>
      </c>
      <c r="B57" s="855" t="s">
        <v>1938</v>
      </c>
      <c r="C57" s="124" t="e">
        <f ca="1">ROUND(C58+C63+C64+C65,0)</f>
        <v>#N/A</v>
      </c>
      <c r="D57" s="857" t="s">
        <v>1939</v>
      </c>
      <c r="E57" s="127"/>
      <c r="F57" s="784"/>
      <c r="I57" s="947" t="s">
        <v>2054</v>
      </c>
      <c r="J57" s="948" t="e">
        <f ca="1">IF(OR(M47="住宅",J51&lt;L48,J56="是"),"——",J51-L48)</f>
        <v>#N/A</v>
      </c>
      <c r="K57" s="921" t="s">
        <v>2055</v>
      </c>
      <c r="L57" s="924" t="e">
        <f ca="1">IF(L48&lt;J51,"——",IF(L55="比较法",L49,IF(L55="基准地价",L50,L51)))</f>
        <v>#N/A</v>
      </c>
      <c r="M57" s="716"/>
      <c r="O57" s="925" t="s">
        <v>2023</v>
      </c>
      <c r="P57" s="926" t="s">
        <v>2024</v>
      </c>
      <c r="Q57" s="960" t="e">
        <f ca="1">C40+J29</f>
        <v>#N/A</v>
      </c>
      <c r="R57" s="926" t="s">
        <v>2025</v>
      </c>
    </row>
    <row r="58" s="632" customFormat="1" ht="28.5" customHeight="1" spans="1:18">
      <c r="A58" s="779" t="s">
        <v>855</v>
      </c>
      <c r="B58" s="738" t="s">
        <v>1943</v>
      </c>
      <c r="C58" s="807" t="e">
        <f ca="1">ROUND(IF(AND(项目基本情况!B11="自然人",项目基本情况!B10="北京市"),C48*F58/(1+'数据-取费表'!C42),C59+C60+C61),0)</f>
        <v>#N/A</v>
      </c>
      <c r="D58" s="776" t="s">
        <v>1944</v>
      </c>
      <c r="E58" s="808" t="s">
        <v>1945</v>
      </c>
      <c r="F58" s="809" t="str">
        <f ca="1">IF(项目基本情况!B11="企业","——",IF('数据-取费表'!B10="住宅",IF(F48*F49*F50/12/(1+'数据-取费表'!F30)&gt;100000,4%,2.5%),IF(F48*F49*F50/12/(1+'数据-取费表'!F30)&gt;100000,12%,7%)))</f>
        <v>——</v>
      </c>
      <c r="I58" s="947" t="s">
        <v>2056</v>
      </c>
      <c r="J58" s="949" t="e">
        <f ca="1">IF(J55&lt;0.4,0.4,J55)</f>
        <v>#N/A</v>
      </c>
      <c r="K58" s="921" t="s">
        <v>2057</v>
      </c>
      <c r="L58" s="924" t="e">
        <f ca="1">ROUND(POWER(1+L52,L47-L48)*(POWER(1+L52,L48)-1)/(POWER(1+L52,L47)-1),4)</f>
        <v>#N/A</v>
      </c>
      <c r="M58" s="716"/>
      <c r="O58" s="925" t="s">
        <v>2028</v>
      </c>
      <c r="P58" s="926" t="s">
        <v>2058</v>
      </c>
      <c r="Q58" s="960" t="e">
        <f ca="1">L60</f>
        <v>#N/A</v>
      </c>
      <c r="R58" s="962" t="s">
        <v>2059</v>
      </c>
    </row>
    <row r="59" s="632" customFormat="1" ht="28.5" customHeight="1" spans="1:18">
      <c r="A59" s="774" t="s">
        <v>879</v>
      </c>
      <c r="B59" s="738" t="s">
        <v>1946</v>
      </c>
      <c r="C59" s="125" t="e">
        <f ca="1">ROUND(C47*F59/1.05,1)</f>
        <v>#N/A</v>
      </c>
      <c r="D59" s="808" t="s">
        <v>1947</v>
      </c>
      <c r="E59" s="738" t="s">
        <v>1937</v>
      </c>
      <c r="F59" s="783">
        <f t="shared" ref="F59:F65" si="0">F32</f>
        <v>0.056</v>
      </c>
      <c r="I59" s="947" t="s">
        <v>2060</v>
      </c>
      <c r="J59" s="948" t="e">
        <f ca="1">IF(OR(M47="住宅",J51&lt;L48,J56="是"),"——",ROUND(C29*J58,0))</f>
        <v>#N/A</v>
      </c>
      <c r="K59" s="921" t="str">
        <f>IF(D1="——","建筑物剩余耐用年限下的土地年期修正系数Kn","建设期及建筑物耐用年限下的土地年期修正系数Kn")</f>
        <v>建设期及建筑物耐用年限下的土地年期修正系数Kn</v>
      </c>
      <c r="L59" s="924" t="e">
        <f ca="1">ROUND(IF(D1="土地（套用方法）",POWER(1+L52,L47-(J51+'数据-取费表'!B20))*(POWER(1+L52,(J51+'数据-取费表'!B20))-1)/(POWER(1+L52,L47)-1),POWER(1+L52,L47-J51)*(POWER(1+L52,J51)-1)/(POWER(1+L52,L47)-1)),4)</f>
        <v>#N/A</v>
      </c>
      <c r="M59" s="716"/>
      <c r="O59" s="931" t="s">
        <v>2033</v>
      </c>
      <c r="P59" s="926" t="s">
        <v>2062</v>
      </c>
      <c r="Q59" s="960">
        <f>IF(L55="比较法",L49,IF(L55="基准地价",L50,0))</f>
        <v>0</v>
      </c>
      <c r="R59" s="926" t="s">
        <v>2025</v>
      </c>
    </row>
    <row r="60" s="632" customFormat="1" ht="18" customHeight="1" spans="1:18">
      <c r="A60" s="774" t="s">
        <v>883</v>
      </c>
      <c r="B60" s="738" t="s">
        <v>1950</v>
      </c>
      <c r="C60" s="125" t="e">
        <f ca="1">IF(D60="按租金收入计税",ROUND(C48*F60/(1+'数据-取费表'!C42),1),IF(D60="按房产原值计税",ROUND(C56*F60*0.7,1),INDIRECT("'数据-取费表'!Aj"&amp;$G$1)))</f>
        <v>#N/A</v>
      </c>
      <c r="D60" s="808" t="str">
        <f>D33</f>
        <v>按租金收入计税</v>
      </c>
      <c r="E60" s="738" t="s">
        <v>1937</v>
      </c>
      <c r="F60" s="783">
        <f t="shared" si="0"/>
        <v>0.12</v>
      </c>
      <c r="I60" s="950" t="s">
        <v>2063</v>
      </c>
      <c r="J60" s="951" t="e">
        <f ca="1">IF(OR(M47="住宅",J51&lt;L48,J56="是"),"0",ROUND(J59/(1+J52)^J53,0))</f>
        <v>#N/A</v>
      </c>
      <c r="K60" s="952" t="s">
        <v>2064</v>
      </c>
      <c r="L60" s="951" t="e">
        <f ca="1">IF(OR(M47="住宅",L48&lt;J51),0,ROUND(L57*(L58/L59-1),0))</f>
        <v>#N/A</v>
      </c>
      <c r="M60" s="716"/>
      <c r="O60" s="931" t="s">
        <v>2037</v>
      </c>
      <c r="P60" s="926" t="s">
        <v>2065</v>
      </c>
      <c r="Q60" s="961">
        <f>L52</f>
        <v>0</v>
      </c>
      <c r="R60" s="962"/>
    </row>
    <row r="61" s="632" customFormat="1" ht="18" customHeight="1" spans="1:18">
      <c r="A61" s="787" t="s">
        <v>886</v>
      </c>
      <c r="B61" s="814" t="s">
        <v>1955</v>
      </c>
      <c r="C61" s="815" t="e">
        <f ca="1">ROUND(F61*F62/10000,1)</f>
        <v>#N/A</v>
      </c>
      <c r="D61" s="816" t="s">
        <v>1956</v>
      </c>
      <c r="E61" s="738" t="s">
        <v>1957</v>
      </c>
      <c r="F61" s="792">
        <f t="shared" si="0"/>
        <v>0</v>
      </c>
      <c r="K61" s="907"/>
      <c r="O61" s="931" t="s">
        <v>2040</v>
      </c>
      <c r="P61" s="926" t="s">
        <v>2066</v>
      </c>
      <c r="Q61" s="960" t="e">
        <f ca="1">L58</f>
        <v>#N/A</v>
      </c>
      <c r="R61" s="962" t="s">
        <v>2067</v>
      </c>
    </row>
    <row r="62" s="632" customFormat="1" ht="15.75" spans="1:18">
      <c r="A62" s="817"/>
      <c r="B62" s="818"/>
      <c r="C62" s="819"/>
      <c r="D62" s="820"/>
      <c r="E62" s="738" t="s">
        <v>1962</v>
      </c>
      <c r="F62" s="739" t="e">
        <f ca="1" t="shared" si="0"/>
        <v>#N/A</v>
      </c>
      <c r="I62" s="953" t="s">
        <v>2068</v>
      </c>
      <c r="J62" s="954" t="s">
        <v>2069</v>
      </c>
      <c r="K62" s="954" t="s">
        <v>2070</v>
      </c>
      <c r="L62" s="954" t="s">
        <v>2071</v>
      </c>
      <c r="M62" s="955" t="s">
        <v>2072</v>
      </c>
      <c r="O62" s="931" t="s">
        <v>2043</v>
      </c>
      <c r="P62" s="926" t="str">
        <f>K59</f>
        <v>建设期及建筑物耐用年限下的土地年期修正系数Kn</v>
      </c>
      <c r="Q62" s="960" t="e">
        <f ca="1">L59</f>
        <v>#N/A</v>
      </c>
      <c r="R62" s="962" t="s">
        <v>2074</v>
      </c>
    </row>
    <row r="63" s="632" customFormat="1" ht="15.75" spans="1:18">
      <c r="A63" s="779" t="s">
        <v>857</v>
      </c>
      <c r="B63" s="738" t="s">
        <v>1965</v>
      </c>
      <c r="C63" s="125" t="e">
        <f ca="1">ROUND(C56*F63,1)</f>
        <v>#VALUE!</v>
      </c>
      <c r="D63" s="808" t="s">
        <v>2001</v>
      </c>
      <c r="E63" s="738" t="s">
        <v>1937</v>
      </c>
      <c r="F63" s="821" t="e">
        <f ca="1" t="shared" si="0"/>
        <v>#N/A</v>
      </c>
      <c r="I63" s="953" t="s">
        <v>2075</v>
      </c>
      <c r="J63" s="954">
        <v>70</v>
      </c>
      <c r="K63" s="954">
        <v>50</v>
      </c>
      <c r="L63" s="954">
        <v>80</v>
      </c>
      <c r="M63" s="956">
        <v>0.02</v>
      </c>
      <c r="O63" s="925" t="s">
        <v>2046</v>
      </c>
      <c r="P63" s="926" t="s">
        <v>2047</v>
      </c>
      <c r="Q63" s="960" t="e">
        <f ca="1">Q57+Q58</f>
        <v>#N/A</v>
      </c>
      <c r="R63" s="962" t="s">
        <v>2048</v>
      </c>
    </row>
    <row r="64" s="632" customFormat="1" ht="16.5" spans="1:18">
      <c r="A64" s="779" t="s">
        <v>1061</v>
      </c>
      <c r="B64" s="738" t="s">
        <v>1969</v>
      </c>
      <c r="C64" s="125" t="e">
        <f ca="1">ROUND(C55*F64,1)</f>
        <v>#VALUE!</v>
      </c>
      <c r="D64" s="808" t="s">
        <v>1970</v>
      </c>
      <c r="E64" s="738" t="s">
        <v>1937</v>
      </c>
      <c r="F64" s="822" t="e">
        <f ca="1" t="shared" si="0"/>
        <v>#N/A</v>
      </c>
      <c r="I64" s="953" t="s">
        <v>2076</v>
      </c>
      <c r="J64" s="954">
        <v>50</v>
      </c>
      <c r="K64" s="954">
        <v>35</v>
      </c>
      <c r="L64" s="954">
        <v>60</v>
      </c>
      <c r="M64" s="904">
        <v>0</v>
      </c>
      <c r="O64" s="944" t="s">
        <v>2077</v>
      </c>
      <c r="P64" s="913"/>
      <c r="Q64" s="918"/>
      <c r="R64" s="913"/>
    </row>
    <row r="65" s="632" customFormat="1" ht="15.75" spans="1:18">
      <c r="A65" s="779" t="s">
        <v>2413</v>
      </c>
      <c r="B65" s="738" t="s">
        <v>1953</v>
      </c>
      <c r="C65" s="125" t="e">
        <f ca="1">ROUND(C47*F65,1)</f>
        <v>#N/A</v>
      </c>
      <c r="D65" s="808" t="s">
        <v>1973</v>
      </c>
      <c r="E65" s="738" t="s">
        <v>1937</v>
      </c>
      <c r="F65" s="750" t="e">
        <f ca="1" t="shared" si="0"/>
        <v>#N/A</v>
      </c>
      <c r="I65" s="953" t="s">
        <v>2078</v>
      </c>
      <c r="J65" s="954">
        <v>40</v>
      </c>
      <c r="K65" s="954">
        <v>30</v>
      </c>
      <c r="L65" s="954">
        <v>50</v>
      </c>
      <c r="M65" s="956">
        <v>0.02</v>
      </c>
      <c r="O65" s="919" t="s">
        <v>1318</v>
      </c>
      <c r="P65" s="920" t="s">
        <v>2018</v>
      </c>
      <c r="Q65" s="959" t="s">
        <v>2019</v>
      </c>
      <c r="R65" s="920" t="s">
        <v>2020</v>
      </c>
    </row>
    <row r="66" s="632" customFormat="1" ht="15.75" spans="1:18">
      <c r="A66" s="854" t="s">
        <v>2414</v>
      </c>
      <c r="B66" s="963" t="s">
        <v>1977</v>
      </c>
      <c r="C66" s="124" t="e">
        <f ca="1">C47-C57</f>
        <v>#N/A</v>
      </c>
      <c r="D66" s="776" t="s">
        <v>1978</v>
      </c>
      <c r="E66" s="964"/>
      <c r="F66" s="965"/>
      <c r="K66" s="907"/>
      <c r="O66" s="925" t="s">
        <v>2023</v>
      </c>
      <c r="P66" s="926" t="s">
        <v>2024</v>
      </c>
      <c r="Q66" s="960" t="e">
        <f ca="1">C40+J29</f>
        <v>#N/A</v>
      </c>
      <c r="R66" s="926" t="s">
        <v>2025</v>
      </c>
    </row>
    <row r="67" s="632" customFormat="1" ht="20.25" spans="1:18">
      <c r="A67" s="728" t="s">
        <v>2415</v>
      </c>
      <c r="B67" s="827" t="s">
        <v>2430</v>
      </c>
      <c r="C67" s="736" t="e">
        <f ca="1">ROUND(C66*(1-((1+F69)/(1+F67))^F68)/(F67-F69),0)</f>
        <v>#N/A</v>
      </c>
      <c r="D67" s="816" t="s">
        <v>1983</v>
      </c>
      <c r="E67" s="738" t="s">
        <v>1984</v>
      </c>
      <c r="F67" s="750" t="e">
        <f ca="1" t="shared" ref="F67:F70" si="1">F40</f>
        <v>#N/A</v>
      </c>
      <c r="K67" s="907"/>
      <c r="O67" s="925" t="s">
        <v>2028</v>
      </c>
      <c r="P67" s="926" t="s">
        <v>2058</v>
      </c>
      <c r="Q67" s="960" t="e">
        <f ca="1">L60</f>
        <v>#N/A</v>
      </c>
      <c r="R67" s="962" t="s">
        <v>2059</v>
      </c>
    </row>
    <row r="68" ht="24" spans="1:18">
      <c r="A68" s="748"/>
      <c r="B68" s="828"/>
      <c r="C68" s="743"/>
      <c r="D68" s="829" t="s">
        <v>1987</v>
      </c>
      <c r="E68" s="738" t="s">
        <v>1988</v>
      </c>
      <c r="F68" s="830">
        <f t="shared" si="1"/>
        <v>48</v>
      </c>
      <c r="O68" s="931" t="s">
        <v>2033</v>
      </c>
      <c r="P68" s="926" t="s">
        <v>2062</v>
      </c>
      <c r="Q68" s="967" t="e">
        <f ca="1">L51</f>
        <v>#N/A</v>
      </c>
      <c r="R68" s="968" t="s">
        <v>2079</v>
      </c>
    </row>
    <row r="69" ht="20.25" spans="1:18">
      <c r="A69" s="757"/>
      <c r="B69" s="831"/>
      <c r="C69" s="771"/>
      <c r="D69" s="820"/>
      <c r="E69" s="738" t="s">
        <v>1992</v>
      </c>
      <c r="F69" s="852"/>
      <c r="O69" s="931" t="s">
        <v>2037</v>
      </c>
      <c r="P69" s="966" t="s">
        <v>2080</v>
      </c>
      <c r="Q69" s="960" t="e">
        <f ca="1">ROUND(Q70-Q71*Q72,0)</f>
        <v>#N/A</v>
      </c>
      <c r="R69" s="962"/>
    </row>
    <row r="70" ht="15.75" spans="1:18">
      <c r="A70" s="803" t="s">
        <v>2421</v>
      </c>
      <c r="B70" s="832" t="s">
        <v>2434</v>
      </c>
      <c r="C70" s="833" t="e">
        <f ca="1">ROUND(C67*10000/F70,0)</f>
        <v>#N/A</v>
      </c>
      <c r="D70" s="834" t="s">
        <v>2435</v>
      </c>
      <c r="E70" s="835" t="s">
        <v>2436</v>
      </c>
      <c r="F70" s="836" t="e">
        <f ca="1" t="shared" si="1"/>
        <v>#N/A</v>
      </c>
      <c r="O70" s="931" t="s">
        <v>2081</v>
      </c>
      <c r="P70" s="966" t="s">
        <v>2082</v>
      </c>
      <c r="Q70" s="960" t="e">
        <f ca="1">C39</f>
        <v>#N/A</v>
      </c>
      <c r="R70" s="926" t="s">
        <v>2025</v>
      </c>
    </row>
    <row r="71" ht="15.75" spans="15:18">
      <c r="O71" s="931" t="s">
        <v>2083</v>
      </c>
      <c r="P71" s="966" t="s">
        <v>2084</v>
      </c>
      <c r="Q71" s="960" t="e">
        <f ca="1">C13</f>
        <v>#VALUE!</v>
      </c>
      <c r="R71" s="926" t="s">
        <v>2025</v>
      </c>
    </row>
    <row r="72" ht="15.75" spans="15:18">
      <c r="O72" s="931" t="s">
        <v>2085</v>
      </c>
      <c r="P72" s="966" t="s">
        <v>2086</v>
      </c>
      <c r="Q72" s="961" t="e">
        <f ca="1">J36</f>
        <v>#N/A</v>
      </c>
      <c r="R72" s="962"/>
    </row>
    <row r="73" ht="15.75" spans="15:18">
      <c r="O73" s="931" t="s">
        <v>2040</v>
      </c>
      <c r="P73" s="926" t="s">
        <v>2065</v>
      </c>
      <c r="Q73" s="961">
        <f>L52</f>
        <v>0</v>
      </c>
      <c r="R73" s="962"/>
    </row>
    <row r="74" ht="20.25" spans="15:18">
      <c r="O74" s="931" t="s">
        <v>2043</v>
      </c>
      <c r="P74" s="926" t="s">
        <v>2066</v>
      </c>
      <c r="Q74" s="960" t="e">
        <f ca="1">L58</f>
        <v>#N/A</v>
      </c>
      <c r="R74" s="962" t="s">
        <v>2067</v>
      </c>
    </row>
    <row r="75" ht="15.75" spans="15:18">
      <c r="O75" s="931" t="s">
        <v>2087</v>
      </c>
      <c r="P75" s="926" t="str">
        <f>K59</f>
        <v>建设期及建筑物耐用年限下的土地年期修正系数Kn</v>
      </c>
      <c r="Q75" s="960" t="e">
        <f ca="1">L59</f>
        <v>#N/A</v>
      </c>
      <c r="R75" s="962" t="s">
        <v>2074</v>
      </c>
    </row>
    <row r="76" ht="15.75" spans="15:18">
      <c r="O76" s="925" t="s">
        <v>2046</v>
      </c>
      <c r="P76" s="926" t="s">
        <v>2047</v>
      </c>
      <c r="Q76" s="960" t="e">
        <f ca="1">Q66+Q67</f>
        <v>#N/A</v>
      </c>
      <c r="R76" s="962" t="s">
        <v>2048</v>
      </c>
    </row>
  </sheetData>
  <sheetProtection formatCells="0" formatColumns="0" formatRows="0"/>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3">
    <cfRule type="expression" dxfId="13" priority="1">
      <formula>$F$52="自定义"</formula>
    </cfRule>
  </conditionalFormatting>
  <conditionalFormatting sqref="I55">
    <cfRule type="expression" dxfId="14" priority="7">
      <formula>$J$51&gt;$L$48</formula>
    </cfRule>
  </conditionalFormatting>
  <conditionalFormatting sqref="K55">
    <cfRule type="expression" dxfId="14" priority="6">
      <formula>$L$48&gt;$J$51</formula>
    </cfRule>
  </conditionalFormatting>
  <conditionalFormatting sqref="I60">
    <cfRule type="expression" dxfId="14" priority="5">
      <formula>$J$51&gt;$L$48</formula>
    </cfRule>
  </conditionalFormatting>
  <conditionalFormatting sqref="K60">
    <cfRule type="expression" dxfId="14"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7" right="0.7" top="0.75" bottom="0.75" header="0.3" footer="0.3"/>
  <pageSetup paperSize="9" scale="64" orientation="landscape"/>
  <headerFooter/>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B153"/>
  <sheetViews>
    <sheetView topLeftCell="A67" workbookViewId="0">
      <selection activeCell="P312" sqref="P312"/>
    </sheetView>
  </sheetViews>
  <sheetFormatPr defaultColWidth="9" defaultRowHeight="13.5" outlineLevelCol="1"/>
  <sheetData>
    <row r="153" spans="2:2">
      <c r="B153" s="1138"/>
    </row>
  </sheetData>
  <pageMargins left="0.75" right="0.75" top="1" bottom="1" header="0.5" footer="0.5"/>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81"/>
  <sheetViews>
    <sheetView view="pageBreakPreview" zoomScale="85" zoomScaleNormal="60" workbookViewId="0">
      <selection activeCell="C29" sqref="C29"/>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2446</v>
      </c>
      <c r="D1" s="710" t="s">
        <v>2405</v>
      </c>
      <c r="E1" s="711" t="s">
        <v>588</v>
      </c>
      <c r="F1" s="712" t="e">
        <f ca="1">J58</f>
        <v>#N/A</v>
      </c>
      <c r="G1" s="713" t="e">
        <f>MATCH(C1,'数据-取费表'!A6:A16,0)+5</f>
        <v>#N/A</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101" t="e">
        <f ca="1">C46</f>
        <v>#N/A</v>
      </c>
      <c r="C2" s="715"/>
      <c r="D2" s="716"/>
      <c r="E2" s="717"/>
      <c r="F2" s="717"/>
      <c r="G2" s="718"/>
      <c r="H2" s="719"/>
      <c r="I2" s="719"/>
      <c r="J2" s="719"/>
      <c r="K2" s="861"/>
      <c r="L2" s="719"/>
      <c r="M2" s="719"/>
    </row>
    <row r="3" ht="18" customHeight="1" spans="1:13">
      <c r="A3" s="720" t="s">
        <v>2350</v>
      </c>
      <c r="B3" s="721">
        <f ca="1">IF(ISERROR(B2*10000/F43),0,ROUND(B2*10000/F43,0))</f>
        <v>0</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t="e">
        <f ca="1">C6+C10+C12</f>
        <v>#N/A</v>
      </c>
      <c r="D5" s="731" t="s">
        <v>1918</v>
      </c>
      <c r="E5" s="732"/>
      <c r="F5" s="733"/>
      <c r="G5" s="727"/>
      <c r="H5" s="728">
        <v>1</v>
      </c>
      <c r="I5" s="729" t="s">
        <v>1917</v>
      </c>
      <c r="J5" s="730" t="e">
        <f ca="1">J6+J10+J12</f>
        <v>#N/A</v>
      </c>
      <c r="K5" s="731" t="s">
        <v>1918</v>
      </c>
      <c r="L5" s="732"/>
      <c r="M5" s="733"/>
    </row>
    <row r="6" ht="18" customHeight="1" spans="1:13">
      <c r="A6" s="734" t="s">
        <v>855</v>
      </c>
      <c r="B6" s="735" t="s">
        <v>1919</v>
      </c>
      <c r="C6" s="736" t="e">
        <f ca="1">ROUND(F6*F8*F7*(1-F9)/10000,0)</f>
        <v>#N/A</v>
      </c>
      <c r="D6" s="737" t="s">
        <v>2406</v>
      </c>
      <c r="E6" s="738" t="s">
        <v>1921</v>
      </c>
      <c r="F6" s="739" t="e">
        <f ca="1">INDIRECT("'数据-取费表'!u"&amp;$G$1)</f>
        <v>#N/A</v>
      </c>
      <c r="G6" s="727"/>
      <c r="H6" s="740" t="s">
        <v>855</v>
      </c>
      <c r="I6" s="735" t="s">
        <v>1919</v>
      </c>
      <c r="J6" s="736" t="e">
        <f ca="1">ROUND(M6*M8*M7*(1-M9)/10000,0)</f>
        <v>#N/A</v>
      </c>
      <c r="K6" s="814" t="s">
        <v>2407</v>
      </c>
      <c r="L6" s="738" t="s">
        <v>1921</v>
      </c>
      <c r="M6" s="739" t="e">
        <f ca="1">INDIRECT("'数据-取费表'!z"&amp;$G$1)</f>
        <v>#N/A</v>
      </c>
    </row>
    <row r="7" ht="18" customHeight="1" spans="1:13">
      <c r="A7" s="741"/>
      <c r="B7" s="742"/>
      <c r="C7" s="743"/>
      <c r="D7" s="744"/>
      <c r="E7" s="738" t="s">
        <v>1922</v>
      </c>
      <c r="F7" s="739" t="e">
        <f ca="1">IF(INDIRECT("'数据-取费表'!ah"&amp;$G$1)="",INDIRECT("'数据-取费表'!k"&amp;$G$1),INDIRECT("'数据-取费表'!ah"&amp;$G$1))</f>
        <v>#N/A</v>
      </c>
      <c r="G7" s="727"/>
      <c r="H7" s="745"/>
      <c r="I7" s="742"/>
      <c r="J7" s="743"/>
      <c r="K7" s="744"/>
      <c r="L7" s="738" t="s">
        <v>1922</v>
      </c>
      <c r="M7" s="739" t="e">
        <f ca="1">F7</f>
        <v>#N/A</v>
      </c>
    </row>
    <row r="8" ht="18" customHeight="1" spans="1:13">
      <c r="A8" s="746"/>
      <c r="B8" s="747"/>
      <c r="C8" s="743"/>
      <c r="D8" s="744"/>
      <c r="E8" s="738" t="s">
        <v>1923</v>
      </c>
      <c r="F8" s="739" t="e">
        <f ca="1">INDIRECT("'数据-取费表'!ai"&amp;$G$1)</f>
        <v>#N/A</v>
      </c>
      <c r="G8" s="727"/>
      <c r="H8" s="745"/>
      <c r="I8" s="747"/>
      <c r="J8" s="743"/>
      <c r="K8" s="744"/>
      <c r="L8" s="738" t="s">
        <v>1923</v>
      </c>
      <c r="M8" s="739" t="e">
        <f ca="1">INDIRECT("'数据-取费表'!ai"&amp;$G$1)</f>
        <v>#N/A</v>
      </c>
    </row>
    <row r="9" ht="18" customHeight="1" spans="1:13">
      <c r="A9" s="748"/>
      <c r="B9" s="749"/>
      <c r="C9" s="743"/>
      <c r="D9" s="744"/>
      <c r="E9" s="738" t="s">
        <v>1924</v>
      </c>
      <c r="F9" s="750" t="e">
        <f ca="1">INDIRECT("'数据-取费表'!w"&amp;$G$1)</f>
        <v>#N/A</v>
      </c>
      <c r="G9" s="727"/>
      <c r="H9" s="751"/>
      <c r="I9" s="747"/>
      <c r="J9" s="743"/>
      <c r="K9" s="744"/>
      <c r="L9" s="795" t="s">
        <v>1924</v>
      </c>
      <c r="M9" s="760" t="e">
        <f ca="1">INDIRECT("'数据-取费表'!ab"&amp;$G$1)</f>
        <v>#N/A</v>
      </c>
    </row>
    <row r="10" ht="18" customHeight="1" spans="1:13">
      <c r="A10" s="734" t="s">
        <v>857</v>
      </c>
      <c r="B10" s="752" t="s">
        <v>1925</v>
      </c>
      <c r="C10" s="124" t="e">
        <f ca="1">ROUND(IF(F10="押一",C6/12*F11,IF(F10="押二",C6/12*2*F11,IF(F10="押三",C6/12*3*F11,C11*F11))),0)</f>
        <v>#N/A</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771" t="e">
        <f ca="1">ROUND(C29*F13,0)</f>
        <v>#N/A</v>
      </c>
      <c r="D13" s="772" t="s">
        <v>2409</v>
      </c>
      <c r="E13" s="772" t="s">
        <v>1932</v>
      </c>
      <c r="F13" s="773" t="e">
        <f ca="1">INDIRECT("'数据-取费表'!y"&amp;$G$1)</f>
        <v>#N/A</v>
      </c>
      <c r="G13" s="727"/>
      <c r="H13" s="769">
        <v>2</v>
      </c>
      <c r="I13" s="770" t="s">
        <v>1933</v>
      </c>
      <c r="J13" s="869" t="e">
        <f ca="1">ROUND(J14*J15,0)</f>
        <v>#N/A</v>
      </c>
      <c r="K13" s="804" t="s">
        <v>1931</v>
      </c>
      <c r="L13" s="870"/>
      <c r="M13" s="871"/>
    </row>
    <row r="14" ht="18" customHeight="1" spans="1:13">
      <c r="A14" s="774" t="s">
        <v>879</v>
      </c>
      <c r="B14" s="738" t="s">
        <v>1068</v>
      </c>
      <c r="C14" s="775">
        <f>'数据-取费表'!P16</f>
        <v>85860.48</v>
      </c>
      <c r="D14" s="776" t="s">
        <v>1934</v>
      </c>
      <c r="E14" s="777"/>
      <c r="F14" s="778"/>
      <c r="G14" s="727"/>
      <c r="H14" s="779" t="s">
        <v>855</v>
      </c>
      <c r="I14" s="856" t="s">
        <v>1935</v>
      </c>
      <c r="J14" s="125" t="e">
        <f ca="1">C29</f>
        <v>#N/A</v>
      </c>
      <c r="K14" s="857"/>
      <c r="L14" s="872"/>
      <c r="M14" s="873"/>
    </row>
    <row r="15" s="702" customFormat="1" ht="18" customHeight="1" spans="1:33">
      <c r="A15" s="774" t="s">
        <v>883</v>
      </c>
      <c r="B15" s="738" t="s">
        <v>1070</v>
      </c>
      <c r="C15" s="125">
        <f>ROUND(C14*F15,0)</f>
        <v>2576</v>
      </c>
      <c r="D15" s="780" t="s">
        <v>1936</v>
      </c>
      <c r="E15" s="780" t="s">
        <v>1937</v>
      </c>
      <c r="F15" s="781">
        <f>'数据-取费表'!B33</f>
        <v>0.03</v>
      </c>
      <c r="G15" s="782"/>
      <c r="H15" s="768" t="s">
        <v>857</v>
      </c>
      <c r="I15" s="801" t="s">
        <v>1932</v>
      </c>
      <c r="J15" s="874" t="e">
        <f ca="1">INDIRECT("'数据-取费表'!ad"&amp;$G$1)</f>
        <v>#N/A</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25" t="e">
        <f ca="1">ROUND(INDIRECT("'数据-取费表'!m"&amp;$G$1)*F16,0)</f>
        <v>#N/A</v>
      </c>
      <c r="D16" s="738" t="s">
        <v>1936</v>
      </c>
      <c r="E16" s="738" t="s">
        <v>1937</v>
      </c>
      <c r="F16" s="783" t="e">
        <f ca="1">IF(INDIRECT("'数据-取费表'!c"&amp;$G$1)="住宅",'数据-取费表'!B34,0)</f>
        <v>#N/A</v>
      </c>
      <c r="G16" s="727"/>
      <c r="H16" s="769" t="s">
        <v>1997</v>
      </c>
      <c r="I16" s="770" t="s">
        <v>1938</v>
      </c>
      <c r="J16" s="771" t="e">
        <f ca="1">ROUND(J17+J22+J23+J24,0)</f>
        <v>#N/A</v>
      </c>
      <c r="K16" s="804" t="s">
        <v>1939</v>
      </c>
      <c r="L16" s="805"/>
      <c r="M16" s="733"/>
    </row>
    <row r="17" s="702" customFormat="1" ht="18" customHeight="1" spans="1:33">
      <c r="A17" s="774" t="s">
        <v>2410</v>
      </c>
      <c r="B17" s="738" t="s">
        <v>1940</v>
      </c>
      <c r="C17" s="125" t="e">
        <f>ROUND(F17*'数据-汇总表'!F31/10000,0)</f>
        <v>#VALUE!</v>
      </c>
      <c r="D17" s="738" t="s">
        <v>1941</v>
      </c>
      <c r="E17" s="738" t="s">
        <v>1942</v>
      </c>
      <c r="F17" s="784">
        <f>'数据-取费表'!B35</f>
        <v>305</v>
      </c>
      <c r="G17" s="782"/>
      <c r="H17" s="779" t="s">
        <v>855</v>
      </c>
      <c r="I17" s="738" t="s">
        <v>1943</v>
      </c>
      <c r="J17" s="807" t="e">
        <f ca="1">ROUND(IF(AND(项目基本情况!B11="自然人",项目基本情况!B10="北京市"),J6*M17/(1+'数据-取费表'!C42),J18+J19+J20),0)</f>
        <v>#N/A</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f>ROUND(C14*F18,0)</f>
        <v>1288</v>
      </c>
      <c r="D18" s="738" t="s">
        <v>1936</v>
      </c>
      <c r="E18" s="738" t="s">
        <v>1937</v>
      </c>
      <c r="F18" s="783">
        <f>'数据-取费表'!B36</f>
        <v>0.015</v>
      </c>
      <c r="G18" s="782"/>
      <c r="H18" s="774" t="s">
        <v>879</v>
      </c>
      <c r="I18" s="738" t="s">
        <v>1946</v>
      </c>
      <c r="J18" s="125" t="e">
        <f ca="1">ROUND(J6*M18/(1+'数据-取费表'!C42),1)</f>
        <v>#N/A</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25" t="e">
        <f ca="1">SUM(C14:C18)</f>
        <v>#N/A</v>
      </c>
      <c r="D19" s="785" t="s">
        <v>1949</v>
      </c>
      <c r="E19" s="127"/>
      <c r="F19" s="784"/>
      <c r="G19" s="727"/>
      <c r="H19" s="774" t="s">
        <v>883</v>
      </c>
      <c r="I19" s="738" t="s">
        <v>1950</v>
      </c>
      <c r="J19" s="125" t="e">
        <f ca="1">IF(K19="按租金收入计税",ROUND(J6*M19/(1+'数据-取费表'!C42),1),ROUND(C29*F33*0.7,1))</f>
        <v>#N/A</v>
      </c>
      <c r="K19" s="812" t="s">
        <v>1951</v>
      </c>
      <c r="L19" s="738" t="s">
        <v>1937</v>
      </c>
      <c r="M19" s="783">
        <f>IF(K19="按租金收入计税",'数据-取费表'!B51,'数据-取费表'!B50)</f>
        <v>0.012</v>
      </c>
    </row>
    <row r="20" s="702" customFormat="1" ht="18" customHeight="1" spans="1:33">
      <c r="A20" s="779" t="s">
        <v>857</v>
      </c>
      <c r="B20" s="738" t="s">
        <v>1953</v>
      </c>
      <c r="C20" s="125" t="e">
        <f ca="1">ROUND(C19*F20,0)</f>
        <v>#N/A</v>
      </c>
      <c r="D20" s="786" t="s">
        <v>1954</v>
      </c>
      <c r="E20" s="738" t="s">
        <v>1937</v>
      </c>
      <c r="F20" s="783">
        <f>'数据-取费表'!B37</f>
        <v>0.03</v>
      </c>
      <c r="G20" s="782"/>
      <c r="H20" s="787" t="s">
        <v>886</v>
      </c>
      <c r="I20" s="814" t="s">
        <v>1955</v>
      </c>
      <c r="J20" s="815" t="e">
        <f ca="1">ROUND(M20*M21/10000,0)</f>
        <v>#N/A</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783">
        <f>'剩余法-待开发-住宅自持'!F24</f>
        <v>0.03</v>
      </c>
      <c r="G21" s="782"/>
      <c r="H21" s="789"/>
      <c r="I21" s="818"/>
      <c r="J21" s="819"/>
      <c r="K21" s="820"/>
      <c r="L21" s="738" t="s">
        <v>1962</v>
      </c>
      <c r="M21" s="739" t="e">
        <f ca="1">INDIRECT("'数据-取费表'!r"&amp;$G$1)</f>
        <v>#N/A</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t="e">
        <f ca="1">ROUND(J14*M22,0)</f>
        <v>#N/A</v>
      </c>
      <c r="K22" s="808" t="s">
        <v>1966</v>
      </c>
      <c r="L22" s="738" t="s">
        <v>1937</v>
      </c>
      <c r="M22" s="821" t="e">
        <f ca="1">INDIRECT("'数据-取费表'!Ak"&amp;$G$1)</f>
        <v>#N/A</v>
      </c>
    </row>
    <row r="23" s="702" customFormat="1" ht="18" customHeight="1" spans="1:33">
      <c r="A23" s="774" t="s">
        <v>879</v>
      </c>
      <c r="B23" s="738" t="s">
        <v>1967</v>
      </c>
      <c r="C23" s="125" t="e">
        <f ca="1">ROUND(IF('数据-取费表'!B22&lt;=1,(C19+C20)*F24*F23/2,(C19+C20)*(POWER((1+F24),F23/2)-1)),0)</f>
        <v>#N/A</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t="e">
        <f ca="1">ROUND(J13*M23,0)</f>
        <v>#N/A</v>
      </c>
      <c r="K23" s="808" t="s">
        <v>1970</v>
      </c>
      <c r="L23" s="738" t="s">
        <v>1937</v>
      </c>
      <c r="M23" s="822" t="e">
        <f ca="1">INDIRECT("'数据-取费表'!Al"&amp;$G$1)</f>
        <v>#N/A</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t="e">
        <f ca="1">ROUND(J5*M24,0)</f>
        <v>#N/A</v>
      </c>
      <c r="K24" s="800" t="s">
        <v>1973</v>
      </c>
      <c r="L24" s="801" t="s">
        <v>1937</v>
      </c>
      <c r="M24" s="767" t="e">
        <f ca="1">INDIRECT("'数据-取费表'!Am"&amp;$G$1)</f>
        <v>#N/A</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#N/A</v>
      </c>
      <c r="K25" s="824" t="s">
        <v>1978</v>
      </c>
      <c r="L25" s="825"/>
      <c r="M25" s="826"/>
    </row>
    <row r="26" ht="18" customHeight="1" spans="1:13">
      <c r="A26" s="774" t="s">
        <v>879</v>
      </c>
      <c r="B26" s="738" t="s">
        <v>1979</v>
      </c>
      <c r="C26" s="125" t="e">
        <f ca="1">ROUND((C19+C20)*F26,0)</f>
        <v>#N/A</v>
      </c>
      <c r="D26" s="786" t="s">
        <v>1980</v>
      </c>
      <c r="E26" s="795" t="s">
        <v>1981</v>
      </c>
      <c r="F26" s="750" t="e">
        <f ca="1">INDIRECT("'数据-取费表'!q"&amp;$G$1)</f>
        <v>#N/A</v>
      </c>
      <c r="G26" s="727"/>
      <c r="H26" s="796" t="s">
        <v>2415</v>
      </c>
      <c r="I26" s="827" t="s">
        <v>2416</v>
      </c>
      <c r="J26" s="736" t="e">
        <f ca="1">IF(J5&lt;&gt;0,ROUND(J25*(1-((1+M28)/(1+M26))^M27)/(M26-M28),0),0)</f>
        <v>#N/A</v>
      </c>
      <c r="K26" s="816" t="s">
        <v>1983</v>
      </c>
      <c r="L26" s="738" t="s">
        <v>2417</v>
      </c>
      <c r="M26" s="750" t="e">
        <f ca="1">INDIRECT("'数据-取费表'!I"&amp;$G$1)</f>
        <v>#N/A</v>
      </c>
    </row>
    <row r="27" ht="18" customHeight="1" spans="1:13">
      <c r="A27" s="774" t="s">
        <v>883</v>
      </c>
      <c r="B27" s="738" t="s">
        <v>1985</v>
      </c>
      <c r="C27" s="125" t="e">
        <f ca="1">ROUND(F21*F26,4)</f>
        <v>#N/A</v>
      </c>
      <c r="D27" s="786" t="s">
        <v>1986</v>
      </c>
      <c r="E27" s="780"/>
      <c r="F27" s="781"/>
      <c r="G27" s="727"/>
      <c r="H27" s="797"/>
      <c r="I27" s="828"/>
      <c r="J27" s="743"/>
      <c r="K27" s="829" t="s">
        <v>1987</v>
      </c>
      <c r="L27" s="738" t="s">
        <v>1988</v>
      </c>
      <c r="M27" s="830" t="e">
        <f ca="1">INDIRECT("'数据-取费表'!ag"&amp;$G$1)</f>
        <v>#N/A</v>
      </c>
    </row>
    <row r="28" s="702" customFormat="1" ht="18" customHeight="1" spans="1:33">
      <c r="A28" s="794" t="s">
        <v>913</v>
      </c>
      <c r="B28" s="738" t="s">
        <v>1990</v>
      </c>
      <c r="C28" s="125">
        <f>ROUND(F28/(1+'数据-取费表'!C42),4)</f>
        <v>0.0533</v>
      </c>
      <c r="D28" s="786" t="s">
        <v>2419</v>
      </c>
      <c r="E28" s="738" t="s">
        <v>1937</v>
      </c>
      <c r="F28" s="783">
        <f>'数据-取费表'!B41</f>
        <v>0.056</v>
      </c>
      <c r="G28" s="782"/>
      <c r="H28" s="769"/>
      <c r="I28" s="831"/>
      <c r="J28" s="771"/>
      <c r="K28" s="820"/>
      <c r="L28" s="738" t="s">
        <v>1992</v>
      </c>
      <c r="M28" s="750" t="e">
        <f ca="1">INDIRECT("'数据-取费表'!aa"&amp;$G$1)</f>
        <v>#N/A</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t="e">
        <f ca="1">ROUND((C19+C20+C23+C26)/(1-F21-C24-C27-C28),0)</f>
        <v>#N/A</v>
      </c>
      <c r="D29" s="800"/>
      <c r="E29" s="801"/>
      <c r="F29" s="802"/>
      <c r="G29" s="782"/>
      <c r="H29" s="803" t="s">
        <v>2421</v>
      </c>
      <c r="I29" s="832" t="s">
        <v>2422</v>
      </c>
      <c r="J29" s="833" t="e">
        <f ca="1">ROUND(J26/(1+F40)^F41,0)</f>
        <v>#N/A</v>
      </c>
      <c r="K29" s="834" t="s">
        <v>1996</v>
      </c>
      <c r="L29" s="835"/>
      <c r="M29" s="836" t="e">
        <f ca="1">INDIRECT("'数据-取费表'!k"&amp;$G$1)</f>
        <v>#N/A</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771" t="e">
        <f ca="1">ROUND(C31+C36+C37+C38,0)</f>
        <v>#N/A</v>
      </c>
      <c r="D30" s="804" t="s">
        <v>1939</v>
      </c>
      <c r="E30" s="805"/>
      <c r="F30" s="733"/>
      <c r="G30" s="727"/>
      <c r="H30" s="806"/>
      <c r="I30" s="879"/>
      <c r="J30" s="880"/>
      <c r="K30" s="183"/>
      <c r="L30" s="881"/>
      <c r="M30" s="882"/>
    </row>
    <row r="31" ht="18" customHeight="1" spans="1:13">
      <c r="A31" s="779" t="s">
        <v>855</v>
      </c>
      <c r="B31" s="738" t="s">
        <v>1943</v>
      </c>
      <c r="C31" s="807" t="e">
        <f ca="1">ROUND(IF(AND(项目基本情况!B11="自然人",项目基本情况!B10="北京市"),C6*F31/(1+'数据-取费表'!C42),C32+C33+C34),0)</f>
        <v>#N/A</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t="e">
        <f ca="1">ROUND(C6*F32/(1+'数据-取费表'!C42),1)</f>
        <v>#N/A</v>
      </c>
      <c r="D32" s="808" t="s">
        <v>1947</v>
      </c>
      <c r="E32" s="738" t="s">
        <v>1937</v>
      </c>
      <c r="F32" s="783">
        <f>'数据-取费表'!B41</f>
        <v>0.056</v>
      </c>
      <c r="G32" s="727"/>
      <c r="H32" s="811"/>
      <c r="I32" s="883"/>
      <c r="J32" s="884"/>
      <c r="K32" s="885"/>
      <c r="L32" s="886"/>
      <c r="M32" s="887"/>
    </row>
    <row r="33" ht="18" customHeight="1" spans="1:13">
      <c r="A33" s="774" t="s">
        <v>883</v>
      </c>
      <c r="B33" s="738" t="s">
        <v>1950</v>
      </c>
      <c r="C33" s="125" t="e">
        <f ca="1">IF(D33="按租金收入计税",ROUND(C6*F33/(1+'数据-取费表'!C42),1),IF(D33="按房产原值计税",ROUND(C29*F33*0.7,1),INDIRECT("'数据-取费表'!Aj"&amp;$G$1)))</f>
        <v>#N/A</v>
      </c>
      <c r="D33" s="812" t="s">
        <v>2423</v>
      </c>
      <c r="E33" s="738" t="s">
        <v>1937</v>
      </c>
      <c r="F33" s="783">
        <f>IF(D33="按租金收入计税",'数据-取费表'!B51,'数据-取费表'!B50)</f>
        <v>0.12</v>
      </c>
      <c r="G33" s="727"/>
      <c r="H33" s="813"/>
      <c r="I33" s="813"/>
      <c r="J33" s="813"/>
      <c r="K33" s="888"/>
      <c r="L33" s="813"/>
      <c r="M33" s="813"/>
    </row>
    <row r="34" ht="18" customHeight="1" spans="1:13">
      <c r="A34" s="787" t="s">
        <v>886</v>
      </c>
      <c r="B34" s="814" t="s">
        <v>1955</v>
      </c>
      <c r="C34" s="815" t="e">
        <f ca="1">ROUND(F34*F35/10000,1)</f>
        <v>#N/A</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t="e">
        <f ca="1">INDIRECT("'数据-取费表'!r"&amp;$G$1)</f>
        <v>#N/A</v>
      </c>
      <c r="G35" s="727"/>
      <c r="H35" s="806"/>
      <c r="I35" s="893" t="s">
        <v>2425</v>
      </c>
      <c r="J35" s="894" t="e">
        <f ca="1">ROUND(C13*J36,0)</f>
        <v>#N/A</v>
      </c>
      <c r="K35" s="888"/>
      <c r="L35" s="813"/>
      <c r="M35" s="813"/>
    </row>
    <row r="36" ht="18" customHeight="1" spans="1:13">
      <c r="A36" s="779" t="s">
        <v>857</v>
      </c>
      <c r="B36" s="738" t="s">
        <v>1965</v>
      </c>
      <c r="C36" s="125" t="e">
        <f ca="1">ROUND(C29*F36,1)</f>
        <v>#N/A</v>
      </c>
      <c r="D36" s="808" t="s">
        <v>2001</v>
      </c>
      <c r="E36" s="738" t="s">
        <v>1937</v>
      </c>
      <c r="F36" s="821" t="e">
        <f ca="1">INDIRECT("'数据-取费表'!Ak"&amp;$G$1)</f>
        <v>#N/A</v>
      </c>
      <c r="G36" s="727"/>
      <c r="H36" s="813"/>
      <c r="I36" s="895" t="s">
        <v>2426</v>
      </c>
      <c r="J36" s="896" t="e">
        <f ca="1">INDIRECT("'数据-取费表'!j"&amp;$G$1)</f>
        <v>#N/A</v>
      </c>
      <c r="K36" s="897"/>
      <c r="L36" s="813"/>
      <c r="M36" s="813"/>
    </row>
    <row r="37" ht="18" customHeight="1" spans="1:13">
      <c r="A37" s="779" t="s">
        <v>1061</v>
      </c>
      <c r="B37" s="738" t="s">
        <v>1969</v>
      </c>
      <c r="C37" s="125" t="e">
        <f ca="1">ROUND(C13*F37,1)</f>
        <v>#N/A</v>
      </c>
      <c r="D37" s="808" t="s">
        <v>1970</v>
      </c>
      <c r="E37" s="738" t="s">
        <v>1937</v>
      </c>
      <c r="F37" s="822" t="e">
        <f ca="1">INDIRECT("'数据-取费表'!Al"&amp;$G$1)</f>
        <v>#N/A</v>
      </c>
      <c r="G37" s="727"/>
      <c r="H37" s="813"/>
      <c r="I37" s="898" t="s">
        <v>2427</v>
      </c>
      <c r="J37" s="899"/>
      <c r="K37" s="897"/>
      <c r="L37" s="813"/>
      <c r="M37" s="813"/>
    </row>
    <row r="38" ht="18" customHeight="1" spans="1:13">
      <c r="A38" s="768" t="s">
        <v>2413</v>
      </c>
      <c r="B38" s="801" t="s">
        <v>1953</v>
      </c>
      <c r="C38" s="799" t="e">
        <f ca="1">ROUND(C5*F38,1)</f>
        <v>#N/A</v>
      </c>
      <c r="D38" s="800" t="s">
        <v>1973</v>
      </c>
      <c r="E38" s="801" t="s">
        <v>1937</v>
      </c>
      <c r="F38" s="767" t="e">
        <f ca="1">INDIRECT("'数据-取费表'!Am"&amp;$G$1)</f>
        <v>#N/A</v>
      </c>
      <c r="G38" s="727"/>
      <c r="H38" s="813"/>
      <c r="I38" s="900" t="s">
        <v>2428</v>
      </c>
      <c r="J38" s="901"/>
      <c r="K38" s="902"/>
      <c r="L38" s="813"/>
      <c r="M38" s="813"/>
    </row>
    <row r="39" ht="24.65" customHeight="1" spans="1:13">
      <c r="A39" s="769" t="s">
        <v>2414</v>
      </c>
      <c r="B39" s="823" t="s">
        <v>1977</v>
      </c>
      <c r="C39" s="771" t="e">
        <f ca="1">C5-C30</f>
        <v>#N/A</v>
      </c>
      <c r="D39" s="824" t="s">
        <v>1978</v>
      </c>
      <c r="E39" s="825"/>
      <c r="F39" s="826"/>
      <c r="G39" s="727"/>
      <c r="H39" s="813"/>
      <c r="I39" s="893" t="s">
        <v>2429</v>
      </c>
      <c r="J39" s="903" t="e">
        <f ca="1">ROUND(J35/C39,3)</f>
        <v>#N/A</v>
      </c>
      <c r="K39" s="902"/>
      <c r="L39" s="813"/>
      <c r="M39" s="813"/>
    </row>
    <row r="40" ht="18" customHeight="1" spans="1:13">
      <c r="A40" s="728" t="s">
        <v>2415</v>
      </c>
      <c r="B40" s="827" t="s">
        <v>2430</v>
      </c>
      <c r="C40" s="736" t="e">
        <f ca="1">ROUND(C39*(1-((1+F42)/(1+F40))^F41)/(F40-F42),0)</f>
        <v>#N/A</v>
      </c>
      <c r="D40" s="816" t="s">
        <v>1983</v>
      </c>
      <c r="E40" s="738" t="s">
        <v>2417</v>
      </c>
      <c r="F40" s="750">
        <v>0.06</v>
      </c>
      <c r="G40" s="727"/>
      <c r="H40" s="727"/>
      <c r="I40" s="893" t="s">
        <v>2431</v>
      </c>
      <c r="J40" s="903" t="e">
        <f ca="1">1-J39</f>
        <v>#N/A</v>
      </c>
      <c r="K40" s="902"/>
      <c r="L40" s="727"/>
      <c r="M40" s="727"/>
    </row>
    <row r="41" ht="18" customHeight="1" spans="1:13">
      <c r="A41" s="748"/>
      <c r="B41" s="828"/>
      <c r="C41" s="743"/>
      <c r="D41" s="829" t="s">
        <v>1987</v>
      </c>
      <c r="E41" s="738" t="s">
        <v>1988</v>
      </c>
      <c r="F41" s="1105">
        <v>38</v>
      </c>
      <c r="G41" s="727"/>
      <c r="H41" s="183"/>
      <c r="I41" s="900" t="s">
        <v>2432</v>
      </c>
      <c r="J41" s="904"/>
      <c r="K41" s="897"/>
      <c r="L41" s="183"/>
      <c r="M41" s="183"/>
    </row>
    <row r="42" ht="18" customHeight="1" spans="1:13">
      <c r="A42" s="757"/>
      <c r="B42" s="831"/>
      <c r="C42" s="771"/>
      <c r="D42" s="820"/>
      <c r="E42" s="738" t="s">
        <v>1992</v>
      </c>
      <c r="F42" s="750" t="e">
        <f ca="1">INDIRECT("'数据-取费表'!v"&amp;$G$1)</f>
        <v>#N/A</v>
      </c>
      <c r="G42" s="727"/>
      <c r="H42" s="183"/>
      <c r="I42" s="905" t="s">
        <v>2433</v>
      </c>
      <c r="J42" s="903" t="e">
        <f ca="1">ROUND(C13/C40,3)</f>
        <v>#N/A</v>
      </c>
      <c r="K42" s="897"/>
      <c r="L42" s="183"/>
      <c r="M42" s="183"/>
    </row>
    <row r="43" s="632" customFormat="1" ht="18" customHeight="1" spans="1:17">
      <c r="A43" s="803" t="s">
        <v>2421</v>
      </c>
      <c r="B43" s="832" t="s">
        <v>2434</v>
      </c>
      <c r="C43" s="833" t="e">
        <f ca="1">ROUND(C40*10000/F43,0)</f>
        <v>#N/A</v>
      </c>
      <c r="D43" s="834" t="s">
        <v>2435</v>
      </c>
      <c r="E43" s="835" t="s">
        <v>2436</v>
      </c>
      <c r="F43" s="836" t="e">
        <f ca="1">F7</f>
        <v>#N/A</v>
      </c>
      <c r="G43" s="727"/>
      <c r="H43" s="183"/>
      <c r="I43" s="905" t="s">
        <v>2437</v>
      </c>
      <c r="J43" s="906" t="e">
        <f ca="1">1-J42</f>
        <v>#N/A</v>
      </c>
      <c r="K43" s="897"/>
      <c r="L43" s="183"/>
      <c r="M43" s="183"/>
      <c r="Q43" s="706"/>
    </row>
    <row r="44" s="632" customFormat="1" ht="18" customHeight="1" spans="1:17">
      <c r="A44" s="1106" t="s">
        <v>2447</v>
      </c>
      <c r="B44" s="1107" t="s">
        <v>2448</v>
      </c>
      <c r="C44" s="1108"/>
      <c r="D44" s="119"/>
      <c r="E44" s="1109"/>
      <c r="F44" s="1110"/>
      <c r="G44" s="727"/>
      <c r="H44" s="183"/>
      <c r="I44" s="1117"/>
      <c r="J44" s="1118"/>
      <c r="K44" s="897"/>
      <c r="L44" s="183"/>
      <c r="M44" s="183"/>
      <c r="Q44" s="706"/>
    </row>
    <row r="45" s="632" customFormat="1" ht="18" customHeight="1" spans="1:17">
      <c r="A45" s="803" t="s">
        <v>2449</v>
      </c>
      <c r="B45" s="1111" t="s">
        <v>2450</v>
      </c>
      <c r="C45" s="124">
        <f>ROUND(C44/((1+F40)^F41),0)</f>
        <v>0</v>
      </c>
      <c r="D45" s="119"/>
      <c r="E45" s="1109"/>
      <c r="F45" s="1110"/>
      <c r="G45" s="727"/>
      <c r="H45" s="183"/>
      <c r="I45" s="1117"/>
      <c r="J45" s="1118"/>
      <c r="K45" s="897"/>
      <c r="L45" s="183"/>
      <c r="M45" s="183"/>
      <c r="Q45" s="706"/>
    </row>
    <row r="46" s="632" customFormat="1" ht="18" customHeight="1" spans="1:17">
      <c r="A46" s="769" t="s">
        <v>2451</v>
      </c>
      <c r="B46" s="1112" t="s">
        <v>2430</v>
      </c>
      <c r="C46" s="124" t="e">
        <f ca="1">C40+C45</f>
        <v>#N/A</v>
      </c>
      <c r="D46" s="119"/>
      <c r="E46" s="1109"/>
      <c r="F46" s="1110"/>
      <c r="G46" s="727"/>
      <c r="H46" s="183"/>
      <c r="I46" s="1117"/>
      <c r="J46" s="1118"/>
      <c r="K46" s="897"/>
      <c r="L46" s="183"/>
      <c r="M46" s="183"/>
      <c r="Q46" s="706"/>
    </row>
    <row r="47" s="632" customFormat="1" ht="18" customHeight="1" spans="1:17">
      <c r="A47" s="1113" t="s">
        <v>2452</v>
      </c>
      <c r="B47" s="827" t="s">
        <v>2453</v>
      </c>
      <c r="C47" s="743" t="e">
        <f ca="1">ROUND(C46*10000/F43,0)</f>
        <v>#N/A</v>
      </c>
      <c r="D47" s="119"/>
      <c r="E47" s="1109"/>
      <c r="F47" s="1110"/>
      <c r="G47" s="727"/>
      <c r="H47" s="183"/>
      <c r="I47" s="1117"/>
      <c r="J47" s="1118"/>
      <c r="K47" s="897"/>
      <c r="L47" s="183"/>
      <c r="M47" s="183"/>
      <c r="Q47" s="706"/>
    </row>
    <row r="48" s="632" customFormat="1" ht="18" customHeight="1" spans="1:17">
      <c r="A48" s="1114"/>
      <c r="B48" s="1115"/>
      <c r="C48" s="1116"/>
      <c r="D48" s="119"/>
      <c r="E48" s="1109"/>
      <c r="F48" s="1110"/>
      <c r="G48" s="727"/>
      <c r="H48" s="183"/>
      <c r="I48" s="1117"/>
      <c r="J48" s="1118"/>
      <c r="K48" s="897"/>
      <c r="L48" s="183"/>
      <c r="M48" s="183"/>
      <c r="Q48" s="706"/>
    </row>
    <row r="49" s="632" customFormat="1" ht="18" customHeight="1" spans="1:17">
      <c r="A49" s="837"/>
      <c r="B49" s="837"/>
      <c r="C49" s="838"/>
      <c r="D49" s="837"/>
      <c r="E49" s="837"/>
      <c r="F49" s="837"/>
      <c r="K49" s="907"/>
      <c r="Q49" s="706"/>
    </row>
    <row r="50" s="632" customFormat="1" ht="18" customHeight="1" spans="1:17">
      <c r="A50" s="837"/>
      <c r="B50" s="837"/>
      <c r="C50" s="838"/>
      <c r="D50" s="837"/>
      <c r="E50" s="837"/>
      <c r="F50" s="837"/>
      <c r="K50" s="907"/>
      <c r="Q50" s="706"/>
    </row>
    <row r="51" s="632" customFormat="1" ht="18" customHeight="1" spans="1:18">
      <c r="A51" s="839" t="s">
        <v>2438</v>
      </c>
      <c r="B51" s="837"/>
      <c r="C51" s="840" t="e">
        <f ca="1">C72-C40</f>
        <v>#N/A</v>
      </c>
      <c r="D51" s="841"/>
      <c r="E51" s="841"/>
      <c r="F51" s="841"/>
      <c r="I51" s="908" t="s">
        <v>2014</v>
      </c>
      <c r="J51" s="909"/>
      <c r="K51" s="910"/>
      <c r="L51" s="911">
        <f ca="1">IF(OR(M52="住宅",D1="土地（套用方法）"),0,IF(L53&gt;J56,L65,J65))</f>
        <v>0</v>
      </c>
      <c r="M51" s="716"/>
      <c r="O51" s="912" t="s">
        <v>2015</v>
      </c>
      <c r="P51" s="913"/>
      <c r="Q51" s="918"/>
      <c r="R51" s="913"/>
    </row>
    <row r="52" s="632" customFormat="1" ht="18" customHeight="1" spans="1:18">
      <c r="A52" s="842">
        <v>1</v>
      </c>
      <c r="B52" s="843" t="s">
        <v>2439</v>
      </c>
      <c r="C52" s="840" t="e">
        <f ca="1">C53+C57+C59</f>
        <v>#N/A</v>
      </c>
      <c r="D52" s="841"/>
      <c r="E52" s="841"/>
      <c r="F52" s="841"/>
      <c r="I52" s="914" t="s">
        <v>2016</v>
      </c>
      <c r="J52" s="915" t="s">
        <v>2076</v>
      </c>
      <c r="K52" s="916" t="s">
        <v>2017</v>
      </c>
      <c r="L52" s="917" t="e">
        <f ca="1">INDIRECT("'数据-取费表'!d"&amp;$G$1)</f>
        <v>#N/A</v>
      </c>
      <c r="M52" s="918" t="str">
        <f>IF(ISNUMBER(FIND("住宅",C1)),"住宅","非住宅")</f>
        <v>非住宅</v>
      </c>
      <c r="O52" s="919" t="s">
        <v>1318</v>
      </c>
      <c r="P52" s="920" t="s">
        <v>2018</v>
      </c>
      <c r="Q52" s="959" t="s">
        <v>2019</v>
      </c>
      <c r="R52" s="920" t="s">
        <v>2020</v>
      </c>
    </row>
    <row r="53" s="632" customFormat="1" ht="18" customHeight="1" spans="1:18">
      <c r="A53" s="844" t="s">
        <v>1124</v>
      </c>
      <c r="B53" s="845" t="s">
        <v>2440</v>
      </c>
      <c r="C53" s="846" t="e">
        <f ca="1">ROUND(F53*F55*F54*(1-F56)/10000,0)</f>
        <v>#N/A</v>
      </c>
      <c r="D53" s="847" t="s">
        <v>2407</v>
      </c>
      <c r="E53" s="848" t="s">
        <v>2441</v>
      </c>
      <c r="F53" s="849"/>
      <c r="G53" s="850"/>
      <c r="I53" s="921" t="s">
        <v>2021</v>
      </c>
      <c r="J53" s="922" t="s">
        <v>2071</v>
      </c>
      <c r="K53" s="923" t="s">
        <v>2022</v>
      </c>
      <c r="L53" s="924" t="e">
        <f ca="1">INDIRECT("'数据-取费表'!f"&amp;$G$1)</f>
        <v>#N/A</v>
      </c>
      <c r="M53" s="716"/>
      <c r="O53" s="925" t="s">
        <v>2023</v>
      </c>
      <c r="P53" s="926" t="s">
        <v>2024</v>
      </c>
      <c r="Q53" s="960" t="e">
        <f ca="1">C40+J29</f>
        <v>#N/A</v>
      </c>
      <c r="R53" s="926" t="s">
        <v>2025</v>
      </c>
    </row>
    <row r="54" s="632" customFormat="1" ht="18" customHeight="1" spans="1:18">
      <c r="A54" s="748"/>
      <c r="B54" s="828"/>
      <c r="C54" s="743"/>
      <c r="D54" s="744"/>
      <c r="E54" s="738" t="s">
        <v>1922</v>
      </c>
      <c r="F54" s="739" t="e">
        <f ca="1">F7</f>
        <v>#N/A</v>
      </c>
      <c r="G54" s="850"/>
      <c r="H54" s="851"/>
      <c r="I54" s="921" t="s">
        <v>2026</v>
      </c>
      <c r="J54" s="927"/>
      <c r="K54" s="928" t="s">
        <v>2027</v>
      </c>
      <c r="L54" s="929"/>
      <c r="M54" s="716"/>
      <c r="O54" s="925" t="s">
        <v>2028</v>
      </c>
      <c r="P54" s="926" t="s">
        <v>2029</v>
      </c>
      <c r="Q54" s="960" t="e">
        <f ca="1">J65</f>
        <v>#N/A</v>
      </c>
      <c r="R54" s="926" t="s">
        <v>2030</v>
      </c>
    </row>
    <row r="55" s="632" customFormat="1" ht="18" customHeight="1" spans="1:18">
      <c r="A55" s="748"/>
      <c r="B55" s="828"/>
      <c r="C55" s="743"/>
      <c r="D55" s="744"/>
      <c r="E55" s="738" t="s">
        <v>1923</v>
      </c>
      <c r="F55" s="739" t="e">
        <f ca="1">F8</f>
        <v>#N/A</v>
      </c>
      <c r="H55" s="851"/>
      <c r="I55" s="921" t="s">
        <v>2031</v>
      </c>
      <c r="J55" s="930">
        <f>SUMPRODUCT((I68:I70=J52)*(J67:L67=J53)*(J68:L70))</f>
        <v>60</v>
      </c>
      <c r="K55" s="928" t="s">
        <v>2032</v>
      </c>
      <c r="L55" s="929"/>
      <c r="M55" s="716"/>
      <c r="O55" s="931" t="s">
        <v>2033</v>
      </c>
      <c r="P55" s="926" t="s">
        <v>2034</v>
      </c>
      <c r="Q55" s="960" t="e">
        <f ca="1">C29</f>
        <v>#N/A</v>
      </c>
      <c r="R55" s="926" t="s">
        <v>2025</v>
      </c>
    </row>
    <row r="56" s="632" customFormat="1" ht="18" customHeight="1" spans="1:18">
      <c r="A56" s="748"/>
      <c r="B56" s="828"/>
      <c r="C56" s="743"/>
      <c r="D56" s="744"/>
      <c r="E56" s="738" t="s">
        <v>1924</v>
      </c>
      <c r="F56" s="852"/>
      <c r="H56" s="851"/>
      <c r="I56" s="932" t="s">
        <v>2035</v>
      </c>
      <c r="J56" s="924">
        <f>IF(J54="",J55,J54+J55-YEAR('数据-取费表'!B2))</f>
        <v>60</v>
      </c>
      <c r="K56" s="921" t="s">
        <v>2036</v>
      </c>
      <c r="L56" s="933" t="e">
        <f ca="1">ROUND(-PV(INDIRECT("'数据-取费表'!h"&amp;$G$1),J56,(C39-C13*J36),0),0)</f>
        <v>#N/A</v>
      </c>
      <c r="M56" s="716"/>
      <c r="O56" s="931" t="s">
        <v>2037</v>
      </c>
      <c r="P56" s="926" t="s">
        <v>2038</v>
      </c>
      <c r="Q56" s="961" t="e">
        <f ca="1">J63</f>
        <v>#N/A</v>
      </c>
      <c r="R56" s="962"/>
    </row>
    <row r="57" s="632" customFormat="1" ht="18" customHeight="1" spans="1:18">
      <c r="A57" s="728" t="s">
        <v>2442</v>
      </c>
      <c r="B57" s="752" t="s">
        <v>1925</v>
      </c>
      <c r="C57" s="124">
        <f ca="1">ROUND(IF(F57="押一",C53/12*F11,IF(F57="押二",C53/12*2*F11,IF(F57="押三",C53/12*3*F11,C58*F11))),0)</f>
        <v>0</v>
      </c>
      <c r="D57" s="753" t="s">
        <v>1926</v>
      </c>
      <c r="E57" s="754" t="s">
        <v>1927</v>
      </c>
      <c r="F57" s="755"/>
      <c r="I57" s="934" t="s">
        <v>2039</v>
      </c>
      <c r="J57" s="935"/>
      <c r="K57" s="934" t="s">
        <v>1188</v>
      </c>
      <c r="L57" s="935"/>
      <c r="M57" s="716"/>
      <c r="O57" s="931" t="s">
        <v>2040</v>
      </c>
      <c r="P57" s="926" t="s">
        <v>2041</v>
      </c>
      <c r="Q57" s="961">
        <f>J57</f>
        <v>0</v>
      </c>
      <c r="R57" s="962"/>
    </row>
    <row r="58" s="632" customFormat="1" ht="39.75" customHeight="1" spans="1:18">
      <c r="A58" s="748"/>
      <c r="B58" s="758" t="s">
        <v>1928</v>
      </c>
      <c r="C58" s="759"/>
      <c r="D58" s="753"/>
      <c r="E58" s="754"/>
      <c r="F58" s="853"/>
      <c r="I58" s="936" t="s">
        <v>2042</v>
      </c>
      <c r="J58" s="937" t="e">
        <f ca="1">IF(M52="住宅",IF(D1="——",MAX(J56,L53),MAX(J56,L53-'数据-取费表'!B20)),IF(D1="——",MIN(J56,L53),MIN(J56,L53-'数据-取费表'!B20)))</f>
        <v>#N/A</v>
      </c>
      <c r="K58" s="938" t="s">
        <v>2443</v>
      </c>
      <c r="L58" s="939"/>
      <c r="M58" s="716"/>
      <c r="O58" s="931" t="s">
        <v>2043</v>
      </c>
      <c r="P58" s="926" t="s">
        <v>2044</v>
      </c>
      <c r="Q58" s="960" t="e">
        <f ca="1">J58</f>
        <v>#N/A</v>
      </c>
      <c r="R58" s="926" t="s">
        <v>2045</v>
      </c>
    </row>
    <row r="59" s="632" customFormat="1" ht="18" customHeight="1" spans="1:18">
      <c r="A59" s="762" t="s">
        <v>1061</v>
      </c>
      <c r="B59" s="763" t="s">
        <v>1929</v>
      </c>
      <c r="C59" s="764"/>
      <c r="D59" s="753"/>
      <c r="E59" s="754"/>
      <c r="F59" s="853"/>
      <c r="I59" s="632"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907"/>
      <c r="M59" s="716"/>
      <c r="O59" s="925" t="s">
        <v>2046</v>
      </c>
      <c r="P59" s="926" t="s">
        <v>2047</v>
      </c>
      <c r="Q59" s="960" t="e">
        <f ca="1">Q53+Q54</f>
        <v>#N/A</v>
      </c>
      <c r="R59" s="962" t="s">
        <v>2048</v>
      </c>
    </row>
    <row r="60" s="632" customFormat="1" ht="18" customHeight="1" spans="1:18">
      <c r="A60" s="854">
        <v>2</v>
      </c>
      <c r="B60" s="855" t="s">
        <v>1933</v>
      </c>
      <c r="C60" s="124" t="e">
        <f ca="1">C13</f>
        <v>#N/A</v>
      </c>
      <c r="D60" s="795"/>
      <c r="E60" s="795"/>
      <c r="F60" s="853"/>
      <c r="I60" s="940" t="s">
        <v>2049</v>
      </c>
      <c r="J60" s="941" t="e">
        <f ca="1">ROUND(IF(J52="钢混",J62/J55,1-(1-2%)*(J55-J62)/J55),3)</f>
        <v>#N/A</v>
      </c>
      <c r="K60" s="942" t="s">
        <v>2050</v>
      </c>
      <c r="L60" s="943"/>
      <c r="M60" s="716"/>
      <c r="O60" s="944" t="s">
        <v>2051</v>
      </c>
      <c r="P60" s="913"/>
      <c r="Q60" s="918"/>
      <c r="R60" s="913"/>
    </row>
    <row r="61" s="632" customFormat="1" ht="42.75" customHeight="1" spans="1:18">
      <c r="A61" s="794"/>
      <c r="B61" s="856" t="s">
        <v>1994</v>
      </c>
      <c r="C61" s="125" t="e">
        <f ca="1">C29</f>
        <v>#N/A</v>
      </c>
      <c r="D61" s="808"/>
      <c r="E61" s="738"/>
      <c r="F61" s="783"/>
      <c r="I61" s="945" t="s">
        <v>2052</v>
      </c>
      <c r="J61" s="946"/>
      <c r="K61" s="921" t="s">
        <v>2053</v>
      </c>
      <c r="L61" s="924" t="e">
        <f ca="1">IF(L53&lt;J56,"——",L53-J56)</f>
        <v>#N/A</v>
      </c>
      <c r="M61" s="716"/>
      <c r="O61" s="919" t="s">
        <v>1318</v>
      </c>
      <c r="P61" s="920" t="s">
        <v>2018</v>
      </c>
      <c r="Q61" s="959" t="s">
        <v>2019</v>
      </c>
      <c r="R61" s="920" t="s">
        <v>2020</v>
      </c>
    </row>
    <row r="62" s="632" customFormat="1" ht="28.5" customHeight="1" spans="1:18">
      <c r="A62" s="854" t="s">
        <v>1997</v>
      </c>
      <c r="B62" s="855" t="s">
        <v>1938</v>
      </c>
      <c r="C62" s="124" t="e">
        <f ca="1">ROUND(C63+C68+C69+C70,0)</f>
        <v>#N/A</v>
      </c>
      <c r="D62" s="857" t="s">
        <v>1939</v>
      </c>
      <c r="E62" s="127"/>
      <c r="F62" s="784"/>
      <c r="I62" s="947" t="s">
        <v>2054</v>
      </c>
      <c r="J62" s="948" t="e">
        <f ca="1">IF(OR(M52="住宅",J56&lt;L53,J61="是"),"——",J56-L53)</f>
        <v>#N/A</v>
      </c>
      <c r="K62" s="921" t="s">
        <v>2055</v>
      </c>
      <c r="L62" s="924" t="e">
        <f ca="1">IF(L53&lt;J56,"——",IF(L60="比较法",L54,IF(L60="基准地价",L55,L56)))</f>
        <v>#N/A</v>
      </c>
      <c r="M62" s="716"/>
      <c r="O62" s="925" t="s">
        <v>2023</v>
      </c>
      <c r="P62" s="926" t="s">
        <v>2024</v>
      </c>
      <c r="Q62" s="960" t="e">
        <f ca="1">C40+J29</f>
        <v>#N/A</v>
      </c>
      <c r="R62" s="926" t="s">
        <v>2025</v>
      </c>
    </row>
    <row r="63" s="632" customFormat="1" ht="28.5" customHeight="1" spans="1:18">
      <c r="A63" s="779" t="s">
        <v>855</v>
      </c>
      <c r="B63" s="738" t="s">
        <v>1943</v>
      </c>
      <c r="C63" s="807" t="e">
        <f ca="1">ROUND(IF(AND(项目基本情况!B11="自然人",项目基本情况!B10="北京市"),C53*F63/(1+'数据-取费表'!C42),C64+C65+C66),0)</f>
        <v>#N/A</v>
      </c>
      <c r="D63" s="776" t="s">
        <v>1944</v>
      </c>
      <c r="E63" s="808" t="s">
        <v>1945</v>
      </c>
      <c r="F63" s="809" t="str">
        <f ca="1">IF(项目基本情况!B11="企业","——",IF('数据-取费表'!B10="住宅",IF(F53*F54*F55/12/(1+'数据-取费表'!F30)&gt;100000,4%,2.5%),IF(F53*F54*F55/12/(1+'数据-取费表'!F30)&gt;100000,12%,7%)))</f>
        <v>——</v>
      </c>
      <c r="I63" s="947" t="s">
        <v>2056</v>
      </c>
      <c r="J63" s="949" t="e">
        <f ca="1">IF(J60&lt;0.4,0.4,J60)</f>
        <v>#N/A</v>
      </c>
      <c r="K63" s="921" t="s">
        <v>2057</v>
      </c>
      <c r="L63" s="924" t="e">
        <f ca="1">ROUND(POWER(1+L57,L52-L53)*(POWER(1+L57,L53)-1)/(POWER(1+L57,L52)-1),4)</f>
        <v>#N/A</v>
      </c>
      <c r="M63" s="716"/>
      <c r="O63" s="925" t="s">
        <v>2028</v>
      </c>
      <c r="P63" s="926" t="s">
        <v>2058</v>
      </c>
      <c r="Q63" s="960" t="e">
        <f ca="1">L65</f>
        <v>#N/A</v>
      </c>
      <c r="R63" s="962" t="s">
        <v>2059</v>
      </c>
    </row>
    <row r="64" s="632" customFormat="1" ht="28.5" customHeight="1" spans="1:18">
      <c r="A64" s="774" t="s">
        <v>879</v>
      </c>
      <c r="B64" s="738" t="s">
        <v>1946</v>
      </c>
      <c r="C64" s="125" t="e">
        <f ca="1">ROUND(C52*F64/1.05,1)</f>
        <v>#N/A</v>
      </c>
      <c r="D64" s="808" t="s">
        <v>1947</v>
      </c>
      <c r="E64" s="738" t="s">
        <v>1937</v>
      </c>
      <c r="F64" s="783">
        <f t="shared" ref="F64:F70" si="0">F32</f>
        <v>0.056</v>
      </c>
      <c r="I64" s="947" t="s">
        <v>2060</v>
      </c>
      <c r="J64" s="948" t="e">
        <f ca="1">IF(OR(M52="住宅",J56&lt;L53,J61="是"),"——",ROUND(C29*J63,0))</f>
        <v>#N/A</v>
      </c>
      <c r="K64" s="921" t="str">
        <f>IF(D1="——","建筑物剩余耐用年限下的土地年期修正系数Kn","建设期及建筑物耐用年限下的土地年期修正系数Kn")</f>
        <v>建设期及建筑物耐用年限下的土地年期修正系数Kn</v>
      </c>
      <c r="L64" s="924" t="e">
        <f ca="1">ROUND(IF(D1="土地（套用方法）",POWER(1+L57,L52-(J56+'数据-取费表'!B20))*(POWER(1+L57,(J56+'数据-取费表'!B20))-1)/(POWER(1+L57,L52)-1),POWER(1+L57,L52-J56)*(POWER(1+L57,J56)-1)/(POWER(1+L57,L52)-1)),4)</f>
        <v>#N/A</v>
      </c>
      <c r="M64" s="716"/>
      <c r="O64" s="931" t="s">
        <v>2033</v>
      </c>
      <c r="P64" s="926" t="s">
        <v>2062</v>
      </c>
      <c r="Q64" s="960">
        <f>IF(L60="比较法",L54,IF(L60="基准地价",L55,0))</f>
        <v>0</v>
      </c>
      <c r="R64" s="926" t="s">
        <v>2025</v>
      </c>
    </row>
    <row r="65" s="632" customFormat="1" ht="18" customHeight="1" spans="1:18">
      <c r="A65" s="774" t="s">
        <v>883</v>
      </c>
      <c r="B65" s="738" t="s">
        <v>1950</v>
      </c>
      <c r="C65" s="125" t="e">
        <f ca="1">IF(D65="按租金收入计税",ROUND(C53*F65/(1+'数据-取费表'!C42),1),IF(D65="按房产原值计税",ROUND(C61*F65*0.7,1),INDIRECT("'数据-取费表'!Aj"&amp;$G$1)))</f>
        <v>#N/A</v>
      </c>
      <c r="D65" s="808" t="str">
        <f>D33</f>
        <v>按租金收入计税</v>
      </c>
      <c r="E65" s="738" t="s">
        <v>1937</v>
      </c>
      <c r="F65" s="783">
        <f t="shared" si="0"/>
        <v>0.12</v>
      </c>
      <c r="I65" s="950" t="s">
        <v>2063</v>
      </c>
      <c r="J65" s="951" t="e">
        <f ca="1">IF(OR(M52="住宅",J56&lt;L53,J61="是"),"0",ROUND(J64/(1+J57)^J58,0))</f>
        <v>#N/A</v>
      </c>
      <c r="K65" s="952" t="s">
        <v>2064</v>
      </c>
      <c r="L65" s="951" t="e">
        <f ca="1">IF(OR(M52="住宅",L53&lt;J56),0,ROUND(L62*(L63/L64-1),0))</f>
        <v>#N/A</v>
      </c>
      <c r="M65" s="716"/>
      <c r="O65" s="931" t="s">
        <v>2037</v>
      </c>
      <c r="P65" s="926" t="s">
        <v>2065</v>
      </c>
      <c r="Q65" s="961">
        <f>L57</f>
        <v>0</v>
      </c>
      <c r="R65" s="962"/>
    </row>
    <row r="66" s="632" customFormat="1" ht="18" customHeight="1" spans="1:18">
      <c r="A66" s="787" t="s">
        <v>886</v>
      </c>
      <c r="B66" s="814" t="s">
        <v>1955</v>
      </c>
      <c r="C66" s="815" t="e">
        <f ca="1">ROUND(F66*F67/10000,1)</f>
        <v>#N/A</v>
      </c>
      <c r="D66" s="816" t="s">
        <v>1956</v>
      </c>
      <c r="E66" s="738" t="s">
        <v>1957</v>
      </c>
      <c r="F66" s="792">
        <f t="shared" si="0"/>
        <v>0</v>
      </c>
      <c r="K66" s="907"/>
      <c r="O66" s="931" t="s">
        <v>2040</v>
      </c>
      <c r="P66" s="926" t="s">
        <v>2066</v>
      </c>
      <c r="Q66" s="960" t="e">
        <f ca="1">L63</f>
        <v>#N/A</v>
      </c>
      <c r="R66" s="962" t="s">
        <v>2067</v>
      </c>
    </row>
    <row r="67" s="632" customFormat="1" ht="15.75" spans="1:18">
      <c r="A67" s="817"/>
      <c r="B67" s="818"/>
      <c r="C67" s="819"/>
      <c r="D67" s="820"/>
      <c r="E67" s="738" t="s">
        <v>1962</v>
      </c>
      <c r="F67" s="739" t="e">
        <f ca="1" t="shared" si="0"/>
        <v>#N/A</v>
      </c>
      <c r="I67" s="953" t="s">
        <v>2068</v>
      </c>
      <c r="J67" s="954" t="s">
        <v>2069</v>
      </c>
      <c r="K67" s="954" t="s">
        <v>2070</v>
      </c>
      <c r="L67" s="954" t="s">
        <v>2071</v>
      </c>
      <c r="M67" s="955" t="s">
        <v>2072</v>
      </c>
      <c r="O67" s="931" t="s">
        <v>2043</v>
      </c>
      <c r="P67" s="926" t="str">
        <f>K64</f>
        <v>建设期及建筑物耐用年限下的土地年期修正系数Kn</v>
      </c>
      <c r="Q67" s="960" t="e">
        <f ca="1">L64</f>
        <v>#N/A</v>
      </c>
      <c r="R67" s="962" t="s">
        <v>2074</v>
      </c>
    </row>
    <row r="68" s="632" customFormat="1" ht="15.75" spans="1:18">
      <c r="A68" s="779" t="s">
        <v>857</v>
      </c>
      <c r="B68" s="738" t="s">
        <v>1965</v>
      </c>
      <c r="C68" s="125" t="e">
        <f ca="1">ROUND(C61*F68,1)</f>
        <v>#N/A</v>
      </c>
      <c r="D68" s="808" t="s">
        <v>2001</v>
      </c>
      <c r="E68" s="738" t="s">
        <v>1937</v>
      </c>
      <c r="F68" s="821" t="e">
        <f ca="1" t="shared" si="0"/>
        <v>#N/A</v>
      </c>
      <c r="I68" s="953" t="s">
        <v>2075</v>
      </c>
      <c r="J68" s="954">
        <v>70</v>
      </c>
      <c r="K68" s="954">
        <v>50</v>
      </c>
      <c r="L68" s="954">
        <v>80</v>
      </c>
      <c r="M68" s="956">
        <v>0.02</v>
      </c>
      <c r="O68" s="925" t="s">
        <v>2046</v>
      </c>
      <c r="P68" s="926" t="s">
        <v>2047</v>
      </c>
      <c r="Q68" s="960" t="e">
        <f ca="1">Q62+Q63</f>
        <v>#N/A</v>
      </c>
      <c r="R68" s="962" t="s">
        <v>2048</v>
      </c>
    </row>
    <row r="69" s="632" customFormat="1" ht="16.5" spans="1:18">
      <c r="A69" s="779" t="s">
        <v>1061</v>
      </c>
      <c r="B69" s="738" t="s">
        <v>1969</v>
      </c>
      <c r="C69" s="125" t="e">
        <f ca="1">ROUND(C60*F69,1)</f>
        <v>#N/A</v>
      </c>
      <c r="D69" s="808" t="s">
        <v>1970</v>
      </c>
      <c r="E69" s="738" t="s">
        <v>1937</v>
      </c>
      <c r="F69" s="822" t="e">
        <f ca="1" t="shared" si="0"/>
        <v>#N/A</v>
      </c>
      <c r="I69" s="953" t="s">
        <v>2076</v>
      </c>
      <c r="J69" s="954">
        <v>50</v>
      </c>
      <c r="K69" s="954">
        <v>35</v>
      </c>
      <c r="L69" s="954">
        <v>60</v>
      </c>
      <c r="M69" s="904">
        <v>0</v>
      </c>
      <c r="O69" s="944" t="s">
        <v>2077</v>
      </c>
      <c r="P69" s="913"/>
      <c r="Q69" s="918"/>
      <c r="R69" s="913"/>
    </row>
    <row r="70" s="632" customFormat="1" ht="15.75" spans="1:18">
      <c r="A70" s="779" t="s">
        <v>2413</v>
      </c>
      <c r="B70" s="738" t="s">
        <v>1953</v>
      </c>
      <c r="C70" s="125" t="e">
        <f ca="1">ROUND(C52*F70,1)</f>
        <v>#N/A</v>
      </c>
      <c r="D70" s="808" t="s">
        <v>1973</v>
      </c>
      <c r="E70" s="738" t="s">
        <v>1937</v>
      </c>
      <c r="F70" s="750" t="e">
        <f ca="1" t="shared" si="0"/>
        <v>#N/A</v>
      </c>
      <c r="I70" s="953" t="s">
        <v>2078</v>
      </c>
      <c r="J70" s="954">
        <v>40</v>
      </c>
      <c r="K70" s="954">
        <v>30</v>
      </c>
      <c r="L70" s="954">
        <v>50</v>
      </c>
      <c r="M70" s="956">
        <v>0.02</v>
      </c>
      <c r="O70" s="919" t="s">
        <v>1318</v>
      </c>
      <c r="P70" s="920" t="s">
        <v>2018</v>
      </c>
      <c r="Q70" s="959" t="s">
        <v>2019</v>
      </c>
      <c r="R70" s="920" t="s">
        <v>2020</v>
      </c>
    </row>
    <row r="71" s="632" customFormat="1" ht="15.75" spans="1:18">
      <c r="A71" s="854" t="s">
        <v>2414</v>
      </c>
      <c r="B71" s="963" t="s">
        <v>1977</v>
      </c>
      <c r="C71" s="124" t="e">
        <f ca="1">C52-C62</f>
        <v>#N/A</v>
      </c>
      <c r="D71" s="776" t="s">
        <v>1978</v>
      </c>
      <c r="E71" s="964"/>
      <c r="F71" s="965"/>
      <c r="K71" s="907"/>
      <c r="O71" s="925" t="s">
        <v>2023</v>
      </c>
      <c r="P71" s="926" t="s">
        <v>2024</v>
      </c>
      <c r="Q71" s="960" t="e">
        <f ca="1">C40+J29</f>
        <v>#N/A</v>
      </c>
      <c r="R71" s="926" t="s">
        <v>2025</v>
      </c>
    </row>
    <row r="72" s="632" customFormat="1" ht="20.25" spans="1:18">
      <c r="A72" s="728" t="s">
        <v>2415</v>
      </c>
      <c r="B72" s="827" t="s">
        <v>2430</v>
      </c>
      <c r="C72" s="736" t="e">
        <f ca="1">ROUND(C71*(1-((1+F74)/(1+F72))^F73)/(F72-F74),0)</f>
        <v>#N/A</v>
      </c>
      <c r="D72" s="816" t="s">
        <v>1983</v>
      </c>
      <c r="E72" s="738" t="s">
        <v>1984</v>
      </c>
      <c r="F72" s="750">
        <f>F40</f>
        <v>0.06</v>
      </c>
      <c r="K72" s="907"/>
      <c r="O72" s="925" t="s">
        <v>2028</v>
      </c>
      <c r="P72" s="926" t="s">
        <v>2058</v>
      </c>
      <c r="Q72" s="960" t="e">
        <f ca="1">L65</f>
        <v>#N/A</v>
      </c>
      <c r="R72" s="962" t="s">
        <v>2059</v>
      </c>
    </row>
    <row r="73" s="632" customFormat="1" ht="24" spans="1:18">
      <c r="A73" s="748"/>
      <c r="B73" s="828"/>
      <c r="C73" s="743"/>
      <c r="D73" s="829" t="s">
        <v>1987</v>
      </c>
      <c r="E73" s="738" t="s">
        <v>1988</v>
      </c>
      <c r="F73" s="830">
        <f>F41</f>
        <v>38</v>
      </c>
      <c r="G73" s="703"/>
      <c r="H73" s="703"/>
      <c r="I73" s="703"/>
      <c r="J73" s="703"/>
      <c r="K73" s="705"/>
      <c r="L73" s="703"/>
      <c r="M73" s="703"/>
      <c r="O73" s="931" t="s">
        <v>2033</v>
      </c>
      <c r="P73" s="926" t="s">
        <v>2062</v>
      </c>
      <c r="Q73" s="967" t="e">
        <f ca="1">L56</f>
        <v>#N/A</v>
      </c>
      <c r="R73" s="968" t="s">
        <v>2079</v>
      </c>
    </row>
    <row r="74" s="632" customFormat="1" ht="20.25" spans="1:18">
      <c r="A74" s="757"/>
      <c r="B74" s="831"/>
      <c r="C74" s="771"/>
      <c r="D74" s="820"/>
      <c r="E74" s="738" t="s">
        <v>1992</v>
      </c>
      <c r="F74" s="852"/>
      <c r="G74" s="703"/>
      <c r="H74" s="703"/>
      <c r="I74" s="703"/>
      <c r="J74" s="703"/>
      <c r="K74" s="705"/>
      <c r="L74" s="703"/>
      <c r="M74" s="703"/>
      <c r="O74" s="931" t="s">
        <v>2037</v>
      </c>
      <c r="P74" s="966" t="s">
        <v>2080</v>
      </c>
      <c r="Q74" s="960" t="e">
        <f ca="1">ROUND(Q75-Q76*Q77,0)</f>
        <v>#N/A</v>
      </c>
      <c r="R74" s="962"/>
    </row>
    <row r="75" s="632" customFormat="1" ht="15.75" spans="1:18">
      <c r="A75" s="803" t="s">
        <v>2421</v>
      </c>
      <c r="B75" s="832" t="s">
        <v>2434</v>
      </c>
      <c r="C75" s="833" t="e">
        <f ca="1">ROUND(C72*10000/F75,0)</f>
        <v>#N/A</v>
      </c>
      <c r="D75" s="834" t="s">
        <v>2435</v>
      </c>
      <c r="E75" s="835" t="s">
        <v>2436</v>
      </c>
      <c r="F75" s="836" t="e">
        <f ca="1">F43</f>
        <v>#N/A</v>
      </c>
      <c r="G75" s="703"/>
      <c r="H75" s="703"/>
      <c r="I75" s="703"/>
      <c r="J75" s="703"/>
      <c r="K75" s="705"/>
      <c r="L75" s="703"/>
      <c r="M75" s="703"/>
      <c r="O75" s="931" t="s">
        <v>2081</v>
      </c>
      <c r="P75" s="966" t="s">
        <v>2082</v>
      </c>
      <c r="Q75" s="960" t="e">
        <f ca="1">C39</f>
        <v>#N/A</v>
      </c>
      <c r="R75" s="926" t="s">
        <v>2025</v>
      </c>
    </row>
    <row r="76" s="632" customFormat="1" ht="15.75" spans="1:18">
      <c r="A76" s="703"/>
      <c r="B76" s="704"/>
      <c r="C76" s="704"/>
      <c r="D76" s="703"/>
      <c r="E76" s="703"/>
      <c r="F76" s="703"/>
      <c r="G76" s="703"/>
      <c r="H76" s="703"/>
      <c r="I76" s="703"/>
      <c r="J76" s="703"/>
      <c r="K76" s="705"/>
      <c r="L76" s="703"/>
      <c r="M76" s="703"/>
      <c r="O76" s="931" t="s">
        <v>2083</v>
      </c>
      <c r="P76" s="966" t="s">
        <v>2084</v>
      </c>
      <c r="Q76" s="960" t="e">
        <f ca="1">C13</f>
        <v>#N/A</v>
      </c>
      <c r="R76" s="926" t="s">
        <v>2025</v>
      </c>
    </row>
    <row r="77" s="632" customFormat="1" ht="15.75" spans="1:18">
      <c r="A77" s="703"/>
      <c r="B77" s="704"/>
      <c r="C77" s="704"/>
      <c r="D77" s="703"/>
      <c r="E77" s="703"/>
      <c r="F77" s="703"/>
      <c r="G77" s="703"/>
      <c r="H77" s="703"/>
      <c r="I77" s="703"/>
      <c r="J77" s="703"/>
      <c r="K77" s="705"/>
      <c r="L77" s="703"/>
      <c r="M77" s="703"/>
      <c r="O77" s="931" t="s">
        <v>2085</v>
      </c>
      <c r="P77" s="966" t="s">
        <v>2086</v>
      </c>
      <c r="Q77" s="961" t="e">
        <f ca="1">J36</f>
        <v>#N/A</v>
      </c>
      <c r="R77" s="962"/>
    </row>
    <row r="78" s="632" customFormat="1" ht="15.75" spans="1:18">
      <c r="A78" s="703"/>
      <c r="B78" s="704"/>
      <c r="C78" s="704"/>
      <c r="D78" s="703"/>
      <c r="E78" s="703"/>
      <c r="F78" s="703"/>
      <c r="G78" s="703"/>
      <c r="H78" s="703"/>
      <c r="I78" s="703"/>
      <c r="J78" s="703"/>
      <c r="K78" s="705"/>
      <c r="L78" s="703"/>
      <c r="M78" s="703"/>
      <c r="O78" s="931" t="s">
        <v>2040</v>
      </c>
      <c r="P78" s="926" t="s">
        <v>2065</v>
      </c>
      <c r="Q78" s="961">
        <f>L57</f>
        <v>0</v>
      </c>
      <c r="R78" s="962"/>
    </row>
    <row r="79" s="632" customFormat="1" ht="20.25" spans="1:18">
      <c r="A79" s="703"/>
      <c r="B79" s="704"/>
      <c r="C79" s="704"/>
      <c r="D79" s="703"/>
      <c r="E79" s="703"/>
      <c r="F79" s="703"/>
      <c r="G79" s="703"/>
      <c r="H79" s="703"/>
      <c r="I79" s="703"/>
      <c r="J79" s="703"/>
      <c r="K79" s="705"/>
      <c r="L79" s="703"/>
      <c r="M79" s="703"/>
      <c r="O79" s="931" t="s">
        <v>2043</v>
      </c>
      <c r="P79" s="926" t="s">
        <v>2066</v>
      </c>
      <c r="Q79" s="960" t="e">
        <f ca="1">L63</f>
        <v>#N/A</v>
      </c>
      <c r="R79" s="962" t="s">
        <v>2067</v>
      </c>
    </row>
    <row r="80" s="632" customFormat="1" ht="15.75" spans="1:18">
      <c r="A80" s="703"/>
      <c r="B80" s="704"/>
      <c r="C80" s="704"/>
      <c r="D80" s="703"/>
      <c r="E80" s="703"/>
      <c r="F80" s="703"/>
      <c r="G80" s="703"/>
      <c r="H80" s="703"/>
      <c r="I80" s="703"/>
      <c r="J80" s="703"/>
      <c r="K80" s="705"/>
      <c r="L80" s="703"/>
      <c r="M80" s="703"/>
      <c r="O80" s="931" t="s">
        <v>2087</v>
      </c>
      <c r="P80" s="926" t="str">
        <f>K64</f>
        <v>建设期及建筑物耐用年限下的土地年期修正系数Kn</v>
      </c>
      <c r="Q80" s="960" t="e">
        <f ca="1">L64</f>
        <v>#N/A</v>
      </c>
      <c r="R80" s="962" t="s">
        <v>2074</v>
      </c>
    </row>
    <row r="81" s="632" customFormat="1" ht="15.75" spans="1:18">
      <c r="A81" s="703"/>
      <c r="B81" s="704"/>
      <c r="C81" s="704"/>
      <c r="D81" s="703"/>
      <c r="E81" s="703"/>
      <c r="F81" s="703"/>
      <c r="G81" s="703"/>
      <c r="H81" s="703"/>
      <c r="I81" s="703"/>
      <c r="J81" s="703"/>
      <c r="K81" s="705"/>
      <c r="L81" s="703"/>
      <c r="M81" s="703"/>
      <c r="O81" s="925" t="s">
        <v>2046</v>
      </c>
      <c r="P81" s="926" t="s">
        <v>2047</v>
      </c>
      <c r="Q81" s="960" t="e">
        <f ca="1">Q71+Q72</f>
        <v>#N/A</v>
      </c>
      <c r="R81" s="962" t="s">
        <v>2048</v>
      </c>
    </row>
  </sheetData>
  <sheetProtection formatCells="0" formatColumns="0" formatRows="0"/>
  <mergeCells count="3">
    <mergeCell ref="K58:L58"/>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8">
    <cfRule type="expression" dxfId="13" priority="1">
      <formula>$F$57="自定义"</formula>
    </cfRule>
  </conditionalFormatting>
  <conditionalFormatting sqref="I60">
    <cfRule type="expression" dxfId="14" priority="7">
      <formula>$J$56&gt;$L$53</formula>
    </cfRule>
  </conditionalFormatting>
  <conditionalFormatting sqref="K60">
    <cfRule type="expression" dxfId="14" priority="6">
      <formula>$L$53&gt;$J$56</formula>
    </cfRule>
  </conditionalFormatting>
  <conditionalFormatting sqref="I65">
    <cfRule type="expression" dxfId="14" priority="5">
      <formula>$J$56&gt;$L$53</formula>
    </cfRule>
  </conditionalFormatting>
  <conditionalFormatting sqref="K65">
    <cfRule type="expression" dxfId="14" priority="4">
      <formula>$L$53&gt;$J$56</formula>
    </cfRule>
  </conditionalFormatting>
  <dataValidations count="8">
    <dataValidation type="list" allowBlank="1" showInputMessage="1" showErrorMessage="1" sqref="D1">
      <formula1>"土地（套用方法）,——"</formula1>
    </dataValidation>
    <dataValidation type="list" allowBlank="1" showInputMessage="1" showErrorMessage="1" sqref="F10 M10 F57">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判定</formula1>
    </dataValidation>
    <dataValidation type="list" allowBlank="1" showInputMessage="1" showErrorMessage="1" sqref="C1:C3">
      <formula1>项目类型</formula1>
    </dataValidation>
  </dataValidations>
  <pageMargins left="0.7" right="0.7" top="0.75" bottom="0.75" header="0.3" footer="0.3"/>
  <pageSetup paperSize="9" scale="58" orientation="landscape"/>
  <headerFooter/>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794"/>
  <sheetViews>
    <sheetView view="pageBreakPreview" zoomScale="80" zoomScaleNormal="60" topLeftCell="A17" workbookViewId="0">
      <selection activeCell="N41" sqref="N41"/>
    </sheetView>
  </sheetViews>
  <sheetFormatPr defaultColWidth="9" defaultRowHeight="14.25"/>
  <cols>
    <col min="1" max="1" width="10.45" style="194" customWidth="1"/>
    <col min="2" max="2" width="15.725" style="194" customWidth="1"/>
    <col min="3" max="3" width="14.366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2345</v>
      </c>
      <c r="B1" s="539" t="s">
        <v>2454</v>
      </c>
      <c r="C1" s="199" t="s">
        <v>2347</v>
      </c>
      <c r="D1" s="1122" t="s">
        <v>378</v>
      </c>
      <c r="E1" s="201"/>
      <c r="F1" s="202" t="s">
        <v>696</v>
      </c>
      <c r="G1" s="203" t="s">
        <v>2349</v>
      </c>
      <c r="H1" s="201"/>
      <c r="I1" s="201"/>
      <c r="J1" s="201"/>
      <c r="K1" s="377"/>
      <c r="L1" s="378"/>
      <c r="M1" s="379"/>
      <c r="N1" s="379"/>
      <c r="O1" s="379"/>
      <c r="P1" s="380"/>
      <c r="Q1" s="380"/>
      <c r="R1" s="380"/>
      <c r="S1" s="380"/>
      <c r="T1" s="380"/>
      <c r="U1" s="380"/>
      <c r="V1" s="380"/>
      <c r="W1" s="380"/>
      <c r="X1" s="380"/>
      <c r="Y1" s="380"/>
      <c r="Z1" s="380"/>
      <c r="AA1" s="380"/>
      <c r="AB1" s="380"/>
      <c r="AC1" s="477"/>
    </row>
    <row r="2" s="188" customFormat="1" ht="28.5" customHeight="1" spans="1:29">
      <c r="A2" s="204" t="s">
        <v>919</v>
      </c>
      <c r="B2" s="205">
        <f>ROUND(B3*D3/10000,0)</f>
        <v>0</v>
      </c>
      <c r="C2" s="206"/>
      <c r="D2" s="206"/>
      <c r="E2" s="477"/>
      <c r="F2" s="208"/>
      <c r="G2" s="207"/>
      <c r="H2" s="207"/>
      <c r="I2" s="207"/>
      <c r="J2" s="207"/>
      <c r="K2" s="207"/>
      <c r="L2" s="382"/>
      <c r="M2" s="380"/>
      <c r="N2" s="380"/>
      <c r="O2" s="380"/>
      <c r="P2" s="380"/>
      <c r="Q2" s="380"/>
      <c r="R2" s="380"/>
      <c r="S2" s="380"/>
      <c r="T2" s="380"/>
      <c r="U2" s="380"/>
      <c r="V2" s="380"/>
      <c r="W2" s="380"/>
      <c r="X2" s="380"/>
      <c r="Y2" s="380"/>
      <c r="Z2" s="380"/>
      <c r="AA2" s="380"/>
      <c r="AB2" s="380"/>
      <c r="AC2" s="477"/>
    </row>
    <row r="3" s="188" customFormat="1" ht="28.5" customHeight="1" spans="1:29">
      <c r="A3" s="209" t="s">
        <v>2350</v>
      </c>
      <c r="B3" s="210">
        <f>C49</f>
        <v>7.7</v>
      </c>
      <c r="C3" s="211" t="s">
        <v>2351</v>
      </c>
      <c r="D3" s="212">
        <f>SUMIF('数据-汇总表'!$C19:$C33,D1,'数据-汇总表'!$E19:$E33)</f>
        <v>0</v>
      </c>
      <c r="E3" s="477"/>
      <c r="F3" s="208"/>
      <c r="G3" s="207"/>
      <c r="H3" s="207"/>
      <c r="I3" s="207"/>
      <c r="J3" s="207"/>
      <c r="K3" s="381"/>
      <c r="L3" s="382"/>
      <c r="M3" s="380"/>
      <c r="N3" s="380"/>
      <c r="O3" s="380"/>
      <c r="P3" s="380"/>
      <c r="Q3" s="380"/>
      <c r="R3" s="380"/>
      <c r="S3" s="380"/>
      <c r="T3" s="380"/>
      <c r="U3" s="380"/>
      <c r="V3" s="380"/>
      <c r="W3" s="380"/>
      <c r="X3" s="380"/>
      <c r="Y3" s="380"/>
      <c r="Z3" s="380"/>
      <c r="AA3" s="380"/>
      <c r="AB3" s="380"/>
      <c r="AC3" s="477"/>
    </row>
    <row r="4" ht="15" spans="1:29">
      <c r="A4" s="213" t="s">
        <v>923</v>
      </c>
      <c r="B4" s="214"/>
      <c r="C4" s="215" t="s">
        <v>924</v>
      </c>
      <c r="D4" s="216"/>
      <c r="E4" s="217" t="s">
        <v>925</v>
      </c>
      <c r="F4" s="218"/>
      <c r="G4" s="215" t="s">
        <v>926</v>
      </c>
      <c r="H4" s="216"/>
      <c r="I4" s="215" t="s">
        <v>927</v>
      </c>
      <c r="J4" s="216"/>
      <c r="K4" s="383" t="s">
        <v>928</v>
      </c>
      <c r="L4" s="384"/>
      <c r="M4" s="338"/>
      <c r="N4" s="338"/>
      <c r="O4" s="338"/>
      <c r="P4" s="276" t="s">
        <v>929</v>
      </c>
      <c r="Q4" s="450"/>
      <c r="R4" s="451" t="s">
        <v>925</v>
      </c>
      <c r="S4" s="452"/>
      <c r="T4" s="451" t="s">
        <v>926</v>
      </c>
      <c r="U4" s="452"/>
      <c r="V4" s="453" t="s">
        <v>927</v>
      </c>
      <c r="W4" s="453"/>
      <c r="X4" s="454"/>
      <c r="Y4" s="451" t="s">
        <v>929</v>
      </c>
      <c r="Z4" s="452"/>
      <c r="AA4" s="479" t="s">
        <v>925</v>
      </c>
      <c r="AB4" s="453" t="s">
        <v>926</v>
      </c>
      <c r="AC4" s="479" t="s">
        <v>927</v>
      </c>
    </row>
    <row r="5" ht="15" spans="1:29">
      <c r="A5" s="219"/>
      <c r="B5" s="220"/>
      <c r="C5" s="221" t="s">
        <v>930</v>
      </c>
      <c r="D5" s="222"/>
      <c r="E5" s="1123" t="s">
        <v>1424</v>
      </c>
      <c r="F5" s="224"/>
      <c r="G5" s="1124" t="s">
        <v>2455</v>
      </c>
      <c r="H5" s="222"/>
      <c r="I5" s="1133" t="s">
        <v>2456</v>
      </c>
      <c r="J5" s="222"/>
      <c r="K5" s="383"/>
      <c r="L5" s="384"/>
      <c r="M5" s="338"/>
      <c r="N5" s="338"/>
      <c r="O5" s="338"/>
      <c r="P5" s="282"/>
      <c r="Q5" s="455"/>
      <c r="R5" s="456"/>
      <c r="S5" s="457"/>
      <c r="T5" s="456"/>
      <c r="U5" s="457"/>
      <c r="V5" s="453"/>
      <c r="W5" s="453"/>
      <c r="X5" s="454"/>
      <c r="Y5" s="456"/>
      <c r="Z5" s="457"/>
      <c r="AA5" s="454"/>
      <c r="AB5" s="453"/>
      <c r="AC5" s="454"/>
    </row>
    <row r="6" ht="15.75" spans="1:29">
      <c r="A6" s="225"/>
      <c r="B6" s="226"/>
      <c r="C6" s="227" t="s">
        <v>931</v>
      </c>
      <c r="D6" s="228"/>
      <c r="E6" s="229" t="s">
        <v>931</v>
      </c>
      <c r="F6" s="230"/>
      <c r="G6" s="227" t="s">
        <v>931</v>
      </c>
      <c r="H6" s="228"/>
      <c r="I6" s="227" t="s">
        <v>931</v>
      </c>
      <c r="J6" s="228"/>
      <c r="K6" s="383" t="s">
        <v>932</v>
      </c>
      <c r="L6" s="384"/>
      <c r="M6" s="338"/>
      <c r="N6" s="338"/>
      <c r="O6" s="338"/>
      <c r="P6" s="270"/>
      <c r="Q6" s="458"/>
      <c r="R6" s="456"/>
      <c r="S6" s="457"/>
      <c r="T6" s="459"/>
      <c r="U6" s="460"/>
      <c r="V6" s="453"/>
      <c r="W6" s="453"/>
      <c r="X6" s="454"/>
      <c r="Y6" s="459"/>
      <c r="Z6" s="460"/>
      <c r="AA6" s="480"/>
      <c r="AB6" s="453"/>
      <c r="AC6" s="480"/>
    </row>
    <row r="7" s="189" customFormat="1" ht="15.75" spans="1:29">
      <c r="A7" s="231"/>
      <c r="B7" s="232" t="s">
        <v>933</v>
      </c>
      <c r="C7" s="233">
        <f>'数据-取费表'!B2</f>
        <v>45252</v>
      </c>
      <c r="D7" s="234">
        <v>100</v>
      </c>
      <c r="E7" s="235">
        <f>C7</f>
        <v>45252</v>
      </c>
      <c r="F7" s="236">
        <f>SUMIF(58:58,YEAR(E7)&amp;"-"&amp;MONTH(E7),59:59)</f>
        <v>100</v>
      </c>
      <c r="G7" s="235">
        <f>C7</f>
        <v>45252</v>
      </c>
      <c r="H7" s="234">
        <f>SUMIF(58:58,YEAR(G7)&amp;"-"&amp;MONTH(G7),59:59)</f>
        <v>100</v>
      </c>
      <c r="I7" s="235">
        <f>C7</f>
        <v>45252</v>
      </c>
      <c r="J7" s="234">
        <f>SUMIF(58:58,YEAR(I7)&amp;"-"&amp;MONTH(I7),59:59)</f>
        <v>100</v>
      </c>
      <c r="K7" s="385"/>
      <c r="L7" s="386"/>
      <c r="M7" s="387"/>
      <c r="N7" s="387"/>
      <c r="O7" s="387"/>
      <c r="P7" s="388" t="s">
        <v>934</v>
      </c>
      <c r="Q7" s="461"/>
      <c r="R7" s="462" t="s">
        <v>935</v>
      </c>
      <c r="S7" s="463">
        <f t="shared" ref="S7:S15" si="0">F7</f>
        <v>100</v>
      </c>
      <c r="T7" s="462" t="s">
        <v>935</v>
      </c>
      <c r="U7" s="463">
        <f t="shared" ref="U7:U15" si="1">H7</f>
        <v>100</v>
      </c>
      <c r="V7" s="462" t="s">
        <v>935</v>
      </c>
      <c r="W7" s="463">
        <f t="shared" ref="W7:W15" si="2">J7</f>
        <v>100</v>
      </c>
      <c r="X7" s="464"/>
      <c r="Y7" s="388" t="s">
        <v>934</v>
      </c>
      <c r="Z7" s="465"/>
      <c r="AA7" s="481">
        <f>D7/F7</f>
        <v>1</v>
      </c>
      <c r="AB7" s="481">
        <f>D7/H7</f>
        <v>1</v>
      </c>
      <c r="AC7" s="481">
        <f>D7/J7</f>
        <v>1</v>
      </c>
    </row>
    <row r="8" s="189" customFormat="1" ht="15.75" spans="1:29">
      <c r="A8" s="238"/>
      <c r="B8" s="239" t="s">
        <v>936</v>
      </c>
      <c r="C8" s="240" t="s">
        <v>937</v>
      </c>
      <c r="D8" s="234">
        <v>100</v>
      </c>
      <c r="E8" s="240" t="s">
        <v>938</v>
      </c>
      <c r="F8" s="236">
        <f>SUMIF(61:61,E8,62:62)-SUMIF(61:61,C8,62:62)+100</f>
        <v>100</v>
      </c>
      <c r="G8" s="240" t="s">
        <v>938</v>
      </c>
      <c r="H8" s="234">
        <f>SUMIF(61:61,G8,62:62)-SUMIF(61:61,C8,62:62)+100</f>
        <v>100</v>
      </c>
      <c r="I8" s="240" t="s">
        <v>938</v>
      </c>
      <c r="J8" s="234">
        <f>SUMIF(61:61,I8,62:62)-SUMIF(61:61,C8,62:62)+100</f>
        <v>100</v>
      </c>
      <c r="K8" s="385"/>
      <c r="L8" s="386"/>
      <c r="M8" s="387"/>
      <c r="N8" s="387"/>
      <c r="O8" s="387"/>
      <c r="P8" s="388" t="s">
        <v>939</v>
      </c>
      <c r="Q8" s="465"/>
      <c r="R8" s="462" t="s">
        <v>935</v>
      </c>
      <c r="S8" s="463">
        <f t="shared" si="0"/>
        <v>100</v>
      </c>
      <c r="T8" s="462" t="s">
        <v>935</v>
      </c>
      <c r="U8" s="463">
        <f t="shared" si="1"/>
        <v>100</v>
      </c>
      <c r="V8" s="462" t="s">
        <v>935</v>
      </c>
      <c r="W8" s="463">
        <f t="shared" si="2"/>
        <v>100</v>
      </c>
      <c r="X8" s="464"/>
      <c r="Y8" s="388" t="s">
        <v>939</v>
      </c>
      <c r="Z8" s="465"/>
      <c r="AA8" s="481">
        <f t="shared" ref="AA8:AA46" si="3">D8/F8</f>
        <v>1</v>
      </c>
      <c r="AB8" s="481">
        <f t="shared" ref="AB8:AB46" si="4">D8/H8</f>
        <v>1</v>
      </c>
      <c r="AC8" s="481">
        <f t="shared" ref="AC8:AC46" si="5">D8/J8</f>
        <v>1</v>
      </c>
    </row>
    <row r="9" s="189" customFormat="1" ht="15" spans="1:29">
      <c r="A9" s="241"/>
      <c r="B9" s="242" t="s">
        <v>940</v>
      </c>
      <c r="C9" s="243"/>
      <c r="D9" s="244">
        <v>100</v>
      </c>
      <c r="E9" s="245"/>
      <c r="F9" s="244">
        <f>SUMIF(63:63,E9,64:64)-SUMIF(63:63,C9,64:64)+100</f>
        <v>100</v>
      </c>
      <c r="G9" s="511"/>
      <c r="H9" s="244">
        <f>SUMIF(63:63,G9,64:64)-SUMIF(63:63,C9,64:64)+100</f>
        <v>100</v>
      </c>
      <c r="I9" s="511"/>
      <c r="J9" s="244">
        <f>SUMIF(63:63,I9,64:64)-SUMIF(63:63,C9,64:64)+100</f>
        <v>100</v>
      </c>
      <c r="K9" s="385"/>
      <c r="L9" s="386"/>
      <c r="M9" s="387"/>
      <c r="N9" s="387"/>
      <c r="O9" s="389"/>
      <c r="P9" s="390" t="s">
        <v>941</v>
      </c>
      <c r="Q9" s="466" t="str">
        <f t="shared" ref="Q9:Q15" si="6">B9</f>
        <v>用途</v>
      </c>
      <c r="R9" s="462" t="s">
        <v>935</v>
      </c>
      <c r="S9" s="463">
        <f t="shared" si="0"/>
        <v>100</v>
      </c>
      <c r="T9" s="462" t="s">
        <v>935</v>
      </c>
      <c r="U9" s="463">
        <f t="shared" si="1"/>
        <v>100</v>
      </c>
      <c r="V9" s="462" t="s">
        <v>935</v>
      </c>
      <c r="W9" s="463">
        <f t="shared" si="2"/>
        <v>100</v>
      </c>
      <c r="X9" s="464"/>
      <c r="Y9" s="466" t="s">
        <v>942</v>
      </c>
      <c r="Z9" s="481" t="str">
        <f t="shared" ref="Z9:Z15" si="7">Q9</f>
        <v>用途</v>
      </c>
      <c r="AA9" s="481">
        <f t="shared" si="3"/>
        <v>1</v>
      </c>
      <c r="AB9" s="481">
        <f t="shared" si="4"/>
        <v>1</v>
      </c>
      <c r="AC9" s="481">
        <f t="shared" si="5"/>
        <v>1</v>
      </c>
    </row>
    <row r="10" s="190" customFormat="1" ht="27" spans="1:29">
      <c r="A10" s="246"/>
      <c r="B10" s="239" t="s">
        <v>943</v>
      </c>
      <c r="C10" s="247"/>
      <c r="D10" s="248">
        <v>100</v>
      </c>
      <c r="E10" s="247"/>
      <c r="F10" s="248">
        <f>SUMIF(65:65,E10,66:66)-SUMIF(65:65,C10,66:66)+100</f>
        <v>100</v>
      </c>
      <c r="G10" s="249"/>
      <c r="H10" s="248">
        <f>SUMIF(65:65,G10,66:66)-SUMIF(65:65,C10,66:66)+100</f>
        <v>100</v>
      </c>
      <c r="I10" s="247"/>
      <c r="J10" s="248">
        <f>SUMIF(65:65,I10,66:66)-SUMIF(65:65,C10,66:66)+100</f>
        <v>100</v>
      </c>
      <c r="K10" s="391"/>
      <c r="L10" s="392"/>
      <c r="M10" s="393"/>
      <c r="N10" s="393"/>
      <c r="O10" s="394"/>
      <c r="P10" s="390"/>
      <c r="Q10" s="466" t="str">
        <f t="shared" si="6"/>
        <v>土地使用年限（年）</v>
      </c>
      <c r="R10" s="462" t="s">
        <v>935</v>
      </c>
      <c r="S10" s="463">
        <f t="shared" si="0"/>
        <v>100</v>
      </c>
      <c r="T10" s="462" t="s">
        <v>935</v>
      </c>
      <c r="U10" s="463">
        <f t="shared" si="1"/>
        <v>100</v>
      </c>
      <c r="V10" s="462" t="s">
        <v>935</v>
      </c>
      <c r="W10" s="463">
        <f t="shared" si="2"/>
        <v>100</v>
      </c>
      <c r="X10" s="464"/>
      <c r="Y10" s="466"/>
      <c r="Z10" s="481" t="str">
        <f t="shared" si="7"/>
        <v>土地使用年限（年）</v>
      </c>
      <c r="AA10" s="481">
        <f t="shared" si="3"/>
        <v>1</v>
      </c>
      <c r="AB10" s="481">
        <f t="shared" si="4"/>
        <v>1</v>
      </c>
      <c r="AC10" s="481">
        <f t="shared" si="5"/>
        <v>1</v>
      </c>
    </row>
    <row r="11" ht="15" spans="1:29">
      <c r="A11" s="540"/>
      <c r="B11" s="239" t="s">
        <v>944</v>
      </c>
      <c r="C11" s="541">
        <f>地块信息表!X12</f>
        <v>0</v>
      </c>
      <c r="D11" s="248">
        <v>100</v>
      </c>
      <c r="E11" s="541">
        <v>2</v>
      </c>
      <c r="F11" s="248">
        <f>LOOKUP(E11,68:68,69:69)-LOOKUP(C11,68:68,69:69)+100</f>
        <v>100</v>
      </c>
      <c r="G11" s="542">
        <v>2</v>
      </c>
      <c r="H11" s="248">
        <f>LOOKUP(G11,68:68,69:69)-LOOKUP(C11,68:68,69:69)+100</f>
        <v>100</v>
      </c>
      <c r="I11" s="541">
        <v>2</v>
      </c>
      <c r="J11" s="248">
        <f>LOOKUP(I11,68:68,69:69)-LOOKUP(C11,68:68,69:69)+100</f>
        <v>100</v>
      </c>
      <c r="K11" s="391">
        <v>0</v>
      </c>
      <c r="L11" s="396"/>
      <c r="M11" s="338"/>
      <c r="N11" s="338"/>
      <c r="O11" s="397"/>
      <c r="P11" s="390"/>
      <c r="Q11" s="466" t="str">
        <f t="shared" si="6"/>
        <v>容积率</v>
      </c>
      <c r="R11" s="462" t="s">
        <v>935</v>
      </c>
      <c r="S11" s="463">
        <f t="shared" si="0"/>
        <v>100</v>
      </c>
      <c r="T11" s="462" t="s">
        <v>935</v>
      </c>
      <c r="U11" s="463">
        <f t="shared" si="1"/>
        <v>100</v>
      </c>
      <c r="V11" s="462" t="s">
        <v>935</v>
      </c>
      <c r="W11" s="463">
        <f t="shared" si="2"/>
        <v>100</v>
      </c>
      <c r="X11" s="464"/>
      <c r="Y11" s="466"/>
      <c r="Z11" s="481" t="str">
        <f t="shared" si="7"/>
        <v>容积率</v>
      </c>
      <c r="AA11" s="481">
        <f t="shared" si="3"/>
        <v>1</v>
      </c>
      <c r="AB11" s="481">
        <f t="shared" si="4"/>
        <v>1</v>
      </c>
      <c r="AC11" s="481">
        <f t="shared" si="5"/>
        <v>1</v>
      </c>
    </row>
    <row r="12" s="189" customFormat="1" ht="15" spans="1:29">
      <c r="A12" s="250"/>
      <c r="B12" s="251">
        <v>111</v>
      </c>
      <c r="C12" s="252"/>
      <c r="D12" s="254">
        <v>100</v>
      </c>
      <c r="E12" s="257"/>
      <c r="F12" s="248">
        <f>SUMIF(70:70,E12,71:71)-SUMIF(70:70,C12,71:71)+100</f>
        <v>100</v>
      </c>
      <c r="G12" s="576"/>
      <c r="H12" s="248">
        <f>SUMIF(70:70,G12,71:71)-SUMIF(70:70,C12,71:71)+100</f>
        <v>100</v>
      </c>
      <c r="I12" s="257"/>
      <c r="J12" s="248">
        <f>SUMIF(70:70,I12,71:71)-SUMIF(70:70,C12,71:71)+100</f>
        <v>100</v>
      </c>
      <c r="K12" s="395"/>
      <c r="L12" s="386"/>
      <c r="M12" s="387"/>
      <c r="N12" s="387"/>
      <c r="O12" s="389"/>
      <c r="P12" s="390"/>
      <c r="Q12" s="466">
        <f t="shared" si="6"/>
        <v>111</v>
      </c>
      <c r="R12" s="462" t="s">
        <v>935</v>
      </c>
      <c r="S12" s="463">
        <f t="shared" si="0"/>
        <v>100</v>
      </c>
      <c r="T12" s="462" t="s">
        <v>935</v>
      </c>
      <c r="U12" s="463">
        <f t="shared" si="1"/>
        <v>100</v>
      </c>
      <c r="V12" s="462" t="s">
        <v>935</v>
      </c>
      <c r="W12" s="463">
        <f t="shared" si="2"/>
        <v>100</v>
      </c>
      <c r="X12" s="464"/>
      <c r="Y12" s="466"/>
      <c r="Z12" s="481">
        <f t="shared" si="7"/>
        <v>111</v>
      </c>
      <c r="AA12" s="481">
        <f t="shared" si="3"/>
        <v>1</v>
      </c>
      <c r="AB12" s="481">
        <f t="shared" si="4"/>
        <v>1</v>
      </c>
      <c r="AC12" s="481">
        <f t="shared" si="5"/>
        <v>1</v>
      </c>
    </row>
    <row r="13" ht="15" spans="1:29">
      <c r="A13" s="250"/>
      <c r="B13" s="251">
        <v>111</v>
      </c>
      <c r="C13" s="257"/>
      <c r="D13" s="258">
        <v>100</v>
      </c>
      <c r="E13" s="257"/>
      <c r="F13" s="248">
        <f>SUMIF(72:72,E13,73:73)-SUMIF(72:72,C13,73:73)+100</f>
        <v>100</v>
      </c>
      <c r="G13" s="576"/>
      <c r="H13" s="258">
        <f>SUMIF(72:72,G13,73:73)-SUMIF(72:72,C13,73:73)+100</f>
        <v>100</v>
      </c>
      <c r="I13" s="257"/>
      <c r="J13" s="258">
        <f>SUMIF(72:72,I13,73:73)-SUMIF(72:72,C13,73:73)+100</f>
        <v>100</v>
      </c>
      <c r="K13" s="395"/>
      <c r="L13" s="398"/>
      <c r="M13" s="338"/>
      <c r="N13" s="338"/>
      <c r="O13" s="397"/>
      <c r="P13" s="390"/>
      <c r="Q13" s="466">
        <f t="shared" si="6"/>
        <v>111</v>
      </c>
      <c r="R13" s="462" t="s">
        <v>935</v>
      </c>
      <c r="S13" s="463">
        <f t="shared" si="0"/>
        <v>100</v>
      </c>
      <c r="T13" s="462" t="s">
        <v>935</v>
      </c>
      <c r="U13" s="463">
        <f t="shared" si="1"/>
        <v>100</v>
      </c>
      <c r="V13" s="462" t="s">
        <v>935</v>
      </c>
      <c r="W13" s="463">
        <f t="shared" si="2"/>
        <v>100</v>
      </c>
      <c r="X13" s="464"/>
      <c r="Y13" s="466"/>
      <c r="Z13" s="481">
        <f t="shared" si="7"/>
        <v>111</v>
      </c>
      <c r="AA13" s="481">
        <f t="shared" si="3"/>
        <v>1</v>
      </c>
      <c r="AB13" s="481">
        <f t="shared" si="4"/>
        <v>1</v>
      </c>
      <c r="AC13" s="481">
        <f t="shared" si="5"/>
        <v>1</v>
      </c>
    </row>
    <row r="14" ht="15.75" spans="1:29">
      <c r="A14" s="255"/>
      <c r="B14" s="256">
        <v>111</v>
      </c>
      <c r="C14" s="307"/>
      <c r="D14" s="308">
        <v>100</v>
      </c>
      <c r="E14" s="307"/>
      <c r="F14" s="308">
        <f>SUMIF(74:74,E14,75:75)-SUMIF(74:74,C14,75:75)+100</f>
        <v>100</v>
      </c>
      <c r="G14" s="576"/>
      <c r="H14" s="308">
        <f>SUMIF(74:74,G14,75:75)-SUMIF(74:74,C14,75:75)+100</f>
        <v>100</v>
      </c>
      <c r="I14" s="257"/>
      <c r="J14" s="308">
        <f>SUMIF(74:74,I14,75:75)-SUMIF(74:74,C14,75:75)+100</f>
        <v>100</v>
      </c>
      <c r="K14" s="395"/>
      <c r="L14" s="398"/>
      <c r="M14" s="338"/>
      <c r="N14" s="338"/>
      <c r="O14" s="397"/>
      <c r="P14" s="390"/>
      <c r="Q14" s="466">
        <f t="shared" si="6"/>
        <v>111</v>
      </c>
      <c r="R14" s="462" t="s">
        <v>935</v>
      </c>
      <c r="S14" s="463">
        <f t="shared" si="0"/>
        <v>100</v>
      </c>
      <c r="T14" s="462" t="s">
        <v>935</v>
      </c>
      <c r="U14" s="463">
        <f t="shared" si="1"/>
        <v>100</v>
      </c>
      <c r="V14" s="462" t="s">
        <v>935</v>
      </c>
      <c r="W14" s="463">
        <f t="shared" si="2"/>
        <v>100</v>
      </c>
      <c r="X14" s="464"/>
      <c r="Y14" s="466"/>
      <c r="Z14" s="481">
        <f t="shared" si="7"/>
        <v>111</v>
      </c>
      <c r="AA14" s="481">
        <f t="shared" si="3"/>
        <v>1</v>
      </c>
      <c r="AB14" s="481">
        <f t="shared" si="4"/>
        <v>1</v>
      </c>
      <c r="AC14" s="481">
        <f t="shared" si="5"/>
        <v>1</v>
      </c>
    </row>
    <row r="15" ht="68.25" spans="1:29">
      <c r="A15" s="259" t="s">
        <v>946</v>
      </c>
      <c r="B15" s="260" t="s">
        <v>226</v>
      </c>
      <c r="C15" s="1125" t="str">
        <f>估价对象房地状况!C4</f>
        <v>估价对象位于XX商圈，周边商业氛围成熟，人流量大，商业繁华度好</v>
      </c>
      <c r="D15" s="262">
        <v>100</v>
      </c>
      <c r="E15" s="263"/>
      <c r="F15" s="264">
        <f>SUMIF(76:76,E16,77:77)-SUMIF(76:76,C16,77:77)+100</f>
        <v>108</v>
      </c>
      <c r="G15" s="265"/>
      <c r="H15" s="262">
        <f>SUMIF(76:76,G16,77:77)-SUMIF(76:76,C16,77:77)+100</f>
        <v>108</v>
      </c>
      <c r="I15" s="263"/>
      <c r="J15" s="262">
        <f>SUMIF(76:76,I16,77:77)-SUMIF(76:76,C16,77:77)+100</f>
        <v>108</v>
      </c>
      <c r="K15" s="399">
        <v>8</v>
      </c>
      <c r="L15" s="398"/>
      <c r="M15" s="338"/>
      <c r="N15" s="338"/>
      <c r="O15" s="397"/>
      <c r="P15" s="400" t="s">
        <v>947</v>
      </c>
      <c r="Q15" s="390" t="str">
        <f t="shared" si="6"/>
        <v>商业繁华度</v>
      </c>
      <c r="R15" s="467" t="s">
        <v>935</v>
      </c>
      <c r="S15" s="468">
        <f t="shared" si="0"/>
        <v>108</v>
      </c>
      <c r="T15" s="467" t="s">
        <v>935</v>
      </c>
      <c r="U15" s="468">
        <f t="shared" si="1"/>
        <v>108</v>
      </c>
      <c r="V15" s="467" t="s">
        <v>935</v>
      </c>
      <c r="W15" s="468">
        <f t="shared" si="2"/>
        <v>108</v>
      </c>
      <c r="X15" s="454"/>
      <c r="Y15" s="400" t="s">
        <v>947</v>
      </c>
      <c r="Z15" s="453" t="str">
        <f t="shared" si="7"/>
        <v>商业繁华度</v>
      </c>
      <c r="AA15" s="453">
        <f t="shared" si="3"/>
        <v>0.925925925925926</v>
      </c>
      <c r="AB15" s="453">
        <f t="shared" si="4"/>
        <v>0.925925925925926</v>
      </c>
      <c r="AC15" s="453">
        <f t="shared" si="5"/>
        <v>0.925925925925926</v>
      </c>
    </row>
    <row r="16" ht="15" spans="1:29">
      <c r="A16" s="266"/>
      <c r="B16" s="267"/>
      <c r="C16" s="268" t="s">
        <v>951</v>
      </c>
      <c r="D16" s="269"/>
      <c r="E16" s="268" t="s">
        <v>949</v>
      </c>
      <c r="F16" s="270"/>
      <c r="G16" s="268" t="s">
        <v>949</v>
      </c>
      <c r="H16" s="271"/>
      <c r="I16" s="268" t="s">
        <v>949</v>
      </c>
      <c r="J16" s="269"/>
      <c r="K16" s="401"/>
      <c r="L16" s="398"/>
      <c r="M16" s="338"/>
      <c r="N16" s="338"/>
      <c r="O16" s="397"/>
      <c r="P16" s="367"/>
      <c r="Q16" s="390"/>
      <c r="R16" s="467"/>
      <c r="S16" s="468"/>
      <c r="T16" s="467"/>
      <c r="U16" s="468"/>
      <c r="V16" s="467"/>
      <c r="W16" s="468"/>
      <c r="X16" s="454"/>
      <c r="Y16" s="367"/>
      <c r="Z16" s="453"/>
      <c r="AA16" s="453">
        <v>1</v>
      </c>
      <c r="AB16" s="453">
        <v>1</v>
      </c>
      <c r="AC16" s="453">
        <v>1</v>
      </c>
    </row>
    <row r="17" ht="81" spans="1:29">
      <c r="A17" s="266"/>
      <c r="B17" s="285" t="s">
        <v>229</v>
      </c>
      <c r="C17" s="273" t="str">
        <f>估价对象房地状况!C6</f>
        <v>估价对象周边道路状况、公共交通通达情况、停车便捷程度，综合评价交通便捷度较好</v>
      </c>
      <c r="D17" s="271">
        <v>100</v>
      </c>
      <c r="E17" s="281"/>
      <c r="F17" s="282">
        <f>SUMIF(78:78,E18,79:79)-SUMIF(78:78,C18,79:79)+100</f>
        <v>105</v>
      </c>
      <c r="G17" s="283"/>
      <c r="H17" s="274">
        <f>SUMIF(78:78,G18,79:79)-SUMIF(78:78,C18,79:79)+100</f>
        <v>105</v>
      </c>
      <c r="I17" s="281"/>
      <c r="J17" s="274">
        <f>SUMIF(78:78,I18,79:79)-SUMIF(78:78,C18,79:79)+100</f>
        <v>105</v>
      </c>
      <c r="K17" s="399">
        <v>5</v>
      </c>
      <c r="L17" s="398"/>
      <c r="M17" s="338"/>
      <c r="N17" s="338"/>
      <c r="O17" s="397"/>
      <c r="P17" s="367"/>
      <c r="Q17" s="390" t="str">
        <f>B17</f>
        <v>交通便捷度</v>
      </c>
      <c r="R17" s="467" t="s">
        <v>935</v>
      </c>
      <c r="S17" s="468">
        <f>F17</f>
        <v>105</v>
      </c>
      <c r="T17" s="467" t="s">
        <v>935</v>
      </c>
      <c r="U17" s="468">
        <f>H17</f>
        <v>105</v>
      </c>
      <c r="V17" s="467" t="s">
        <v>935</v>
      </c>
      <c r="W17" s="468">
        <f>J17</f>
        <v>105</v>
      </c>
      <c r="X17" s="454"/>
      <c r="Y17" s="367"/>
      <c r="Z17" s="453" t="str">
        <f>Q17</f>
        <v>交通便捷度</v>
      </c>
      <c r="AA17" s="453">
        <f t="shared" si="3"/>
        <v>0.952380952380952</v>
      </c>
      <c r="AB17" s="453">
        <f t="shared" si="4"/>
        <v>0.952380952380952</v>
      </c>
      <c r="AC17" s="453">
        <f t="shared" si="5"/>
        <v>0.952380952380952</v>
      </c>
    </row>
    <row r="18" ht="15" spans="1:29">
      <c r="A18" s="266"/>
      <c r="B18" s="286"/>
      <c r="C18" s="279" t="s">
        <v>951</v>
      </c>
      <c r="D18" s="271"/>
      <c r="E18" s="544" t="s">
        <v>949</v>
      </c>
      <c r="F18" s="282"/>
      <c r="G18" s="545" t="s">
        <v>949</v>
      </c>
      <c r="H18" s="269"/>
      <c r="I18" s="544" t="s">
        <v>949</v>
      </c>
      <c r="J18" s="269"/>
      <c r="K18" s="401"/>
      <c r="L18" s="398"/>
      <c r="M18" s="338"/>
      <c r="N18" s="338"/>
      <c r="O18" s="397"/>
      <c r="P18" s="367"/>
      <c r="Q18" s="390"/>
      <c r="R18" s="467"/>
      <c r="S18" s="468"/>
      <c r="T18" s="467"/>
      <c r="U18" s="468"/>
      <c r="V18" s="467"/>
      <c r="W18" s="468"/>
      <c r="X18" s="454"/>
      <c r="Y18" s="367"/>
      <c r="Z18" s="453"/>
      <c r="AA18" s="453">
        <v>1</v>
      </c>
      <c r="AB18" s="453">
        <v>1</v>
      </c>
      <c r="AC18" s="453">
        <v>1</v>
      </c>
    </row>
    <row r="19" ht="40.5" spans="1:29">
      <c r="A19" s="266"/>
      <c r="B19" s="1126" t="s">
        <v>231</v>
      </c>
      <c r="C19" s="273" t="str">
        <f>估价对象房地状况!C7</f>
        <v>估价对象所在区域公共配套设施齐备情况</v>
      </c>
      <c r="D19" s="274">
        <v>100</v>
      </c>
      <c r="E19" s="275"/>
      <c r="F19" s="276">
        <f>SUMIF(80:80,E20,81:81)-SUMIF(80:80,C20,81:81)+100</f>
        <v>103</v>
      </c>
      <c r="G19" s="277"/>
      <c r="H19" s="271">
        <f>SUMIF(80:80,G20,81:81)-SUMIF(80:80,C20,81:81)+100</f>
        <v>103</v>
      </c>
      <c r="I19" s="275"/>
      <c r="J19" s="271">
        <f>SUMIF(80:80,I20,81:81)-SUMIF(80:80,C20,81:81)+100</f>
        <v>103</v>
      </c>
      <c r="K19" s="399">
        <v>3</v>
      </c>
      <c r="L19" s="398"/>
      <c r="M19" s="338"/>
      <c r="N19" s="338"/>
      <c r="O19" s="397"/>
      <c r="P19" s="367"/>
      <c r="Q19" s="390" t="str">
        <f>B19</f>
        <v>公共配套设施</v>
      </c>
      <c r="R19" s="467" t="s">
        <v>935</v>
      </c>
      <c r="S19" s="468">
        <f>F19</f>
        <v>103</v>
      </c>
      <c r="T19" s="467" t="s">
        <v>935</v>
      </c>
      <c r="U19" s="468">
        <f>H19</f>
        <v>103</v>
      </c>
      <c r="V19" s="467" t="s">
        <v>935</v>
      </c>
      <c r="W19" s="468">
        <f>J19</f>
        <v>103</v>
      </c>
      <c r="X19" s="454"/>
      <c r="Y19" s="367"/>
      <c r="Z19" s="453" t="str">
        <f>Q19</f>
        <v>公共配套设施</v>
      </c>
      <c r="AA19" s="453">
        <f t="shared" si="3"/>
        <v>0.970873786407767</v>
      </c>
      <c r="AB19" s="453">
        <f t="shared" si="4"/>
        <v>0.970873786407767</v>
      </c>
      <c r="AC19" s="453">
        <f t="shared" si="5"/>
        <v>0.970873786407767</v>
      </c>
    </row>
    <row r="20" ht="15" spans="1:29">
      <c r="A20" s="266"/>
      <c r="B20" s="286"/>
      <c r="C20" s="268" t="s">
        <v>951</v>
      </c>
      <c r="D20" s="269"/>
      <c r="E20" s="546" t="s">
        <v>949</v>
      </c>
      <c r="F20" s="270"/>
      <c r="G20" s="547" t="s">
        <v>949</v>
      </c>
      <c r="H20" s="269"/>
      <c r="I20" s="546" t="s">
        <v>949</v>
      </c>
      <c r="J20" s="269"/>
      <c r="K20" s="401"/>
      <c r="L20" s="398"/>
      <c r="M20" s="338"/>
      <c r="N20" s="338"/>
      <c r="O20" s="397"/>
      <c r="P20" s="367"/>
      <c r="Q20" s="390"/>
      <c r="R20" s="467"/>
      <c r="S20" s="468"/>
      <c r="T20" s="467"/>
      <c r="U20" s="468"/>
      <c r="V20" s="467"/>
      <c r="W20" s="468"/>
      <c r="X20" s="454"/>
      <c r="Y20" s="367"/>
      <c r="Z20" s="453"/>
      <c r="AA20" s="453">
        <v>1</v>
      </c>
      <c r="AB20" s="453">
        <v>1</v>
      </c>
      <c r="AC20" s="453">
        <v>1</v>
      </c>
    </row>
    <row r="21" ht="27" spans="1:29">
      <c r="A21" s="266"/>
      <c r="B21" s="1127" t="s">
        <v>232</v>
      </c>
      <c r="C21" s="273" t="str">
        <f>估价对象房地状况!C8</f>
        <v>估价对象所在区域基础设施水平</v>
      </c>
      <c r="D21" s="274">
        <v>100</v>
      </c>
      <c r="E21" s="277"/>
      <c r="F21" s="276">
        <f>SUMIF(82:82,E22,83:83)-SUMIF(82:82,C22,83:83)+100</f>
        <v>100</v>
      </c>
      <c r="G21" s="277"/>
      <c r="H21" s="274">
        <f>SUMIF(82:82,G22,83:83)-SUMIF(82:82,C22,83:83)+100</f>
        <v>100</v>
      </c>
      <c r="I21" s="275"/>
      <c r="J21" s="274">
        <f>SUMIF(82:82,I22,83:83)-SUMIF(82:82,C22,83:83)+100</f>
        <v>100</v>
      </c>
      <c r="K21" s="399"/>
      <c r="L21" s="398"/>
      <c r="M21" s="338"/>
      <c r="N21" s="338"/>
      <c r="O21" s="397"/>
      <c r="P21" s="367"/>
      <c r="Q21" s="390" t="str">
        <f>B21</f>
        <v>基础设施水平</v>
      </c>
      <c r="R21" s="467" t="s">
        <v>935</v>
      </c>
      <c r="S21" s="468">
        <f>F21</f>
        <v>100</v>
      </c>
      <c r="T21" s="467" t="s">
        <v>935</v>
      </c>
      <c r="U21" s="468">
        <f>H21</f>
        <v>100</v>
      </c>
      <c r="V21" s="467" t="s">
        <v>935</v>
      </c>
      <c r="W21" s="468">
        <f>J21</f>
        <v>100</v>
      </c>
      <c r="X21" s="454"/>
      <c r="Y21" s="367"/>
      <c r="Z21" s="453" t="str">
        <f>Q21</f>
        <v>基础设施水平</v>
      </c>
      <c r="AA21" s="453">
        <f t="shared" ref="AA21" si="8">D21/F21</f>
        <v>1</v>
      </c>
      <c r="AB21" s="453">
        <f t="shared" ref="AB21" si="9">D21/H21</f>
        <v>1</v>
      </c>
      <c r="AC21" s="453">
        <f t="shared" ref="AC21" si="10">D21/J21</f>
        <v>1</v>
      </c>
    </row>
    <row r="22" ht="15" spans="1:29">
      <c r="A22" s="266"/>
      <c r="B22" s="292"/>
      <c r="C22" s="279" t="s">
        <v>247</v>
      </c>
      <c r="D22" s="269"/>
      <c r="E22" s="268" t="s">
        <v>247</v>
      </c>
      <c r="F22" s="270"/>
      <c r="G22" s="268" t="s">
        <v>247</v>
      </c>
      <c r="H22" s="269"/>
      <c r="I22" s="268" t="s">
        <v>247</v>
      </c>
      <c r="J22" s="269"/>
      <c r="K22" s="402"/>
      <c r="L22" s="398"/>
      <c r="M22" s="338"/>
      <c r="N22" s="338"/>
      <c r="O22" s="397"/>
      <c r="P22" s="367"/>
      <c r="Q22" s="390"/>
      <c r="R22" s="467"/>
      <c r="S22" s="468"/>
      <c r="T22" s="467"/>
      <c r="U22" s="468"/>
      <c r="V22" s="467"/>
      <c r="W22" s="468"/>
      <c r="X22" s="454"/>
      <c r="Y22" s="367"/>
      <c r="Z22" s="453"/>
      <c r="AA22" s="453">
        <v>1</v>
      </c>
      <c r="AB22" s="453">
        <v>1</v>
      </c>
      <c r="AC22" s="453">
        <v>1</v>
      </c>
    </row>
    <row r="23" ht="54" spans="1:29">
      <c r="A23" s="266"/>
      <c r="B23" s="285" t="s">
        <v>2356</v>
      </c>
      <c r="C23" s="1128" t="str">
        <f>估价对象房地状况!C9</f>
        <v>区域自然环境：；人文环境；综合评价环境状况一般</v>
      </c>
      <c r="D23" s="271">
        <v>100</v>
      </c>
      <c r="E23" s="281"/>
      <c r="F23" s="282">
        <f>SUMIF(84:84,E24,85:85)-SUMIF(84:84,C24,85:85)+100</f>
        <v>100</v>
      </c>
      <c r="G23" s="283"/>
      <c r="H23" s="271">
        <f>SUMIF(84:84,G24,85:85)-SUMIF(84:84,C24,85:85)+100</f>
        <v>100</v>
      </c>
      <c r="I23" s="281"/>
      <c r="J23" s="271">
        <f>SUMIF(84:84,I24,85:85)-SUMIF(84:84,C24,85:85)+100</f>
        <v>100</v>
      </c>
      <c r="K23" s="399">
        <v>1</v>
      </c>
      <c r="L23" s="398"/>
      <c r="M23" s="338"/>
      <c r="N23" s="338"/>
      <c r="O23" s="397"/>
      <c r="P23" s="367"/>
      <c r="Q23" s="390" t="str">
        <f>B23</f>
        <v>自然及人文环境</v>
      </c>
      <c r="R23" s="467" t="s">
        <v>935</v>
      </c>
      <c r="S23" s="468">
        <f>F23</f>
        <v>100</v>
      </c>
      <c r="T23" s="467" t="s">
        <v>935</v>
      </c>
      <c r="U23" s="468">
        <f>H23</f>
        <v>100</v>
      </c>
      <c r="V23" s="467" t="s">
        <v>935</v>
      </c>
      <c r="W23" s="468">
        <f>J23</f>
        <v>100</v>
      </c>
      <c r="X23" s="454"/>
      <c r="Y23" s="367"/>
      <c r="Z23" s="453" t="str">
        <f>Q23</f>
        <v>自然及人文环境</v>
      </c>
      <c r="AA23" s="453">
        <f t="shared" si="3"/>
        <v>1</v>
      </c>
      <c r="AB23" s="453">
        <f t="shared" si="4"/>
        <v>1</v>
      </c>
      <c r="AC23" s="453">
        <f t="shared" si="5"/>
        <v>1</v>
      </c>
    </row>
    <row r="24" ht="15" spans="1:29">
      <c r="A24" s="266"/>
      <c r="B24" s="286"/>
      <c r="C24" s="268" t="s">
        <v>951</v>
      </c>
      <c r="D24" s="269"/>
      <c r="E24" s="546" t="s">
        <v>951</v>
      </c>
      <c r="F24" s="270"/>
      <c r="G24" s="547" t="s">
        <v>951</v>
      </c>
      <c r="H24" s="269"/>
      <c r="I24" s="546" t="s">
        <v>951</v>
      </c>
      <c r="J24" s="269"/>
      <c r="K24" s="401"/>
      <c r="L24" s="398"/>
      <c r="M24" s="338"/>
      <c r="N24" s="338"/>
      <c r="O24" s="397"/>
      <c r="P24" s="367"/>
      <c r="Q24" s="390"/>
      <c r="R24" s="467"/>
      <c r="S24" s="468"/>
      <c r="T24" s="467"/>
      <c r="U24" s="468"/>
      <c r="V24" s="467"/>
      <c r="W24" s="468"/>
      <c r="X24" s="454"/>
      <c r="Y24" s="367"/>
      <c r="Z24" s="453"/>
      <c r="AA24" s="453">
        <v>1</v>
      </c>
      <c r="AB24" s="453">
        <v>1</v>
      </c>
      <c r="AC24" s="453">
        <v>1</v>
      </c>
    </row>
    <row r="25" ht="15" spans="1:29">
      <c r="A25" s="266"/>
      <c r="B25" s="297" t="s">
        <v>234</v>
      </c>
      <c r="C25" s="287" t="s">
        <v>2457</v>
      </c>
      <c r="D25" s="258">
        <v>100</v>
      </c>
      <c r="E25" s="287" t="s">
        <v>2457</v>
      </c>
      <c r="F25" s="288">
        <f>SUMIF(86:86,E25,87:87)-SUMIF(86:86,C25,87:87)+100</f>
        <v>100</v>
      </c>
      <c r="G25" s="287" t="s">
        <v>2457</v>
      </c>
      <c r="H25" s="258">
        <f>SUMIF(86:86,G25,87:87)-SUMIF(86:86,C25,87:87)+100</f>
        <v>100</v>
      </c>
      <c r="I25" s="287" t="s">
        <v>2457</v>
      </c>
      <c r="J25" s="258">
        <f>SUMIF(86:86,I25,87:87)-SUMIF(86:86,C25,87:87)+100</f>
        <v>100</v>
      </c>
      <c r="K25" s="391"/>
      <c r="L25" s="398"/>
      <c r="M25" s="338"/>
      <c r="N25" s="338"/>
      <c r="O25" s="397"/>
      <c r="P25" s="367"/>
      <c r="Q25" s="390" t="str">
        <f t="shared" ref="Q25:Q46" si="11">B25</f>
        <v>临街状况</v>
      </c>
      <c r="R25" s="467" t="s">
        <v>935</v>
      </c>
      <c r="S25" s="468">
        <f>F25</f>
        <v>100</v>
      </c>
      <c r="T25" s="467" t="s">
        <v>935</v>
      </c>
      <c r="U25" s="468">
        <f>H25</f>
        <v>100</v>
      </c>
      <c r="V25" s="467" t="s">
        <v>935</v>
      </c>
      <c r="W25" s="468">
        <f>J25</f>
        <v>100</v>
      </c>
      <c r="X25" s="454"/>
      <c r="Y25" s="367"/>
      <c r="Z25" s="453" t="str">
        <f>Q25</f>
        <v>临街状况</v>
      </c>
      <c r="AA25" s="453">
        <f t="shared" si="3"/>
        <v>1</v>
      </c>
      <c r="AB25" s="453">
        <f t="shared" si="4"/>
        <v>1</v>
      </c>
      <c r="AC25" s="453">
        <f t="shared" si="5"/>
        <v>1</v>
      </c>
    </row>
    <row r="26" ht="15" spans="1:29">
      <c r="A26" s="266"/>
      <c r="B26" s="548" t="s">
        <v>2458</v>
      </c>
      <c r="C26" s="257"/>
      <c r="D26" s="258">
        <v>100</v>
      </c>
      <c r="E26" s="257"/>
      <c r="F26" s="288">
        <f>SUMIF(88:88,E26,89:89)-SUMIF(88:88,C26,89:89)+100</f>
        <v>100</v>
      </c>
      <c r="G26" s="257"/>
      <c r="H26" s="258">
        <f>SUMIF(88:88,G26,89:89)-SUMIF(88:88,C26,89:89)+100</f>
        <v>100</v>
      </c>
      <c r="I26" s="257"/>
      <c r="J26" s="258">
        <f>SUMIF(88:88,I26,89:89)-SUMIF(88:88,C26,89:89)+100</f>
        <v>100</v>
      </c>
      <c r="K26" s="395"/>
      <c r="L26" s="398"/>
      <c r="M26" s="338"/>
      <c r="N26" s="338"/>
      <c r="O26" s="397"/>
      <c r="P26" s="367"/>
      <c r="Q26" s="390" t="str">
        <f t="shared" si="11"/>
        <v>平面位置/可视性</v>
      </c>
      <c r="R26" s="467" t="s">
        <v>935</v>
      </c>
      <c r="S26" s="468">
        <f>F26</f>
        <v>100</v>
      </c>
      <c r="T26" s="467" t="s">
        <v>935</v>
      </c>
      <c r="U26" s="468">
        <f>H26</f>
        <v>100</v>
      </c>
      <c r="V26" s="467" t="s">
        <v>935</v>
      </c>
      <c r="W26" s="468">
        <f>J26</f>
        <v>100</v>
      </c>
      <c r="X26" s="454"/>
      <c r="Y26" s="367"/>
      <c r="Z26" s="453" t="str">
        <f>Q26</f>
        <v>平面位置/可视性</v>
      </c>
      <c r="AA26" s="453">
        <f t="shared" si="3"/>
        <v>1</v>
      </c>
      <c r="AB26" s="453">
        <f t="shared" si="4"/>
        <v>1</v>
      </c>
      <c r="AC26" s="453">
        <f t="shared" si="5"/>
        <v>1</v>
      </c>
    </row>
    <row r="27" s="189" customFormat="1" ht="15" spans="1:29">
      <c r="A27" s="290"/>
      <c r="B27" s="285" t="s">
        <v>2459</v>
      </c>
      <c r="C27" s="579"/>
      <c r="D27" s="278">
        <v>100</v>
      </c>
      <c r="E27" s="579"/>
      <c r="F27" s="286">
        <f>SUMIF(90:90,E27,91:91)-SUMIF(90:90,C27,91:91)+100</f>
        <v>100</v>
      </c>
      <c r="G27" s="579"/>
      <c r="H27" s="278">
        <f>SUMIF(90:90,G27,91:91)-SUMIF(90:90,C27,91:91)+100</f>
        <v>100</v>
      </c>
      <c r="I27" s="579"/>
      <c r="J27" s="278">
        <f>SUMIF(90:90,I27,91:91)-SUMIF(90:90,C27,91:91)+100</f>
        <v>100</v>
      </c>
      <c r="K27" s="391"/>
      <c r="L27" s="386"/>
      <c r="M27" s="387"/>
      <c r="N27" s="387"/>
      <c r="O27" s="389"/>
      <c r="P27" s="367"/>
      <c r="Q27" s="466" t="str">
        <f t="shared" si="11"/>
        <v>人流量</v>
      </c>
      <c r="R27" s="462" t="s">
        <v>935</v>
      </c>
      <c r="S27" s="463">
        <f>F27</f>
        <v>100</v>
      </c>
      <c r="T27" s="462" t="s">
        <v>935</v>
      </c>
      <c r="U27" s="463">
        <f>H27</f>
        <v>100</v>
      </c>
      <c r="V27" s="462" t="s">
        <v>935</v>
      </c>
      <c r="W27" s="463">
        <f>J27</f>
        <v>100</v>
      </c>
      <c r="X27" s="464"/>
      <c r="Y27" s="367"/>
      <c r="Z27" s="481" t="str">
        <f>Q27</f>
        <v>人流量</v>
      </c>
      <c r="AA27" s="453">
        <f t="shared" si="3"/>
        <v>1</v>
      </c>
      <c r="AB27" s="453">
        <f t="shared" si="4"/>
        <v>1</v>
      </c>
      <c r="AC27" s="453">
        <f t="shared" si="5"/>
        <v>1</v>
      </c>
    </row>
    <row r="28" ht="15" spans="1:29">
      <c r="A28" s="266"/>
      <c r="B28" s="297" t="s">
        <v>2460</v>
      </c>
      <c r="C28" s="287">
        <v>1</v>
      </c>
      <c r="D28" s="258">
        <v>100</v>
      </c>
      <c r="E28" s="287">
        <v>1</v>
      </c>
      <c r="F28" s="288">
        <f>SUMIF(92:92,E28,93:93)-SUMIF(92:92,C28,93:93)+100</f>
        <v>100</v>
      </c>
      <c r="G28" s="287">
        <v>1</v>
      </c>
      <c r="H28" s="258">
        <f>SUMIF(92:92,G28,93:93)-SUMIF(92:92,C28,93:93)+100</f>
        <v>100</v>
      </c>
      <c r="I28" s="287">
        <v>1</v>
      </c>
      <c r="J28" s="258">
        <f>SUMIF(92:92,I28,93:93)-SUMIF(92:92,C28,93:93)+100</f>
        <v>100</v>
      </c>
      <c r="K28" s="395"/>
      <c r="L28" s="398"/>
      <c r="M28" s="338"/>
      <c r="N28" s="338"/>
      <c r="O28" s="397"/>
      <c r="P28" s="367"/>
      <c r="Q28" s="390" t="str">
        <f t="shared" si="11"/>
        <v>楼层</v>
      </c>
      <c r="R28" s="467" t="s">
        <v>935</v>
      </c>
      <c r="S28" s="468">
        <f t="shared" ref="S28:S46" si="12">F28</f>
        <v>100</v>
      </c>
      <c r="T28" s="467" t="s">
        <v>935</v>
      </c>
      <c r="U28" s="468">
        <f t="shared" ref="U28:U46" si="13">H28</f>
        <v>100</v>
      </c>
      <c r="V28" s="467" t="s">
        <v>935</v>
      </c>
      <c r="W28" s="468">
        <f t="shared" ref="W28:W46" si="14">J28</f>
        <v>100</v>
      </c>
      <c r="X28" s="454"/>
      <c r="Y28" s="367"/>
      <c r="Z28" s="453" t="str">
        <f t="shared" ref="Z28:Z46" si="15">Q28</f>
        <v>楼层</v>
      </c>
      <c r="AA28" s="453">
        <f t="shared" si="3"/>
        <v>1</v>
      </c>
      <c r="AB28" s="453">
        <f t="shared" si="4"/>
        <v>1</v>
      </c>
      <c r="AC28" s="453">
        <f t="shared" si="5"/>
        <v>1</v>
      </c>
    </row>
    <row r="29" ht="15" spans="1:29">
      <c r="A29" s="266"/>
      <c r="B29" s="548">
        <v>111</v>
      </c>
      <c r="C29" s="257"/>
      <c r="D29" s="258">
        <v>100</v>
      </c>
      <c r="E29" s="257"/>
      <c r="F29" s="288">
        <f>SUMIF(94:94,E29,95:95)-SUMIF(94:94,C29,95:95)+100</f>
        <v>100</v>
      </c>
      <c r="G29" s="257"/>
      <c r="H29" s="258">
        <f>SUMIF(94:94,G29,95:95)-SUMIF(94:94,C29,95:95)+100</f>
        <v>100</v>
      </c>
      <c r="I29" s="257"/>
      <c r="J29" s="258">
        <f>SUMIF(94:94,I29,95:95)-SUMIF(94:94,C29,95:95)+100</f>
        <v>100</v>
      </c>
      <c r="K29" s="395"/>
      <c r="L29" s="398"/>
      <c r="M29" s="338"/>
      <c r="N29" s="338"/>
      <c r="O29" s="397"/>
      <c r="P29" s="367"/>
      <c r="Q29" s="390">
        <f t="shared" si="11"/>
        <v>111</v>
      </c>
      <c r="R29" s="467" t="s">
        <v>935</v>
      </c>
      <c r="S29" s="468">
        <f t="shared" si="12"/>
        <v>100</v>
      </c>
      <c r="T29" s="467" t="s">
        <v>935</v>
      </c>
      <c r="U29" s="468">
        <f t="shared" si="13"/>
        <v>100</v>
      </c>
      <c r="V29" s="467" t="s">
        <v>935</v>
      </c>
      <c r="W29" s="468">
        <f t="shared" si="14"/>
        <v>100</v>
      </c>
      <c r="X29" s="454"/>
      <c r="Y29" s="367"/>
      <c r="Z29" s="453">
        <f t="shared" si="15"/>
        <v>111</v>
      </c>
      <c r="AA29" s="453">
        <f t="shared" si="3"/>
        <v>1</v>
      </c>
      <c r="AB29" s="453">
        <f t="shared" si="4"/>
        <v>1</v>
      </c>
      <c r="AC29" s="453">
        <f t="shared" si="5"/>
        <v>1</v>
      </c>
    </row>
    <row r="30" ht="15" spans="1:29">
      <c r="A30" s="266"/>
      <c r="B30" s="548">
        <v>111</v>
      </c>
      <c r="C30" s="257"/>
      <c r="D30" s="258">
        <v>100</v>
      </c>
      <c r="E30" s="257"/>
      <c r="F30" s="288">
        <f>SUMIF(96:96,E30,97:97)-SUMIF(96:96,C30,97:97)+100</f>
        <v>100</v>
      </c>
      <c r="G30" s="257"/>
      <c r="H30" s="258">
        <f>SUMIF(96:96,G30,97:97)-SUMIF(96:96,C30,97:97)+100</f>
        <v>100</v>
      </c>
      <c r="I30" s="257"/>
      <c r="J30" s="258">
        <f>SUMIF(96:96,I30,97:97)-SUMIF(96:96,C30,97:97)+100</f>
        <v>100</v>
      </c>
      <c r="K30" s="395"/>
      <c r="L30" s="398"/>
      <c r="M30" s="338"/>
      <c r="N30" s="338"/>
      <c r="O30" s="397"/>
      <c r="P30" s="367"/>
      <c r="Q30" s="390">
        <f t="shared" si="11"/>
        <v>111</v>
      </c>
      <c r="R30" s="467" t="s">
        <v>935</v>
      </c>
      <c r="S30" s="468">
        <f t="shared" si="12"/>
        <v>100</v>
      </c>
      <c r="T30" s="467" t="s">
        <v>935</v>
      </c>
      <c r="U30" s="468">
        <f t="shared" si="13"/>
        <v>100</v>
      </c>
      <c r="V30" s="467" t="s">
        <v>935</v>
      </c>
      <c r="W30" s="468">
        <f t="shared" si="14"/>
        <v>100</v>
      </c>
      <c r="X30" s="454"/>
      <c r="Y30" s="367"/>
      <c r="Z30" s="453">
        <f t="shared" si="15"/>
        <v>111</v>
      </c>
      <c r="AA30" s="453">
        <f t="shared" si="3"/>
        <v>1</v>
      </c>
      <c r="AB30" s="453">
        <f t="shared" si="4"/>
        <v>1</v>
      </c>
      <c r="AC30" s="453">
        <f t="shared" si="5"/>
        <v>1</v>
      </c>
    </row>
    <row r="31" ht="15.75" spans="1:29">
      <c r="A31" s="549"/>
      <c r="B31" s="548">
        <v>111</v>
      </c>
      <c r="C31" s="307"/>
      <c r="D31" s="308">
        <v>100</v>
      </c>
      <c r="E31" s="257"/>
      <c r="F31" s="310">
        <f>SUMIF(98:98,E31,99:99)-SUMIF(98:98,C31,99:99)+100</f>
        <v>100</v>
      </c>
      <c r="G31" s="257"/>
      <c r="H31" s="308">
        <f>SUMIF(98:98,G31,99:99)-SUMIF(98:98,C31,99:99)+100</f>
        <v>100</v>
      </c>
      <c r="I31" s="257"/>
      <c r="J31" s="308">
        <f>SUMIF(98:98,I31,99:99)-SUMIF(98:98,C31,99:99)+100</f>
        <v>100</v>
      </c>
      <c r="K31" s="395"/>
      <c r="L31" s="398"/>
      <c r="M31" s="338"/>
      <c r="N31" s="338"/>
      <c r="O31" s="397"/>
      <c r="P31" s="367"/>
      <c r="Q31" s="390">
        <f t="shared" si="11"/>
        <v>111</v>
      </c>
      <c r="R31" s="467" t="s">
        <v>935</v>
      </c>
      <c r="S31" s="468">
        <f t="shared" si="12"/>
        <v>100</v>
      </c>
      <c r="T31" s="467" t="s">
        <v>935</v>
      </c>
      <c r="U31" s="468">
        <f t="shared" si="13"/>
        <v>100</v>
      </c>
      <c r="V31" s="467" t="s">
        <v>935</v>
      </c>
      <c r="W31" s="468">
        <f t="shared" si="14"/>
        <v>100</v>
      </c>
      <c r="X31" s="454"/>
      <c r="Y31" s="367"/>
      <c r="Z31" s="453">
        <f t="shared" si="15"/>
        <v>111</v>
      </c>
      <c r="AA31" s="453">
        <f t="shared" si="3"/>
        <v>1</v>
      </c>
      <c r="AB31" s="453">
        <f t="shared" si="4"/>
        <v>1</v>
      </c>
      <c r="AC31" s="453">
        <f t="shared" si="5"/>
        <v>1</v>
      </c>
    </row>
    <row r="32" ht="27" spans="1:29">
      <c r="A32" s="293" t="s">
        <v>955</v>
      </c>
      <c r="B32" s="294" t="s">
        <v>2461</v>
      </c>
      <c r="C32" s="295" t="s">
        <v>2462</v>
      </c>
      <c r="D32" s="216">
        <v>100</v>
      </c>
      <c r="E32" s="295" t="s">
        <v>2463</v>
      </c>
      <c r="F32" s="288">
        <f>SUMIF(100:100,E32,101:101)-SUMIF(100:100,C32,101:101)+100</f>
        <v>103</v>
      </c>
      <c r="G32" s="295" t="s">
        <v>2464</v>
      </c>
      <c r="H32" s="258">
        <f>SUMIF(100:100,G32,101:101)-SUMIF(100:100,C32,101:101)+100</f>
        <v>109</v>
      </c>
      <c r="I32" s="295" t="s">
        <v>2465</v>
      </c>
      <c r="J32" s="216">
        <f>SUMIF(100:100,I32,101:101)-SUMIF(100:100,C32,101:101)+100</f>
        <v>106</v>
      </c>
      <c r="K32" s="391">
        <v>3</v>
      </c>
      <c r="L32" s="398"/>
      <c r="M32" s="338"/>
      <c r="N32" s="338"/>
      <c r="O32" s="397"/>
      <c r="P32" s="403" t="s">
        <v>954</v>
      </c>
      <c r="Q32" s="390" t="str">
        <f t="shared" si="11"/>
        <v>商业类型</v>
      </c>
      <c r="R32" s="467" t="s">
        <v>935</v>
      </c>
      <c r="S32" s="468">
        <f t="shared" si="12"/>
        <v>103</v>
      </c>
      <c r="T32" s="467" t="s">
        <v>935</v>
      </c>
      <c r="U32" s="468">
        <f t="shared" si="13"/>
        <v>109</v>
      </c>
      <c r="V32" s="467" t="s">
        <v>935</v>
      </c>
      <c r="W32" s="468">
        <f t="shared" si="14"/>
        <v>106</v>
      </c>
      <c r="X32" s="454"/>
      <c r="Y32" s="406" t="s">
        <v>954</v>
      </c>
      <c r="Z32" s="453" t="str">
        <f t="shared" si="15"/>
        <v>商业类型</v>
      </c>
      <c r="AA32" s="453">
        <f t="shared" si="3"/>
        <v>0.970873786407767</v>
      </c>
      <c r="AB32" s="453">
        <f t="shared" si="4"/>
        <v>0.917431192660551</v>
      </c>
      <c r="AC32" s="453">
        <f t="shared" si="5"/>
        <v>0.943396226415094</v>
      </c>
    </row>
    <row r="33" s="191" customFormat="1" ht="15" spans="1:29">
      <c r="A33" s="296"/>
      <c r="B33" s="297" t="s">
        <v>2362</v>
      </c>
      <c r="C33" s="253">
        <v>1</v>
      </c>
      <c r="D33" s="248">
        <v>100</v>
      </c>
      <c r="E33" s="542">
        <v>1</v>
      </c>
      <c r="F33" s="297">
        <f>LOOKUP(E33,103:103,104:104)-LOOKUP(C33,103:103,104:104)+100</f>
        <v>100</v>
      </c>
      <c r="G33" s="541">
        <v>1</v>
      </c>
      <c r="H33" s="248">
        <f>LOOKUP(G33,103:103,104:104)-LOOKUP(C33,103:103,104:104)+100</f>
        <v>100</v>
      </c>
      <c r="I33" s="541">
        <v>1</v>
      </c>
      <c r="J33" s="248">
        <f>LOOKUP(I33,103:103,104:104)-LOOKUP(C33,103:103,104:104)+100</f>
        <v>100</v>
      </c>
      <c r="K33" s="395"/>
      <c r="L33" s="396"/>
      <c r="M33" s="404"/>
      <c r="N33" s="404"/>
      <c r="O33" s="405"/>
      <c r="P33" s="406"/>
      <c r="Q33" s="469" t="str">
        <f t="shared" si="11"/>
        <v>项目建筑规模</v>
      </c>
      <c r="R33" s="470" t="s">
        <v>935</v>
      </c>
      <c r="S33" s="471">
        <f t="shared" si="12"/>
        <v>100</v>
      </c>
      <c r="T33" s="470" t="s">
        <v>935</v>
      </c>
      <c r="U33" s="471">
        <f t="shared" si="13"/>
        <v>100</v>
      </c>
      <c r="V33" s="470" t="s">
        <v>935</v>
      </c>
      <c r="W33" s="471">
        <f t="shared" si="14"/>
        <v>100</v>
      </c>
      <c r="X33" s="472"/>
      <c r="Y33" s="406"/>
      <c r="Z33" s="482" t="str">
        <f t="shared" si="15"/>
        <v>项目建筑规模</v>
      </c>
      <c r="AA33" s="453">
        <f t="shared" si="3"/>
        <v>1</v>
      </c>
      <c r="AB33" s="453">
        <f t="shared" si="4"/>
        <v>1</v>
      </c>
      <c r="AC33" s="453">
        <f t="shared" si="5"/>
        <v>1</v>
      </c>
    </row>
    <row r="34" ht="15" spans="1:29">
      <c r="A34" s="301"/>
      <c r="B34" s="297" t="s">
        <v>2363</v>
      </c>
      <c r="C34" s="302" t="s">
        <v>2076</v>
      </c>
      <c r="D34" s="258">
        <v>100</v>
      </c>
      <c r="E34" s="1129" t="s">
        <v>2076</v>
      </c>
      <c r="F34" s="288">
        <f>SUMIF(105:105,E34,106:106)-SUMIF(105:105,C34,106:106)+100</f>
        <v>100</v>
      </c>
      <c r="G34" s="1130" t="s">
        <v>2076</v>
      </c>
      <c r="H34" s="258">
        <f>SUMIF(105:105,G34,106:106)-SUMIF(105:105,C34,106:106)+100</f>
        <v>100</v>
      </c>
      <c r="I34" s="1130" t="s">
        <v>2076</v>
      </c>
      <c r="J34" s="258">
        <f>SUMIF(105:105,I34,106:106)-SUMIF(105:105,C34,106:106)+100</f>
        <v>100</v>
      </c>
      <c r="K34" s="391"/>
      <c r="L34" s="398"/>
      <c r="M34" s="338"/>
      <c r="N34" s="338"/>
      <c r="O34" s="397"/>
      <c r="P34" s="406"/>
      <c r="Q34" s="390" t="str">
        <f t="shared" si="11"/>
        <v>建筑结构</v>
      </c>
      <c r="R34" s="467" t="s">
        <v>935</v>
      </c>
      <c r="S34" s="468">
        <f t="shared" si="12"/>
        <v>100</v>
      </c>
      <c r="T34" s="467" t="s">
        <v>935</v>
      </c>
      <c r="U34" s="468">
        <f t="shared" si="13"/>
        <v>100</v>
      </c>
      <c r="V34" s="467" t="s">
        <v>935</v>
      </c>
      <c r="W34" s="468">
        <f t="shared" si="14"/>
        <v>100</v>
      </c>
      <c r="X34" s="454"/>
      <c r="Y34" s="406"/>
      <c r="Z34" s="453" t="str">
        <f t="shared" si="15"/>
        <v>建筑结构</v>
      </c>
      <c r="AA34" s="453">
        <f t="shared" si="3"/>
        <v>1</v>
      </c>
      <c r="AB34" s="453">
        <f t="shared" si="4"/>
        <v>1</v>
      </c>
      <c r="AC34" s="453">
        <f t="shared" si="5"/>
        <v>1</v>
      </c>
    </row>
    <row r="35" ht="15" spans="1:29">
      <c r="A35" s="301"/>
      <c r="B35" s="297" t="s">
        <v>2365</v>
      </c>
      <c r="C35" s="582"/>
      <c r="D35" s="258">
        <v>100</v>
      </c>
      <c r="E35" s="582"/>
      <c r="F35" s="288">
        <f>SUMIF(107:107,E35,108:108)-SUMIF(107:107,C35,108:108)+100</f>
        <v>100</v>
      </c>
      <c r="G35" s="582"/>
      <c r="H35" s="258">
        <f>SUMIF(107:107,G35,108:108)-SUMIF(107:107,C35,108:108)+100</f>
        <v>100</v>
      </c>
      <c r="I35" s="582"/>
      <c r="J35" s="258">
        <f>SUMIF(107:107,I35,108:108)-SUMIF(107:107,C35,108:108)+100</f>
        <v>100</v>
      </c>
      <c r="K35" s="391"/>
      <c r="L35" s="398"/>
      <c r="M35" s="338"/>
      <c r="N35" s="338"/>
      <c r="O35" s="397"/>
      <c r="P35" s="406"/>
      <c r="Q35" s="390" t="str">
        <f t="shared" si="11"/>
        <v>公共部分装修</v>
      </c>
      <c r="R35" s="467" t="s">
        <v>935</v>
      </c>
      <c r="S35" s="468">
        <f t="shared" si="12"/>
        <v>100</v>
      </c>
      <c r="T35" s="467" t="s">
        <v>935</v>
      </c>
      <c r="U35" s="468">
        <f t="shared" si="13"/>
        <v>100</v>
      </c>
      <c r="V35" s="467" t="s">
        <v>935</v>
      </c>
      <c r="W35" s="468">
        <f t="shared" si="14"/>
        <v>100</v>
      </c>
      <c r="X35" s="454"/>
      <c r="Y35" s="406"/>
      <c r="Z35" s="453" t="str">
        <f t="shared" si="15"/>
        <v>公共部分装修</v>
      </c>
      <c r="AA35" s="453">
        <f t="shared" si="3"/>
        <v>1</v>
      </c>
      <c r="AB35" s="453">
        <f t="shared" si="4"/>
        <v>1</v>
      </c>
      <c r="AC35" s="453">
        <f t="shared" si="5"/>
        <v>1</v>
      </c>
    </row>
    <row r="36" ht="15" spans="1:29">
      <c r="A36" s="301"/>
      <c r="B36" s="297" t="s">
        <v>2367</v>
      </c>
      <c r="C36" s="298">
        <v>1</v>
      </c>
      <c r="D36" s="258">
        <v>100</v>
      </c>
      <c r="E36" s="298">
        <v>0.8</v>
      </c>
      <c r="F36" s="288">
        <f>LOOKUP(E36,110:110,111:111)-LOOKUP(C36,110:110,111:111)+100</f>
        <v>99</v>
      </c>
      <c r="G36" s="298">
        <v>0.8</v>
      </c>
      <c r="H36" s="288">
        <f>LOOKUP(G36,110:110,111:111)-LOOKUP(C36,110:110,111:111)+100</f>
        <v>99</v>
      </c>
      <c r="I36" s="298">
        <v>0.8</v>
      </c>
      <c r="J36" s="258">
        <f>LOOKUP(I36,110:110,111:111)-LOOKUP(C36,110:110,111:111)+100</f>
        <v>99</v>
      </c>
      <c r="K36" s="391">
        <v>1</v>
      </c>
      <c r="L36" s="398"/>
      <c r="M36" s="338"/>
      <c r="N36" s="338"/>
      <c r="O36" s="397"/>
      <c r="P36" s="406"/>
      <c r="Q36" s="390" t="str">
        <f t="shared" si="11"/>
        <v>成新度</v>
      </c>
      <c r="R36" s="467" t="s">
        <v>935</v>
      </c>
      <c r="S36" s="468">
        <f t="shared" si="12"/>
        <v>99</v>
      </c>
      <c r="T36" s="467" t="s">
        <v>935</v>
      </c>
      <c r="U36" s="468">
        <f t="shared" si="13"/>
        <v>99</v>
      </c>
      <c r="V36" s="467" t="s">
        <v>935</v>
      </c>
      <c r="W36" s="468">
        <f t="shared" si="14"/>
        <v>99</v>
      </c>
      <c r="X36" s="454"/>
      <c r="Y36" s="406"/>
      <c r="Z36" s="453" t="str">
        <f t="shared" si="15"/>
        <v>成新度</v>
      </c>
      <c r="AA36" s="453">
        <f t="shared" si="3"/>
        <v>1.01010101010101</v>
      </c>
      <c r="AB36" s="453">
        <f t="shared" si="4"/>
        <v>1.01010101010101</v>
      </c>
      <c r="AC36" s="453">
        <f t="shared" si="5"/>
        <v>1.01010101010101</v>
      </c>
    </row>
    <row r="37" s="189" customFormat="1" ht="15" spans="1:29">
      <c r="A37" s="304"/>
      <c r="B37" s="550" t="s">
        <v>2370</v>
      </c>
      <c r="C37" s="582"/>
      <c r="D37" s="248">
        <v>100</v>
      </c>
      <c r="E37" s="582"/>
      <c r="F37" s="288">
        <f>SUMIF(112:112,E37,113:113)-SUMIF(112:112,C37,113:113)+100</f>
        <v>100</v>
      </c>
      <c r="G37" s="582"/>
      <c r="H37" s="258">
        <f>SUMIF(112:112,G37,113:113)-SUMIF(112:112,C37,113:113)+100</f>
        <v>100</v>
      </c>
      <c r="I37" s="582"/>
      <c r="J37" s="258">
        <f>SUMIF(112:112,I37,113:113)-SUMIF(112:112,C37,113:113)+100</f>
        <v>100</v>
      </c>
      <c r="K37" s="391"/>
      <c r="L37" s="386"/>
      <c r="M37" s="387"/>
      <c r="N37" s="387"/>
      <c r="O37" s="389"/>
      <c r="P37" s="406"/>
      <c r="Q37" s="466" t="str">
        <f t="shared" si="11"/>
        <v>市政基础设施</v>
      </c>
      <c r="R37" s="462" t="s">
        <v>935</v>
      </c>
      <c r="S37" s="463">
        <f t="shared" si="12"/>
        <v>100</v>
      </c>
      <c r="T37" s="462" t="s">
        <v>935</v>
      </c>
      <c r="U37" s="463">
        <f t="shared" si="13"/>
        <v>100</v>
      </c>
      <c r="V37" s="462" t="s">
        <v>935</v>
      </c>
      <c r="W37" s="463">
        <f t="shared" si="14"/>
        <v>100</v>
      </c>
      <c r="X37" s="464"/>
      <c r="Y37" s="406"/>
      <c r="Z37" s="481" t="str">
        <f t="shared" si="15"/>
        <v>市政基础设施</v>
      </c>
      <c r="AA37" s="481">
        <f t="shared" si="3"/>
        <v>1</v>
      </c>
      <c r="AB37" s="481">
        <f t="shared" si="4"/>
        <v>1</v>
      </c>
      <c r="AC37" s="481">
        <f t="shared" si="5"/>
        <v>1</v>
      </c>
    </row>
    <row r="38" ht="15" spans="1:29">
      <c r="A38" s="301"/>
      <c r="B38" s="297" t="s">
        <v>2466</v>
      </c>
      <c r="C38" s="582"/>
      <c r="D38" s="258">
        <v>100</v>
      </c>
      <c r="E38" s="582"/>
      <c r="F38" s="288">
        <f>SUMIF(114:114,E38,115:115)-SUMIF(114:114,C38,115:115)+100</f>
        <v>100</v>
      </c>
      <c r="G38" s="582"/>
      <c r="H38" s="258">
        <f>SUMIF(114:114,G38,115:115)-SUMIF(114:114,C38,115:115)+100</f>
        <v>100</v>
      </c>
      <c r="I38" s="582"/>
      <c r="J38" s="258">
        <f>SUMIF(114:114,I38,115:115)-SUMIF(114:114,C38,115:115)+100</f>
        <v>100</v>
      </c>
      <c r="K38" s="391"/>
      <c r="L38" s="398"/>
      <c r="M38" s="338"/>
      <c r="N38" s="338"/>
      <c r="O38" s="397"/>
      <c r="P38" s="406" t="s">
        <v>954</v>
      </c>
      <c r="Q38" s="390" t="str">
        <f t="shared" si="11"/>
        <v>业态</v>
      </c>
      <c r="R38" s="467" t="s">
        <v>935</v>
      </c>
      <c r="S38" s="468">
        <f t="shared" si="12"/>
        <v>100</v>
      </c>
      <c r="T38" s="467" t="s">
        <v>935</v>
      </c>
      <c r="U38" s="468">
        <f t="shared" si="13"/>
        <v>100</v>
      </c>
      <c r="V38" s="467" t="s">
        <v>935</v>
      </c>
      <c r="W38" s="468">
        <f t="shared" si="14"/>
        <v>100</v>
      </c>
      <c r="X38" s="454"/>
      <c r="Y38" s="406" t="s">
        <v>954</v>
      </c>
      <c r="Z38" s="453" t="str">
        <f t="shared" si="15"/>
        <v>业态</v>
      </c>
      <c r="AA38" s="453">
        <f t="shared" si="3"/>
        <v>1</v>
      </c>
      <c r="AB38" s="453">
        <f t="shared" si="4"/>
        <v>1</v>
      </c>
      <c r="AC38" s="453">
        <f t="shared" si="5"/>
        <v>1</v>
      </c>
    </row>
    <row r="39" ht="15" spans="1:29">
      <c r="A39" s="301"/>
      <c r="B39" s="297" t="s">
        <v>2467</v>
      </c>
      <c r="C39" s="582"/>
      <c r="D39" s="258">
        <v>100</v>
      </c>
      <c r="E39" s="582"/>
      <c r="F39" s="288">
        <f>SUMIF(116:116,E39,117:117)-SUMIF(116:116,C39,117:117)+100</f>
        <v>100</v>
      </c>
      <c r="G39" s="582"/>
      <c r="H39" s="258">
        <f>SUMIF(116:116,G39,117:117)-SUMIF(116:116,C39,117:117)+100</f>
        <v>100</v>
      </c>
      <c r="I39" s="582"/>
      <c r="J39" s="258">
        <f>SUMIF(116:116,I39,117:117)-SUMIF(116:116,C39,117:117)+100</f>
        <v>100</v>
      </c>
      <c r="K39" s="391"/>
      <c r="L39" s="398"/>
      <c r="M39" s="338"/>
      <c r="N39" s="338"/>
      <c r="O39" s="397"/>
      <c r="P39" s="406"/>
      <c r="Q39" s="390" t="str">
        <f t="shared" si="11"/>
        <v>层高</v>
      </c>
      <c r="R39" s="467" t="s">
        <v>935</v>
      </c>
      <c r="S39" s="468">
        <f t="shared" si="12"/>
        <v>100</v>
      </c>
      <c r="T39" s="467" t="s">
        <v>935</v>
      </c>
      <c r="U39" s="468">
        <f t="shared" si="13"/>
        <v>100</v>
      </c>
      <c r="V39" s="467" t="s">
        <v>935</v>
      </c>
      <c r="W39" s="468">
        <f t="shared" si="14"/>
        <v>100</v>
      </c>
      <c r="X39" s="454"/>
      <c r="Y39" s="406"/>
      <c r="Z39" s="453" t="str">
        <f t="shared" si="15"/>
        <v>层高</v>
      </c>
      <c r="AA39" s="453">
        <f t="shared" si="3"/>
        <v>1</v>
      </c>
      <c r="AB39" s="453">
        <f t="shared" si="4"/>
        <v>1</v>
      </c>
      <c r="AC39" s="453">
        <f t="shared" si="5"/>
        <v>1</v>
      </c>
    </row>
    <row r="40" ht="15" spans="1:29">
      <c r="A40" s="301"/>
      <c r="B40" s="297" t="s">
        <v>2468</v>
      </c>
      <c r="C40" s="1131"/>
      <c r="D40" s="258">
        <v>100</v>
      </c>
      <c r="E40" s="1132"/>
      <c r="F40" s="288">
        <f>SUMIF(118:118,E40,119:119)-SUMIF(118:118,C40,119:119)+100</f>
        <v>100</v>
      </c>
      <c r="G40" s="1132"/>
      <c r="H40" s="258">
        <f>SUMIF(118:118,G40,119:119)-SUMIF(118:118,C40,119:119)+100</f>
        <v>100</v>
      </c>
      <c r="I40" s="1132"/>
      <c r="J40" s="258">
        <f>SUMIF(118:118,I40,119:119)-SUMIF(118:118,C40,119:119)+100</f>
        <v>100</v>
      </c>
      <c r="K40" s="395"/>
      <c r="L40" s="398"/>
      <c r="M40" s="338"/>
      <c r="N40" s="338"/>
      <c r="O40" s="397"/>
      <c r="P40" s="406"/>
      <c r="Q40" s="390" t="str">
        <f t="shared" si="11"/>
        <v>单套建筑面积</v>
      </c>
      <c r="R40" s="467" t="s">
        <v>935</v>
      </c>
      <c r="S40" s="468">
        <f t="shared" si="12"/>
        <v>100</v>
      </c>
      <c r="T40" s="467" t="s">
        <v>935</v>
      </c>
      <c r="U40" s="468">
        <f t="shared" si="13"/>
        <v>100</v>
      </c>
      <c r="V40" s="467" t="s">
        <v>935</v>
      </c>
      <c r="W40" s="468">
        <f t="shared" si="14"/>
        <v>100</v>
      </c>
      <c r="X40" s="454"/>
      <c r="Y40" s="406"/>
      <c r="Z40" s="453" t="str">
        <f t="shared" si="15"/>
        <v>单套建筑面积</v>
      </c>
      <c r="AA40" s="453">
        <f t="shared" si="3"/>
        <v>1</v>
      </c>
      <c r="AB40" s="453">
        <f t="shared" si="4"/>
        <v>1</v>
      </c>
      <c r="AC40" s="453">
        <f t="shared" si="5"/>
        <v>1</v>
      </c>
    </row>
    <row r="41" s="191" customFormat="1" ht="15" spans="1:29">
      <c r="A41" s="296"/>
      <c r="B41" s="288" t="s">
        <v>2469</v>
      </c>
      <c r="C41" s="287"/>
      <c r="D41" s="258">
        <v>100</v>
      </c>
      <c r="E41" s="287"/>
      <c r="F41" s="288">
        <f>SUMIF(120:120,E41,121:121)-SUMIF(120:120,C41,121:121)+100</f>
        <v>100</v>
      </c>
      <c r="G41" s="287"/>
      <c r="H41" s="258">
        <f>SUMIF(120:120,G41,121:121)-SUMIF(120:120,C41,121:121)+100</f>
        <v>100</v>
      </c>
      <c r="I41" s="287"/>
      <c r="J41" s="258">
        <f>SUMIF(120:120,I41,121:121)-SUMIF(120:120,C41,121:121)+100</f>
        <v>100</v>
      </c>
      <c r="K41" s="391"/>
      <c r="L41" s="396"/>
      <c r="M41" s="404"/>
      <c r="N41" s="404"/>
      <c r="O41" s="405"/>
      <c r="P41" s="406"/>
      <c r="Q41" s="469" t="str">
        <f t="shared" si="11"/>
        <v>进深比</v>
      </c>
      <c r="R41" s="470" t="s">
        <v>935</v>
      </c>
      <c r="S41" s="471">
        <f t="shared" si="12"/>
        <v>100</v>
      </c>
      <c r="T41" s="470" t="s">
        <v>935</v>
      </c>
      <c r="U41" s="471">
        <f t="shared" si="13"/>
        <v>100</v>
      </c>
      <c r="V41" s="470" t="s">
        <v>935</v>
      </c>
      <c r="W41" s="471">
        <f t="shared" si="14"/>
        <v>100</v>
      </c>
      <c r="X41" s="472"/>
      <c r="Y41" s="406"/>
      <c r="Z41" s="482" t="str">
        <f t="shared" si="15"/>
        <v>进深比</v>
      </c>
      <c r="AA41" s="453">
        <f t="shared" si="3"/>
        <v>1</v>
      </c>
      <c r="AB41" s="453">
        <f t="shared" si="4"/>
        <v>1</v>
      </c>
      <c r="AC41" s="453">
        <f t="shared" si="5"/>
        <v>1</v>
      </c>
    </row>
    <row r="42" ht="15" spans="1:29">
      <c r="A42" s="301"/>
      <c r="B42" s="297" t="s">
        <v>2373</v>
      </c>
      <c r="C42" s="582"/>
      <c r="D42" s="258">
        <v>100</v>
      </c>
      <c r="E42" s="582"/>
      <c r="F42" s="288">
        <f>SUMIF(122:122,E42,123:123)-SUMIF(122:122,C42,123:123)+100</f>
        <v>100</v>
      </c>
      <c r="G42" s="582"/>
      <c r="H42" s="258">
        <f>SUMIF(122:122,G42,123:123)-SUMIF(122:122,C42,123:123)+100</f>
        <v>100</v>
      </c>
      <c r="I42" s="582"/>
      <c r="J42" s="258">
        <f>SUMIF(122:122,I42,123:123)-SUMIF(122:122,C42,123:123)+100</f>
        <v>100</v>
      </c>
      <c r="K42" s="391"/>
      <c r="L42" s="398"/>
      <c r="M42" s="338"/>
      <c r="N42" s="338"/>
      <c r="O42" s="397"/>
      <c r="P42" s="406"/>
      <c r="Q42" s="390" t="str">
        <f t="shared" si="11"/>
        <v>内部装修</v>
      </c>
      <c r="R42" s="467" t="s">
        <v>935</v>
      </c>
      <c r="S42" s="468">
        <f t="shared" si="12"/>
        <v>100</v>
      </c>
      <c r="T42" s="467" t="s">
        <v>935</v>
      </c>
      <c r="U42" s="468">
        <f t="shared" si="13"/>
        <v>100</v>
      </c>
      <c r="V42" s="467" t="s">
        <v>935</v>
      </c>
      <c r="W42" s="468">
        <f t="shared" si="14"/>
        <v>100</v>
      </c>
      <c r="X42" s="454"/>
      <c r="Y42" s="406"/>
      <c r="Z42" s="453" t="str">
        <f t="shared" si="15"/>
        <v>内部装修</v>
      </c>
      <c r="AA42" s="453">
        <f t="shared" si="3"/>
        <v>1</v>
      </c>
      <c r="AB42" s="453">
        <f t="shared" si="4"/>
        <v>1</v>
      </c>
      <c r="AC42" s="453">
        <f t="shared" si="5"/>
        <v>1</v>
      </c>
    </row>
    <row r="43" ht="15" spans="1:29">
      <c r="A43" s="301"/>
      <c r="B43" s="297" t="s">
        <v>235</v>
      </c>
      <c r="C43" s="582"/>
      <c r="D43" s="258">
        <v>100</v>
      </c>
      <c r="E43" s="582"/>
      <c r="F43" s="288">
        <f>SUMIF(124:124,E43,125:125)-SUMIF(124:124,C43,125:125)+100</f>
        <v>100</v>
      </c>
      <c r="G43" s="582"/>
      <c r="H43" s="258">
        <f>SUMIF(124:124,G43,125:125)-SUMIF(124:124,C43,125:125)+100</f>
        <v>100</v>
      </c>
      <c r="I43" s="582"/>
      <c r="J43" s="258">
        <f>SUMIF(124:124,I43,125:125)-SUMIF(124:124,C43,125:125)+100</f>
        <v>100</v>
      </c>
      <c r="K43" s="391"/>
      <c r="L43" s="398"/>
      <c r="M43" s="338"/>
      <c r="N43" s="338"/>
      <c r="O43" s="397"/>
      <c r="P43" s="406"/>
      <c r="Q43" s="390" t="str">
        <f t="shared" si="11"/>
        <v>内部装修维护情况</v>
      </c>
      <c r="R43" s="467" t="s">
        <v>935</v>
      </c>
      <c r="S43" s="468">
        <f t="shared" si="12"/>
        <v>100</v>
      </c>
      <c r="T43" s="467" t="s">
        <v>935</v>
      </c>
      <c r="U43" s="468">
        <f t="shared" si="13"/>
        <v>100</v>
      </c>
      <c r="V43" s="467" t="s">
        <v>935</v>
      </c>
      <c r="W43" s="468">
        <f t="shared" si="14"/>
        <v>100</v>
      </c>
      <c r="X43" s="454"/>
      <c r="Y43" s="406"/>
      <c r="Z43" s="453" t="str">
        <f t="shared" si="15"/>
        <v>内部装修维护情况</v>
      </c>
      <c r="AA43" s="453">
        <f t="shared" si="3"/>
        <v>1</v>
      </c>
      <c r="AB43" s="453">
        <f t="shared" si="4"/>
        <v>1</v>
      </c>
      <c r="AC43" s="453">
        <f t="shared" si="5"/>
        <v>1</v>
      </c>
    </row>
    <row r="44" s="189" customFormat="1" ht="15" spans="1:29">
      <c r="A44" s="304"/>
      <c r="B44" s="548">
        <v>111</v>
      </c>
      <c r="C44" s="253"/>
      <c r="D44" s="248">
        <v>100</v>
      </c>
      <c r="E44" s="257"/>
      <c r="F44" s="297">
        <f>SUMIF(126:126,E44,127:127)-SUMIF(126:126,C44,127:127)+100</f>
        <v>100</v>
      </c>
      <c r="G44" s="257"/>
      <c r="H44" s="248">
        <f>SUMIF(126:126,G44,127:127)-SUMIF(126:126,C44,127:127)+100</f>
        <v>100</v>
      </c>
      <c r="I44" s="257"/>
      <c r="J44" s="248">
        <f>SUMIF(126:126,I44,127:127)-SUMIF(126:126,C44,127:127)+100</f>
        <v>100</v>
      </c>
      <c r="K44" s="395"/>
      <c r="L44" s="386"/>
      <c r="M44" s="387"/>
      <c r="N44" s="387"/>
      <c r="O44" s="389"/>
      <c r="P44" s="406"/>
      <c r="Q44" s="466">
        <f t="shared" si="11"/>
        <v>111</v>
      </c>
      <c r="R44" s="462" t="s">
        <v>935</v>
      </c>
      <c r="S44" s="463">
        <f t="shared" si="12"/>
        <v>100</v>
      </c>
      <c r="T44" s="462" t="s">
        <v>935</v>
      </c>
      <c r="U44" s="463">
        <f t="shared" si="13"/>
        <v>100</v>
      </c>
      <c r="V44" s="462" t="s">
        <v>935</v>
      </c>
      <c r="W44" s="463">
        <f t="shared" si="14"/>
        <v>100</v>
      </c>
      <c r="X44" s="464"/>
      <c r="Y44" s="406"/>
      <c r="Z44" s="481">
        <f t="shared" si="15"/>
        <v>111</v>
      </c>
      <c r="AA44" s="481">
        <f t="shared" si="3"/>
        <v>1</v>
      </c>
      <c r="AB44" s="481">
        <f t="shared" si="4"/>
        <v>1</v>
      </c>
      <c r="AC44" s="481">
        <f t="shared" si="5"/>
        <v>1</v>
      </c>
    </row>
    <row r="45" ht="15" spans="1:29">
      <c r="A45" s="301"/>
      <c r="B45" s="548">
        <v>111</v>
      </c>
      <c r="C45" s="257"/>
      <c r="D45" s="258">
        <v>100</v>
      </c>
      <c r="E45" s="257"/>
      <c r="F45" s="288">
        <f>SUMIF(128:128,E45,129:129)-SUMIF(128:128,C45,129:129)+100</f>
        <v>100</v>
      </c>
      <c r="G45" s="257"/>
      <c r="H45" s="258">
        <f>SUMIF(128:128,G45,129:129)-SUMIF(128:128,C45,129:129)+100</f>
        <v>100</v>
      </c>
      <c r="I45" s="257"/>
      <c r="J45" s="258">
        <f>SUMIF(128:128,I45,129:129)-SUMIF(128:128,C45,129:129)+100</f>
        <v>100</v>
      </c>
      <c r="K45" s="395"/>
      <c r="L45" s="398"/>
      <c r="M45" s="338"/>
      <c r="N45" s="338"/>
      <c r="O45" s="397"/>
      <c r="P45" s="406"/>
      <c r="Q45" s="390">
        <f t="shared" si="11"/>
        <v>111</v>
      </c>
      <c r="R45" s="467" t="s">
        <v>935</v>
      </c>
      <c r="S45" s="468">
        <f t="shared" si="12"/>
        <v>100</v>
      </c>
      <c r="T45" s="467" t="s">
        <v>935</v>
      </c>
      <c r="U45" s="468">
        <f t="shared" si="13"/>
        <v>100</v>
      </c>
      <c r="V45" s="467" t="s">
        <v>935</v>
      </c>
      <c r="W45" s="468">
        <f t="shared" si="14"/>
        <v>100</v>
      </c>
      <c r="X45" s="454"/>
      <c r="Y45" s="406"/>
      <c r="Z45" s="453">
        <f t="shared" si="15"/>
        <v>111</v>
      </c>
      <c r="AA45" s="453">
        <f t="shared" si="3"/>
        <v>1</v>
      </c>
      <c r="AB45" s="453">
        <f t="shared" si="4"/>
        <v>1</v>
      </c>
      <c r="AC45" s="453">
        <f t="shared" si="5"/>
        <v>1</v>
      </c>
    </row>
    <row r="46" ht="15.75" spans="1:29">
      <c r="A46" s="305"/>
      <c r="B46" s="306">
        <v>111</v>
      </c>
      <c r="C46" s="307"/>
      <c r="D46" s="308">
        <v>100</v>
      </c>
      <c r="E46" s="257"/>
      <c r="F46" s="310">
        <f>SUMIF(130:130,E46,131:131)-SUMIF(130:130,C46,131:131)+100</f>
        <v>100</v>
      </c>
      <c r="G46" s="257"/>
      <c r="H46" s="308">
        <f>SUMIF(130:130,G46,131:131)-SUMIF(130:130,C46,131:131)+100</f>
        <v>100</v>
      </c>
      <c r="I46" s="257"/>
      <c r="J46" s="308">
        <f>SUMIF(130:130,I46,131:131)-SUMIF(130:130,C46,131:131)+100</f>
        <v>100</v>
      </c>
      <c r="K46" s="395"/>
      <c r="L46" s="398"/>
      <c r="M46" s="338"/>
      <c r="N46" s="338"/>
      <c r="O46" s="397"/>
      <c r="P46" s="553"/>
      <c r="Q46" s="390">
        <f t="shared" si="11"/>
        <v>111</v>
      </c>
      <c r="R46" s="467" t="s">
        <v>935</v>
      </c>
      <c r="S46" s="468">
        <f t="shared" si="12"/>
        <v>100</v>
      </c>
      <c r="T46" s="467" t="s">
        <v>935</v>
      </c>
      <c r="U46" s="468">
        <f t="shared" si="13"/>
        <v>100</v>
      </c>
      <c r="V46" s="467" t="s">
        <v>935</v>
      </c>
      <c r="W46" s="468">
        <f t="shared" si="14"/>
        <v>100</v>
      </c>
      <c r="X46" s="454"/>
      <c r="Y46" s="553"/>
      <c r="Z46" s="453">
        <f t="shared" si="15"/>
        <v>111</v>
      </c>
      <c r="AA46" s="453">
        <f t="shared" si="3"/>
        <v>1</v>
      </c>
      <c r="AB46" s="453">
        <f t="shared" si="4"/>
        <v>1</v>
      </c>
      <c r="AC46" s="453">
        <f t="shared" si="5"/>
        <v>1</v>
      </c>
    </row>
    <row r="47" ht="15" spans="1:29">
      <c r="A47" s="311" t="s">
        <v>2375</v>
      </c>
      <c r="B47" s="312"/>
      <c r="C47" s="313" t="s">
        <v>138</v>
      </c>
      <c r="D47" s="314"/>
      <c r="E47" s="315">
        <v>8.8</v>
      </c>
      <c r="F47" s="316"/>
      <c r="G47" s="317">
        <v>9.6</v>
      </c>
      <c r="H47" s="318"/>
      <c r="I47" s="315">
        <v>10</v>
      </c>
      <c r="J47" s="318"/>
      <c r="K47" s="407"/>
      <c r="L47" s="408"/>
      <c r="M47" s="338"/>
      <c r="N47" s="338"/>
      <c r="O47" s="338"/>
      <c r="P47" s="390" t="str">
        <f>A47</f>
        <v>成交单价（元/平方米）</v>
      </c>
      <c r="Q47" s="390"/>
      <c r="R47" s="453">
        <f>E47</f>
        <v>8.8</v>
      </c>
      <c r="S47" s="453"/>
      <c r="T47" s="453">
        <f>G47</f>
        <v>9.6</v>
      </c>
      <c r="U47" s="453"/>
      <c r="V47" s="453">
        <f>I47</f>
        <v>10</v>
      </c>
      <c r="W47" s="453"/>
      <c r="X47" s="267"/>
      <c r="Y47" s="483"/>
      <c r="Z47" s="267"/>
      <c r="AA47" s="267"/>
      <c r="AB47" s="267"/>
      <c r="AC47" s="267"/>
    </row>
    <row r="48" ht="15.75" spans="1:29">
      <c r="A48" s="319" t="s">
        <v>963</v>
      </c>
      <c r="B48" s="320"/>
      <c r="C48" s="321">
        <f>R49</f>
        <v>7.7</v>
      </c>
      <c r="D48" s="322" t="s">
        <v>964</v>
      </c>
      <c r="E48" s="323">
        <f>R48</f>
        <v>7.4</v>
      </c>
      <c r="F48" s="324"/>
      <c r="G48" s="321">
        <f>T48</f>
        <v>7.6</v>
      </c>
      <c r="H48" s="324"/>
      <c r="I48" s="323">
        <f>V48</f>
        <v>8.2</v>
      </c>
      <c r="J48" s="324"/>
      <c r="K48" s="409">
        <f>F48+H48+J48</f>
        <v>0</v>
      </c>
      <c r="L48" s="408"/>
      <c r="M48" s="338"/>
      <c r="N48" s="338"/>
      <c r="O48" s="338"/>
      <c r="P48" s="390" t="str">
        <f>A48</f>
        <v>比较价格（元/平方米）</v>
      </c>
      <c r="Q48" s="390"/>
      <c r="R48" s="453">
        <f>IF(F1="售价",ROUND(PRODUCT(R47,AA7:AA46),0),ROUND(PRODUCT(R47,AA7:AA46),1))</f>
        <v>7.4</v>
      </c>
      <c r="S48" s="453"/>
      <c r="T48" s="453">
        <f>IF(F1="售价",ROUND(PRODUCT(T47,AB7:AB46),0),ROUND(PRODUCT(T47,AB7:AB46),1))</f>
        <v>7.6</v>
      </c>
      <c r="U48" s="453"/>
      <c r="V48" s="453">
        <f>IF(F1="售价",ROUND(PRODUCT(V47,AC7:AC46),0),ROUND(PRODUCT(V47,AC7:AC46),1))</f>
        <v>8.2</v>
      </c>
      <c r="W48" s="453"/>
      <c r="X48" s="267"/>
      <c r="Y48" s="267"/>
      <c r="Z48" s="267"/>
      <c r="AA48" s="267"/>
      <c r="AB48" s="267"/>
      <c r="AC48" s="267"/>
    </row>
    <row r="49" ht="15.75" spans="1:29">
      <c r="A49" s="325" t="s">
        <v>965</v>
      </c>
      <c r="B49" s="326"/>
      <c r="C49" s="226">
        <f>R49</f>
        <v>7.7</v>
      </c>
      <c r="D49" s="226"/>
      <c r="E49" s="226"/>
      <c r="F49" s="226"/>
      <c r="G49" s="226"/>
      <c r="H49" s="226"/>
      <c r="I49" s="226"/>
      <c r="J49" s="226"/>
      <c r="K49" s="410"/>
      <c r="L49" s="408"/>
      <c r="M49" s="338"/>
      <c r="N49" s="338"/>
      <c r="O49" s="338"/>
      <c r="P49" s="288" t="str">
        <f>A49</f>
        <v>估价对象XX用房的比较价格（楼面单价，元/平方米）</v>
      </c>
      <c r="Q49" s="473"/>
      <c r="R49" s="474">
        <f>IF(F1="售价",ROUND(IF(D48="简单平均",AVERAGE(R48:V48),R48*F48+T48*H48+V48*J48),0),ROUND(IF(D48="简单平均",AVERAGE(R48:V48),R48*F48+T48*H48+V48*J48),1))</f>
        <v>7.7</v>
      </c>
      <c r="S49" s="474"/>
      <c r="T49" s="474"/>
      <c r="U49" s="474"/>
      <c r="V49" s="474"/>
      <c r="W49" s="474"/>
      <c r="X49" s="267"/>
      <c r="Y49" s="267"/>
      <c r="Z49" s="267"/>
      <c r="AA49" s="267"/>
      <c r="AB49" s="267"/>
      <c r="AC49" s="267"/>
    </row>
    <row r="50" spans="1:29">
      <c r="A50" s="327"/>
      <c r="B50" s="327"/>
      <c r="C50" s="327"/>
      <c r="D50" s="327"/>
      <c r="E50" s="327"/>
      <c r="F50" s="327"/>
      <c r="G50" s="328"/>
      <c r="H50" s="327"/>
      <c r="I50" s="327"/>
      <c r="J50" s="327"/>
      <c r="K50" s="411"/>
      <c r="L50" s="412"/>
      <c r="M50" s="338"/>
      <c r="N50" s="338"/>
      <c r="O50" s="338"/>
      <c r="P50" s="338"/>
      <c r="Q50" s="338"/>
      <c r="R50" s="338"/>
      <c r="S50" s="338"/>
      <c r="T50" s="338"/>
      <c r="U50" s="338"/>
      <c r="V50" s="338"/>
      <c r="W50" s="338"/>
      <c r="X50" s="338"/>
      <c r="Y50" s="338"/>
      <c r="Z50" s="338"/>
      <c r="AA50" s="338"/>
      <c r="AB50" s="338"/>
      <c r="AC50" s="338"/>
    </row>
    <row r="51" spans="1:29">
      <c r="A51" s="327"/>
      <c r="B51" s="327"/>
      <c r="C51" s="327"/>
      <c r="D51" s="327"/>
      <c r="E51" s="327"/>
      <c r="F51" s="327"/>
      <c r="G51" s="327"/>
      <c r="H51" s="327"/>
      <c r="I51" s="327"/>
      <c r="J51" s="327"/>
      <c r="K51" s="411"/>
      <c r="L51" s="412"/>
      <c r="M51" s="338"/>
      <c r="N51" s="338"/>
      <c r="O51" s="338"/>
      <c r="P51" s="338"/>
      <c r="Q51" s="338"/>
      <c r="R51" s="338"/>
      <c r="S51" s="338"/>
      <c r="T51" s="338"/>
      <c r="U51" s="338"/>
      <c r="V51" s="338"/>
      <c r="W51" s="338"/>
      <c r="X51" s="338"/>
      <c r="Y51" s="338"/>
      <c r="Z51" s="338"/>
      <c r="AA51" s="338"/>
      <c r="AB51" s="338"/>
      <c r="AC51" s="338"/>
    </row>
    <row r="52" ht="13.5" customHeight="1" spans="1:29">
      <c r="A52" s="327"/>
      <c r="B52" s="327"/>
      <c r="C52" s="329" t="s">
        <v>966</v>
      </c>
      <c r="D52" s="330"/>
      <c r="E52" s="331">
        <f>IF(E47&lt;E48,E48/E47-1,E47/E48-1)</f>
        <v>0.189189189189189</v>
      </c>
      <c r="F52" s="332" t="str">
        <f>IF(OR(E52&gt;=0.3,E52&lt;=-0.3),"超过30%","")</f>
        <v/>
      </c>
      <c r="G52" s="331">
        <f>IF(G47&lt;G48,G48/G47-1,G47/G48-1)</f>
        <v>0.263157894736842</v>
      </c>
      <c r="H52" s="332" t="str">
        <f>IF(OR(G52&gt;=0.3,G52&lt;=-0.3),"超过30%","")</f>
        <v/>
      </c>
      <c r="I52" s="331">
        <f>IF(I47&lt;I48,I48/I47-1,I47/I48-1)</f>
        <v>0.219512195121951</v>
      </c>
      <c r="J52" s="332" t="str">
        <f>IF(OR(I52&gt;=0.3,I52&lt;=-0.3),"超过30%","")</f>
        <v/>
      </c>
      <c r="K52" s="411"/>
      <c r="L52" s="412"/>
      <c r="M52" s="338"/>
      <c r="N52" s="338"/>
      <c r="O52" s="338"/>
      <c r="P52" s="338"/>
      <c r="Q52" s="338"/>
      <c r="R52" s="338"/>
      <c r="S52" s="338"/>
      <c r="T52" s="338"/>
      <c r="U52" s="338"/>
      <c r="V52" s="338"/>
      <c r="W52" s="338"/>
      <c r="X52" s="338"/>
      <c r="Y52" s="338"/>
      <c r="Z52" s="338"/>
      <c r="AA52" s="338"/>
      <c r="AB52" s="338"/>
      <c r="AC52" s="338"/>
    </row>
    <row r="53" ht="13.5" customHeight="1" spans="1:29">
      <c r="A53" s="327"/>
      <c r="B53" s="327"/>
      <c r="C53" s="329" t="s">
        <v>967</v>
      </c>
      <c r="D53" s="333"/>
      <c r="E53" s="331">
        <f>IF(E48&lt;G48,G48/E48-1,E48/G48-1)</f>
        <v>0.027027027027027</v>
      </c>
      <c r="F53" s="332" t="str">
        <f>IF(OR(E53&gt;=0.2,E53&lt;=-0.2),"超过20%","")</f>
        <v/>
      </c>
      <c r="G53" s="331">
        <f>IF(G48&lt;I48,I48/G48-1,G48/I48-1)</f>
        <v>0.0789473684210527</v>
      </c>
      <c r="H53" s="332" t="str">
        <f>IF(OR(G53&gt;=0.2,G53&lt;=-0.2),"超过20%","")</f>
        <v/>
      </c>
      <c r="I53" s="331">
        <f>IF(I48&lt;E48,E48/I48-1,I48/E48-1)</f>
        <v>0.108108108108108</v>
      </c>
      <c r="J53" s="332" t="str">
        <f>IF(OR(I53&gt;=0.2,I53&lt;=-0.2),"超过20%","")</f>
        <v/>
      </c>
      <c r="K53" s="411"/>
      <c r="L53" s="412"/>
      <c r="M53" s="338"/>
      <c r="N53" s="338"/>
      <c r="O53" s="338"/>
      <c r="P53" s="338"/>
      <c r="Q53" s="338"/>
      <c r="R53" s="338"/>
      <c r="S53" s="338"/>
      <c r="T53" s="338"/>
      <c r="U53" s="338"/>
      <c r="V53" s="338"/>
      <c r="W53" s="338"/>
      <c r="X53" s="338"/>
      <c r="Y53" s="338"/>
      <c r="Z53" s="338"/>
      <c r="AA53" s="338"/>
      <c r="AB53" s="338"/>
      <c r="AC53" s="338"/>
    </row>
    <row r="54" s="192" customFormat="1" ht="13.5" customHeight="1" spans="1:29">
      <c r="A54" s="334"/>
      <c r="B54" s="334"/>
      <c r="C54" s="329" t="s">
        <v>968</v>
      </c>
      <c r="D54" s="333"/>
      <c r="E54" s="331">
        <f>IF(E47&lt;G47,G47/E47-1,E47/G47-1)</f>
        <v>0.0909090909090908</v>
      </c>
      <c r="F54" s="332" t="str">
        <f>IF(OR(E54&gt;=0.3,E54&lt;=-0.3),"超过30%","")</f>
        <v/>
      </c>
      <c r="G54" s="331">
        <f>IF(G47&lt;I47,I47/G47-1,G47/I47-1)</f>
        <v>0.0416666666666667</v>
      </c>
      <c r="H54" s="332" t="str">
        <f>IF(OR(G54&gt;=0.3,G54&lt;=-0.3),"超过30%","")</f>
        <v/>
      </c>
      <c r="I54" s="331">
        <f>IF(I47&lt;E47,E47/I47-1,I47/E47-1)</f>
        <v>0.136363636363636</v>
      </c>
      <c r="J54" s="332" t="str">
        <f>IF(OR(I54&gt;=0.3,I54&lt;=-0.3),"超过30%","")</f>
        <v/>
      </c>
      <c r="K54" s="413"/>
      <c r="L54" s="414"/>
      <c r="M54" s="335"/>
      <c r="N54" s="335"/>
      <c r="O54" s="335"/>
      <c r="P54" s="335"/>
      <c r="Q54" s="335"/>
      <c r="R54" s="335"/>
      <c r="S54" s="335"/>
      <c r="T54" s="335"/>
      <c r="U54" s="335"/>
      <c r="V54" s="335"/>
      <c r="W54" s="335"/>
      <c r="X54" s="335"/>
      <c r="Y54" s="335"/>
      <c r="Z54" s="335"/>
      <c r="AA54" s="335"/>
      <c r="AB54" s="335"/>
      <c r="AC54" s="335"/>
    </row>
    <row r="55" s="192" customFormat="1" spans="1:29">
      <c r="A55" s="335"/>
      <c r="B55" s="336"/>
      <c r="C55" s="337"/>
      <c r="D55" s="335"/>
      <c r="E55" s="335"/>
      <c r="F55" s="335"/>
      <c r="G55" s="335"/>
      <c r="H55" s="335"/>
      <c r="I55" s="335"/>
      <c r="J55" s="335"/>
      <c r="K55" s="415"/>
      <c r="L55" s="414"/>
      <c r="M55" s="335"/>
      <c r="N55" s="335"/>
      <c r="O55" s="335"/>
      <c r="P55" s="335"/>
      <c r="Q55" s="335"/>
      <c r="R55" s="335"/>
      <c r="S55" s="335"/>
      <c r="T55" s="335"/>
      <c r="U55" s="335"/>
      <c r="V55" s="335"/>
      <c r="W55" s="335"/>
      <c r="X55" s="335"/>
      <c r="Y55" s="335"/>
      <c r="Z55" s="335"/>
      <c r="AA55" s="335"/>
      <c r="AB55" s="335"/>
      <c r="AC55" s="335"/>
    </row>
    <row r="56" spans="1:29">
      <c r="A56" s="338"/>
      <c r="B56" s="336"/>
      <c r="C56" s="337"/>
      <c r="D56" s="338"/>
      <c r="E56" s="338"/>
      <c r="F56" s="338"/>
      <c r="G56" s="338"/>
      <c r="H56" s="338"/>
      <c r="I56" s="338"/>
      <c r="J56" s="338"/>
      <c r="K56" s="416"/>
      <c r="L56" s="412"/>
      <c r="M56" s="338"/>
      <c r="N56" s="338"/>
      <c r="O56" s="338"/>
      <c r="P56" s="338"/>
      <c r="Q56" s="338"/>
      <c r="R56" s="338"/>
      <c r="S56" s="338"/>
      <c r="T56" s="338"/>
      <c r="U56" s="338"/>
      <c r="V56" s="338"/>
      <c r="W56" s="338"/>
      <c r="X56" s="338"/>
      <c r="Y56" s="338"/>
      <c r="Z56" s="338"/>
      <c r="AA56" s="338"/>
      <c r="AB56" s="338"/>
      <c r="AC56" s="338"/>
    </row>
    <row r="57" ht="21" spans="1:29">
      <c r="A57" s="339" t="s">
        <v>990</v>
      </c>
      <c r="B57" s="267"/>
      <c r="C57" s="340"/>
      <c r="D57" s="340"/>
      <c r="E57" s="340"/>
      <c r="F57" s="341"/>
      <c r="G57" s="341"/>
      <c r="H57" s="340"/>
      <c r="I57" s="340"/>
      <c r="J57" s="340"/>
      <c r="K57" s="417"/>
      <c r="L57" s="418"/>
      <c r="M57" s="340"/>
      <c r="N57" s="419"/>
      <c r="O57" s="419"/>
      <c r="P57" s="419"/>
      <c r="Q57" s="422"/>
      <c r="R57" s="338"/>
      <c r="S57" s="338"/>
      <c r="T57" s="338"/>
      <c r="U57" s="338"/>
      <c r="V57" s="338"/>
      <c r="W57" s="338"/>
      <c r="X57" s="338"/>
      <c r="Y57" s="338"/>
      <c r="Z57" s="338"/>
      <c r="AA57" s="338"/>
      <c r="AB57" s="338"/>
      <c r="AC57" s="338"/>
    </row>
    <row r="58" s="193" customFormat="1" ht="15" spans="1:29">
      <c r="A58" s="342" t="s">
        <v>933</v>
      </c>
      <c r="B58" s="343"/>
      <c r="C58" s="344" t="str">
        <f>YEAR(C7)&amp;"-"&amp;MONTH(C7)</f>
        <v>2023-11</v>
      </c>
      <c r="D58" s="345">
        <f>EDATE(C58,-1)</f>
        <v>45200</v>
      </c>
      <c r="E58" s="345">
        <f t="shared" ref="E58:O58" si="16">EDATE(D58,-1)</f>
        <v>45170</v>
      </c>
      <c r="F58" s="345">
        <f t="shared" si="16"/>
        <v>45139</v>
      </c>
      <c r="G58" s="345">
        <f t="shared" si="16"/>
        <v>45108</v>
      </c>
      <c r="H58" s="345">
        <f t="shared" si="16"/>
        <v>45078</v>
      </c>
      <c r="I58" s="345">
        <f t="shared" si="16"/>
        <v>45047</v>
      </c>
      <c r="J58" s="345">
        <f t="shared" si="16"/>
        <v>45017</v>
      </c>
      <c r="K58" s="345">
        <f t="shared" si="16"/>
        <v>44986</v>
      </c>
      <c r="L58" s="345">
        <f t="shared" si="16"/>
        <v>44958</v>
      </c>
      <c r="M58" s="345">
        <f t="shared" si="16"/>
        <v>44927</v>
      </c>
      <c r="N58" s="345">
        <f t="shared" si="16"/>
        <v>44896</v>
      </c>
      <c r="O58" s="345">
        <f t="shared" si="16"/>
        <v>44866</v>
      </c>
      <c r="P58" s="420"/>
      <c r="Q58" s="420"/>
      <c r="R58" s="420"/>
      <c r="S58" s="420"/>
      <c r="T58" s="420"/>
      <c r="U58" s="420"/>
      <c r="V58" s="420"/>
      <c r="W58" s="420"/>
      <c r="X58" s="420"/>
      <c r="Y58" s="420"/>
      <c r="Z58" s="420"/>
      <c r="AA58" s="420"/>
      <c r="AB58" s="420"/>
      <c r="AC58" s="420"/>
    </row>
    <row r="59" s="189" customFormat="1" ht="15" spans="1:29">
      <c r="A59" s="346"/>
      <c r="B59" s="347"/>
      <c r="C59" s="348">
        <v>100</v>
      </c>
      <c r="D59" s="349"/>
      <c r="E59" s="349"/>
      <c r="F59" s="349"/>
      <c r="G59" s="349"/>
      <c r="H59" s="349"/>
      <c r="I59" s="349"/>
      <c r="J59" s="349"/>
      <c r="K59" s="349"/>
      <c r="L59" s="349"/>
      <c r="M59" s="289"/>
      <c r="N59" s="349"/>
      <c r="O59" s="421"/>
      <c r="P59" s="422"/>
      <c r="Q59" s="387"/>
      <c r="R59" s="387"/>
      <c r="S59" s="387"/>
      <c r="T59" s="387"/>
      <c r="U59" s="387"/>
      <c r="V59" s="387"/>
      <c r="W59" s="387"/>
      <c r="X59" s="387"/>
      <c r="Y59" s="387"/>
      <c r="Z59" s="387"/>
      <c r="AA59" s="387"/>
      <c r="AB59" s="387"/>
      <c r="AC59" s="387"/>
    </row>
    <row r="60" s="189" customFormat="1" ht="15.75" spans="1:29">
      <c r="A60" s="350" t="s">
        <v>1105</v>
      </c>
      <c r="B60" s="351"/>
      <c r="C60" s="352"/>
      <c r="D60" s="353"/>
      <c r="E60" s="353"/>
      <c r="F60" s="353"/>
      <c r="G60" s="353"/>
      <c r="H60" s="353"/>
      <c r="I60" s="353"/>
      <c r="J60" s="353"/>
      <c r="K60" s="353"/>
      <c r="L60" s="353"/>
      <c r="M60" s="423"/>
      <c r="N60" s="353"/>
      <c r="O60" s="424"/>
      <c r="P60" s="422"/>
      <c r="Q60" s="422"/>
      <c r="R60" s="387"/>
      <c r="S60" s="387"/>
      <c r="T60" s="387"/>
      <c r="U60" s="387"/>
      <c r="V60" s="387"/>
      <c r="W60" s="387"/>
      <c r="X60" s="387"/>
      <c r="Y60" s="387"/>
      <c r="Z60" s="387"/>
      <c r="AA60" s="387"/>
      <c r="AB60" s="387"/>
      <c r="AC60" s="387"/>
    </row>
    <row r="61" s="189" customFormat="1" ht="15" spans="1:29">
      <c r="A61" s="354" t="s">
        <v>936</v>
      </c>
      <c r="B61" s="347"/>
      <c r="C61" s="355" t="s">
        <v>937</v>
      </c>
      <c r="D61" s="356"/>
      <c r="E61" s="356"/>
      <c r="F61" s="356"/>
      <c r="G61" s="356"/>
      <c r="H61" s="356"/>
      <c r="I61" s="356"/>
      <c r="J61" s="356"/>
      <c r="K61" s="356"/>
      <c r="L61" s="425"/>
      <c r="M61" s="426"/>
      <c r="N61" s="427"/>
      <c r="O61" s="427"/>
      <c r="P61" s="428"/>
      <c r="Q61" s="422"/>
      <c r="R61" s="387"/>
      <c r="S61" s="387"/>
      <c r="T61" s="387"/>
      <c r="U61" s="387"/>
      <c r="V61" s="387"/>
      <c r="W61" s="387"/>
      <c r="X61" s="387"/>
      <c r="Y61" s="387"/>
      <c r="Z61" s="387"/>
      <c r="AA61" s="387"/>
      <c r="AB61" s="387"/>
      <c r="AC61" s="387"/>
    </row>
    <row r="62" s="189" customFormat="1" ht="15.75" spans="1:29">
      <c r="A62" s="354"/>
      <c r="B62" s="347"/>
      <c r="C62" s="583">
        <v>100</v>
      </c>
      <c r="D62" s="349"/>
      <c r="E62" s="349"/>
      <c r="F62" s="349"/>
      <c r="G62" s="349"/>
      <c r="H62" s="349"/>
      <c r="I62" s="349"/>
      <c r="J62" s="349"/>
      <c r="K62" s="349"/>
      <c r="L62" s="349"/>
      <c r="M62" s="421"/>
      <c r="N62" s="427"/>
      <c r="O62" s="427"/>
      <c r="P62" s="422"/>
      <c r="Q62" s="422"/>
      <c r="R62" s="387"/>
      <c r="S62" s="387"/>
      <c r="T62" s="387"/>
      <c r="U62" s="387"/>
      <c r="V62" s="387"/>
      <c r="W62" s="387"/>
      <c r="X62" s="387"/>
      <c r="Y62" s="387"/>
      <c r="Z62" s="387"/>
      <c r="AA62" s="387"/>
      <c r="AB62" s="387"/>
      <c r="AC62" s="1134"/>
    </row>
    <row r="63" spans="1:29">
      <c r="A63" s="357" t="s">
        <v>993</v>
      </c>
      <c r="B63" s="358" t="s">
        <v>994</v>
      </c>
      <c r="C63" s="359">
        <f>C9</f>
        <v>0</v>
      </c>
      <c r="D63" s="360"/>
      <c r="E63" s="360"/>
      <c r="F63" s="360"/>
      <c r="G63" s="360"/>
      <c r="H63" s="360"/>
      <c r="I63" s="360"/>
      <c r="J63" s="360"/>
      <c r="K63" s="429"/>
      <c r="L63" s="430"/>
      <c r="M63" s="431"/>
      <c r="N63" s="432"/>
      <c r="O63" s="432"/>
      <c r="P63" s="427"/>
      <c r="Q63" s="422"/>
      <c r="R63" s="338"/>
      <c r="S63" s="338"/>
      <c r="T63" s="338"/>
      <c r="U63" s="338"/>
      <c r="V63" s="338"/>
      <c r="W63" s="338"/>
      <c r="X63" s="338"/>
      <c r="Y63" s="338"/>
      <c r="Z63" s="338"/>
      <c r="AA63" s="338"/>
      <c r="AB63" s="338"/>
      <c r="AC63" s="338"/>
    </row>
    <row r="64" ht="15.75" spans="1:29">
      <c r="A64" s="266"/>
      <c r="B64" s="361"/>
      <c r="C64" s="362"/>
      <c r="D64" s="362"/>
      <c r="E64" s="362"/>
      <c r="F64" s="362"/>
      <c r="G64" s="362"/>
      <c r="H64" s="362"/>
      <c r="I64" s="362"/>
      <c r="J64" s="362"/>
      <c r="K64" s="362"/>
      <c r="L64" s="362"/>
      <c r="M64" s="433"/>
      <c r="N64" s="434"/>
      <c r="O64" s="434"/>
      <c r="P64" s="427"/>
      <c r="Q64" s="422"/>
      <c r="R64" s="338"/>
      <c r="S64" s="338"/>
      <c r="T64" s="338"/>
      <c r="U64" s="338"/>
      <c r="V64" s="338"/>
      <c r="W64" s="338"/>
      <c r="X64" s="338"/>
      <c r="Y64" s="338"/>
      <c r="Z64" s="338"/>
      <c r="AA64" s="338"/>
      <c r="AB64" s="338"/>
      <c r="AC64" s="338"/>
    </row>
    <row r="65" ht="27.75" spans="1:29">
      <c r="A65" s="266"/>
      <c r="B65" s="363" t="s">
        <v>995</v>
      </c>
      <c r="C65" s="364" t="s">
        <v>2376</v>
      </c>
      <c r="D65" s="364" t="s">
        <v>2377</v>
      </c>
      <c r="E65" s="364" t="s">
        <v>2378</v>
      </c>
      <c r="F65" s="364" t="s">
        <v>2379</v>
      </c>
      <c r="G65" s="364" t="s">
        <v>2380</v>
      </c>
      <c r="H65" s="364" t="s">
        <v>2381</v>
      </c>
      <c r="I65" s="364" t="s">
        <v>2382</v>
      </c>
      <c r="J65" s="364"/>
      <c r="K65" s="435"/>
      <c r="L65" s="436"/>
      <c r="M65" s="437"/>
      <c r="N65" s="432"/>
      <c r="O65" s="432"/>
      <c r="P65" s="427"/>
      <c r="Q65" s="422"/>
      <c r="R65" s="338"/>
      <c r="S65" s="338"/>
      <c r="T65" s="338"/>
      <c r="U65" s="338"/>
      <c r="V65" s="338"/>
      <c r="W65" s="338"/>
      <c r="X65" s="338"/>
      <c r="Y65" s="338"/>
      <c r="Z65" s="338"/>
      <c r="AA65" s="338"/>
      <c r="AB65" s="338"/>
      <c r="AC65" s="338"/>
    </row>
    <row r="66" ht="15.75" spans="1:29">
      <c r="A66" s="266"/>
      <c r="B66" s="365"/>
      <c r="C66" s="366" t="s">
        <v>989</v>
      </c>
      <c r="D66" s="366" t="s">
        <v>989</v>
      </c>
      <c r="E66" s="366" t="s">
        <v>989</v>
      </c>
      <c r="F66" s="366">
        <v>100</v>
      </c>
      <c r="G66" s="366">
        <f>F66-$K10</f>
        <v>100</v>
      </c>
      <c r="H66" s="366">
        <f>G66-$K10</f>
        <v>100</v>
      </c>
      <c r="I66" s="366">
        <f>H66-$K10</f>
        <v>100</v>
      </c>
      <c r="J66" s="366"/>
      <c r="K66" s="366"/>
      <c r="L66" s="366"/>
      <c r="M66" s="438"/>
      <c r="N66" s="434"/>
      <c r="O66" s="434"/>
      <c r="P66" s="427"/>
      <c r="Q66" s="422"/>
      <c r="R66" s="338"/>
      <c r="S66" s="338"/>
      <c r="T66" s="338"/>
      <c r="U66" s="338"/>
      <c r="V66" s="338"/>
      <c r="W66" s="338"/>
      <c r="X66" s="338"/>
      <c r="Y66" s="338"/>
      <c r="Z66" s="338"/>
      <c r="AA66" s="338"/>
      <c r="AB66" s="338"/>
      <c r="AC66" s="338"/>
    </row>
    <row r="67" ht="15.75" spans="1:29">
      <c r="A67" s="266"/>
      <c r="B67" s="486" t="s">
        <v>996</v>
      </c>
      <c r="C67" s="551" t="str">
        <f>C68&amp;"（含）"&amp;"-"&amp;D68</f>
        <v>0（含）-1</v>
      </c>
      <c r="D67" s="551" t="str">
        <f t="shared" ref="D67:L67" si="17">D68&amp;"（含）"&amp;"-"&amp;E68</f>
        <v>1（含）-2</v>
      </c>
      <c r="E67" s="551" t="str">
        <f t="shared" si="17"/>
        <v>2（含）-</v>
      </c>
      <c r="F67" s="551" t="str">
        <f t="shared" si="17"/>
        <v>（含）-</v>
      </c>
      <c r="G67" s="551" t="str">
        <f t="shared" si="17"/>
        <v>（含）-</v>
      </c>
      <c r="H67" s="551" t="str">
        <f t="shared" si="17"/>
        <v>（含）-</v>
      </c>
      <c r="I67" s="551" t="str">
        <f t="shared" si="17"/>
        <v>（含）-</v>
      </c>
      <c r="J67" s="551" t="str">
        <f t="shared" si="17"/>
        <v>（含）-</v>
      </c>
      <c r="K67" s="551" t="str">
        <f t="shared" si="17"/>
        <v>（含）-</v>
      </c>
      <c r="L67" s="551" t="str">
        <f t="shared" si="17"/>
        <v>（含）-</v>
      </c>
      <c r="M67" s="269" t="str">
        <f>M68&amp;"（含）"&amp;"-"&amp;P68</f>
        <v>（含）-</v>
      </c>
      <c r="N67" s="434"/>
      <c r="O67" s="434"/>
      <c r="P67" s="427"/>
      <c r="Q67" s="422"/>
      <c r="R67" s="338"/>
      <c r="S67" s="338"/>
      <c r="T67" s="338"/>
      <c r="U67" s="338"/>
      <c r="V67" s="338"/>
      <c r="W67" s="338"/>
      <c r="X67" s="338"/>
      <c r="Y67" s="338"/>
      <c r="Z67" s="338"/>
      <c r="AA67" s="338"/>
      <c r="AB67" s="338"/>
      <c r="AC67" s="338"/>
    </row>
    <row r="68" ht="15" spans="1:29">
      <c r="A68" s="266"/>
      <c r="B68" s="552"/>
      <c r="C68" s="368">
        <v>0</v>
      </c>
      <c r="D68" s="368">
        <v>1</v>
      </c>
      <c r="E68" s="368">
        <v>2</v>
      </c>
      <c r="F68" s="368"/>
      <c r="G68" s="368"/>
      <c r="H68" s="368"/>
      <c r="I68" s="368"/>
      <c r="J68" s="368"/>
      <c r="K68" s="439"/>
      <c r="L68" s="440"/>
      <c r="M68" s="441"/>
      <c r="N68" s="432"/>
      <c r="O68" s="432"/>
      <c r="P68" s="427"/>
      <c r="Q68" s="422"/>
      <c r="R68" s="338"/>
      <c r="S68" s="338"/>
      <c r="T68" s="338"/>
      <c r="U68" s="338"/>
      <c r="V68" s="338"/>
      <c r="W68" s="338"/>
      <c r="X68" s="338"/>
      <c r="Y68" s="338"/>
      <c r="Z68" s="338"/>
      <c r="AA68" s="338"/>
      <c r="AB68" s="338"/>
      <c r="AC68" s="338"/>
    </row>
    <row r="69" ht="15.75" spans="1:29">
      <c r="A69" s="266"/>
      <c r="B69" s="361"/>
      <c r="C69" s="366">
        <v>100</v>
      </c>
      <c r="D69" s="366">
        <f t="shared" ref="D69:M69" si="18">C69-$K11</f>
        <v>100</v>
      </c>
      <c r="E69" s="366">
        <f t="shared" si="18"/>
        <v>100</v>
      </c>
      <c r="F69" s="366">
        <f t="shared" si="18"/>
        <v>100</v>
      </c>
      <c r="G69" s="366">
        <f t="shared" si="18"/>
        <v>100</v>
      </c>
      <c r="H69" s="366">
        <f t="shared" si="18"/>
        <v>100</v>
      </c>
      <c r="I69" s="366">
        <f t="shared" si="18"/>
        <v>100</v>
      </c>
      <c r="J69" s="366">
        <f t="shared" si="18"/>
        <v>100</v>
      </c>
      <c r="K69" s="366">
        <f t="shared" si="18"/>
        <v>100</v>
      </c>
      <c r="L69" s="366">
        <f t="shared" si="18"/>
        <v>100</v>
      </c>
      <c r="M69" s="438">
        <f t="shared" si="18"/>
        <v>100</v>
      </c>
      <c r="N69" s="434"/>
      <c r="O69" s="434"/>
      <c r="P69" s="427"/>
      <c r="Q69" s="422"/>
      <c r="R69" s="338"/>
      <c r="S69" s="338"/>
      <c r="T69" s="338"/>
      <c r="U69" s="338"/>
      <c r="V69" s="338"/>
      <c r="W69" s="338"/>
      <c r="X69" s="338"/>
      <c r="Y69" s="338"/>
      <c r="Z69" s="338"/>
      <c r="AA69" s="338"/>
      <c r="AB69" s="338"/>
      <c r="AC69" s="338"/>
    </row>
    <row r="70" s="191" customFormat="1" ht="15.75" spans="1:29">
      <c r="A70" s="370"/>
      <c r="B70" s="363">
        <f>B12</f>
        <v>111</v>
      </c>
      <c r="C70" s="371"/>
      <c r="D70" s="371"/>
      <c r="E70" s="371"/>
      <c r="F70" s="371"/>
      <c r="G70" s="371"/>
      <c r="H70" s="372"/>
      <c r="I70" s="372"/>
      <c r="J70" s="372"/>
      <c r="K70" s="372"/>
      <c r="L70" s="442"/>
      <c r="M70" s="443"/>
      <c r="N70" s="444"/>
      <c r="O70" s="444"/>
      <c r="P70" s="444"/>
      <c r="Q70" s="475"/>
      <c r="R70" s="404"/>
      <c r="S70" s="404"/>
      <c r="T70" s="404"/>
      <c r="U70" s="404"/>
      <c r="V70" s="404"/>
      <c r="W70" s="404"/>
      <c r="X70" s="404"/>
      <c r="Y70" s="404"/>
      <c r="Z70" s="404"/>
      <c r="AA70" s="404"/>
      <c r="AB70" s="404"/>
      <c r="AC70" s="404"/>
    </row>
    <row r="71" s="191" customFormat="1" ht="15.75" spans="1:29">
      <c r="A71" s="370"/>
      <c r="B71" s="365"/>
      <c r="C71" s="369"/>
      <c r="D71" s="362"/>
      <c r="E71" s="362"/>
      <c r="F71" s="362"/>
      <c r="G71" s="362"/>
      <c r="H71" s="362"/>
      <c r="I71" s="362"/>
      <c r="J71" s="362"/>
      <c r="K71" s="362"/>
      <c r="L71" s="362"/>
      <c r="M71" s="433"/>
      <c r="N71" s="434"/>
      <c r="O71" s="434"/>
      <c r="P71" s="444"/>
      <c r="Q71" s="475"/>
      <c r="R71" s="404"/>
      <c r="S71" s="404"/>
      <c r="T71" s="404"/>
      <c r="U71" s="404"/>
      <c r="V71" s="404"/>
      <c r="W71" s="404"/>
      <c r="X71" s="404"/>
      <c r="Y71" s="404"/>
      <c r="Z71" s="404"/>
      <c r="AA71" s="404"/>
      <c r="AB71" s="404"/>
      <c r="AC71" s="404"/>
    </row>
    <row r="72" s="191" customFormat="1" ht="15.75" spans="1:29">
      <c r="A72" s="370"/>
      <c r="B72" s="363">
        <f>B13</f>
        <v>111</v>
      </c>
      <c r="C72" s="371"/>
      <c r="D72" s="371"/>
      <c r="E72" s="371"/>
      <c r="F72" s="371"/>
      <c r="G72" s="371"/>
      <c r="H72" s="372"/>
      <c r="I72" s="372"/>
      <c r="J72" s="372"/>
      <c r="K72" s="372"/>
      <c r="L72" s="442"/>
      <c r="M72" s="443"/>
      <c r="N72" s="444"/>
      <c r="O72" s="444"/>
      <c r="P72" s="404"/>
      <c r="Q72" s="476"/>
      <c r="R72" s="404"/>
      <c r="S72" s="404"/>
      <c r="T72" s="404"/>
      <c r="U72" s="404"/>
      <c r="V72" s="404"/>
      <c r="W72" s="404"/>
      <c r="X72" s="404"/>
      <c r="Y72" s="404"/>
      <c r="Z72" s="404"/>
      <c r="AA72" s="404"/>
      <c r="AB72" s="404"/>
      <c r="AC72" s="404"/>
    </row>
    <row r="73" s="191" customFormat="1" ht="15.75" spans="1:29">
      <c r="A73" s="370"/>
      <c r="B73" s="365"/>
      <c r="C73" s="369"/>
      <c r="D73" s="362"/>
      <c r="E73" s="362"/>
      <c r="F73" s="362"/>
      <c r="G73" s="369"/>
      <c r="H73" s="373"/>
      <c r="I73" s="373"/>
      <c r="J73" s="373"/>
      <c r="K73" s="373"/>
      <c r="L73" s="373"/>
      <c r="M73" s="445"/>
      <c r="N73" s="444"/>
      <c r="O73" s="444"/>
      <c r="P73" s="444"/>
      <c r="Q73" s="475"/>
      <c r="R73" s="404"/>
      <c r="S73" s="404"/>
      <c r="T73" s="404"/>
      <c r="U73" s="404"/>
      <c r="V73" s="404"/>
      <c r="W73" s="404"/>
      <c r="X73" s="404"/>
      <c r="Y73" s="404"/>
      <c r="Z73" s="404"/>
      <c r="AA73" s="404"/>
      <c r="AB73" s="404"/>
      <c r="AC73" s="404"/>
    </row>
    <row r="74" s="191" customFormat="1" ht="15.75" spans="1:29">
      <c r="A74" s="370"/>
      <c r="B74" s="486">
        <f>B14</f>
        <v>111</v>
      </c>
      <c r="C74" s="371"/>
      <c r="D74" s="371"/>
      <c r="E74" s="371"/>
      <c r="F74" s="371"/>
      <c r="G74" s="356"/>
      <c r="H74" s="554"/>
      <c r="I74" s="554"/>
      <c r="J74" s="554"/>
      <c r="K74" s="554"/>
      <c r="L74" s="562"/>
      <c r="M74" s="563"/>
      <c r="N74" s="444"/>
      <c r="O74" s="444"/>
      <c r="P74" s="564"/>
      <c r="Q74" s="475"/>
      <c r="R74" s="404"/>
      <c r="S74" s="404"/>
      <c r="T74" s="404"/>
      <c r="U74" s="404"/>
      <c r="V74" s="404"/>
      <c r="W74" s="404"/>
      <c r="X74" s="404"/>
      <c r="Y74" s="404"/>
      <c r="Z74" s="404"/>
      <c r="AA74" s="404"/>
      <c r="AB74" s="404"/>
      <c r="AC74" s="404"/>
    </row>
    <row r="75" s="191" customFormat="1" ht="15.75" spans="1:29">
      <c r="A75" s="555"/>
      <c r="B75" s="556"/>
      <c r="C75" s="557"/>
      <c r="D75" s="557"/>
      <c r="E75" s="557"/>
      <c r="F75" s="557"/>
      <c r="G75" s="557"/>
      <c r="H75" s="558"/>
      <c r="I75" s="558"/>
      <c r="J75" s="558"/>
      <c r="K75" s="558"/>
      <c r="L75" s="558"/>
      <c r="M75" s="565"/>
      <c r="N75" s="444"/>
      <c r="O75" s="444"/>
      <c r="P75" s="444"/>
      <c r="Q75" s="475"/>
      <c r="R75" s="404"/>
      <c r="S75" s="404"/>
      <c r="T75" s="404"/>
      <c r="U75" s="404"/>
      <c r="V75" s="404"/>
      <c r="W75" s="404"/>
      <c r="X75" s="404"/>
      <c r="Y75" s="404"/>
      <c r="Z75" s="404"/>
      <c r="AA75" s="404"/>
      <c r="AB75" s="404"/>
      <c r="AC75" s="404"/>
    </row>
    <row r="76" spans="1:29">
      <c r="A76" s="357" t="s">
        <v>997</v>
      </c>
      <c r="B76" s="358" t="s">
        <v>225</v>
      </c>
      <c r="C76" s="374" t="s">
        <v>246</v>
      </c>
      <c r="D76" s="374" t="s">
        <v>258</v>
      </c>
      <c r="E76" s="374" t="s">
        <v>269</v>
      </c>
      <c r="F76" s="374" t="s">
        <v>279</v>
      </c>
      <c r="G76" s="374" t="s">
        <v>287</v>
      </c>
      <c r="H76" s="359"/>
      <c r="I76" s="359"/>
      <c r="J76" s="359"/>
      <c r="K76" s="446"/>
      <c r="L76" s="447"/>
      <c r="M76" s="448"/>
      <c r="N76" s="432"/>
      <c r="O76" s="432"/>
      <c r="P76" s="449"/>
      <c r="Q76" s="422"/>
      <c r="R76" s="338"/>
      <c r="S76" s="338"/>
      <c r="T76" s="338"/>
      <c r="U76" s="338"/>
      <c r="V76" s="338"/>
      <c r="W76" s="338"/>
      <c r="X76" s="338"/>
      <c r="Y76" s="338"/>
      <c r="Z76" s="338"/>
      <c r="AA76" s="338"/>
      <c r="AB76" s="338"/>
      <c r="AC76" s="338"/>
    </row>
    <row r="77" ht="15.75" spans="1:29">
      <c r="A77" s="266"/>
      <c r="B77" s="365"/>
      <c r="C77" s="366">
        <v>100</v>
      </c>
      <c r="D77" s="366">
        <f>C77-$K15</f>
        <v>92</v>
      </c>
      <c r="E77" s="366">
        <f>D77-$K15</f>
        <v>84</v>
      </c>
      <c r="F77" s="366">
        <f>E77-$K15</f>
        <v>76</v>
      </c>
      <c r="G77" s="366">
        <f>F77-$K15</f>
        <v>68</v>
      </c>
      <c r="H77" s="366"/>
      <c r="I77" s="366"/>
      <c r="J77" s="366"/>
      <c r="K77" s="366"/>
      <c r="L77" s="366"/>
      <c r="M77" s="438"/>
      <c r="N77" s="434"/>
      <c r="O77" s="434"/>
      <c r="P77" s="427"/>
      <c r="Q77" s="422"/>
      <c r="R77" s="338"/>
      <c r="S77" s="338"/>
      <c r="T77" s="338"/>
      <c r="U77" s="338"/>
      <c r="V77" s="338"/>
      <c r="W77" s="338"/>
      <c r="X77" s="338"/>
      <c r="Y77" s="338"/>
      <c r="Z77" s="338"/>
      <c r="AA77" s="338"/>
      <c r="AB77" s="338"/>
      <c r="AC77" s="338"/>
    </row>
    <row r="78" ht="15.75" spans="1:29">
      <c r="A78" s="266"/>
      <c r="B78" s="363" t="s">
        <v>229</v>
      </c>
      <c r="C78" s="376" t="s">
        <v>246</v>
      </c>
      <c r="D78" s="376" t="s">
        <v>258</v>
      </c>
      <c r="E78" s="376" t="s">
        <v>269</v>
      </c>
      <c r="F78" s="376" t="s">
        <v>279</v>
      </c>
      <c r="G78" s="376" t="s">
        <v>287</v>
      </c>
      <c r="H78" s="364"/>
      <c r="I78" s="364"/>
      <c r="J78" s="364"/>
      <c r="K78" s="435"/>
      <c r="L78" s="436"/>
      <c r="M78" s="437"/>
      <c r="N78" s="432"/>
      <c r="O78" s="432"/>
      <c r="P78" s="427"/>
      <c r="Q78" s="422"/>
      <c r="R78" s="338"/>
      <c r="S78" s="338"/>
      <c r="T78" s="338"/>
      <c r="U78" s="338"/>
      <c r="V78" s="338"/>
      <c r="W78" s="338"/>
      <c r="X78" s="338"/>
      <c r="Y78" s="338"/>
      <c r="Z78" s="338"/>
      <c r="AA78" s="338"/>
      <c r="AB78" s="338"/>
      <c r="AC78" s="338"/>
    </row>
    <row r="79" ht="15.75" spans="1:29">
      <c r="A79" s="266"/>
      <c r="B79" s="365"/>
      <c r="C79" s="366">
        <v>100</v>
      </c>
      <c r="D79" s="366">
        <f>C79-$K17</f>
        <v>95</v>
      </c>
      <c r="E79" s="366">
        <f>D79-$K17</f>
        <v>90</v>
      </c>
      <c r="F79" s="366">
        <f>E79-$K17</f>
        <v>85</v>
      </c>
      <c r="G79" s="366">
        <f>F79-$K17</f>
        <v>80</v>
      </c>
      <c r="H79" s="366"/>
      <c r="I79" s="366"/>
      <c r="J79" s="366"/>
      <c r="K79" s="366"/>
      <c r="L79" s="366"/>
      <c r="M79" s="438"/>
      <c r="N79" s="434"/>
      <c r="O79" s="434"/>
      <c r="P79" s="427"/>
      <c r="Q79" s="422"/>
      <c r="R79" s="338"/>
      <c r="S79" s="338"/>
      <c r="T79" s="338"/>
      <c r="U79" s="338"/>
      <c r="V79" s="338"/>
      <c r="W79" s="338"/>
      <c r="X79" s="338"/>
      <c r="Y79" s="338"/>
      <c r="Z79" s="338"/>
      <c r="AA79" s="338"/>
      <c r="AB79" s="338"/>
      <c r="AC79" s="338"/>
    </row>
    <row r="80" ht="15.75" spans="1:29">
      <c r="A80" s="266"/>
      <c r="B80" s="375" t="s">
        <v>231</v>
      </c>
      <c r="C80" s="376" t="s">
        <v>246</v>
      </c>
      <c r="D80" s="376" t="s">
        <v>258</v>
      </c>
      <c r="E80" s="376" t="s">
        <v>269</v>
      </c>
      <c r="F80" s="376" t="s">
        <v>279</v>
      </c>
      <c r="G80" s="376" t="s">
        <v>287</v>
      </c>
      <c r="H80" s="364"/>
      <c r="I80" s="364"/>
      <c r="J80" s="364"/>
      <c r="K80" s="435"/>
      <c r="L80" s="436"/>
      <c r="M80" s="437"/>
      <c r="N80" s="432"/>
      <c r="O80" s="432"/>
      <c r="P80" s="427"/>
      <c r="Q80" s="422"/>
      <c r="R80" s="338"/>
      <c r="S80" s="338"/>
      <c r="T80" s="338"/>
      <c r="U80" s="338"/>
      <c r="V80" s="338"/>
      <c r="W80" s="338"/>
      <c r="X80" s="338"/>
      <c r="Y80" s="338"/>
      <c r="Z80" s="338"/>
      <c r="AA80" s="338"/>
      <c r="AB80" s="338"/>
      <c r="AC80" s="338"/>
    </row>
    <row r="81" ht="15.75" spans="1:29">
      <c r="A81" s="266"/>
      <c r="B81" s="365"/>
      <c r="C81" s="366">
        <v>100</v>
      </c>
      <c r="D81" s="366">
        <f>C81-$K19</f>
        <v>97</v>
      </c>
      <c r="E81" s="366">
        <f>D81-$K19</f>
        <v>94</v>
      </c>
      <c r="F81" s="366">
        <f>E81-$K19</f>
        <v>91</v>
      </c>
      <c r="G81" s="366">
        <f>F81-$K19</f>
        <v>88</v>
      </c>
      <c r="H81" s="366"/>
      <c r="I81" s="366"/>
      <c r="J81" s="366"/>
      <c r="K81" s="366"/>
      <c r="L81" s="366"/>
      <c r="M81" s="438"/>
      <c r="N81" s="434"/>
      <c r="O81" s="434"/>
      <c r="P81" s="427"/>
      <c r="Q81" s="422"/>
      <c r="R81" s="338"/>
      <c r="S81" s="338"/>
      <c r="T81" s="338"/>
      <c r="U81" s="338"/>
      <c r="V81" s="338"/>
      <c r="W81" s="338"/>
      <c r="X81" s="338"/>
      <c r="Y81" s="338"/>
      <c r="Z81" s="338"/>
      <c r="AA81" s="338"/>
      <c r="AB81" s="338"/>
      <c r="AC81" s="338"/>
    </row>
    <row r="82" ht="15.75" spans="1:29">
      <c r="A82" s="266"/>
      <c r="B82" s="484" t="s">
        <v>232</v>
      </c>
      <c r="C82" s="485" t="s">
        <v>247</v>
      </c>
      <c r="D82" s="485" t="s">
        <v>259</v>
      </c>
      <c r="E82" s="485" t="s">
        <v>270</v>
      </c>
      <c r="F82" s="485" t="s">
        <v>280</v>
      </c>
      <c r="G82" s="485" t="s">
        <v>288</v>
      </c>
      <c r="H82" s="364"/>
      <c r="I82" s="364"/>
      <c r="J82" s="364"/>
      <c r="K82" s="364"/>
      <c r="L82" s="364"/>
      <c r="M82" s="492"/>
      <c r="N82" s="434"/>
      <c r="O82" s="434"/>
      <c r="P82" s="427"/>
      <c r="Q82" s="422"/>
      <c r="R82" s="338"/>
      <c r="S82" s="338"/>
      <c r="T82" s="338"/>
      <c r="U82" s="338"/>
      <c r="V82" s="338"/>
      <c r="W82" s="338"/>
      <c r="X82" s="338"/>
      <c r="Y82" s="338"/>
      <c r="Z82" s="338"/>
      <c r="AA82" s="338"/>
      <c r="AB82" s="338"/>
      <c r="AC82" s="338"/>
    </row>
    <row r="83" ht="15.75" spans="1:29">
      <c r="A83" s="266"/>
      <c r="B83" s="486"/>
      <c r="C83" s="366">
        <v>100</v>
      </c>
      <c r="D83" s="366">
        <f>C83-$K21</f>
        <v>100</v>
      </c>
      <c r="E83" s="366">
        <f>D83-$K21</f>
        <v>100</v>
      </c>
      <c r="F83" s="366">
        <f>E83-$K21</f>
        <v>100</v>
      </c>
      <c r="G83" s="366">
        <f>F83-$K21</f>
        <v>100</v>
      </c>
      <c r="H83" s="367"/>
      <c r="I83" s="367"/>
      <c r="J83" s="367"/>
      <c r="K83" s="367"/>
      <c r="L83" s="367"/>
      <c r="M83" s="271"/>
      <c r="N83" s="434"/>
      <c r="O83" s="434"/>
      <c r="P83" s="427"/>
      <c r="Q83" s="422"/>
      <c r="R83" s="338"/>
      <c r="S83" s="338"/>
      <c r="T83" s="338"/>
      <c r="U83" s="338"/>
      <c r="V83" s="338"/>
      <c r="W83" s="338"/>
      <c r="X83" s="338"/>
      <c r="Y83" s="338"/>
      <c r="Z83" s="338"/>
      <c r="AA83" s="338"/>
      <c r="AB83" s="338"/>
      <c r="AC83" s="338"/>
    </row>
    <row r="84" ht="15.75" spans="1:29">
      <c r="A84" s="266"/>
      <c r="B84" s="363" t="s">
        <v>2356</v>
      </c>
      <c r="C84" s="376" t="s">
        <v>246</v>
      </c>
      <c r="D84" s="376" t="s">
        <v>258</v>
      </c>
      <c r="E84" s="376" t="s">
        <v>269</v>
      </c>
      <c r="F84" s="376" t="s">
        <v>279</v>
      </c>
      <c r="G84" s="376" t="s">
        <v>287</v>
      </c>
      <c r="H84" s="364"/>
      <c r="I84" s="364"/>
      <c r="J84" s="364"/>
      <c r="K84" s="435"/>
      <c r="L84" s="436"/>
      <c r="M84" s="437"/>
      <c r="N84" s="432"/>
      <c r="O84" s="432"/>
      <c r="P84" s="427"/>
      <c r="Q84" s="422"/>
      <c r="R84" s="338"/>
      <c r="S84" s="338"/>
      <c r="T84" s="338"/>
      <c r="U84" s="338"/>
      <c r="V84" s="338"/>
      <c r="W84" s="338"/>
      <c r="X84" s="338"/>
      <c r="Y84" s="338"/>
      <c r="Z84" s="338"/>
      <c r="AA84" s="338"/>
      <c r="AB84" s="338"/>
      <c r="AC84" s="338"/>
    </row>
    <row r="85" ht="15.75" spans="1:29">
      <c r="A85" s="266"/>
      <c r="B85" s="365"/>
      <c r="C85" s="366">
        <v>100</v>
      </c>
      <c r="D85" s="366">
        <f>C85-$K23</f>
        <v>99</v>
      </c>
      <c r="E85" s="366">
        <f>D85-$K23</f>
        <v>98</v>
      </c>
      <c r="F85" s="366">
        <f>E85-$K23</f>
        <v>97</v>
      </c>
      <c r="G85" s="366">
        <f>F85-$K23</f>
        <v>96</v>
      </c>
      <c r="H85" s="366"/>
      <c r="I85" s="366"/>
      <c r="J85" s="366"/>
      <c r="K85" s="366"/>
      <c r="L85" s="366"/>
      <c r="M85" s="438"/>
      <c r="N85" s="434"/>
      <c r="O85" s="434"/>
      <c r="P85" s="427"/>
      <c r="Q85" s="422"/>
      <c r="R85" s="338"/>
      <c r="S85" s="338"/>
      <c r="T85" s="338"/>
      <c r="U85" s="338"/>
      <c r="V85" s="338"/>
      <c r="W85" s="338"/>
      <c r="X85" s="338"/>
      <c r="Y85" s="338"/>
      <c r="Z85" s="338"/>
      <c r="AA85" s="338"/>
      <c r="AB85" s="338"/>
      <c r="AC85" s="338"/>
    </row>
    <row r="86" s="189" customFormat="1" ht="15.75" spans="1:29">
      <c r="A86" s="290"/>
      <c r="B86" s="363" t="s">
        <v>234</v>
      </c>
      <c r="C86" s="1135" t="s">
        <v>2457</v>
      </c>
      <c r="D86" s="371"/>
      <c r="E86" s="371"/>
      <c r="F86" s="371"/>
      <c r="G86" s="371"/>
      <c r="H86" s="371"/>
      <c r="I86" s="371"/>
      <c r="J86" s="371"/>
      <c r="K86" s="371"/>
      <c r="L86" s="496"/>
      <c r="M86" s="497"/>
      <c r="N86" s="427"/>
      <c r="O86" s="427"/>
      <c r="P86" s="427"/>
      <c r="Q86" s="422"/>
      <c r="R86" s="387"/>
      <c r="S86" s="387"/>
      <c r="T86" s="387"/>
      <c r="U86" s="387"/>
      <c r="V86" s="387"/>
      <c r="W86" s="387"/>
      <c r="X86" s="387"/>
      <c r="Y86" s="387"/>
      <c r="Z86" s="387"/>
      <c r="AA86" s="387"/>
      <c r="AB86" s="387"/>
      <c r="AC86" s="387"/>
    </row>
    <row r="87" s="189" customFormat="1" ht="15.75" spans="1:29">
      <c r="A87" s="290"/>
      <c r="B87" s="365"/>
      <c r="C87" s="488">
        <v>100</v>
      </c>
      <c r="D87" s="366">
        <f t="shared" ref="D87:M87" si="19">C87-$K25</f>
        <v>100</v>
      </c>
      <c r="E87" s="366">
        <f t="shared" si="19"/>
        <v>100</v>
      </c>
      <c r="F87" s="366">
        <f t="shared" si="19"/>
        <v>100</v>
      </c>
      <c r="G87" s="366">
        <f t="shared" si="19"/>
        <v>100</v>
      </c>
      <c r="H87" s="366">
        <f t="shared" si="19"/>
        <v>100</v>
      </c>
      <c r="I87" s="366">
        <f t="shared" si="19"/>
        <v>100</v>
      </c>
      <c r="J87" s="366">
        <f t="shared" si="19"/>
        <v>100</v>
      </c>
      <c r="K87" s="366">
        <f t="shared" si="19"/>
        <v>100</v>
      </c>
      <c r="L87" s="366">
        <f t="shared" si="19"/>
        <v>100</v>
      </c>
      <c r="M87" s="366">
        <f t="shared" si="19"/>
        <v>100</v>
      </c>
      <c r="N87" s="434"/>
      <c r="O87" s="434"/>
      <c r="P87" s="427"/>
      <c r="Q87" s="422"/>
      <c r="R87" s="387"/>
      <c r="S87" s="387"/>
      <c r="T87" s="387"/>
      <c r="U87" s="387"/>
      <c r="V87" s="387"/>
      <c r="W87" s="387"/>
      <c r="X87" s="387"/>
      <c r="Y87" s="387"/>
      <c r="Z87" s="387"/>
      <c r="AA87" s="387"/>
      <c r="AB87" s="387"/>
      <c r="AC87" s="387"/>
    </row>
    <row r="88" s="189" customFormat="1" ht="15.75" spans="1:29">
      <c r="A88" s="290"/>
      <c r="B88" s="363" t="str">
        <f>B26</f>
        <v>平面位置/可视性</v>
      </c>
      <c r="C88" s="371"/>
      <c r="D88" s="371"/>
      <c r="E88" s="371"/>
      <c r="F88" s="596"/>
      <c r="G88" s="371"/>
      <c r="H88" s="371"/>
      <c r="I88" s="371"/>
      <c r="J88" s="371"/>
      <c r="K88" s="371"/>
      <c r="L88" s="371"/>
      <c r="M88" s="497"/>
      <c r="N88" s="427"/>
      <c r="O88" s="427"/>
      <c r="P88" s="427"/>
      <c r="Q88" s="422"/>
      <c r="R88" s="387"/>
      <c r="S88" s="387"/>
      <c r="T88" s="387"/>
      <c r="U88" s="387"/>
      <c r="V88" s="387"/>
      <c r="W88" s="387"/>
      <c r="X88" s="387"/>
      <c r="Y88" s="387"/>
      <c r="Z88" s="387"/>
      <c r="AA88" s="387"/>
      <c r="AB88" s="387"/>
      <c r="AC88" s="387"/>
    </row>
    <row r="89" s="189" customFormat="1" ht="15.75" spans="1:29">
      <c r="A89" s="290"/>
      <c r="B89" s="365"/>
      <c r="C89" s="369"/>
      <c r="D89" s="362"/>
      <c r="E89" s="362"/>
      <c r="F89" s="362"/>
      <c r="G89" s="362"/>
      <c r="H89" s="362"/>
      <c r="I89" s="362"/>
      <c r="J89" s="362"/>
      <c r="K89" s="362"/>
      <c r="L89" s="362"/>
      <c r="M89" s="362"/>
      <c r="N89" s="434"/>
      <c r="O89" s="434"/>
      <c r="P89" s="427"/>
      <c r="Q89" s="422"/>
      <c r="R89" s="387"/>
      <c r="S89" s="387"/>
      <c r="T89" s="387"/>
      <c r="U89" s="387"/>
      <c r="V89" s="387"/>
      <c r="W89" s="387"/>
      <c r="X89" s="387"/>
      <c r="Y89" s="387"/>
      <c r="Z89" s="387"/>
      <c r="AA89" s="387"/>
      <c r="AB89" s="387"/>
      <c r="AC89" s="387"/>
    </row>
    <row r="90" s="191" customFormat="1" ht="15.75" spans="1:29">
      <c r="A90" s="370"/>
      <c r="B90" s="363" t="str">
        <f>B27</f>
        <v>人流量</v>
      </c>
      <c r="C90" s="371"/>
      <c r="D90" s="371"/>
      <c r="E90" s="371"/>
      <c r="F90" s="371"/>
      <c r="G90" s="371"/>
      <c r="H90" s="372"/>
      <c r="I90" s="372"/>
      <c r="J90" s="372"/>
      <c r="K90" s="372"/>
      <c r="L90" s="442"/>
      <c r="M90" s="443"/>
      <c r="N90" s="444"/>
      <c r="O90" s="444"/>
      <c r="P90" s="444"/>
      <c r="Q90" s="475"/>
      <c r="R90" s="404"/>
      <c r="S90" s="404"/>
      <c r="T90" s="404"/>
      <c r="U90" s="404"/>
      <c r="V90" s="404"/>
      <c r="W90" s="404"/>
      <c r="X90" s="404"/>
      <c r="Y90" s="404"/>
      <c r="Z90" s="404"/>
      <c r="AA90" s="404"/>
      <c r="AB90" s="404"/>
      <c r="AC90" s="404"/>
    </row>
    <row r="91" s="191" customFormat="1" ht="15.75" spans="1:29">
      <c r="A91" s="370"/>
      <c r="B91" s="365"/>
      <c r="C91" s="488">
        <v>100</v>
      </c>
      <c r="D91" s="366">
        <f>C91-$K27</f>
        <v>100</v>
      </c>
      <c r="E91" s="366">
        <f t="shared" ref="E91:M91" si="20">D91-$K27</f>
        <v>100</v>
      </c>
      <c r="F91" s="366">
        <f t="shared" si="20"/>
        <v>100</v>
      </c>
      <c r="G91" s="366">
        <f t="shared" si="20"/>
        <v>100</v>
      </c>
      <c r="H91" s="366">
        <f t="shared" si="20"/>
        <v>100</v>
      </c>
      <c r="I91" s="366">
        <f t="shared" si="20"/>
        <v>100</v>
      </c>
      <c r="J91" s="366">
        <f t="shared" si="20"/>
        <v>100</v>
      </c>
      <c r="K91" s="366">
        <f t="shared" si="20"/>
        <v>100</v>
      </c>
      <c r="L91" s="366">
        <f t="shared" si="20"/>
        <v>100</v>
      </c>
      <c r="M91" s="366">
        <f t="shared" si="20"/>
        <v>100</v>
      </c>
      <c r="N91" s="444"/>
      <c r="O91" s="444"/>
      <c r="P91" s="444"/>
      <c r="Q91" s="475"/>
      <c r="R91" s="404"/>
      <c r="S91" s="404"/>
      <c r="T91" s="404"/>
      <c r="U91" s="404"/>
      <c r="V91" s="404"/>
      <c r="W91" s="404"/>
      <c r="X91" s="404"/>
      <c r="Y91" s="404"/>
      <c r="Z91" s="404"/>
      <c r="AA91" s="404"/>
      <c r="AB91" s="404"/>
      <c r="AC91" s="404"/>
    </row>
    <row r="92" ht="15.75" spans="1:29">
      <c r="A92" s="266"/>
      <c r="B92" s="363" t="str">
        <f>B28</f>
        <v>楼层</v>
      </c>
      <c r="C92" s="371">
        <v>1</v>
      </c>
      <c r="D92" s="371"/>
      <c r="E92" s="371"/>
      <c r="F92" s="371"/>
      <c r="G92" s="371"/>
      <c r="H92" s="371"/>
      <c r="I92" s="371"/>
      <c r="J92" s="371"/>
      <c r="K92" s="371"/>
      <c r="L92" s="496"/>
      <c r="M92" s="497"/>
      <c r="N92" s="432"/>
      <c r="O92" s="432"/>
      <c r="P92" s="427"/>
      <c r="Q92" s="422"/>
      <c r="R92" s="338"/>
      <c r="S92" s="338"/>
      <c r="T92" s="338"/>
      <c r="U92" s="338"/>
      <c r="V92" s="338"/>
      <c r="W92" s="338"/>
      <c r="X92" s="338"/>
      <c r="Y92" s="338"/>
      <c r="Z92" s="338"/>
      <c r="AA92" s="338"/>
      <c r="AB92" s="338"/>
      <c r="AC92" s="338"/>
    </row>
    <row r="93" ht="15.75" spans="1:29">
      <c r="A93" s="266"/>
      <c r="B93" s="365"/>
      <c r="C93" s="362"/>
      <c r="D93" s="362"/>
      <c r="E93" s="362"/>
      <c r="F93" s="362"/>
      <c r="G93" s="362"/>
      <c r="H93" s="362"/>
      <c r="I93" s="362"/>
      <c r="J93" s="362"/>
      <c r="K93" s="362"/>
      <c r="L93" s="362"/>
      <c r="M93" s="433"/>
      <c r="N93" s="434"/>
      <c r="O93" s="434"/>
      <c r="P93" s="427"/>
      <c r="Q93" s="422"/>
      <c r="R93" s="338"/>
      <c r="S93" s="338"/>
      <c r="T93" s="338"/>
      <c r="U93" s="338"/>
      <c r="V93" s="338"/>
      <c r="W93" s="338"/>
      <c r="X93" s="338"/>
      <c r="Y93" s="338"/>
      <c r="Z93" s="338"/>
      <c r="AA93" s="338"/>
      <c r="AB93" s="338"/>
      <c r="AC93" s="338"/>
    </row>
    <row r="94" ht="15.75" spans="1:29">
      <c r="A94" s="266"/>
      <c r="B94" s="363">
        <f>B29</f>
        <v>111</v>
      </c>
      <c r="C94" s="371"/>
      <c r="D94" s="371"/>
      <c r="E94" s="371"/>
      <c r="F94" s="371"/>
      <c r="G94" s="487"/>
      <c r="H94" s="487"/>
      <c r="I94" s="487"/>
      <c r="J94" s="487"/>
      <c r="K94" s="493"/>
      <c r="L94" s="494"/>
      <c r="M94" s="495"/>
      <c r="N94" s="432"/>
      <c r="O94" s="432"/>
      <c r="P94" s="427"/>
      <c r="Q94" s="422"/>
      <c r="R94" s="338"/>
      <c r="S94" s="338"/>
      <c r="T94" s="338"/>
      <c r="U94" s="338"/>
      <c r="V94" s="338"/>
      <c r="W94" s="338"/>
      <c r="X94" s="338"/>
      <c r="Y94" s="338"/>
      <c r="Z94" s="338"/>
      <c r="AA94" s="338"/>
      <c r="AB94" s="338"/>
      <c r="AC94" s="338"/>
    </row>
    <row r="95" ht="15.75" spans="1:29">
      <c r="A95" s="266"/>
      <c r="B95" s="365"/>
      <c r="C95" s="369"/>
      <c r="D95" s="362"/>
      <c r="E95" s="362"/>
      <c r="F95" s="362"/>
      <c r="G95" s="362"/>
      <c r="H95" s="362"/>
      <c r="I95" s="362"/>
      <c r="J95" s="362"/>
      <c r="K95" s="362"/>
      <c r="L95" s="362"/>
      <c r="M95" s="433"/>
      <c r="N95" s="434"/>
      <c r="O95" s="434"/>
      <c r="P95" s="427"/>
      <c r="Q95" s="422"/>
      <c r="R95" s="338"/>
      <c r="S95" s="338"/>
      <c r="T95" s="338"/>
      <c r="U95" s="338"/>
      <c r="V95" s="338"/>
      <c r="W95" s="338"/>
      <c r="X95" s="338"/>
      <c r="Y95" s="338"/>
      <c r="Z95" s="338"/>
      <c r="AA95" s="338"/>
      <c r="AB95" s="338"/>
      <c r="AC95" s="338"/>
    </row>
    <row r="96" ht="15.75" spans="1:29">
      <c r="A96" s="266"/>
      <c r="B96" s="363">
        <f>B30</f>
        <v>111</v>
      </c>
      <c r="C96" s="371"/>
      <c r="D96" s="371"/>
      <c r="E96" s="371"/>
      <c r="F96" s="371"/>
      <c r="G96" s="487"/>
      <c r="H96" s="487"/>
      <c r="I96" s="487"/>
      <c r="J96" s="487"/>
      <c r="K96" s="493"/>
      <c r="L96" s="494"/>
      <c r="M96" s="495"/>
      <c r="N96" s="432"/>
      <c r="O96" s="432"/>
      <c r="P96" s="427"/>
      <c r="Q96" s="422"/>
      <c r="R96" s="338"/>
      <c r="S96" s="338"/>
      <c r="T96" s="338"/>
      <c r="U96" s="338"/>
      <c r="V96" s="338"/>
      <c r="W96" s="338"/>
      <c r="X96" s="338"/>
      <c r="Y96" s="338"/>
      <c r="Z96" s="338"/>
      <c r="AA96" s="338"/>
      <c r="AB96" s="338"/>
      <c r="AC96" s="338"/>
    </row>
    <row r="97" ht="15.75" spans="1:29">
      <c r="A97" s="266"/>
      <c r="B97" s="365"/>
      <c r="C97" s="369"/>
      <c r="D97" s="362"/>
      <c r="E97" s="362"/>
      <c r="F97" s="362"/>
      <c r="G97" s="362"/>
      <c r="H97" s="362"/>
      <c r="I97" s="362"/>
      <c r="J97" s="362"/>
      <c r="K97" s="362"/>
      <c r="L97" s="362"/>
      <c r="M97" s="433"/>
      <c r="N97" s="434"/>
      <c r="O97" s="434"/>
      <c r="P97" s="427"/>
      <c r="Q97" s="422"/>
      <c r="R97" s="338"/>
      <c r="S97" s="338"/>
      <c r="T97" s="338"/>
      <c r="U97" s="338"/>
      <c r="V97" s="338"/>
      <c r="W97" s="338"/>
      <c r="X97" s="338"/>
      <c r="Y97" s="338"/>
      <c r="Z97" s="338"/>
      <c r="AA97" s="338"/>
      <c r="AB97" s="338"/>
      <c r="AC97" s="338"/>
    </row>
    <row r="98" ht="15.75" spans="1:29">
      <c r="A98" s="266"/>
      <c r="B98" s="486">
        <f>B31</f>
        <v>111</v>
      </c>
      <c r="C98" s="371"/>
      <c r="D98" s="371"/>
      <c r="E98" s="371"/>
      <c r="F98" s="371"/>
      <c r="G98" s="559"/>
      <c r="H98" s="559"/>
      <c r="I98" s="559"/>
      <c r="J98" s="559"/>
      <c r="K98" s="566"/>
      <c r="L98" s="567"/>
      <c r="M98" s="568"/>
      <c r="N98" s="432"/>
      <c r="O98" s="432"/>
      <c r="P98" s="427"/>
      <c r="Q98" s="422"/>
      <c r="R98" s="338"/>
      <c r="S98" s="338"/>
      <c r="T98" s="338"/>
      <c r="U98" s="338"/>
      <c r="V98" s="338"/>
      <c r="W98" s="338"/>
      <c r="X98" s="338"/>
      <c r="Y98" s="338"/>
      <c r="Z98" s="338"/>
      <c r="AA98" s="338"/>
      <c r="AB98" s="338"/>
      <c r="AC98" s="338"/>
    </row>
    <row r="99" ht="15.75" spans="1:29">
      <c r="A99" s="549"/>
      <c r="B99" s="556"/>
      <c r="C99" s="557"/>
      <c r="D99" s="557"/>
      <c r="E99" s="557"/>
      <c r="F99" s="557"/>
      <c r="G99" s="560"/>
      <c r="H99" s="560"/>
      <c r="I99" s="560"/>
      <c r="J99" s="560"/>
      <c r="K99" s="560"/>
      <c r="L99" s="560"/>
      <c r="M99" s="569"/>
      <c r="N99" s="434"/>
      <c r="O99" s="434"/>
      <c r="P99" s="427"/>
      <c r="Q99" s="422"/>
      <c r="R99" s="338"/>
      <c r="S99" s="338"/>
      <c r="T99" s="338"/>
      <c r="U99" s="338"/>
      <c r="V99" s="338"/>
      <c r="W99" s="338"/>
      <c r="X99" s="338"/>
      <c r="Y99" s="338"/>
      <c r="Z99" s="338"/>
      <c r="AA99" s="338"/>
      <c r="AB99" s="338"/>
      <c r="AC99" s="338"/>
    </row>
    <row r="100" ht="27" spans="1:29">
      <c r="A100" s="357" t="s">
        <v>1002</v>
      </c>
      <c r="B100" s="358" t="s">
        <v>2461</v>
      </c>
      <c r="C100" s="1136" t="s">
        <v>2464</v>
      </c>
      <c r="D100" s="1136" t="s">
        <v>2465</v>
      </c>
      <c r="E100" s="1136" t="s">
        <v>2463</v>
      </c>
      <c r="F100" s="1136" t="s">
        <v>2462</v>
      </c>
      <c r="G100" s="360"/>
      <c r="H100" s="360"/>
      <c r="I100" s="360"/>
      <c r="J100" s="360"/>
      <c r="K100" s="429"/>
      <c r="L100" s="430"/>
      <c r="M100" s="431"/>
      <c r="N100" s="432"/>
      <c r="O100" s="432"/>
      <c r="P100" s="427"/>
      <c r="Q100" s="422"/>
      <c r="R100" s="338"/>
      <c r="S100" s="338"/>
      <c r="T100" s="338"/>
      <c r="U100" s="338"/>
      <c r="V100" s="338"/>
      <c r="W100" s="338"/>
      <c r="X100" s="338"/>
      <c r="Y100" s="338"/>
      <c r="Z100" s="338"/>
      <c r="AA100" s="338"/>
      <c r="AB100" s="338"/>
      <c r="AC100" s="338"/>
    </row>
    <row r="101" ht="15.75" spans="1:29">
      <c r="A101" s="266"/>
      <c r="B101" s="365"/>
      <c r="C101" s="366">
        <v>100</v>
      </c>
      <c r="D101" s="366">
        <f t="shared" ref="D101:M101" si="21">C101-$K32</f>
        <v>97</v>
      </c>
      <c r="E101" s="366">
        <f t="shared" si="21"/>
        <v>94</v>
      </c>
      <c r="F101" s="366">
        <f t="shared" si="21"/>
        <v>91</v>
      </c>
      <c r="G101" s="366">
        <f t="shared" si="21"/>
        <v>88</v>
      </c>
      <c r="H101" s="366">
        <f t="shared" si="21"/>
        <v>85</v>
      </c>
      <c r="I101" s="366">
        <f t="shared" si="21"/>
        <v>82</v>
      </c>
      <c r="J101" s="366">
        <f t="shared" si="21"/>
        <v>79</v>
      </c>
      <c r="K101" s="366">
        <f t="shared" si="21"/>
        <v>76</v>
      </c>
      <c r="L101" s="366">
        <f t="shared" si="21"/>
        <v>73</v>
      </c>
      <c r="M101" s="438">
        <f t="shared" si="21"/>
        <v>70</v>
      </c>
      <c r="N101" s="434"/>
      <c r="O101" s="434"/>
      <c r="P101" s="427"/>
      <c r="Q101" s="422"/>
      <c r="R101" s="338"/>
      <c r="S101" s="338"/>
      <c r="T101" s="338"/>
      <c r="U101" s="338"/>
      <c r="V101" s="338"/>
      <c r="W101" s="338"/>
      <c r="X101" s="338"/>
      <c r="Y101" s="338"/>
      <c r="Z101" s="338"/>
      <c r="AA101" s="338"/>
      <c r="AB101" s="338"/>
      <c r="AC101" s="338"/>
    </row>
    <row r="102" ht="15.75" spans="1:29">
      <c r="A102" s="266"/>
      <c r="B102" s="363" t="s">
        <v>2362</v>
      </c>
      <c r="C102" s="376" t="str">
        <f>C103&amp;"(含)"&amp;"-"&amp;D103</f>
        <v>0(含)-10000</v>
      </c>
      <c r="D102" s="376" t="str">
        <f t="shared" ref="D102:L102" si="22">D103&amp;"(含)"&amp;"-"&amp;E103</f>
        <v>10000(含)-</v>
      </c>
      <c r="E102" s="376" t="str">
        <f t="shared" si="22"/>
        <v>(含)-</v>
      </c>
      <c r="F102" s="376" t="str">
        <f t="shared" si="22"/>
        <v>(含)-</v>
      </c>
      <c r="G102" s="376" t="str">
        <f t="shared" si="22"/>
        <v>(含)-</v>
      </c>
      <c r="H102" s="376" t="str">
        <f t="shared" si="22"/>
        <v>(含)-</v>
      </c>
      <c r="I102" s="376" t="str">
        <f t="shared" si="22"/>
        <v>(含)-</v>
      </c>
      <c r="J102" s="376" t="str">
        <f t="shared" si="22"/>
        <v>(含)-</v>
      </c>
      <c r="K102" s="376" t="str">
        <f t="shared" si="22"/>
        <v>(含)-</v>
      </c>
      <c r="L102" s="376" t="str">
        <f t="shared" si="22"/>
        <v>(含)-</v>
      </c>
      <c r="M102" s="501" t="str">
        <f>M103&amp;"(含)"&amp;"-"&amp;P103</f>
        <v>(含)-</v>
      </c>
      <c r="N102" s="427"/>
      <c r="O102" s="427"/>
      <c r="P102" s="427"/>
      <c r="Q102" s="422"/>
      <c r="R102" s="338"/>
      <c r="S102" s="338"/>
      <c r="T102" s="338"/>
      <c r="U102" s="338"/>
      <c r="V102" s="338"/>
      <c r="W102" s="338"/>
      <c r="X102" s="338"/>
      <c r="Y102" s="338"/>
      <c r="Z102" s="338"/>
      <c r="AA102" s="338"/>
      <c r="AB102" s="338"/>
      <c r="AC102" s="338"/>
    </row>
    <row r="103" s="191" customFormat="1" ht="15" spans="1:29">
      <c r="A103" s="296"/>
      <c r="B103" s="561"/>
      <c r="C103" s="489">
        <v>0</v>
      </c>
      <c r="D103" s="489">
        <v>10000</v>
      </c>
      <c r="E103" s="489"/>
      <c r="F103" s="489"/>
      <c r="G103" s="489"/>
      <c r="H103" s="489"/>
      <c r="I103" s="489"/>
      <c r="J103" s="502"/>
      <c r="K103" s="502"/>
      <c r="L103" s="503"/>
      <c r="M103" s="504"/>
      <c r="N103" s="444"/>
      <c r="O103" s="444"/>
      <c r="P103" s="444"/>
      <c r="Q103" s="475"/>
      <c r="R103" s="404"/>
      <c r="S103" s="404"/>
      <c r="T103" s="404"/>
      <c r="U103" s="404"/>
      <c r="V103" s="404"/>
      <c r="W103" s="404"/>
      <c r="X103" s="404"/>
      <c r="Y103" s="404"/>
      <c r="Z103" s="404"/>
      <c r="AA103" s="404"/>
      <c r="AB103" s="404"/>
      <c r="AC103" s="404"/>
    </row>
    <row r="104" s="191" customFormat="1" ht="15.75" spans="1:29">
      <c r="A104" s="370"/>
      <c r="B104" s="365"/>
      <c r="C104" s="369">
        <v>100</v>
      </c>
      <c r="D104" s="362"/>
      <c r="E104" s="362"/>
      <c r="F104" s="362"/>
      <c r="G104" s="362"/>
      <c r="H104" s="362"/>
      <c r="I104" s="362"/>
      <c r="J104" s="362"/>
      <c r="K104" s="362"/>
      <c r="L104" s="362"/>
      <c r="M104" s="433"/>
      <c r="N104" s="434"/>
      <c r="O104" s="434"/>
      <c r="P104" s="444"/>
      <c r="Q104" s="475"/>
      <c r="R104" s="404"/>
      <c r="S104" s="404"/>
      <c r="T104" s="404"/>
      <c r="U104" s="404"/>
      <c r="V104" s="404"/>
      <c r="W104" s="404"/>
      <c r="X104" s="404"/>
      <c r="Y104" s="404"/>
      <c r="Z104" s="404"/>
      <c r="AA104" s="404"/>
      <c r="AB104" s="404"/>
      <c r="AC104" s="404"/>
    </row>
    <row r="105" ht="15.75" spans="1:29">
      <c r="A105" s="301"/>
      <c r="B105" s="363" t="s">
        <v>2363</v>
      </c>
      <c r="C105" s="1135" t="s">
        <v>2076</v>
      </c>
      <c r="D105" s="371"/>
      <c r="E105" s="487"/>
      <c r="F105" s="487"/>
      <c r="G105" s="487"/>
      <c r="H105" s="487"/>
      <c r="I105" s="487"/>
      <c r="J105" s="487"/>
      <c r="K105" s="493"/>
      <c r="L105" s="494"/>
      <c r="M105" s="495"/>
      <c r="N105" s="432"/>
      <c r="O105" s="432"/>
      <c r="P105" s="427"/>
      <c r="Q105" s="422"/>
      <c r="R105" s="338"/>
      <c r="S105" s="338"/>
      <c r="T105" s="338"/>
      <c r="U105" s="338"/>
      <c r="V105" s="338"/>
      <c r="W105" s="338"/>
      <c r="X105" s="338"/>
      <c r="Y105" s="338"/>
      <c r="Z105" s="338"/>
      <c r="AA105" s="338"/>
      <c r="AB105" s="338"/>
      <c r="AC105" s="338"/>
    </row>
    <row r="106" ht="15.75" spans="1:29">
      <c r="A106" s="266"/>
      <c r="B106" s="365"/>
      <c r="C106" s="366">
        <v>100</v>
      </c>
      <c r="D106" s="366">
        <f t="shared" ref="D106:M106" si="23">C106-$K34</f>
        <v>100</v>
      </c>
      <c r="E106" s="366">
        <f t="shared" si="23"/>
        <v>100</v>
      </c>
      <c r="F106" s="366">
        <f t="shared" si="23"/>
        <v>100</v>
      </c>
      <c r="G106" s="366">
        <f t="shared" si="23"/>
        <v>100</v>
      </c>
      <c r="H106" s="366">
        <f t="shared" si="23"/>
        <v>100</v>
      </c>
      <c r="I106" s="366">
        <f t="shared" si="23"/>
        <v>100</v>
      </c>
      <c r="J106" s="366">
        <f t="shared" si="23"/>
        <v>100</v>
      </c>
      <c r="K106" s="366">
        <f t="shared" si="23"/>
        <v>100</v>
      </c>
      <c r="L106" s="366">
        <f t="shared" si="23"/>
        <v>100</v>
      </c>
      <c r="M106" s="438">
        <f t="shared" si="23"/>
        <v>100</v>
      </c>
      <c r="N106" s="434"/>
      <c r="O106" s="434"/>
      <c r="P106" s="427"/>
      <c r="Q106" s="422"/>
      <c r="R106" s="338"/>
      <c r="S106" s="338"/>
      <c r="T106" s="338"/>
      <c r="U106" s="338"/>
      <c r="V106" s="338"/>
      <c r="W106" s="338"/>
      <c r="X106" s="338"/>
      <c r="Y106" s="338"/>
      <c r="Z106" s="338"/>
      <c r="AA106" s="338"/>
      <c r="AB106" s="338"/>
      <c r="AC106" s="338"/>
    </row>
    <row r="107" ht="15.75" spans="1:29">
      <c r="A107" s="301"/>
      <c r="B107" s="363" t="s">
        <v>2365</v>
      </c>
      <c r="C107" s="371"/>
      <c r="D107" s="371"/>
      <c r="E107" s="371"/>
      <c r="F107" s="487"/>
      <c r="G107" s="487"/>
      <c r="H107" s="487"/>
      <c r="I107" s="487"/>
      <c r="J107" s="487"/>
      <c r="K107" s="493"/>
      <c r="L107" s="494"/>
      <c r="M107" s="495"/>
      <c r="N107" s="432"/>
      <c r="O107" s="432"/>
      <c r="P107" s="427"/>
      <c r="Q107" s="422"/>
      <c r="R107" s="338"/>
      <c r="S107" s="338"/>
      <c r="T107" s="338"/>
      <c r="U107" s="338"/>
      <c r="V107" s="338"/>
      <c r="W107" s="338"/>
      <c r="X107" s="338"/>
      <c r="Y107" s="338"/>
      <c r="Z107" s="338"/>
      <c r="AA107" s="338"/>
      <c r="AB107" s="338"/>
      <c r="AC107" s="338"/>
    </row>
    <row r="108" ht="15.75" spans="1:29">
      <c r="A108" s="266"/>
      <c r="B108" s="365"/>
      <c r="C108" s="366">
        <v>100</v>
      </c>
      <c r="D108" s="366">
        <f t="shared" ref="D108:M108" si="24">C108-$K35</f>
        <v>100</v>
      </c>
      <c r="E108" s="366">
        <f t="shared" si="24"/>
        <v>100</v>
      </c>
      <c r="F108" s="366">
        <f t="shared" si="24"/>
        <v>100</v>
      </c>
      <c r="G108" s="366">
        <f t="shared" si="24"/>
        <v>100</v>
      </c>
      <c r="H108" s="366">
        <f t="shared" si="24"/>
        <v>100</v>
      </c>
      <c r="I108" s="366">
        <f t="shared" si="24"/>
        <v>100</v>
      </c>
      <c r="J108" s="366">
        <f t="shared" si="24"/>
        <v>100</v>
      </c>
      <c r="K108" s="366">
        <f t="shared" si="24"/>
        <v>100</v>
      </c>
      <c r="L108" s="366">
        <f t="shared" si="24"/>
        <v>100</v>
      </c>
      <c r="M108" s="438">
        <f t="shared" si="24"/>
        <v>100</v>
      </c>
      <c r="N108" s="434"/>
      <c r="O108" s="434"/>
      <c r="P108" s="427"/>
      <c r="Q108" s="422"/>
      <c r="R108" s="338"/>
      <c r="S108" s="338"/>
      <c r="T108" s="338"/>
      <c r="U108" s="338"/>
      <c r="V108" s="338"/>
      <c r="W108" s="338"/>
      <c r="X108" s="338"/>
      <c r="Y108" s="338"/>
      <c r="Z108" s="338"/>
      <c r="AA108" s="338"/>
      <c r="AB108" s="338"/>
      <c r="AC108" s="338"/>
    </row>
    <row r="109" ht="15.75" spans="1:29">
      <c r="A109" s="301"/>
      <c r="B109" s="363" t="s">
        <v>2367</v>
      </c>
      <c r="C109" s="376" t="str">
        <f>C110&amp;"(含)"&amp;"-"&amp;D110</f>
        <v>0.5(含)-0.6</v>
      </c>
      <c r="D109" s="376" t="str">
        <f>D110&amp;"(含)"&amp;"-"&amp;E110</f>
        <v>0.6(含)-0.7</v>
      </c>
      <c r="E109" s="376" t="str">
        <f>E110&amp;"(含)"&amp;"-"&amp;F110</f>
        <v>0.7(含)-0.8</v>
      </c>
      <c r="F109" s="376" t="str">
        <f>F110&amp;"(含)"&amp;"-"&amp;G110</f>
        <v>0.8(含)-0.9</v>
      </c>
      <c r="G109" s="376" t="str">
        <f>G110&amp;"(含)"&amp;"-"&amp;ROUND(H110,0)</f>
        <v>0.9(含)-1</v>
      </c>
      <c r="H109" s="376"/>
      <c r="I109" s="487"/>
      <c r="J109" s="487"/>
      <c r="K109" s="493"/>
      <c r="L109" s="494"/>
      <c r="M109" s="495"/>
      <c r="N109" s="432"/>
      <c r="O109" s="432"/>
      <c r="P109" s="427"/>
      <c r="Q109" s="422"/>
      <c r="R109" s="338"/>
      <c r="S109" s="338"/>
      <c r="T109" s="338"/>
      <c r="U109" s="338"/>
      <c r="V109" s="338"/>
      <c r="W109" s="338"/>
      <c r="X109" s="338"/>
      <c r="Y109" s="338"/>
      <c r="Z109" s="338"/>
      <c r="AA109" s="338"/>
      <c r="AB109" s="338"/>
      <c r="AC109" s="338"/>
    </row>
    <row r="110" ht="15" spans="1:29">
      <c r="A110" s="301"/>
      <c r="B110" s="486"/>
      <c r="C110" s="466">
        <v>0.5</v>
      </c>
      <c r="D110" s="466">
        <v>0.6</v>
      </c>
      <c r="E110" s="466">
        <v>0.7</v>
      </c>
      <c r="F110" s="466">
        <v>0.8</v>
      </c>
      <c r="G110" s="466">
        <v>0.9</v>
      </c>
      <c r="H110" s="466">
        <v>1.0001</v>
      </c>
      <c r="I110" s="535"/>
      <c r="J110" s="535"/>
      <c r="K110" s="536"/>
      <c r="L110" s="537"/>
      <c r="M110" s="538"/>
      <c r="N110" s="432"/>
      <c r="O110" s="432"/>
      <c r="P110" s="427"/>
      <c r="Q110" s="422"/>
      <c r="R110" s="338"/>
      <c r="S110" s="338"/>
      <c r="T110" s="338"/>
      <c r="U110" s="338"/>
      <c r="V110" s="338"/>
      <c r="W110" s="338"/>
      <c r="X110" s="338"/>
      <c r="Y110" s="338"/>
      <c r="Z110" s="338"/>
      <c r="AA110" s="338"/>
      <c r="AB110" s="338"/>
      <c r="AC110" s="338"/>
    </row>
    <row r="111" ht="15.75" spans="1:29">
      <c r="A111" s="266"/>
      <c r="B111" s="365"/>
      <c r="C111" s="488">
        <v>100</v>
      </c>
      <c r="D111" s="366">
        <f>C111+$K36</f>
        <v>101</v>
      </c>
      <c r="E111" s="366">
        <f t="shared" ref="E111:M111" si="25">D111+$K36</f>
        <v>102</v>
      </c>
      <c r="F111" s="366">
        <f t="shared" si="25"/>
        <v>103</v>
      </c>
      <c r="G111" s="366">
        <f t="shared" si="25"/>
        <v>104</v>
      </c>
      <c r="H111" s="366">
        <f t="shared" si="25"/>
        <v>105</v>
      </c>
      <c r="I111" s="366">
        <f t="shared" si="25"/>
        <v>106</v>
      </c>
      <c r="J111" s="366">
        <f t="shared" si="25"/>
        <v>107</v>
      </c>
      <c r="K111" s="366">
        <f t="shared" si="25"/>
        <v>108</v>
      </c>
      <c r="L111" s="366">
        <f t="shared" si="25"/>
        <v>109</v>
      </c>
      <c r="M111" s="366">
        <f t="shared" si="25"/>
        <v>110</v>
      </c>
      <c r="N111" s="434"/>
      <c r="O111" s="434"/>
      <c r="P111" s="427"/>
      <c r="Q111" s="422"/>
      <c r="R111" s="338"/>
      <c r="S111" s="338"/>
      <c r="T111" s="338"/>
      <c r="U111" s="338"/>
      <c r="V111" s="338"/>
      <c r="W111" s="338"/>
      <c r="X111" s="338"/>
      <c r="Y111" s="338"/>
      <c r="Z111" s="338"/>
      <c r="AA111" s="338"/>
      <c r="AB111" s="338"/>
      <c r="AC111" s="338"/>
    </row>
    <row r="112" s="191" customFormat="1" ht="15.75" spans="1:29">
      <c r="A112" s="296"/>
      <c r="B112" s="375" t="s">
        <v>2370</v>
      </c>
      <c r="C112" s="371"/>
      <c r="D112" s="371"/>
      <c r="E112" s="371"/>
      <c r="F112" s="371"/>
      <c r="G112" s="371"/>
      <c r="H112" s="487"/>
      <c r="I112" s="487"/>
      <c r="J112" s="487"/>
      <c r="K112" s="493"/>
      <c r="L112" s="494"/>
      <c r="M112" s="495"/>
      <c r="N112" s="444"/>
      <c r="O112" s="444"/>
      <c r="P112" s="444"/>
      <c r="Q112" s="475"/>
      <c r="R112" s="404"/>
      <c r="S112" s="404"/>
      <c r="T112" s="404"/>
      <c r="U112" s="404"/>
      <c r="V112" s="404"/>
      <c r="W112" s="404"/>
      <c r="X112" s="404"/>
      <c r="Y112" s="404"/>
      <c r="Z112" s="404"/>
      <c r="AA112" s="404"/>
      <c r="AB112" s="404"/>
      <c r="AC112" s="404"/>
    </row>
    <row r="113" s="191" customFormat="1" ht="15.75" spans="1:29">
      <c r="A113" s="370"/>
      <c r="B113" s="365"/>
      <c r="C113" s="366">
        <v>100</v>
      </c>
      <c r="D113" s="366">
        <f>C113-$K37</f>
        <v>100</v>
      </c>
      <c r="E113" s="366">
        <f t="shared" ref="E113:M113" si="26">D113-$K37</f>
        <v>100</v>
      </c>
      <c r="F113" s="366">
        <f t="shared" si="26"/>
        <v>100</v>
      </c>
      <c r="G113" s="366">
        <f t="shared" si="26"/>
        <v>100</v>
      </c>
      <c r="H113" s="366">
        <f t="shared" si="26"/>
        <v>100</v>
      </c>
      <c r="I113" s="366">
        <f t="shared" si="26"/>
        <v>100</v>
      </c>
      <c r="J113" s="366">
        <f t="shared" si="26"/>
        <v>100</v>
      </c>
      <c r="K113" s="366">
        <f t="shared" si="26"/>
        <v>100</v>
      </c>
      <c r="L113" s="366">
        <f t="shared" si="26"/>
        <v>100</v>
      </c>
      <c r="M113" s="366">
        <f t="shared" si="26"/>
        <v>100</v>
      </c>
      <c r="N113" s="444"/>
      <c r="O113" s="444"/>
      <c r="P113" s="444"/>
      <c r="Q113" s="475"/>
      <c r="R113" s="404"/>
      <c r="S113" s="404"/>
      <c r="T113" s="404"/>
      <c r="U113" s="404"/>
      <c r="V113" s="404"/>
      <c r="W113" s="404"/>
      <c r="X113" s="404"/>
      <c r="Y113" s="404"/>
      <c r="Z113" s="404"/>
      <c r="AA113" s="404"/>
      <c r="AB113" s="404"/>
      <c r="AC113" s="404"/>
    </row>
    <row r="114" ht="15.75" spans="1:29">
      <c r="A114" s="301"/>
      <c r="B114" s="363" t="s">
        <v>2466</v>
      </c>
      <c r="C114" s="371"/>
      <c r="D114" s="371"/>
      <c r="E114" s="487"/>
      <c r="F114" s="487"/>
      <c r="G114" s="487"/>
      <c r="H114" s="487"/>
      <c r="I114" s="487"/>
      <c r="J114" s="487"/>
      <c r="K114" s="493"/>
      <c r="L114" s="494"/>
      <c r="M114" s="495"/>
      <c r="N114" s="432"/>
      <c r="O114" s="432"/>
      <c r="P114" s="427"/>
      <c r="Q114" s="422"/>
      <c r="R114" s="338"/>
      <c r="S114" s="338"/>
      <c r="T114" s="338"/>
      <c r="U114" s="338"/>
      <c r="V114" s="338"/>
      <c r="W114" s="338"/>
      <c r="X114" s="338"/>
      <c r="Y114" s="338"/>
      <c r="Z114" s="338"/>
      <c r="AA114" s="338"/>
      <c r="AB114" s="338"/>
      <c r="AC114" s="338"/>
    </row>
    <row r="115" ht="15.75" spans="1:29">
      <c r="A115" s="266"/>
      <c r="B115" s="365"/>
      <c r="C115" s="366">
        <v>100</v>
      </c>
      <c r="D115" s="366">
        <f t="shared" ref="D115:M115" si="27">C115-$K38</f>
        <v>100</v>
      </c>
      <c r="E115" s="366">
        <f t="shared" si="27"/>
        <v>100</v>
      </c>
      <c r="F115" s="366">
        <f t="shared" si="27"/>
        <v>100</v>
      </c>
      <c r="G115" s="366">
        <f t="shared" si="27"/>
        <v>100</v>
      </c>
      <c r="H115" s="366">
        <f t="shared" si="27"/>
        <v>100</v>
      </c>
      <c r="I115" s="366">
        <f t="shared" si="27"/>
        <v>100</v>
      </c>
      <c r="J115" s="366">
        <f t="shared" si="27"/>
        <v>100</v>
      </c>
      <c r="K115" s="366">
        <f t="shared" si="27"/>
        <v>100</v>
      </c>
      <c r="L115" s="366">
        <f t="shared" si="27"/>
        <v>100</v>
      </c>
      <c r="M115" s="438">
        <f t="shared" si="27"/>
        <v>100</v>
      </c>
      <c r="N115" s="434"/>
      <c r="O115" s="434"/>
      <c r="P115" s="427"/>
      <c r="Q115" s="422"/>
      <c r="R115" s="338"/>
      <c r="S115" s="338"/>
      <c r="T115" s="338"/>
      <c r="U115" s="338"/>
      <c r="V115" s="338"/>
      <c r="W115" s="338"/>
      <c r="X115" s="338"/>
      <c r="Y115" s="338"/>
      <c r="Z115" s="338"/>
      <c r="AA115" s="338"/>
      <c r="AB115" s="338"/>
      <c r="AC115" s="338"/>
    </row>
    <row r="116" ht="15.75" spans="1:29">
      <c r="A116" s="301"/>
      <c r="B116" s="363" t="s">
        <v>2467</v>
      </c>
      <c r="C116" s="1135" t="s">
        <v>2470</v>
      </c>
      <c r="D116" s="371"/>
      <c r="E116" s="371"/>
      <c r="F116" s="371"/>
      <c r="G116" s="371"/>
      <c r="H116" s="487"/>
      <c r="I116" s="487"/>
      <c r="J116" s="487"/>
      <c r="K116" s="493"/>
      <c r="L116" s="494"/>
      <c r="M116" s="495"/>
      <c r="N116" s="432"/>
      <c r="O116" s="432"/>
      <c r="P116" s="427"/>
      <c r="Q116" s="422"/>
      <c r="R116" s="338"/>
      <c r="S116" s="338"/>
      <c r="T116" s="338"/>
      <c r="U116" s="338"/>
      <c r="V116" s="338"/>
      <c r="W116" s="338"/>
      <c r="X116" s="338"/>
      <c r="Y116" s="338"/>
      <c r="Z116" s="338"/>
      <c r="AA116" s="338"/>
      <c r="AB116" s="338"/>
      <c r="AC116" s="338"/>
    </row>
    <row r="117" ht="15.75" spans="1:29">
      <c r="A117" s="266"/>
      <c r="B117" s="365"/>
      <c r="C117" s="366">
        <v>100</v>
      </c>
      <c r="D117" s="366">
        <f>C117-$K39</f>
        <v>100</v>
      </c>
      <c r="E117" s="366">
        <f>D117-$K39</f>
        <v>100</v>
      </c>
      <c r="F117" s="366">
        <f>E117-$K39</f>
        <v>100</v>
      </c>
      <c r="G117" s="366">
        <f>F117-$K39</f>
        <v>100</v>
      </c>
      <c r="H117" s="366"/>
      <c r="I117" s="366"/>
      <c r="J117" s="366"/>
      <c r="K117" s="366"/>
      <c r="L117" s="366"/>
      <c r="M117" s="438"/>
      <c r="N117" s="434"/>
      <c r="O117" s="434"/>
      <c r="P117" s="427"/>
      <c r="Q117" s="422"/>
      <c r="R117" s="338"/>
      <c r="S117" s="338"/>
      <c r="T117" s="338"/>
      <c r="U117" s="338"/>
      <c r="V117" s="338"/>
      <c r="W117" s="338"/>
      <c r="X117" s="338"/>
      <c r="Y117" s="338"/>
      <c r="Z117" s="338"/>
      <c r="AA117" s="338"/>
      <c r="AB117" s="338"/>
      <c r="AC117" s="338"/>
    </row>
    <row r="118" ht="15.75" spans="1:29">
      <c r="A118" s="301"/>
      <c r="B118" s="363" t="s">
        <v>2468</v>
      </c>
      <c r="C118" s="1137"/>
      <c r="D118" s="1137"/>
      <c r="E118" s="1137"/>
      <c r="F118" s="1137"/>
      <c r="G118" s="1137"/>
      <c r="H118" s="372"/>
      <c r="I118" s="372"/>
      <c r="J118" s="372"/>
      <c r="K118" s="372"/>
      <c r="L118" s="442"/>
      <c r="M118" s="443"/>
      <c r="N118" s="432"/>
      <c r="O118" s="432"/>
      <c r="P118" s="427"/>
      <c r="Q118" s="422"/>
      <c r="R118" s="338"/>
      <c r="S118" s="338"/>
      <c r="T118" s="338"/>
      <c r="U118" s="338"/>
      <c r="V118" s="338"/>
      <c r="W118" s="338"/>
      <c r="X118" s="338"/>
      <c r="Y118" s="338"/>
      <c r="Z118" s="338"/>
      <c r="AA118" s="338"/>
      <c r="AB118" s="338"/>
      <c r="AC118" s="338"/>
    </row>
    <row r="119" ht="15.75" spans="1:29">
      <c r="A119" s="266"/>
      <c r="B119" s="365"/>
      <c r="C119" s="369"/>
      <c r="D119" s="362"/>
      <c r="E119" s="362"/>
      <c r="F119" s="362"/>
      <c r="G119" s="362"/>
      <c r="H119" s="362"/>
      <c r="I119" s="362"/>
      <c r="J119" s="362"/>
      <c r="K119" s="362"/>
      <c r="L119" s="362"/>
      <c r="M119" s="433"/>
      <c r="N119" s="434"/>
      <c r="O119" s="434"/>
      <c r="P119" s="427"/>
      <c r="Q119" s="422"/>
      <c r="R119" s="338"/>
      <c r="S119" s="338"/>
      <c r="T119" s="338"/>
      <c r="U119" s="338"/>
      <c r="V119" s="338"/>
      <c r="W119" s="338"/>
      <c r="X119" s="338"/>
      <c r="Y119" s="338"/>
      <c r="Z119" s="338"/>
      <c r="AA119" s="338"/>
      <c r="AB119" s="338"/>
      <c r="AC119" s="338"/>
    </row>
    <row r="120" s="191" customFormat="1" ht="15.75" spans="1:29">
      <c r="A120" s="296"/>
      <c r="B120" s="363" t="s">
        <v>2471</v>
      </c>
      <c r="C120" s="487"/>
      <c r="D120" s="487"/>
      <c r="E120" s="487"/>
      <c r="F120" s="487"/>
      <c r="G120" s="372"/>
      <c r="H120" s="372"/>
      <c r="I120" s="372"/>
      <c r="J120" s="372"/>
      <c r="K120" s="372"/>
      <c r="L120" s="442"/>
      <c r="M120" s="443"/>
      <c r="N120" s="444"/>
      <c r="O120" s="444"/>
      <c r="P120" s="444"/>
      <c r="Q120" s="475"/>
      <c r="R120" s="404"/>
      <c r="S120" s="404"/>
      <c r="T120" s="404"/>
      <c r="U120" s="404"/>
      <c r="V120" s="404"/>
      <c r="W120" s="404"/>
      <c r="X120" s="404"/>
      <c r="Y120" s="404"/>
      <c r="Z120" s="404"/>
      <c r="AA120" s="404"/>
      <c r="AB120" s="404"/>
      <c r="AC120" s="404"/>
    </row>
    <row r="121" s="191" customFormat="1" ht="15.75" spans="1:29">
      <c r="A121" s="370"/>
      <c r="B121" s="361"/>
      <c r="C121" s="488">
        <v>100</v>
      </c>
      <c r="D121" s="366">
        <f>C121-$K41</f>
        <v>100</v>
      </c>
      <c r="E121" s="366">
        <f t="shared" ref="E121:M121" si="28">D121-$K41</f>
        <v>100</v>
      </c>
      <c r="F121" s="366">
        <f t="shared" si="28"/>
        <v>100</v>
      </c>
      <c r="G121" s="366">
        <f t="shared" si="28"/>
        <v>100</v>
      </c>
      <c r="H121" s="366">
        <f t="shared" si="28"/>
        <v>100</v>
      </c>
      <c r="I121" s="366">
        <f t="shared" si="28"/>
        <v>100</v>
      </c>
      <c r="J121" s="366">
        <f t="shared" si="28"/>
        <v>100</v>
      </c>
      <c r="K121" s="366">
        <f t="shared" si="28"/>
        <v>100</v>
      </c>
      <c r="L121" s="366">
        <f t="shared" si="28"/>
        <v>100</v>
      </c>
      <c r="M121" s="438">
        <f t="shared" si="28"/>
        <v>100</v>
      </c>
      <c r="N121" s="444"/>
      <c r="O121" s="444"/>
      <c r="P121" s="444"/>
      <c r="Q121" s="475"/>
      <c r="R121" s="404"/>
      <c r="S121" s="404"/>
      <c r="T121" s="404"/>
      <c r="U121" s="404"/>
      <c r="V121" s="404"/>
      <c r="W121" s="404"/>
      <c r="X121" s="404"/>
      <c r="Y121" s="404"/>
      <c r="Z121" s="404"/>
      <c r="AA121" s="404"/>
      <c r="AB121" s="404"/>
      <c r="AC121" s="404"/>
    </row>
    <row r="122" ht="15.75" spans="1:29">
      <c r="A122" s="301"/>
      <c r="B122" s="363" t="s">
        <v>2373</v>
      </c>
      <c r="C122" s="1135" t="s">
        <v>2374</v>
      </c>
      <c r="D122" s="371"/>
      <c r="E122" s="371"/>
      <c r="F122" s="487"/>
      <c r="G122" s="487"/>
      <c r="H122" s="487"/>
      <c r="I122" s="487"/>
      <c r="J122" s="487"/>
      <c r="K122" s="493"/>
      <c r="L122" s="494"/>
      <c r="M122" s="495"/>
      <c r="N122" s="432"/>
      <c r="O122" s="432"/>
      <c r="P122" s="427"/>
      <c r="Q122" s="422"/>
      <c r="R122" s="338"/>
      <c r="S122" s="338"/>
      <c r="T122" s="338"/>
      <c r="U122" s="338"/>
      <c r="V122" s="338"/>
      <c r="W122" s="338"/>
      <c r="X122" s="338"/>
      <c r="Y122" s="338"/>
      <c r="Z122" s="338"/>
      <c r="AA122" s="338"/>
      <c r="AB122" s="338"/>
      <c r="AC122" s="338"/>
    </row>
    <row r="123" ht="15.75" spans="1:29">
      <c r="A123" s="266"/>
      <c r="B123" s="365"/>
      <c r="C123" s="366">
        <v>100</v>
      </c>
      <c r="D123" s="366">
        <f t="shared" ref="D123:M123" si="29">C123-$K42</f>
        <v>100</v>
      </c>
      <c r="E123" s="366">
        <f t="shared" si="29"/>
        <v>100</v>
      </c>
      <c r="F123" s="366">
        <f t="shared" si="29"/>
        <v>100</v>
      </c>
      <c r="G123" s="366">
        <f t="shared" si="29"/>
        <v>100</v>
      </c>
      <c r="H123" s="366">
        <f t="shared" si="29"/>
        <v>100</v>
      </c>
      <c r="I123" s="366">
        <f t="shared" si="29"/>
        <v>100</v>
      </c>
      <c r="J123" s="366">
        <f t="shared" si="29"/>
        <v>100</v>
      </c>
      <c r="K123" s="366">
        <f t="shared" si="29"/>
        <v>100</v>
      </c>
      <c r="L123" s="366">
        <f t="shared" si="29"/>
        <v>100</v>
      </c>
      <c r="M123" s="438">
        <f t="shared" si="29"/>
        <v>100</v>
      </c>
      <c r="N123" s="434"/>
      <c r="O123" s="434"/>
      <c r="P123" s="427"/>
      <c r="Q123" s="422"/>
      <c r="R123" s="338"/>
      <c r="S123" s="338"/>
      <c r="T123" s="338"/>
      <c r="U123" s="338"/>
      <c r="V123" s="338"/>
      <c r="W123" s="338"/>
      <c r="X123" s="338"/>
      <c r="Y123" s="338"/>
      <c r="Z123" s="338"/>
      <c r="AA123" s="338"/>
      <c r="AB123" s="338"/>
      <c r="AC123" s="338"/>
    </row>
    <row r="124" ht="15.75" spans="1:29">
      <c r="A124" s="301"/>
      <c r="B124" s="363" t="s">
        <v>235</v>
      </c>
      <c r="C124" s="376" t="s">
        <v>246</v>
      </c>
      <c r="D124" s="376" t="s">
        <v>258</v>
      </c>
      <c r="E124" s="376" t="s">
        <v>269</v>
      </c>
      <c r="F124" s="376" t="s">
        <v>279</v>
      </c>
      <c r="G124" s="376" t="s">
        <v>287</v>
      </c>
      <c r="H124" s="364"/>
      <c r="I124" s="364"/>
      <c r="J124" s="364"/>
      <c r="K124" s="435"/>
      <c r="L124" s="436"/>
      <c r="M124" s="437"/>
      <c r="N124" s="432"/>
      <c r="O124" s="432"/>
      <c r="P124" s="444"/>
      <c r="Q124" s="422"/>
      <c r="R124" s="338"/>
      <c r="S124" s="338"/>
      <c r="T124" s="338"/>
      <c r="U124" s="338"/>
      <c r="V124" s="338"/>
      <c r="W124" s="338"/>
      <c r="X124" s="338"/>
      <c r="Y124" s="338"/>
      <c r="Z124" s="338"/>
      <c r="AA124" s="338"/>
      <c r="AB124" s="338"/>
      <c r="AC124" s="338"/>
    </row>
    <row r="125" ht="15.75" spans="1:29">
      <c r="A125" s="266"/>
      <c r="B125" s="365"/>
      <c r="C125" s="366">
        <v>100</v>
      </c>
      <c r="D125" s="366">
        <f>C125-$K43</f>
        <v>100</v>
      </c>
      <c r="E125" s="366">
        <f>D125-$K43</f>
        <v>100</v>
      </c>
      <c r="F125" s="366">
        <f>E125-$K43</f>
        <v>100</v>
      </c>
      <c r="G125" s="366">
        <f>F125-$K43</f>
        <v>100</v>
      </c>
      <c r="H125" s="366"/>
      <c r="I125" s="366"/>
      <c r="J125" s="366"/>
      <c r="K125" s="366"/>
      <c r="L125" s="366"/>
      <c r="M125" s="438"/>
      <c r="N125" s="434"/>
      <c r="O125" s="434"/>
      <c r="P125" s="427"/>
      <c r="Q125" s="422"/>
      <c r="R125" s="338"/>
      <c r="S125" s="338"/>
      <c r="T125" s="338"/>
      <c r="U125" s="338"/>
      <c r="V125" s="338"/>
      <c r="W125" s="338"/>
      <c r="X125" s="338"/>
      <c r="Y125" s="338"/>
      <c r="Z125" s="338"/>
      <c r="AA125" s="338"/>
      <c r="AB125" s="338"/>
      <c r="AC125" s="338"/>
    </row>
    <row r="126" s="191" customFormat="1" ht="15.75" spans="1:29">
      <c r="A126" s="296"/>
      <c r="B126" s="363">
        <f>B44</f>
        <v>111</v>
      </c>
      <c r="C126" s="371"/>
      <c r="D126" s="371"/>
      <c r="E126" s="371"/>
      <c r="F126" s="371"/>
      <c r="G126" s="371"/>
      <c r="H126" s="372"/>
      <c r="I126" s="372"/>
      <c r="J126" s="372"/>
      <c r="K126" s="372"/>
      <c r="L126" s="442"/>
      <c r="M126" s="443"/>
      <c r="N126" s="444"/>
      <c r="O126" s="444"/>
      <c r="P126" s="444"/>
      <c r="Q126" s="475"/>
      <c r="R126" s="404"/>
      <c r="S126" s="404"/>
      <c r="T126" s="404"/>
      <c r="U126" s="404"/>
      <c r="V126" s="404"/>
      <c r="W126" s="404"/>
      <c r="X126" s="404"/>
      <c r="Y126" s="404"/>
      <c r="Z126" s="404"/>
      <c r="AA126" s="404"/>
      <c r="AB126" s="404"/>
      <c r="AC126" s="404"/>
    </row>
    <row r="127" s="191" customFormat="1" ht="15.75" spans="1:29">
      <c r="A127" s="370"/>
      <c r="B127" s="365"/>
      <c r="C127" s="369"/>
      <c r="D127" s="362"/>
      <c r="E127" s="362"/>
      <c r="F127" s="362"/>
      <c r="G127" s="369"/>
      <c r="H127" s="373"/>
      <c r="I127" s="373"/>
      <c r="J127" s="373"/>
      <c r="K127" s="373"/>
      <c r="L127" s="373"/>
      <c r="M127" s="445"/>
      <c r="N127" s="444"/>
      <c r="O127" s="444"/>
      <c r="P127" s="444"/>
      <c r="Q127" s="475"/>
      <c r="R127" s="404"/>
      <c r="S127" s="404"/>
      <c r="T127" s="404"/>
      <c r="U127" s="404"/>
      <c r="V127" s="404"/>
      <c r="W127" s="404"/>
      <c r="X127" s="404"/>
      <c r="Y127" s="404"/>
      <c r="Z127" s="404"/>
      <c r="AA127" s="404"/>
      <c r="AB127" s="404"/>
      <c r="AC127" s="404"/>
    </row>
    <row r="128" ht="15.75" spans="1:29">
      <c r="A128" s="301"/>
      <c r="B128" s="363">
        <f>B45</f>
        <v>111</v>
      </c>
      <c r="C128" s="371"/>
      <c r="D128" s="371"/>
      <c r="E128" s="371"/>
      <c r="F128" s="371"/>
      <c r="G128" s="487"/>
      <c r="H128" s="487"/>
      <c r="I128" s="487"/>
      <c r="J128" s="487"/>
      <c r="K128" s="493"/>
      <c r="L128" s="494"/>
      <c r="M128" s="495"/>
      <c r="N128" s="432"/>
      <c r="O128" s="432"/>
      <c r="P128" s="427"/>
      <c r="Q128" s="422"/>
      <c r="R128" s="338"/>
      <c r="S128" s="338"/>
      <c r="T128" s="338"/>
      <c r="U128" s="338"/>
      <c r="V128" s="338"/>
      <c r="W128" s="338"/>
      <c r="X128" s="338"/>
      <c r="Y128" s="338"/>
      <c r="Z128" s="338"/>
      <c r="AA128" s="338"/>
      <c r="AB128" s="338"/>
      <c r="AC128" s="338"/>
    </row>
    <row r="129" ht="15.75" spans="1:29">
      <c r="A129" s="266"/>
      <c r="B129" s="365"/>
      <c r="C129" s="369"/>
      <c r="D129" s="362"/>
      <c r="E129" s="362"/>
      <c r="F129" s="362"/>
      <c r="G129" s="362"/>
      <c r="H129" s="362"/>
      <c r="I129" s="362"/>
      <c r="J129" s="362"/>
      <c r="K129" s="362"/>
      <c r="L129" s="362"/>
      <c r="M129" s="433"/>
      <c r="N129" s="434"/>
      <c r="O129" s="434"/>
      <c r="P129" s="427"/>
      <c r="Q129" s="422"/>
      <c r="R129" s="338"/>
      <c r="S129" s="338"/>
      <c r="T129" s="338"/>
      <c r="U129" s="338"/>
      <c r="V129" s="338"/>
      <c r="W129" s="338"/>
      <c r="X129" s="338"/>
      <c r="Y129" s="338"/>
      <c r="Z129" s="338"/>
      <c r="AA129" s="338"/>
      <c r="AB129" s="338"/>
      <c r="AC129" s="338"/>
    </row>
    <row r="130" ht="15.75" spans="1:29">
      <c r="A130" s="301"/>
      <c r="B130" s="486">
        <f>B46</f>
        <v>111</v>
      </c>
      <c r="C130" s="371"/>
      <c r="D130" s="371"/>
      <c r="E130" s="371"/>
      <c r="F130" s="371"/>
      <c r="G130" s="559"/>
      <c r="H130" s="559"/>
      <c r="I130" s="559"/>
      <c r="J130" s="559"/>
      <c r="K130" s="356"/>
      <c r="L130" s="425"/>
      <c r="M130" s="568"/>
      <c r="N130" s="432"/>
      <c r="O130" s="432"/>
      <c r="P130" s="427"/>
      <c r="Q130" s="422"/>
      <c r="R130" s="338"/>
      <c r="S130" s="338"/>
      <c r="T130" s="338"/>
      <c r="U130" s="338"/>
      <c r="V130" s="338"/>
      <c r="W130" s="338"/>
      <c r="X130" s="338"/>
      <c r="Y130" s="338"/>
      <c r="Z130" s="338"/>
      <c r="AA130" s="338"/>
      <c r="AB130" s="338"/>
      <c r="AC130" s="338"/>
    </row>
    <row r="131" ht="15.75" spans="1:29">
      <c r="A131" s="549"/>
      <c r="B131" s="556"/>
      <c r="C131" s="557"/>
      <c r="D131" s="557"/>
      <c r="E131" s="557"/>
      <c r="F131" s="557"/>
      <c r="G131" s="560"/>
      <c r="H131" s="560"/>
      <c r="I131" s="560"/>
      <c r="J131" s="560"/>
      <c r="K131" s="560"/>
      <c r="L131" s="560"/>
      <c r="M131" s="569"/>
      <c r="N131" s="434"/>
      <c r="O131" s="434"/>
      <c r="P131" s="427"/>
      <c r="Q131" s="422"/>
      <c r="R131" s="338"/>
      <c r="S131" s="338"/>
      <c r="T131" s="338"/>
      <c r="U131" s="338"/>
      <c r="V131" s="338"/>
      <c r="W131" s="338"/>
      <c r="X131" s="338"/>
      <c r="Y131" s="338"/>
      <c r="Z131" s="338"/>
      <c r="AA131" s="338"/>
      <c r="AB131" s="338"/>
      <c r="AC131" s="338"/>
    </row>
    <row r="132" spans="1:29">
      <c r="A132" s="491"/>
      <c r="B132" s="491"/>
      <c r="C132" s="491"/>
      <c r="D132" s="491"/>
      <c r="E132" s="491"/>
      <c r="F132" s="491"/>
      <c r="G132" s="491"/>
      <c r="H132" s="491"/>
      <c r="I132" s="491"/>
      <c r="J132" s="491"/>
      <c r="K132" s="505"/>
      <c r="L132" s="506"/>
      <c r="M132" s="491"/>
      <c r="N132" s="491"/>
      <c r="O132" s="491"/>
      <c r="P132" s="491"/>
      <c r="Q132" s="491"/>
      <c r="R132" s="491"/>
      <c r="S132" s="491"/>
      <c r="T132" s="491"/>
      <c r="U132" s="491"/>
      <c r="V132" s="491"/>
      <c r="W132" s="491"/>
      <c r="X132" s="491"/>
      <c r="Y132" s="491"/>
      <c r="Z132" s="491"/>
      <c r="AA132" s="491"/>
      <c r="AB132" s="491"/>
      <c r="AC132" s="491"/>
    </row>
    <row r="133" spans="1:29">
      <c r="A133" s="491"/>
      <c r="B133" s="491"/>
      <c r="C133" s="491"/>
      <c r="D133" s="491"/>
      <c r="E133" s="491"/>
      <c r="F133" s="491"/>
      <c r="G133" s="491"/>
      <c r="H133" s="491"/>
      <c r="I133" s="491"/>
      <c r="J133" s="491"/>
      <c r="K133" s="505"/>
      <c r="L133" s="506"/>
      <c r="M133" s="491"/>
      <c r="N133" s="491"/>
      <c r="O133" s="491"/>
      <c r="P133" s="491"/>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491"/>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491"/>
      <c r="Q135" s="491"/>
      <c r="R135" s="491"/>
      <c r="S135" s="491"/>
      <c r="T135" s="491"/>
      <c r="U135" s="491"/>
      <c r="V135" s="491"/>
      <c r="W135" s="491"/>
      <c r="X135" s="491"/>
      <c r="Y135" s="491"/>
      <c r="Z135" s="491"/>
      <c r="AA135" s="491"/>
      <c r="AB135" s="491"/>
      <c r="AC135" s="491"/>
    </row>
    <row r="136" spans="1:29">
      <c r="A136" s="491"/>
      <c r="B136" s="491"/>
      <c r="C136" s="491"/>
      <c r="D136" s="491"/>
      <c r="E136" s="491"/>
      <c r="F136" s="491"/>
      <c r="G136" s="491"/>
      <c r="H136" s="491"/>
      <c r="I136" s="491"/>
      <c r="J136" s="491"/>
      <c r="K136" s="505"/>
      <c r="L136" s="506"/>
      <c r="M136" s="491"/>
      <c r="N136" s="491"/>
      <c r="O136" s="491"/>
      <c r="P136" s="491"/>
      <c r="Q136" s="491"/>
      <c r="R136" s="491"/>
      <c r="S136" s="491"/>
      <c r="T136" s="491"/>
      <c r="U136" s="491"/>
      <c r="V136" s="491"/>
      <c r="W136" s="491"/>
      <c r="X136" s="491"/>
      <c r="Y136" s="491"/>
      <c r="Z136" s="491"/>
      <c r="AA136" s="491"/>
      <c r="AB136" s="491"/>
      <c r="AC136" s="491"/>
    </row>
    <row r="137" spans="1:29">
      <c r="A137" s="491"/>
      <c r="B137" s="491"/>
      <c r="C137" s="491"/>
      <c r="D137" s="491"/>
      <c r="E137" s="491"/>
      <c r="F137" s="491"/>
      <c r="G137" s="491"/>
      <c r="H137" s="491"/>
      <c r="I137" s="491"/>
      <c r="J137" s="491"/>
      <c r="K137" s="505"/>
      <c r="L137" s="506"/>
      <c r="M137" s="491"/>
      <c r="N137" s="491"/>
      <c r="O137" s="491"/>
      <c r="P137" s="491"/>
      <c r="Q137" s="491"/>
      <c r="R137" s="491"/>
      <c r="S137" s="491"/>
      <c r="T137" s="491"/>
      <c r="U137" s="491"/>
      <c r="V137" s="491"/>
      <c r="W137" s="491"/>
      <c r="X137" s="491"/>
      <c r="Y137" s="491"/>
      <c r="Z137" s="491"/>
      <c r="AA137" s="491"/>
      <c r="AB137" s="491"/>
      <c r="AC137" s="491"/>
    </row>
    <row r="138" spans="1:29">
      <c r="A138" s="491"/>
      <c r="B138" s="491"/>
      <c r="C138" s="491"/>
      <c r="D138" s="491"/>
      <c r="E138" s="491"/>
      <c r="F138" s="491"/>
      <c r="G138" s="491"/>
      <c r="H138" s="491"/>
      <c r="I138" s="491"/>
      <c r="J138" s="491"/>
      <c r="K138" s="505"/>
      <c r="L138" s="506"/>
      <c r="M138" s="491"/>
      <c r="N138" s="491"/>
      <c r="O138" s="491"/>
      <c r="P138" s="491"/>
      <c r="Q138" s="491"/>
      <c r="R138" s="491"/>
      <c r="S138" s="491"/>
      <c r="T138" s="491"/>
      <c r="U138" s="491"/>
      <c r="V138" s="491"/>
      <c r="W138" s="491"/>
      <c r="X138" s="491"/>
      <c r="Y138" s="491"/>
      <c r="Z138" s="491"/>
      <c r="AA138" s="491"/>
      <c r="AB138" s="491"/>
      <c r="AC138" s="491"/>
    </row>
    <row r="139" spans="1:29">
      <c r="A139" s="491"/>
      <c r="B139" s="491"/>
      <c r="C139" s="491"/>
      <c r="D139" s="491"/>
      <c r="E139" s="491"/>
      <c r="F139" s="491"/>
      <c r="G139" s="491"/>
      <c r="H139" s="491"/>
      <c r="I139" s="491"/>
      <c r="J139" s="491"/>
      <c r="K139" s="505"/>
      <c r="L139" s="506"/>
      <c r="M139" s="491"/>
      <c r="N139" s="491"/>
      <c r="O139" s="491"/>
      <c r="P139" s="491"/>
      <c r="Q139" s="491"/>
      <c r="R139" s="491"/>
      <c r="S139" s="491"/>
      <c r="T139" s="491"/>
      <c r="U139" s="491"/>
      <c r="V139" s="491"/>
      <c r="W139" s="491"/>
      <c r="X139" s="491"/>
      <c r="Y139" s="491"/>
      <c r="Z139" s="491"/>
      <c r="AA139" s="491"/>
      <c r="AB139" s="491"/>
      <c r="AC139" s="491"/>
    </row>
    <row r="140" spans="1:29">
      <c r="A140" s="491"/>
      <c r="B140" s="491"/>
      <c r="C140" s="491"/>
      <c r="D140" s="491"/>
      <c r="E140" s="491"/>
      <c r="F140" s="491"/>
      <c r="G140" s="491"/>
      <c r="H140" s="491"/>
      <c r="I140" s="491"/>
      <c r="J140" s="491"/>
      <c r="K140" s="505"/>
      <c r="L140" s="506"/>
      <c r="M140" s="491"/>
      <c r="N140" s="491"/>
      <c r="O140" s="491"/>
      <c r="P140" s="491"/>
      <c r="Q140" s="491"/>
      <c r="R140" s="491"/>
      <c r="S140" s="491"/>
      <c r="T140" s="491"/>
      <c r="U140" s="491"/>
      <c r="V140" s="491"/>
      <c r="W140" s="491"/>
      <c r="X140" s="491"/>
      <c r="Y140" s="491"/>
      <c r="Z140" s="491"/>
      <c r="AA140" s="491"/>
      <c r="AB140" s="491"/>
      <c r="AC140" s="491"/>
    </row>
    <row r="141" spans="1:29">
      <c r="A141" s="491"/>
      <c r="B141" s="491"/>
      <c r="C141" s="491"/>
      <c r="D141" s="491"/>
      <c r="E141" s="491"/>
      <c r="F141" s="491"/>
      <c r="G141" s="491"/>
      <c r="H141" s="491"/>
      <c r="I141" s="491"/>
      <c r="J141" s="491"/>
      <c r="K141" s="505"/>
      <c r="L141" s="506"/>
      <c r="M141" s="491"/>
      <c r="N141" s="491"/>
      <c r="O141" s="491"/>
      <c r="P141" s="491"/>
      <c r="Q141" s="491"/>
      <c r="R141" s="491"/>
      <c r="S141" s="491"/>
      <c r="T141" s="491"/>
      <c r="U141" s="491"/>
      <c r="V141" s="491"/>
      <c r="W141" s="491"/>
      <c r="X141" s="491"/>
      <c r="Y141" s="491"/>
      <c r="Z141" s="491"/>
      <c r="AA141" s="491"/>
      <c r="AB141" s="491"/>
      <c r="AC141" s="491"/>
    </row>
    <row r="142" spans="1:29">
      <c r="A142" s="491"/>
      <c r="B142" s="491"/>
      <c r="C142" s="491"/>
      <c r="D142" s="491"/>
      <c r="E142" s="491"/>
      <c r="F142" s="491"/>
      <c r="G142" s="491"/>
      <c r="H142" s="491"/>
      <c r="I142" s="491"/>
      <c r="J142" s="491"/>
      <c r="K142" s="505"/>
      <c r="L142" s="506"/>
      <c r="M142" s="491"/>
      <c r="N142" s="491"/>
      <c r="O142" s="491"/>
      <c r="P142" s="491"/>
      <c r="Q142" s="491"/>
      <c r="R142" s="491"/>
      <c r="S142" s="491"/>
      <c r="T142" s="491"/>
      <c r="U142" s="491"/>
      <c r="V142" s="491"/>
      <c r="W142" s="491"/>
      <c r="X142" s="491"/>
      <c r="Y142" s="491"/>
      <c r="Z142" s="491"/>
      <c r="AA142" s="491"/>
      <c r="AB142" s="491"/>
      <c r="AC142" s="491"/>
    </row>
    <row r="143" spans="1:29">
      <c r="A143" s="491"/>
      <c r="B143" s="491"/>
      <c r="C143" s="491"/>
      <c r="D143" s="491"/>
      <c r="E143" s="491"/>
      <c r="F143" s="491"/>
      <c r="G143" s="491"/>
      <c r="H143" s="491"/>
      <c r="I143" s="491"/>
      <c r="J143" s="491"/>
      <c r="K143" s="505"/>
      <c r="L143" s="506"/>
      <c r="M143" s="491"/>
      <c r="N143" s="491"/>
      <c r="O143" s="491"/>
      <c r="P143" s="491"/>
      <c r="Q143" s="491"/>
      <c r="R143" s="491"/>
      <c r="S143" s="491"/>
      <c r="T143" s="491"/>
      <c r="U143" s="491"/>
      <c r="V143" s="491"/>
      <c r="W143" s="491"/>
      <c r="X143" s="491"/>
      <c r="Y143" s="491"/>
      <c r="Z143" s="491"/>
      <c r="AA143" s="491"/>
      <c r="AB143" s="491"/>
      <c r="AC143" s="491"/>
    </row>
    <row r="144" spans="1:29">
      <c r="A144" s="491"/>
      <c r="B144" s="491"/>
      <c r="C144" s="491"/>
      <c r="D144" s="491"/>
      <c r="E144" s="491"/>
      <c r="F144" s="491"/>
      <c r="G144" s="491"/>
      <c r="H144" s="491"/>
      <c r="I144" s="491"/>
      <c r="J144" s="491"/>
      <c r="K144" s="505"/>
      <c r="L144" s="506"/>
      <c r="M144" s="491"/>
      <c r="N144" s="491"/>
      <c r="O144" s="491"/>
      <c r="P144" s="491"/>
      <c r="Q144" s="491"/>
      <c r="R144" s="491"/>
      <c r="S144" s="491"/>
      <c r="T144" s="491"/>
      <c r="U144" s="491"/>
      <c r="V144" s="491"/>
      <c r="W144" s="491"/>
      <c r="X144" s="491"/>
      <c r="Y144" s="491"/>
      <c r="Z144" s="491"/>
      <c r="AA144" s="491"/>
      <c r="AB144" s="491"/>
      <c r="AC144" s="491"/>
    </row>
    <row r="145" spans="1:29">
      <c r="A145" s="491"/>
      <c r="B145" s="491"/>
      <c r="C145" s="491"/>
      <c r="D145" s="491"/>
      <c r="E145" s="491"/>
      <c r="F145" s="491"/>
      <c r="G145" s="491"/>
      <c r="H145" s="491"/>
      <c r="I145" s="491"/>
      <c r="J145" s="491"/>
      <c r="K145" s="505"/>
      <c r="L145" s="506"/>
      <c r="M145" s="491"/>
      <c r="N145" s="491"/>
      <c r="O145" s="491"/>
      <c r="P145" s="491"/>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491"/>
      <c r="Q146" s="491"/>
      <c r="R146" s="491"/>
      <c r="S146" s="491"/>
      <c r="T146" s="491"/>
      <c r="U146" s="491"/>
      <c r="V146" s="491"/>
      <c r="W146" s="491"/>
      <c r="X146" s="491"/>
      <c r="Y146" s="491"/>
      <c r="Z146" s="491"/>
      <c r="AA146" s="491"/>
      <c r="AB146" s="491"/>
      <c r="AC146" s="491"/>
    </row>
    <row r="147" spans="1:29">
      <c r="A147" s="491"/>
      <c r="B147" s="491"/>
      <c r="C147" s="491"/>
      <c r="D147" s="491"/>
      <c r="E147" s="491"/>
      <c r="F147" s="491"/>
      <c r="G147" s="491"/>
      <c r="H147" s="491"/>
      <c r="I147" s="491"/>
      <c r="J147" s="491"/>
      <c r="K147" s="505"/>
      <c r="L147" s="506"/>
      <c r="M147" s="491"/>
      <c r="N147" s="491"/>
      <c r="O147" s="491"/>
      <c r="P147" s="491"/>
      <c r="Q147" s="491"/>
      <c r="R147" s="491"/>
      <c r="S147" s="491"/>
      <c r="T147" s="491"/>
      <c r="U147" s="491"/>
      <c r="V147" s="491"/>
      <c r="W147" s="491"/>
      <c r="X147" s="491"/>
      <c r="Y147" s="491"/>
      <c r="Z147" s="491"/>
      <c r="AA147" s="491"/>
      <c r="AB147" s="491"/>
      <c r="AC147" s="491"/>
    </row>
    <row r="148" spans="1:29">
      <c r="A148" s="491"/>
      <c r="B148" s="491"/>
      <c r="C148" s="491"/>
      <c r="D148" s="491"/>
      <c r="E148" s="491"/>
      <c r="F148" s="491"/>
      <c r="G148" s="491"/>
      <c r="H148" s="491"/>
      <c r="I148" s="491"/>
      <c r="J148" s="491"/>
      <c r="K148" s="505"/>
      <c r="L148" s="506"/>
      <c r="M148" s="491"/>
      <c r="N148" s="491"/>
      <c r="O148" s="491"/>
      <c r="P148" s="491"/>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491"/>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491"/>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491"/>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491"/>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491"/>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491"/>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491"/>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491"/>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491"/>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491"/>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491"/>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491"/>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491"/>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491"/>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491"/>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491"/>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491"/>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491"/>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491"/>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491"/>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491"/>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491"/>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491"/>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491"/>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491"/>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491"/>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491"/>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491"/>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491"/>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491"/>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491"/>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491"/>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491"/>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491"/>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491"/>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491"/>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491"/>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491"/>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491"/>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491"/>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491"/>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491"/>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491"/>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491"/>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491"/>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491"/>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491"/>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491"/>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491"/>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491"/>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491"/>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491"/>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491"/>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491"/>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491"/>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491"/>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491"/>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491"/>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491"/>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491"/>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491"/>
      <c r="Q209" s="491"/>
      <c r="R209" s="491"/>
      <c r="S209" s="491"/>
      <c r="T209" s="491"/>
      <c r="U209" s="491"/>
      <c r="V209" s="491"/>
      <c r="W209" s="491"/>
      <c r="X209" s="491"/>
      <c r="Y209" s="491"/>
      <c r="Z209" s="491"/>
      <c r="AA209" s="491"/>
      <c r="AB209" s="491"/>
      <c r="AC209" s="491"/>
    </row>
    <row r="210" spans="1:29">
      <c r="A210" s="491"/>
      <c r="B210" s="491"/>
      <c r="C210" s="491"/>
      <c r="D210" s="491"/>
      <c r="E210" s="491"/>
      <c r="F210" s="491"/>
      <c r="G210" s="491"/>
      <c r="H210" s="491"/>
      <c r="I210" s="491"/>
      <c r="J210" s="491"/>
      <c r="K210" s="505"/>
      <c r="L210" s="506"/>
      <c r="M210" s="491"/>
      <c r="N210" s="491"/>
      <c r="O210" s="491"/>
      <c r="P210" s="491"/>
      <c r="Q210" s="491"/>
      <c r="R210" s="491"/>
      <c r="S210" s="491"/>
      <c r="T210" s="491"/>
      <c r="U210" s="491"/>
      <c r="V210" s="491"/>
      <c r="W210" s="491"/>
      <c r="X210" s="491"/>
      <c r="Y210" s="491"/>
      <c r="Z210" s="491"/>
      <c r="AA210" s="491"/>
      <c r="AB210" s="491"/>
      <c r="AC210" s="491"/>
    </row>
    <row r="211" spans="1:29">
      <c r="A211" s="491"/>
      <c r="B211" s="491"/>
      <c r="C211" s="491"/>
      <c r="D211" s="491"/>
      <c r="E211" s="491"/>
      <c r="F211" s="491"/>
      <c r="G211" s="491"/>
      <c r="H211" s="491"/>
      <c r="I211" s="491"/>
      <c r="J211" s="491"/>
      <c r="K211" s="505"/>
      <c r="L211" s="506"/>
      <c r="M211" s="491"/>
      <c r="N211" s="491"/>
      <c r="O211" s="491"/>
      <c r="P211" s="491"/>
      <c r="Q211" s="491"/>
      <c r="R211" s="491"/>
      <c r="S211" s="491"/>
      <c r="T211" s="491"/>
      <c r="U211" s="491"/>
      <c r="V211" s="491"/>
      <c r="W211" s="491"/>
      <c r="X211" s="491"/>
      <c r="Y211" s="491"/>
      <c r="Z211" s="491"/>
      <c r="AA211" s="491"/>
      <c r="AB211" s="491"/>
      <c r="AC211" s="491"/>
    </row>
    <row r="212" spans="1:29">
      <c r="A212" s="491"/>
      <c r="B212" s="491"/>
      <c r="C212" s="491"/>
      <c r="D212" s="491"/>
      <c r="E212" s="491"/>
      <c r="F212" s="491"/>
      <c r="G212" s="491"/>
      <c r="H212" s="491"/>
      <c r="I212" s="491"/>
      <c r="J212" s="491"/>
      <c r="K212" s="505"/>
      <c r="L212" s="506"/>
      <c r="M212" s="491"/>
      <c r="N212" s="491"/>
      <c r="O212" s="491"/>
      <c r="P212" s="491"/>
      <c r="Q212" s="491"/>
      <c r="R212" s="491"/>
      <c r="S212" s="491"/>
      <c r="T212" s="491"/>
      <c r="U212" s="491"/>
      <c r="V212" s="491"/>
      <c r="W212" s="491"/>
      <c r="X212" s="491"/>
      <c r="Y212" s="491"/>
      <c r="Z212" s="491"/>
      <c r="AA212" s="491"/>
      <c r="AB212" s="491"/>
      <c r="AC212" s="491"/>
    </row>
    <row r="213" spans="1:29">
      <c r="A213" s="491"/>
      <c r="B213" s="491"/>
      <c r="C213" s="491"/>
      <c r="D213" s="491"/>
      <c r="E213" s="491"/>
      <c r="F213" s="491"/>
      <c r="G213" s="491"/>
      <c r="H213" s="491"/>
      <c r="I213" s="491"/>
      <c r="J213" s="491"/>
      <c r="K213" s="505"/>
      <c r="L213" s="506"/>
      <c r="M213" s="491"/>
      <c r="N213" s="491"/>
      <c r="O213" s="491"/>
      <c r="P213" s="491"/>
      <c r="Q213" s="491"/>
      <c r="R213" s="491"/>
      <c r="S213" s="491"/>
      <c r="T213" s="491"/>
      <c r="U213" s="491"/>
      <c r="V213" s="491"/>
      <c r="W213" s="491"/>
      <c r="X213" s="491"/>
      <c r="Y213" s="491"/>
      <c r="Z213" s="491"/>
      <c r="AA213" s="491"/>
      <c r="AB213" s="491"/>
      <c r="AC213" s="491"/>
    </row>
    <row r="214" spans="1:29">
      <c r="A214" s="491"/>
      <c r="B214" s="491"/>
      <c r="C214" s="491"/>
      <c r="D214" s="491"/>
      <c r="E214" s="491"/>
      <c r="F214" s="491"/>
      <c r="G214" s="491"/>
      <c r="H214" s="491"/>
      <c r="I214" s="491"/>
      <c r="J214" s="491"/>
      <c r="K214" s="505"/>
      <c r="L214" s="506"/>
      <c r="M214" s="491"/>
      <c r="N214" s="491"/>
      <c r="O214" s="491"/>
      <c r="P214" s="491"/>
      <c r="Q214" s="491"/>
      <c r="R214" s="491"/>
      <c r="S214" s="491"/>
      <c r="T214" s="491"/>
      <c r="U214" s="491"/>
      <c r="V214" s="491"/>
      <c r="W214" s="491"/>
      <c r="X214" s="491"/>
      <c r="Y214" s="491"/>
      <c r="Z214" s="491"/>
      <c r="AA214" s="491"/>
      <c r="AB214" s="491"/>
      <c r="AC214" s="491"/>
    </row>
    <row r="215" spans="1:29">
      <c r="A215" s="491"/>
      <c r="B215" s="491"/>
      <c r="C215" s="491"/>
      <c r="D215" s="491"/>
      <c r="E215" s="491"/>
      <c r="F215" s="491"/>
      <c r="G215" s="491"/>
      <c r="H215" s="491"/>
      <c r="I215" s="491"/>
      <c r="J215" s="491"/>
      <c r="K215" s="505"/>
      <c r="L215" s="506"/>
      <c r="M215" s="491"/>
      <c r="N215" s="491"/>
      <c r="O215" s="491"/>
      <c r="P215" s="491"/>
      <c r="Q215" s="491"/>
      <c r="R215" s="491"/>
      <c r="S215" s="491"/>
      <c r="T215" s="491"/>
      <c r="U215" s="491"/>
      <c r="V215" s="491"/>
      <c r="W215" s="491"/>
      <c r="X215" s="491"/>
      <c r="Y215" s="491"/>
      <c r="Z215" s="491"/>
      <c r="AA215" s="491"/>
      <c r="AB215" s="491"/>
      <c r="AC215" s="491"/>
    </row>
    <row r="216" spans="1:29">
      <c r="A216" s="491"/>
      <c r="B216" s="491"/>
      <c r="C216" s="491"/>
      <c r="D216" s="491"/>
      <c r="E216" s="491"/>
      <c r="F216" s="491"/>
      <c r="G216" s="491"/>
      <c r="H216" s="491"/>
      <c r="I216" s="491"/>
      <c r="J216" s="491"/>
      <c r="K216" s="505"/>
      <c r="L216" s="506"/>
      <c r="M216" s="491"/>
      <c r="N216" s="491"/>
      <c r="O216" s="491"/>
      <c r="P216" s="491"/>
      <c r="Q216" s="491"/>
      <c r="R216" s="491"/>
      <c r="S216" s="491"/>
      <c r="T216" s="491"/>
      <c r="U216" s="491"/>
      <c r="V216" s="491"/>
      <c r="W216" s="491"/>
      <c r="X216" s="491"/>
      <c r="Y216" s="491"/>
      <c r="Z216" s="491"/>
      <c r="AA216" s="491"/>
      <c r="AB216" s="491"/>
      <c r="AC216" s="491"/>
    </row>
    <row r="217" spans="1:29">
      <c r="A217" s="491"/>
      <c r="B217" s="491"/>
      <c r="C217" s="491"/>
      <c r="D217" s="491"/>
      <c r="E217" s="491"/>
      <c r="F217" s="491"/>
      <c r="G217" s="491"/>
      <c r="H217" s="491"/>
      <c r="I217" s="491"/>
      <c r="J217" s="491"/>
      <c r="K217" s="505"/>
      <c r="L217" s="506"/>
      <c r="M217" s="491"/>
      <c r="N217" s="491"/>
      <c r="O217" s="491"/>
      <c r="P217" s="491"/>
      <c r="Q217" s="491"/>
      <c r="R217" s="491"/>
      <c r="S217" s="491"/>
      <c r="T217" s="491"/>
      <c r="U217" s="491"/>
      <c r="V217" s="491"/>
      <c r="W217" s="491"/>
      <c r="X217" s="491"/>
      <c r="Y217" s="491"/>
      <c r="Z217" s="491"/>
      <c r="AA217" s="491"/>
      <c r="AB217" s="491"/>
      <c r="AC217" s="491"/>
    </row>
    <row r="218" spans="1:29">
      <c r="A218" s="491"/>
      <c r="B218" s="491"/>
      <c r="C218" s="491"/>
      <c r="D218" s="491"/>
      <c r="E218" s="491"/>
      <c r="F218" s="491"/>
      <c r="G218" s="491"/>
      <c r="H218" s="491"/>
      <c r="I218" s="491"/>
      <c r="J218" s="491"/>
      <c r="K218" s="505"/>
      <c r="L218" s="506"/>
      <c r="M218" s="491"/>
      <c r="N218" s="491"/>
      <c r="O218" s="491"/>
      <c r="P218" s="491"/>
      <c r="Q218" s="491"/>
      <c r="R218" s="491"/>
      <c r="S218" s="491"/>
      <c r="T218" s="491"/>
      <c r="U218" s="491"/>
      <c r="V218" s="491"/>
      <c r="W218" s="491"/>
      <c r="X218" s="491"/>
      <c r="Y218" s="491"/>
      <c r="Z218" s="491"/>
      <c r="AA218" s="491"/>
      <c r="AB218" s="491"/>
      <c r="AC218" s="491"/>
    </row>
    <row r="219" spans="1:29">
      <c r="A219" s="491"/>
      <c r="B219" s="491"/>
      <c r="C219" s="491"/>
      <c r="D219" s="491"/>
      <c r="E219" s="491"/>
      <c r="F219" s="491"/>
      <c r="G219" s="491"/>
      <c r="H219" s="491"/>
      <c r="I219" s="491"/>
      <c r="J219" s="491"/>
      <c r="K219" s="505"/>
      <c r="L219" s="506"/>
      <c r="M219" s="491"/>
      <c r="N219" s="491"/>
      <c r="O219" s="491"/>
      <c r="P219" s="491"/>
      <c r="Q219" s="491"/>
      <c r="R219" s="491"/>
      <c r="S219" s="491"/>
      <c r="T219" s="491"/>
      <c r="U219" s="491"/>
      <c r="V219" s="491"/>
      <c r="W219" s="491"/>
      <c r="X219" s="491"/>
      <c r="Y219" s="491"/>
      <c r="Z219" s="491"/>
      <c r="AA219" s="491"/>
      <c r="AB219" s="491"/>
      <c r="AC219" s="491"/>
    </row>
    <row r="220" spans="1:29">
      <c r="A220" s="491"/>
      <c r="B220" s="491"/>
      <c r="C220" s="491"/>
      <c r="D220" s="491"/>
      <c r="E220" s="491"/>
      <c r="F220" s="491"/>
      <c r="G220" s="491"/>
      <c r="H220" s="491"/>
      <c r="I220" s="491"/>
      <c r="J220" s="491"/>
      <c r="K220" s="505"/>
      <c r="L220" s="506"/>
      <c r="M220" s="491"/>
      <c r="N220" s="491"/>
      <c r="O220" s="491"/>
      <c r="P220" s="491"/>
      <c r="Q220" s="491"/>
      <c r="R220" s="491"/>
      <c r="S220" s="491"/>
      <c r="T220" s="491"/>
      <c r="U220" s="491"/>
      <c r="V220" s="491"/>
      <c r="W220" s="491"/>
      <c r="X220" s="491"/>
      <c r="Y220" s="491"/>
      <c r="Z220" s="491"/>
      <c r="AA220" s="491"/>
      <c r="AB220" s="491"/>
      <c r="AC220" s="491"/>
    </row>
    <row r="221" spans="1:29">
      <c r="A221" s="491"/>
      <c r="B221" s="491"/>
      <c r="C221" s="491"/>
      <c r="D221" s="491"/>
      <c r="E221" s="491"/>
      <c r="F221" s="491"/>
      <c r="G221" s="491"/>
      <c r="H221" s="491"/>
      <c r="I221" s="491"/>
      <c r="J221" s="491"/>
      <c r="K221" s="505"/>
      <c r="L221" s="506"/>
      <c r="M221" s="491"/>
      <c r="N221" s="491"/>
      <c r="O221" s="491"/>
      <c r="P221" s="491"/>
      <c r="Q221" s="491"/>
      <c r="R221" s="491"/>
      <c r="S221" s="491"/>
      <c r="T221" s="491"/>
      <c r="U221" s="491"/>
      <c r="V221" s="491"/>
      <c r="W221" s="491"/>
      <c r="X221" s="491"/>
      <c r="Y221" s="491"/>
      <c r="Z221" s="491"/>
      <c r="AA221" s="491"/>
      <c r="AB221" s="491"/>
      <c r="AC221" s="491"/>
    </row>
    <row r="222" spans="1:29">
      <c r="A222" s="491"/>
      <c r="B222" s="491"/>
      <c r="C222" s="491"/>
      <c r="D222" s="491"/>
      <c r="E222" s="491"/>
      <c r="F222" s="491"/>
      <c r="G222" s="491"/>
      <c r="H222" s="491"/>
      <c r="I222" s="491"/>
      <c r="J222" s="491"/>
      <c r="K222" s="505"/>
      <c r="L222" s="506"/>
      <c r="M222" s="491"/>
      <c r="N222" s="491"/>
      <c r="O222" s="491"/>
      <c r="P222" s="491"/>
      <c r="Q222" s="491"/>
      <c r="R222" s="491"/>
      <c r="S222" s="491"/>
      <c r="T222" s="491"/>
      <c r="U222" s="491"/>
      <c r="V222" s="491"/>
      <c r="W222" s="491"/>
      <c r="X222" s="491"/>
      <c r="Y222" s="491"/>
      <c r="Z222" s="491"/>
      <c r="AA222" s="491"/>
      <c r="AB222" s="491"/>
      <c r="AC222" s="491"/>
    </row>
    <row r="223" spans="1:29">
      <c r="A223" s="491"/>
      <c r="B223" s="491"/>
      <c r="C223" s="491"/>
      <c r="D223" s="491"/>
      <c r="E223" s="491"/>
      <c r="F223" s="491"/>
      <c r="G223" s="491"/>
      <c r="H223" s="491"/>
      <c r="I223" s="491"/>
      <c r="J223" s="491"/>
      <c r="K223" s="505"/>
      <c r="L223" s="506"/>
      <c r="M223" s="491"/>
      <c r="N223" s="491"/>
      <c r="O223" s="491"/>
      <c r="P223" s="491"/>
      <c r="Q223" s="491"/>
      <c r="R223" s="491"/>
      <c r="S223" s="491"/>
      <c r="T223" s="491"/>
      <c r="U223" s="491"/>
      <c r="V223" s="491"/>
      <c r="W223" s="491"/>
      <c r="X223" s="491"/>
      <c r="Y223" s="491"/>
      <c r="Z223" s="491"/>
      <c r="AA223" s="491"/>
      <c r="AB223" s="491"/>
      <c r="AC223" s="491"/>
    </row>
    <row r="224" spans="1:29">
      <c r="A224" s="491"/>
      <c r="B224" s="491"/>
      <c r="C224" s="491"/>
      <c r="D224" s="491"/>
      <c r="E224" s="491"/>
      <c r="F224" s="491"/>
      <c r="G224" s="491"/>
      <c r="H224" s="491"/>
      <c r="I224" s="491"/>
      <c r="J224" s="491"/>
      <c r="K224" s="505"/>
      <c r="L224" s="506"/>
      <c r="M224" s="491"/>
      <c r="N224" s="491"/>
      <c r="O224" s="491"/>
      <c r="P224" s="491"/>
      <c r="Q224" s="491"/>
      <c r="R224" s="491"/>
      <c r="S224" s="491"/>
      <c r="T224" s="491"/>
      <c r="U224" s="491"/>
      <c r="V224" s="491"/>
      <c r="W224" s="491"/>
      <c r="X224" s="491"/>
      <c r="Y224" s="491"/>
      <c r="Z224" s="491"/>
      <c r="AA224" s="491"/>
      <c r="AB224" s="491"/>
      <c r="AC224" s="491"/>
    </row>
    <row r="225" spans="1:29">
      <c r="A225" s="491"/>
      <c r="B225" s="491"/>
      <c r="C225" s="491"/>
      <c r="D225" s="491"/>
      <c r="E225" s="491"/>
      <c r="F225" s="491"/>
      <c r="G225" s="491"/>
      <c r="H225" s="491"/>
      <c r="I225" s="491"/>
      <c r="J225" s="491"/>
      <c r="K225" s="505"/>
      <c r="L225" s="506"/>
      <c r="M225" s="491"/>
      <c r="N225" s="491"/>
      <c r="O225" s="491"/>
      <c r="P225" s="491"/>
      <c r="Q225" s="491"/>
      <c r="R225" s="491"/>
      <c r="S225" s="491"/>
      <c r="T225" s="491"/>
      <c r="U225" s="491"/>
      <c r="V225" s="491"/>
      <c r="W225" s="491"/>
      <c r="X225" s="491"/>
      <c r="Y225" s="491"/>
      <c r="Z225" s="491"/>
      <c r="AA225" s="491"/>
      <c r="AB225" s="491"/>
      <c r="AC225" s="491"/>
    </row>
    <row r="226" spans="1:29">
      <c r="A226" s="491"/>
      <c r="B226" s="491"/>
      <c r="C226" s="491"/>
      <c r="D226" s="491"/>
      <c r="E226" s="491"/>
      <c r="F226" s="491"/>
      <c r="G226" s="491"/>
      <c r="H226" s="491"/>
      <c r="I226" s="491"/>
      <c r="J226" s="491"/>
      <c r="K226" s="505"/>
      <c r="L226" s="506"/>
      <c r="M226" s="491"/>
      <c r="N226" s="491"/>
      <c r="O226" s="491"/>
      <c r="P226" s="491"/>
      <c r="Q226" s="491"/>
      <c r="R226" s="491"/>
      <c r="S226" s="491"/>
      <c r="T226" s="491"/>
      <c r="U226" s="491"/>
      <c r="V226" s="491"/>
      <c r="W226" s="491"/>
      <c r="X226" s="491"/>
      <c r="Y226" s="491"/>
      <c r="Z226" s="491"/>
      <c r="AA226" s="491"/>
      <c r="AB226" s="491"/>
      <c r="AC226" s="491"/>
    </row>
    <row r="227" spans="1:29">
      <c r="A227" s="491"/>
      <c r="B227" s="491"/>
      <c r="C227" s="491"/>
      <c r="D227" s="491"/>
      <c r="E227" s="491"/>
      <c r="F227" s="491"/>
      <c r="G227" s="491"/>
      <c r="H227" s="491"/>
      <c r="I227" s="491"/>
      <c r="J227" s="491"/>
      <c r="K227" s="505"/>
      <c r="L227" s="506"/>
      <c r="M227" s="491"/>
      <c r="N227" s="491"/>
      <c r="O227" s="491"/>
      <c r="P227" s="491"/>
      <c r="Q227" s="491"/>
      <c r="R227" s="491"/>
      <c r="S227" s="491"/>
      <c r="T227" s="491"/>
      <c r="U227" s="491"/>
      <c r="V227" s="491"/>
      <c r="W227" s="491"/>
      <c r="X227" s="491"/>
      <c r="Y227" s="491"/>
      <c r="Z227" s="491"/>
      <c r="AA227" s="491"/>
      <c r="AB227" s="491"/>
      <c r="AC227" s="491"/>
    </row>
    <row r="228" spans="1:29">
      <c r="A228" s="491"/>
      <c r="B228" s="491"/>
      <c r="C228" s="491"/>
      <c r="D228" s="491"/>
      <c r="E228" s="491"/>
      <c r="F228" s="491"/>
      <c r="G228" s="491"/>
      <c r="H228" s="491"/>
      <c r="I228" s="491"/>
      <c r="J228" s="491"/>
      <c r="K228" s="505"/>
      <c r="L228" s="506"/>
      <c r="M228" s="491"/>
      <c r="N228" s="491"/>
      <c r="O228" s="491"/>
      <c r="P228" s="491"/>
      <c r="Q228" s="491"/>
      <c r="R228" s="491"/>
      <c r="S228" s="491"/>
      <c r="T228" s="491"/>
      <c r="U228" s="491"/>
      <c r="V228" s="491"/>
      <c r="W228" s="491"/>
      <c r="X228" s="491"/>
      <c r="Y228" s="491"/>
      <c r="Z228" s="491"/>
      <c r="AA228" s="491"/>
      <c r="AB228" s="491"/>
      <c r="AC228" s="491"/>
    </row>
    <row r="229" spans="1:29">
      <c r="A229" s="491"/>
      <c r="B229" s="491"/>
      <c r="C229" s="491"/>
      <c r="D229" s="491"/>
      <c r="E229" s="491"/>
      <c r="F229" s="491"/>
      <c r="G229" s="491"/>
      <c r="H229" s="491"/>
      <c r="I229" s="491"/>
      <c r="J229" s="491"/>
      <c r="K229" s="505"/>
      <c r="L229" s="506"/>
      <c r="M229" s="491"/>
      <c r="N229" s="491"/>
      <c r="O229" s="491"/>
      <c r="P229" s="491"/>
      <c r="Q229" s="491"/>
      <c r="R229" s="491"/>
      <c r="S229" s="491"/>
      <c r="T229" s="491"/>
      <c r="U229" s="491"/>
      <c r="V229" s="491"/>
      <c r="W229" s="491"/>
      <c r="X229" s="491"/>
      <c r="Y229" s="491"/>
      <c r="Z229" s="491"/>
      <c r="AA229" s="491"/>
      <c r="AB229" s="491"/>
      <c r="AC229" s="491"/>
    </row>
    <row r="230" spans="1:29">
      <c r="A230" s="491"/>
      <c r="B230" s="491"/>
      <c r="C230" s="491"/>
      <c r="D230" s="491"/>
      <c r="E230" s="491"/>
      <c r="F230" s="491"/>
      <c r="G230" s="491"/>
      <c r="H230" s="491"/>
      <c r="I230" s="491"/>
      <c r="J230" s="491"/>
      <c r="K230" s="505"/>
      <c r="L230" s="506"/>
      <c r="M230" s="491"/>
      <c r="N230" s="491"/>
      <c r="O230" s="491"/>
      <c r="P230" s="491"/>
      <c r="Q230" s="491"/>
      <c r="R230" s="491"/>
      <c r="S230" s="491"/>
      <c r="T230" s="491"/>
      <c r="U230" s="491"/>
      <c r="V230" s="491"/>
      <c r="W230" s="491"/>
      <c r="X230" s="491"/>
      <c r="Y230" s="491"/>
      <c r="Z230" s="491"/>
      <c r="AA230" s="491"/>
      <c r="AB230" s="491"/>
      <c r="AC230" s="491"/>
    </row>
    <row r="231" spans="1:29">
      <c r="A231" s="491"/>
      <c r="B231" s="491"/>
      <c r="C231" s="491"/>
      <c r="D231" s="491"/>
      <c r="E231" s="491"/>
      <c r="F231" s="491"/>
      <c r="G231" s="491"/>
      <c r="H231" s="491"/>
      <c r="I231" s="491"/>
      <c r="J231" s="491"/>
      <c r="K231" s="505"/>
      <c r="L231" s="506"/>
      <c r="M231" s="491"/>
      <c r="N231" s="491"/>
      <c r="O231" s="491"/>
      <c r="P231" s="491"/>
      <c r="Q231" s="491"/>
      <c r="R231" s="491"/>
      <c r="S231" s="491"/>
      <c r="T231" s="491"/>
      <c r="U231" s="491"/>
      <c r="V231" s="491"/>
      <c r="W231" s="491"/>
      <c r="X231" s="491"/>
      <c r="Y231" s="491"/>
      <c r="Z231" s="491"/>
      <c r="AA231" s="491"/>
      <c r="AB231" s="491"/>
      <c r="AC231" s="491"/>
    </row>
    <row r="232" spans="1:29">
      <c r="A232" s="491"/>
      <c r="B232" s="491"/>
      <c r="C232" s="491"/>
      <c r="D232" s="491"/>
      <c r="E232" s="491"/>
      <c r="F232" s="491"/>
      <c r="G232" s="491"/>
      <c r="H232" s="491"/>
      <c r="I232" s="491"/>
      <c r="J232" s="491"/>
      <c r="K232" s="505"/>
      <c r="L232" s="506"/>
      <c r="M232" s="491"/>
      <c r="N232" s="491"/>
      <c r="O232" s="491"/>
      <c r="P232" s="491"/>
      <c r="Q232" s="491"/>
      <c r="R232" s="491"/>
      <c r="S232" s="491"/>
      <c r="T232" s="491"/>
      <c r="U232" s="491"/>
      <c r="V232" s="491"/>
      <c r="W232" s="491"/>
      <c r="X232" s="491"/>
      <c r="Y232" s="491"/>
      <c r="Z232" s="491"/>
      <c r="AA232" s="491"/>
      <c r="AB232" s="491"/>
      <c r="AC232" s="491"/>
    </row>
    <row r="233" spans="1:29">
      <c r="A233" s="491"/>
      <c r="B233" s="491"/>
      <c r="C233" s="491"/>
      <c r="D233" s="491"/>
      <c r="E233" s="491"/>
      <c r="F233" s="491"/>
      <c r="G233" s="491"/>
      <c r="H233" s="491"/>
      <c r="I233" s="491"/>
      <c r="J233" s="491"/>
      <c r="K233" s="505"/>
      <c r="L233" s="506"/>
      <c r="M233" s="491"/>
      <c r="N233" s="491"/>
      <c r="O233" s="491"/>
      <c r="P233" s="491"/>
      <c r="Q233" s="491"/>
      <c r="R233" s="491"/>
      <c r="S233" s="491"/>
      <c r="T233" s="491"/>
      <c r="U233" s="491"/>
      <c r="V233" s="491"/>
      <c r="W233" s="491"/>
      <c r="X233" s="491"/>
      <c r="Y233" s="491"/>
      <c r="Z233" s="491"/>
      <c r="AA233" s="491"/>
      <c r="AB233" s="491"/>
      <c r="AC233" s="491"/>
    </row>
    <row r="234" spans="1:29">
      <c r="A234" s="491"/>
      <c r="B234" s="491"/>
      <c r="C234" s="491"/>
      <c r="D234" s="491"/>
      <c r="E234" s="491"/>
      <c r="F234" s="491"/>
      <c r="G234" s="491"/>
      <c r="H234" s="491"/>
      <c r="I234" s="491"/>
      <c r="J234" s="491"/>
      <c r="K234" s="505"/>
      <c r="L234" s="506"/>
      <c r="M234" s="491"/>
      <c r="N234" s="491"/>
      <c r="O234" s="491"/>
      <c r="P234" s="491"/>
      <c r="Q234" s="491"/>
      <c r="R234" s="491"/>
      <c r="S234" s="491"/>
      <c r="T234" s="491"/>
      <c r="U234" s="491"/>
      <c r="V234" s="491"/>
      <c r="W234" s="491"/>
      <c r="X234" s="491"/>
      <c r="Y234" s="491"/>
      <c r="Z234" s="491"/>
      <c r="AA234" s="491"/>
      <c r="AB234" s="491"/>
      <c r="AC234" s="491"/>
    </row>
    <row r="235" spans="1:29">
      <c r="A235" s="491"/>
      <c r="B235" s="491"/>
      <c r="C235" s="491"/>
      <c r="D235" s="491"/>
      <c r="E235" s="491"/>
      <c r="F235" s="491"/>
      <c r="G235" s="491"/>
      <c r="H235" s="491"/>
      <c r="I235" s="491"/>
      <c r="J235" s="491"/>
      <c r="K235" s="505"/>
      <c r="L235" s="506"/>
      <c r="M235" s="491"/>
      <c r="N235" s="491"/>
      <c r="O235" s="491"/>
      <c r="P235" s="491"/>
      <c r="Q235" s="491"/>
      <c r="R235" s="491"/>
      <c r="S235" s="491"/>
      <c r="T235" s="491"/>
      <c r="U235" s="491"/>
      <c r="V235" s="491"/>
      <c r="W235" s="491"/>
      <c r="X235" s="491"/>
      <c r="Y235" s="491"/>
      <c r="Z235" s="491"/>
      <c r="AA235" s="491"/>
      <c r="AB235" s="491"/>
      <c r="AC235" s="491"/>
    </row>
    <row r="236" spans="1:29">
      <c r="A236" s="491"/>
      <c r="B236" s="491"/>
      <c r="C236" s="491"/>
      <c r="D236" s="491"/>
      <c r="E236" s="491"/>
      <c r="F236" s="491"/>
      <c r="G236" s="491"/>
      <c r="H236" s="491"/>
      <c r="I236" s="491"/>
      <c r="J236" s="491"/>
      <c r="K236" s="505"/>
      <c r="L236" s="506"/>
      <c r="M236" s="491"/>
      <c r="N236" s="491"/>
      <c r="O236" s="491"/>
      <c r="P236" s="491"/>
      <c r="Q236" s="491"/>
      <c r="R236" s="491"/>
      <c r="S236" s="491"/>
      <c r="T236" s="491"/>
      <c r="U236" s="491"/>
      <c r="V236" s="491"/>
      <c r="W236" s="491"/>
      <c r="X236" s="491"/>
      <c r="Y236" s="491"/>
      <c r="Z236" s="491"/>
      <c r="AA236" s="491"/>
      <c r="AB236" s="491"/>
      <c r="AC236" s="491"/>
    </row>
    <row r="237" spans="1:29">
      <c r="A237" s="491"/>
      <c r="B237" s="491"/>
      <c r="C237" s="491"/>
      <c r="D237" s="491"/>
      <c r="E237" s="491"/>
      <c r="F237" s="491"/>
      <c r="G237" s="491"/>
      <c r="H237" s="491"/>
      <c r="I237" s="491"/>
      <c r="J237" s="491"/>
      <c r="K237" s="505"/>
      <c r="L237" s="506"/>
      <c r="M237" s="491"/>
      <c r="N237" s="491"/>
      <c r="O237" s="491"/>
      <c r="P237" s="491"/>
      <c r="Q237" s="491"/>
      <c r="R237" s="491"/>
      <c r="S237" s="491"/>
      <c r="T237" s="491"/>
      <c r="U237" s="491"/>
      <c r="V237" s="491"/>
      <c r="W237" s="491"/>
      <c r="X237" s="491"/>
      <c r="Y237" s="491"/>
      <c r="Z237" s="491"/>
      <c r="AA237" s="491"/>
      <c r="AB237" s="491"/>
      <c r="AC237" s="491"/>
    </row>
    <row r="238" spans="1:29">
      <c r="A238" s="491"/>
      <c r="B238" s="491"/>
      <c r="C238" s="491"/>
      <c r="D238" s="491"/>
      <c r="E238" s="491"/>
      <c r="F238" s="491"/>
      <c r="G238" s="491"/>
      <c r="H238" s="491"/>
      <c r="I238" s="491"/>
      <c r="J238" s="491"/>
      <c r="K238" s="505"/>
      <c r="L238" s="506"/>
      <c r="M238" s="491"/>
      <c r="N238" s="491"/>
      <c r="O238" s="491"/>
      <c r="P238" s="491"/>
      <c r="Q238" s="491"/>
      <c r="R238" s="491"/>
      <c r="S238" s="491"/>
      <c r="T238" s="491"/>
      <c r="U238" s="491"/>
      <c r="V238" s="491"/>
      <c r="W238" s="491"/>
      <c r="X238" s="491"/>
      <c r="Y238" s="491"/>
      <c r="Z238" s="491"/>
      <c r="AA238" s="491"/>
      <c r="AB238" s="491"/>
      <c r="AC238" s="491"/>
    </row>
    <row r="239" spans="1:29">
      <c r="A239" s="491"/>
      <c r="B239" s="491"/>
      <c r="C239" s="491"/>
      <c r="D239" s="491"/>
      <c r="E239" s="491"/>
      <c r="F239" s="491"/>
      <c r="G239" s="491"/>
      <c r="H239" s="491"/>
      <c r="I239" s="491"/>
      <c r="J239" s="491"/>
      <c r="K239" s="505"/>
      <c r="L239" s="506"/>
      <c r="M239" s="491"/>
      <c r="N239" s="491"/>
      <c r="O239" s="491"/>
      <c r="P239" s="491"/>
      <c r="Q239" s="491"/>
      <c r="R239" s="491"/>
      <c r="S239" s="491"/>
      <c r="T239" s="491"/>
      <c r="U239" s="491"/>
      <c r="V239" s="491"/>
      <c r="W239" s="491"/>
      <c r="X239" s="491"/>
      <c r="Y239" s="491"/>
      <c r="Z239" s="491"/>
      <c r="AA239" s="491"/>
      <c r="AB239" s="491"/>
      <c r="AC239" s="491"/>
    </row>
    <row r="240" spans="1:29">
      <c r="A240" s="491"/>
      <c r="B240" s="491"/>
      <c r="C240" s="491"/>
      <c r="D240" s="491"/>
      <c r="E240" s="491"/>
      <c r="F240" s="491"/>
      <c r="G240" s="491"/>
      <c r="H240" s="491"/>
      <c r="I240" s="491"/>
      <c r="J240" s="491"/>
      <c r="K240" s="505"/>
      <c r="L240" s="506"/>
      <c r="M240" s="491"/>
      <c r="N240" s="491"/>
      <c r="O240" s="491"/>
      <c r="P240" s="491"/>
      <c r="Q240" s="491"/>
      <c r="R240" s="491"/>
      <c r="S240" s="491"/>
      <c r="T240" s="491"/>
      <c r="U240" s="491"/>
      <c r="V240" s="491"/>
      <c r="W240" s="491"/>
      <c r="X240" s="491"/>
      <c r="Y240" s="491"/>
      <c r="Z240" s="491"/>
      <c r="AA240" s="491"/>
      <c r="AB240" s="491"/>
      <c r="AC240" s="491"/>
    </row>
    <row r="241" spans="1:29">
      <c r="A241" s="491"/>
      <c r="B241" s="491"/>
      <c r="C241" s="491"/>
      <c r="D241" s="491"/>
      <c r="E241" s="491"/>
      <c r="F241" s="491"/>
      <c r="G241" s="491"/>
      <c r="H241" s="491"/>
      <c r="I241" s="491"/>
      <c r="J241" s="491"/>
      <c r="K241" s="505"/>
      <c r="L241" s="506"/>
      <c r="M241" s="491"/>
      <c r="N241" s="491"/>
      <c r="O241" s="491"/>
      <c r="P241" s="491"/>
      <c r="Q241" s="491"/>
      <c r="R241" s="491"/>
      <c r="S241" s="491"/>
      <c r="T241" s="491"/>
      <c r="U241" s="491"/>
      <c r="V241" s="491"/>
      <c r="W241" s="491"/>
      <c r="X241" s="491"/>
      <c r="Y241" s="491"/>
      <c r="Z241" s="491"/>
      <c r="AA241" s="491"/>
      <c r="AB241" s="491"/>
      <c r="AC241" s="491"/>
    </row>
    <row r="242" spans="1:29">
      <c r="A242" s="491"/>
      <c r="B242" s="491"/>
      <c r="C242" s="491"/>
      <c r="D242" s="491"/>
      <c r="E242" s="491"/>
      <c r="F242" s="491"/>
      <c r="G242" s="491"/>
      <c r="H242" s="491"/>
      <c r="I242" s="491"/>
      <c r="J242" s="491"/>
      <c r="K242" s="505"/>
      <c r="L242" s="506"/>
      <c r="M242" s="491"/>
      <c r="N242" s="491"/>
      <c r="O242" s="491"/>
      <c r="P242" s="491"/>
      <c r="Q242" s="491"/>
      <c r="R242" s="491"/>
      <c r="S242" s="491"/>
      <c r="T242" s="491"/>
      <c r="U242" s="491"/>
      <c r="V242" s="491"/>
      <c r="W242" s="491"/>
      <c r="X242" s="491"/>
      <c r="Y242" s="491"/>
      <c r="Z242" s="491"/>
      <c r="AA242" s="491"/>
      <c r="AB242" s="491"/>
      <c r="AC242" s="491"/>
    </row>
    <row r="243" spans="1:29">
      <c r="A243" s="491"/>
      <c r="B243" s="491"/>
      <c r="C243" s="491"/>
      <c r="D243" s="491"/>
      <c r="E243" s="491"/>
      <c r="F243" s="491"/>
      <c r="G243" s="491"/>
      <c r="H243" s="491"/>
      <c r="I243" s="491"/>
      <c r="J243" s="491"/>
      <c r="K243" s="505"/>
      <c r="L243" s="506"/>
      <c r="M243" s="491"/>
      <c r="N243" s="491"/>
      <c r="O243" s="491"/>
      <c r="P243" s="491"/>
      <c r="Q243" s="491"/>
      <c r="R243" s="491"/>
      <c r="S243" s="491"/>
      <c r="T243" s="491"/>
      <c r="U243" s="491"/>
      <c r="V243" s="491"/>
      <c r="W243" s="491"/>
      <c r="X243" s="491"/>
      <c r="Y243" s="491"/>
      <c r="Z243" s="491"/>
      <c r="AA243" s="491"/>
      <c r="AB243" s="491"/>
      <c r="AC243" s="491"/>
    </row>
    <row r="244" spans="1:29">
      <c r="A244" s="491"/>
      <c r="B244" s="491"/>
      <c r="C244" s="491"/>
      <c r="D244" s="491"/>
      <c r="E244" s="491"/>
      <c r="F244" s="491"/>
      <c r="G244" s="491"/>
      <c r="H244" s="491"/>
      <c r="I244" s="491"/>
      <c r="J244" s="491"/>
      <c r="K244" s="505"/>
      <c r="L244" s="506"/>
      <c r="M244" s="491"/>
      <c r="N244" s="491"/>
      <c r="O244" s="491"/>
      <c r="P244" s="491"/>
      <c r="Q244" s="491"/>
      <c r="R244" s="491"/>
      <c r="S244" s="491"/>
      <c r="T244" s="491"/>
      <c r="U244" s="491"/>
      <c r="V244" s="491"/>
      <c r="W244" s="491"/>
      <c r="X244" s="491"/>
      <c r="Y244" s="491"/>
      <c r="Z244" s="491"/>
      <c r="AA244" s="491"/>
      <c r="AB244" s="491"/>
      <c r="AC244" s="491"/>
    </row>
    <row r="245" spans="1:29">
      <c r="A245" s="491"/>
      <c r="B245" s="491"/>
      <c r="C245" s="491"/>
      <c r="D245" s="491"/>
      <c r="E245" s="491"/>
      <c r="F245" s="491"/>
      <c r="G245" s="491"/>
      <c r="H245" s="491"/>
      <c r="I245" s="491"/>
      <c r="J245" s="491"/>
      <c r="K245" s="505"/>
      <c r="L245" s="506"/>
      <c r="M245" s="491"/>
      <c r="N245" s="491"/>
      <c r="O245" s="491"/>
      <c r="P245" s="491"/>
      <c r="Q245" s="491"/>
      <c r="R245" s="491"/>
      <c r="S245" s="491"/>
      <c r="T245" s="491"/>
      <c r="U245" s="491"/>
      <c r="V245" s="491"/>
      <c r="W245" s="491"/>
      <c r="X245" s="491"/>
      <c r="Y245" s="491"/>
      <c r="Z245" s="491"/>
      <c r="AA245" s="491"/>
      <c r="AB245" s="491"/>
      <c r="AC245" s="491"/>
    </row>
    <row r="246" spans="1:29">
      <c r="A246" s="491"/>
      <c r="B246" s="491"/>
      <c r="C246" s="491"/>
      <c r="D246" s="491"/>
      <c r="E246" s="491"/>
      <c r="F246" s="491"/>
      <c r="G246" s="491"/>
      <c r="H246" s="491"/>
      <c r="I246" s="491"/>
      <c r="J246" s="491"/>
      <c r="K246" s="505"/>
      <c r="L246" s="506"/>
      <c r="M246" s="491"/>
      <c r="N246" s="491"/>
      <c r="O246" s="491"/>
      <c r="P246" s="491"/>
      <c r="Q246" s="491"/>
      <c r="R246" s="491"/>
      <c r="S246" s="491"/>
      <c r="T246" s="491"/>
      <c r="U246" s="491"/>
      <c r="V246" s="491"/>
      <c r="W246" s="491"/>
      <c r="X246" s="491"/>
      <c r="Y246" s="491"/>
      <c r="Z246" s="491"/>
      <c r="AA246" s="491"/>
      <c r="AB246" s="491"/>
      <c r="AC246" s="491"/>
    </row>
    <row r="247" spans="1:29">
      <c r="A247" s="491"/>
      <c r="B247" s="491"/>
      <c r="C247" s="491"/>
      <c r="D247" s="491"/>
      <c r="E247" s="491"/>
      <c r="F247" s="491"/>
      <c r="G247" s="491"/>
      <c r="H247" s="491"/>
      <c r="I247" s="491"/>
      <c r="J247" s="491"/>
      <c r="K247" s="505"/>
      <c r="L247" s="506"/>
      <c r="M247" s="491"/>
      <c r="N247" s="491"/>
      <c r="O247" s="491"/>
      <c r="P247" s="491"/>
      <c r="Q247" s="491"/>
      <c r="R247" s="491"/>
      <c r="S247" s="491"/>
      <c r="T247" s="491"/>
      <c r="U247" s="491"/>
      <c r="V247" s="491"/>
      <c r="W247" s="491"/>
      <c r="X247" s="491"/>
      <c r="Y247" s="491"/>
      <c r="Z247" s="491"/>
      <c r="AA247" s="491"/>
      <c r="AB247" s="491"/>
      <c r="AC247" s="491"/>
    </row>
    <row r="248" spans="1:29">
      <c r="A248" s="491"/>
      <c r="B248" s="491"/>
      <c r="C248" s="491"/>
      <c r="D248" s="491"/>
      <c r="E248" s="491"/>
      <c r="F248" s="491"/>
      <c r="G248" s="491"/>
      <c r="H248" s="491"/>
      <c r="I248" s="491"/>
      <c r="J248" s="491"/>
      <c r="K248" s="505"/>
      <c r="L248" s="506"/>
      <c r="M248" s="491"/>
      <c r="N248" s="491"/>
      <c r="O248" s="491"/>
      <c r="P248" s="491"/>
      <c r="Q248" s="491"/>
      <c r="R248" s="491"/>
      <c r="S248" s="491"/>
      <c r="T248" s="491"/>
      <c r="U248" s="491"/>
      <c r="V248" s="491"/>
      <c r="W248" s="491"/>
      <c r="X248" s="491"/>
      <c r="Y248" s="491"/>
      <c r="Z248" s="491"/>
      <c r="AA248" s="491"/>
      <c r="AB248" s="491"/>
      <c r="AC248" s="491"/>
    </row>
    <row r="249" spans="1:29">
      <c r="A249" s="491"/>
      <c r="B249" s="491"/>
      <c r="C249" s="491"/>
      <c r="D249" s="491"/>
      <c r="E249" s="491"/>
      <c r="F249" s="491"/>
      <c r="G249" s="491"/>
      <c r="H249" s="491"/>
      <c r="I249" s="491"/>
      <c r="J249" s="491"/>
      <c r="K249" s="505"/>
      <c r="L249" s="506"/>
      <c r="M249" s="491"/>
      <c r="N249" s="491"/>
      <c r="O249" s="491"/>
      <c r="P249" s="491"/>
      <c r="Q249" s="491"/>
      <c r="R249" s="491"/>
      <c r="S249" s="491"/>
      <c r="T249" s="491"/>
      <c r="U249" s="491"/>
      <c r="V249" s="491"/>
      <c r="W249" s="491"/>
      <c r="X249" s="491"/>
      <c r="Y249" s="491"/>
      <c r="Z249" s="491"/>
      <c r="AA249" s="491"/>
      <c r="AB249" s="491"/>
      <c r="AC249" s="491"/>
    </row>
    <row r="250" spans="1:29">
      <c r="A250" s="491"/>
      <c r="B250" s="491"/>
      <c r="C250" s="491"/>
      <c r="D250" s="491"/>
      <c r="E250" s="491"/>
      <c r="F250" s="491"/>
      <c r="G250" s="491"/>
      <c r="H250" s="491"/>
      <c r="I250" s="491"/>
      <c r="J250" s="491"/>
      <c r="K250" s="505"/>
      <c r="L250" s="506"/>
      <c r="M250" s="491"/>
      <c r="N250" s="491"/>
      <c r="O250" s="491"/>
      <c r="P250" s="491"/>
      <c r="Q250" s="491"/>
      <c r="R250" s="491"/>
      <c r="S250" s="491"/>
      <c r="T250" s="491"/>
      <c r="U250" s="491"/>
      <c r="V250" s="491"/>
      <c r="W250" s="491"/>
      <c r="X250" s="491"/>
      <c r="Y250" s="491"/>
      <c r="Z250" s="491"/>
      <c r="AA250" s="491"/>
      <c r="AB250" s="491"/>
      <c r="AC250" s="491"/>
    </row>
    <row r="251" spans="1:29">
      <c r="A251" s="491"/>
      <c r="B251" s="491"/>
      <c r="C251" s="491"/>
      <c r="D251" s="491"/>
      <c r="E251" s="491"/>
      <c r="F251" s="491"/>
      <c r="G251" s="491"/>
      <c r="H251" s="491"/>
      <c r="I251" s="491"/>
      <c r="J251" s="491"/>
      <c r="K251" s="505"/>
      <c r="L251" s="506"/>
      <c r="M251" s="491"/>
      <c r="N251" s="491"/>
      <c r="O251" s="491"/>
      <c r="P251" s="491"/>
      <c r="Q251" s="491"/>
      <c r="R251" s="491"/>
      <c r="S251" s="491"/>
      <c r="T251" s="491"/>
      <c r="U251" s="491"/>
      <c r="V251" s="491"/>
      <c r="W251" s="491"/>
      <c r="X251" s="491"/>
      <c r="Y251" s="491"/>
      <c r="Z251" s="491"/>
      <c r="AA251" s="491"/>
      <c r="AB251" s="491"/>
      <c r="AC251" s="491"/>
    </row>
    <row r="252" spans="1:29">
      <c r="A252" s="491"/>
      <c r="B252" s="491"/>
      <c r="C252" s="491"/>
      <c r="D252" s="491"/>
      <c r="E252" s="491"/>
      <c r="F252" s="491"/>
      <c r="G252" s="491"/>
      <c r="H252" s="491"/>
      <c r="I252" s="491"/>
      <c r="J252" s="491"/>
      <c r="K252" s="505"/>
      <c r="L252" s="506"/>
      <c r="M252" s="491"/>
      <c r="N252" s="491"/>
      <c r="O252" s="491"/>
      <c r="P252" s="491"/>
      <c r="Q252" s="491"/>
      <c r="R252" s="491"/>
      <c r="S252" s="491"/>
      <c r="T252" s="491"/>
      <c r="U252" s="491"/>
      <c r="V252" s="491"/>
      <c r="W252" s="491"/>
      <c r="X252" s="491"/>
      <c r="Y252" s="491"/>
      <c r="Z252" s="491"/>
      <c r="AA252" s="491"/>
      <c r="AB252" s="491"/>
      <c r="AC252" s="491"/>
    </row>
    <row r="253" spans="1:29">
      <c r="A253" s="491"/>
      <c r="B253" s="491"/>
      <c r="C253" s="491"/>
      <c r="D253" s="491"/>
      <c r="E253" s="491"/>
      <c r="F253" s="491"/>
      <c r="G253" s="491"/>
      <c r="H253" s="491"/>
      <c r="I253" s="491"/>
      <c r="J253" s="491"/>
      <c r="K253" s="505"/>
      <c r="L253" s="506"/>
      <c r="M253" s="491"/>
      <c r="N253" s="491"/>
      <c r="O253" s="491"/>
      <c r="P253" s="491"/>
      <c r="Q253" s="491"/>
      <c r="R253" s="491"/>
      <c r="S253" s="491"/>
      <c r="T253" s="491"/>
      <c r="U253" s="491"/>
      <c r="V253" s="491"/>
      <c r="W253" s="491"/>
      <c r="X253" s="491"/>
      <c r="Y253" s="491"/>
      <c r="Z253" s="491"/>
      <c r="AA253" s="491"/>
      <c r="AB253" s="491"/>
      <c r="AC253" s="491"/>
    </row>
    <row r="254" spans="1:29">
      <c r="A254" s="491"/>
      <c r="B254" s="491"/>
      <c r="C254" s="491"/>
      <c r="D254" s="491"/>
      <c r="E254" s="491"/>
      <c r="F254" s="491"/>
      <c r="G254" s="491"/>
      <c r="H254" s="491"/>
      <c r="I254" s="491"/>
      <c r="J254" s="491"/>
      <c r="K254" s="505"/>
      <c r="L254" s="506"/>
      <c r="M254" s="491"/>
      <c r="N254" s="491"/>
      <c r="O254" s="491"/>
      <c r="P254" s="491"/>
      <c r="Q254" s="491"/>
      <c r="R254" s="491"/>
      <c r="S254" s="491"/>
      <c r="T254" s="491"/>
      <c r="U254" s="491"/>
      <c r="V254" s="491"/>
      <c r="W254" s="491"/>
      <c r="X254" s="491"/>
      <c r="Y254" s="491"/>
      <c r="Z254" s="491"/>
      <c r="AA254" s="491"/>
      <c r="AB254" s="491"/>
      <c r="AC254" s="491"/>
    </row>
    <row r="255" spans="1:29">
      <c r="A255" s="491"/>
      <c r="B255" s="491"/>
      <c r="C255" s="491"/>
      <c r="D255" s="491"/>
      <c r="E255" s="491"/>
      <c r="F255" s="491"/>
      <c r="G255" s="491"/>
      <c r="H255" s="491"/>
      <c r="I255" s="491"/>
      <c r="J255" s="491"/>
      <c r="K255" s="505"/>
      <c r="L255" s="506"/>
      <c r="M255" s="491"/>
      <c r="N255" s="491"/>
      <c r="O255" s="491"/>
      <c r="P255" s="491"/>
      <c r="Q255" s="491"/>
      <c r="R255" s="491"/>
      <c r="S255" s="491"/>
      <c r="T255" s="491"/>
      <c r="U255" s="491"/>
      <c r="V255" s="491"/>
      <c r="W255" s="491"/>
      <c r="X255" s="491"/>
      <c r="Y255" s="491"/>
      <c r="Z255" s="491"/>
      <c r="AA255" s="491"/>
      <c r="AB255" s="491"/>
      <c r="AC255" s="491"/>
    </row>
    <row r="256" spans="1:29">
      <c r="A256" s="491"/>
      <c r="B256" s="491"/>
      <c r="C256" s="491"/>
      <c r="D256" s="491"/>
      <c r="E256" s="491"/>
      <c r="F256" s="491"/>
      <c r="G256" s="491"/>
      <c r="H256" s="491"/>
      <c r="I256" s="491"/>
      <c r="J256" s="491"/>
      <c r="K256" s="505"/>
      <c r="L256" s="506"/>
      <c r="M256" s="491"/>
      <c r="N256" s="491"/>
      <c r="O256" s="491"/>
      <c r="P256" s="491"/>
      <c r="Q256" s="491"/>
      <c r="R256" s="491"/>
      <c r="S256" s="491"/>
      <c r="T256" s="491"/>
      <c r="U256" s="491"/>
      <c r="V256" s="491"/>
      <c r="W256" s="491"/>
      <c r="X256" s="491"/>
      <c r="Y256" s="491"/>
      <c r="Z256" s="491"/>
      <c r="AA256" s="491"/>
      <c r="AB256" s="491"/>
      <c r="AC256" s="491"/>
    </row>
    <row r="257" spans="1:29">
      <c r="A257" s="491"/>
      <c r="B257" s="491"/>
      <c r="C257" s="491"/>
      <c r="D257" s="491"/>
      <c r="E257" s="491"/>
      <c r="F257" s="491"/>
      <c r="G257" s="491"/>
      <c r="H257" s="491"/>
      <c r="I257" s="491"/>
      <c r="J257" s="491"/>
      <c r="K257" s="505"/>
      <c r="L257" s="506"/>
      <c r="M257" s="491"/>
      <c r="N257" s="491"/>
      <c r="O257" s="491"/>
      <c r="P257" s="491"/>
      <c r="Q257" s="491"/>
      <c r="R257" s="491"/>
      <c r="S257" s="491"/>
      <c r="T257" s="491"/>
      <c r="U257" s="491"/>
      <c r="V257" s="491"/>
      <c r="W257" s="491"/>
      <c r="X257" s="491"/>
      <c r="Y257" s="491"/>
      <c r="Z257" s="491"/>
      <c r="AA257" s="491"/>
      <c r="AB257" s="491"/>
      <c r="AC257" s="491"/>
    </row>
    <row r="258" spans="1:29">
      <c r="A258" s="491"/>
      <c r="B258" s="491"/>
      <c r="C258" s="491"/>
      <c r="D258" s="491"/>
      <c r="E258" s="491"/>
      <c r="F258" s="491"/>
      <c r="G258" s="491"/>
      <c r="H258" s="491"/>
      <c r="I258" s="491"/>
      <c r="J258" s="491"/>
      <c r="K258" s="505"/>
      <c r="L258" s="506"/>
      <c r="M258" s="491"/>
      <c r="N258" s="491"/>
      <c r="O258" s="491"/>
      <c r="P258" s="491"/>
      <c r="Q258" s="491"/>
      <c r="R258" s="491"/>
      <c r="S258" s="491"/>
      <c r="T258" s="491"/>
      <c r="U258" s="491"/>
      <c r="V258" s="491"/>
      <c r="W258" s="491"/>
      <c r="X258" s="491"/>
      <c r="Y258" s="491"/>
      <c r="Z258" s="491"/>
      <c r="AA258" s="491"/>
      <c r="AB258" s="491"/>
      <c r="AC258" s="491"/>
    </row>
    <row r="259" spans="1:29">
      <c r="A259" s="491"/>
      <c r="B259" s="491"/>
      <c r="C259" s="491"/>
      <c r="D259" s="491"/>
      <c r="E259" s="491"/>
      <c r="F259" s="491"/>
      <c r="G259" s="491"/>
      <c r="H259" s="491"/>
      <c r="I259" s="491"/>
      <c r="J259" s="491"/>
      <c r="K259" s="505"/>
      <c r="L259" s="506"/>
      <c r="M259" s="491"/>
      <c r="N259" s="491"/>
      <c r="O259" s="491"/>
      <c r="P259" s="491"/>
      <c r="Q259" s="491"/>
      <c r="R259" s="491"/>
      <c r="S259" s="491"/>
      <c r="T259" s="491"/>
      <c r="U259" s="491"/>
      <c r="V259" s="491"/>
      <c r="W259" s="491"/>
      <c r="X259" s="491"/>
      <c r="Y259" s="491"/>
      <c r="Z259" s="491"/>
      <c r="AA259" s="491"/>
      <c r="AB259" s="491"/>
      <c r="AC259" s="491"/>
    </row>
    <row r="260" spans="1:29">
      <c r="A260" s="491"/>
      <c r="B260" s="491"/>
      <c r="C260" s="491"/>
      <c r="D260" s="491"/>
      <c r="E260" s="491"/>
      <c r="F260" s="491"/>
      <c r="G260" s="491"/>
      <c r="H260" s="491"/>
      <c r="I260" s="491"/>
      <c r="J260" s="491"/>
      <c r="K260" s="505"/>
      <c r="L260" s="506"/>
      <c r="M260" s="491"/>
      <c r="N260" s="491"/>
      <c r="O260" s="491"/>
      <c r="P260" s="491"/>
      <c r="Q260" s="491"/>
      <c r="R260" s="491"/>
      <c r="S260" s="491"/>
      <c r="T260" s="491"/>
      <c r="U260" s="491"/>
      <c r="V260" s="491"/>
      <c r="W260" s="491"/>
      <c r="X260" s="491"/>
      <c r="Y260" s="491"/>
      <c r="Z260" s="491"/>
      <c r="AA260" s="491"/>
      <c r="AB260" s="491"/>
      <c r="AC260" s="491"/>
    </row>
    <row r="261" spans="1:29">
      <c r="A261" s="491"/>
      <c r="B261" s="491"/>
      <c r="C261" s="491"/>
      <c r="D261" s="491"/>
      <c r="E261" s="491"/>
      <c r="F261" s="491"/>
      <c r="G261" s="491"/>
      <c r="H261" s="491"/>
      <c r="I261" s="491"/>
      <c r="J261" s="491"/>
      <c r="K261" s="505"/>
      <c r="L261" s="506"/>
      <c r="M261" s="491"/>
      <c r="N261" s="491"/>
      <c r="O261" s="491"/>
      <c r="P261" s="491"/>
      <c r="Q261" s="491"/>
      <c r="R261" s="491"/>
      <c r="S261" s="491"/>
      <c r="T261" s="491"/>
      <c r="U261" s="491"/>
      <c r="V261" s="491"/>
      <c r="W261" s="491"/>
      <c r="X261" s="491"/>
      <c r="Y261" s="491"/>
      <c r="Z261" s="491"/>
      <c r="AA261" s="491"/>
      <c r="AB261" s="491"/>
      <c r="AC261" s="491"/>
    </row>
    <row r="262" spans="1:29">
      <c r="A262" s="491"/>
      <c r="B262" s="491"/>
      <c r="C262" s="491"/>
      <c r="D262" s="491"/>
      <c r="E262" s="491"/>
      <c r="F262" s="491"/>
      <c r="G262" s="491"/>
      <c r="H262" s="491"/>
      <c r="I262" s="491"/>
      <c r="J262" s="491"/>
      <c r="K262" s="505"/>
      <c r="L262" s="506"/>
      <c r="M262" s="491"/>
      <c r="N262" s="491"/>
      <c r="O262" s="491"/>
      <c r="P262" s="491"/>
      <c r="Q262" s="491"/>
      <c r="R262" s="491"/>
      <c r="S262" s="491"/>
      <c r="T262" s="491"/>
      <c r="U262" s="491"/>
      <c r="V262" s="491"/>
      <c r="W262" s="491"/>
      <c r="X262" s="491"/>
      <c r="Y262" s="491"/>
      <c r="Z262" s="491"/>
      <c r="AA262" s="491"/>
      <c r="AB262" s="491"/>
      <c r="AC262" s="491"/>
    </row>
    <row r="263" spans="1:29">
      <c r="A263" s="491"/>
      <c r="B263" s="491"/>
      <c r="C263" s="491"/>
      <c r="D263" s="491"/>
      <c r="E263" s="491"/>
      <c r="F263" s="491"/>
      <c r="G263" s="491"/>
      <c r="H263" s="491"/>
      <c r="I263" s="491"/>
      <c r="J263" s="491"/>
      <c r="K263" s="505"/>
      <c r="L263" s="506"/>
      <c r="M263" s="491"/>
      <c r="N263" s="491"/>
      <c r="O263" s="491"/>
      <c r="P263" s="491"/>
      <c r="Q263" s="491"/>
      <c r="R263" s="491"/>
      <c r="S263" s="491"/>
      <c r="T263" s="491"/>
      <c r="U263" s="491"/>
      <c r="V263" s="491"/>
      <c r="W263" s="491"/>
      <c r="X263" s="491"/>
      <c r="Y263" s="491"/>
      <c r="Z263" s="491"/>
      <c r="AA263" s="491"/>
      <c r="AB263" s="491"/>
      <c r="AC263" s="491"/>
    </row>
    <row r="264" spans="1:29">
      <c r="A264" s="491"/>
      <c r="B264" s="491"/>
      <c r="C264" s="491"/>
      <c r="D264" s="491"/>
      <c r="E264" s="491"/>
      <c r="F264" s="491"/>
      <c r="G264" s="491"/>
      <c r="H264" s="491"/>
      <c r="I264" s="491"/>
      <c r="J264" s="491"/>
      <c r="K264" s="505"/>
      <c r="L264" s="506"/>
      <c r="M264" s="491"/>
      <c r="N264" s="491"/>
      <c r="O264" s="491"/>
      <c r="P264" s="491"/>
      <c r="Q264" s="491"/>
      <c r="R264" s="491"/>
      <c r="S264" s="491"/>
      <c r="T264" s="491"/>
      <c r="U264" s="491"/>
      <c r="V264" s="491"/>
      <c r="W264" s="491"/>
      <c r="X264" s="491"/>
      <c r="Y264" s="491"/>
      <c r="Z264" s="491"/>
      <c r="AA264" s="491"/>
      <c r="AB264" s="491"/>
      <c r="AC264" s="491"/>
    </row>
    <row r="265" spans="1:29">
      <c r="A265" s="491"/>
      <c r="B265" s="491"/>
      <c r="C265" s="491"/>
      <c r="D265" s="491"/>
      <c r="E265" s="491"/>
      <c r="F265" s="491"/>
      <c r="G265" s="491"/>
      <c r="H265" s="491"/>
      <c r="I265" s="491"/>
      <c r="J265" s="491"/>
      <c r="K265" s="505"/>
      <c r="L265" s="506"/>
      <c r="M265" s="491"/>
      <c r="N265" s="491"/>
      <c r="O265" s="491"/>
      <c r="P265" s="491"/>
      <c r="Q265" s="491"/>
      <c r="R265" s="491"/>
      <c r="S265" s="491"/>
      <c r="T265" s="491"/>
      <c r="U265" s="491"/>
      <c r="V265" s="491"/>
      <c r="W265" s="491"/>
      <c r="X265" s="491"/>
      <c r="Y265" s="491"/>
      <c r="Z265" s="491"/>
      <c r="AA265" s="491"/>
      <c r="AB265" s="491"/>
      <c r="AC265" s="491"/>
    </row>
    <row r="266" spans="1:29">
      <c r="A266" s="491"/>
      <c r="B266" s="491"/>
      <c r="C266" s="491"/>
      <c r="D266" s="491"/>
      <c r="E266" s="491"/>
      <c r="F266" s="491"/>
      <c r="G266" s="491"/>
      <c r="H266" s="491"/>
      <c r="I266" s="491"/>
      <c r="J266" s="491"/>
      <c r="K266" s="505"/>
      <c r="L266" s="506"/>
      <c r="M266" s="491"/>
      <c r="N266" s="491"/>
      <c r="O266" s="491"/>
      <c r="P266" s="491"/>
      <c r="Q266" s="491"/>
      <c r="R266" s="491"/>
      <c r="S266" s="491"/>
      <c r="T266" s="491"/>
      <c r="U266" s="491"/>
      <c r="V266" s="491"/>
      <c r="W266" s="491"/>
      <c r="X266" s="491"/>
      <c r="Y266" s="491"/>
      <c r="Z266" s="491"/>
      <c r="AA266" s="491"/>
      <c r="AB266" s="491"/>
      <c r="AC266" s="491"/>
    </row>
    <row r="267" spans="1:29">
      <c r="A267" s="491"/>
      <c r="B267" s="491"/>
      <c r="C267" s="491"/>
      <c r="D267" s="491"/>
      <c r="E267" s="491"/>
      <c r="F267" s="491"/>
      <c r="G267" s="491"/>
      <c r="H267" s="491"/>
      <c r="I267" s="491"/>
      <c r="J267" s="491"/>
      <c r="K267" s="505"/>
      <c r="L267" s="506"/>
      <c r="M267" s="491"/>
      <c r="N267" s="491"/>
      <c r="O267" s="491"/>
      <c r="P267" s="491"/>
      <c r="Q267" s="491"/>
      <c r="R267" s="491"/>
      <c r="S267" s="491"/>
      <c r="T267" s="491"/>
      <c r="U267" s="491"/>
      <c r="V267" s="491"/>
      <c r="W267" s="491"/>
      <c r="X267" s="491"/>
      <c r="Y267" s="491"/>
      <c r="Z267" s="491"/>
      <c r="AA267" s="491"/>
      <c r="AB267" s="491"/>
      <c r="AC267" s="491"/>
    </row>
    <row r="268" spans="1:29">
      <c r="A268" s="491"/>
      <c r="B268" s="491"/>
      <c r="C268" s="491"/>
      <c r="D268" s="491"/>
      <c r="E268" s="491"/>
      <c r="F268" s="491"/>
      <c r="G268" s="491"/>
      <c r="H268" s="491"/>
      <c r="I268" s="491"/>
      <c r="J268" s="491"/>
      <c r="K268" s="505"/>
      <c r="L268" s="506"/>
      <c r="M268" s="491"/>
      <c r="N268" s="491"/>
      <c r="O268" s="491"/>
      <c r="P268" s="491"/>
      <c r="Q268" s="491"/>
      <c r="R268" s="491"/>
      <c r="S268" s="491"/>
      <c r="T268" s="491"/>
      <c r="U268" s="491"/>
      <c r="V268" s="491"/>
      <c r="W268" s="491"/>
      <c r="X268" s="491"/>
      <c r="Y268" s="491"/>
      <c r="Z268" s="491"/>
      <c r="AA268" s="491"/>
      <c r="AB268" s="491"/>
      <c r="AC268" s="491"/>
    </row>
    <row r="269" spans="1:29">
      <c r="A269" s="491"/>
      <c r="B269" s="491"/>
      <c r="C269" s="491"/>
      <c r="D269" s="491"/>
      <c r="E269" s="491"/>
      <c r="F269" s="491"/>
      <c r="G269" s="491"/>
      <c r="H269" s="491"/>
      <c r="I269" s="491"/>
      <c r="J269" s="491"/>
      <c r="K269" s="505"/>
      <c r="L269" s="506"/>
      <c r="M269" s="491"/>
      <c r="N269" s="491"/>
      <c r="O269" s="491"/>
      <c r="P269" s="491"/>
      <c r="Q269" s="491"/>
      <c r="R269" s="491"/>
      <c r="S269" s="491"/>
      <c r="T269" s="491"/>
      <c r="U269" s="491"/>
      <c r="V269" s="491"/>
      <c r="W269" s="491"/>
      <c r="X269" s="491"/>
      <c r="Y269" s="491"/>
      <c r="Z269" s="491"/>
      <c r="AA269" s="491"/>
      <c r="AB269" s="491"/>
      <c r="AC269" s="491"/>
    </row>
    <row r="270" spans="1:29">
      <c r="A270" s="491"/>
      <c r="B270" s="491"/>
      <c r="C270" s="491"/>
      <c r="D270" s="491"/>
      <c r="E270" s="491"/>
      <c r="F270" s="491"/>
      <c r="G270" s="491"/>
      <c r="H270" s="491"/>
      <c r="I270" s="491"/>
      <c r="J270" s="491"/>
      <c r="K270" s="505"/>
      <c r="L270" s="506"/>
      <c r="M270" s="491"/>
      <c r="N270" s="491"/>
      <c r="O270" s="491"/>
      <c r="P270" s="491"/>
      <c r="Q270" s="491"/>
      <c r="R270" s="491"/>
      <c r="S270" s="491"/>
      <c r="T270" s="491"/>
      <c r="U270" s="491"/>
      <c r="V270" s="491"/>
      <c r="W270" s="491"/>
      <c r="X270" s="491"/>
      <c r="Y270" s="491"/>
      <c r="Z270" s="491"/>
      <c r="AA270" s="491"/>
      <c r="AB270" s="491"/>
      <c r="AC270" s="491"/>
    </row>
    <row r="271" spans="1:29">
      <c r="A271" s="491"/>
      <c r="B271" s="491"/>
      <c r="C271" s="491"/>
      <c r="D271" s="491"/>
      <c r="E271" s="491"/>
      <c r="F271" s="491"/>
      <c r="G271" s="491"/>
      <c r="H271" s="491"/>
      <c r="I271" s="491"/>
      <c r="J271" s="491"/>
      <c r="K271" s="505"/>
      <c r="L271" s="506"/>
      <c r="M271" s="491"/>
      <c r="N271" s="491"/>
      <c r="O271" s="491"/>
      <c r="P271" s="491"/>
      <c r="Q271" s="491"/>
      <c r="R271" s="491"/>
      <c r="S271" s="491"/>
      <c r="T271" s="491"/>
      <c r="U271" s="491"/>
      <c r="V271" s="491"/>
      <c r="W271" s="491"/>
      <c r="X271" s="491"/>
      <c r="Y271" s="491"/>
      <c r="Z271" s="491"/>
      <c r="AA271" s="491"/>
      <c r="AB271" s="491"/>
      <c r="AC271" s="491"/>
    </row>
    <row r="272" spans="1:29">
      <c r="A272" s="491"/>
      <c r="B272" s="491"/>
      <c r="C272" s="491"/>
      <c r="D272" s="491"/>
      <c r="E272" s="491"/>
      <c r="F272" s="491"/>
      <c r="G272" s="491"/>
      <c r="H272" s="491"/>
      <c r="I272" s="491"/>
      <c r="J272" s="491"/>
      <c r="K272" s="505"/>
      <c r="L272" s="506"/>
      <c r="M272" s="491"/>
      <c r="N272" s="491"/>
      <c r="O272" s="491"/>
      <c r="P272" s="491"/>
      <c r="Q272" s="491"/>
      <c r="R272" s="491"/>
      <c r="S272" s="491"/>
      <c r="T272" s="491"/>
      <c r="U272" s="491"/>
      <c r="V272" s="491"/>
      <c r="W272" s="491"/>
      <c r="X272" s="491"/>
      <c r="Y272" s="491"/>
      <c r="Z272" s="491"/>
      <c r="AA272" s="491"/>
      <c r="AB272" s="491"/>
      <c r="AC272" s="491"/>
    </row>
    <row r="273" spans="1:29">
      <c r="A273" s="491"/>
      <c r="B273" s="491"/>
      <c r="C273" s="491"/>
      <c r="D273" s="491"/>
      <c r="E273" s="491"/>
      <c r="F273" s="491"/>
      <c r="G273" s="491"/>
      <c r="H273" s="491"/>
      <c r="I273" s="491"/>
      <c r="J273" s="491"/>
      <c r="K273" s="505"/>
      <c r="L273" s="506"/>
      <c r="M273" s="491"/>
      <c r="N273" s="491"/>
      <c r="O273" s="491"/>
      <c r="P273" s="491"/>
      <c r="Q273" s="491"/>
      <c r="R273" s="491"/>
      <c r="S273" s="491"/>
      <c r="T273" s="491"/>
      <c r="U273" s="491"/>
      <c r="V273" s="491"/>
      <c r="W273" s="491"/>
      <c r="X273" s="491"/>
      <c r="Y273" s="491"/>
      <c r="Z273" s="491"/>
      <c r="AA273" s="491"/>
      <c r="AB273" s="491"/>
      <c r="AC273" s="491"/>
    </row>
    <row r="274" spans="1:29">
      <c r="A274" s="491"/>
      <c r="B274" s="491"/>
      <c r="C274" s="491"/>
      <c r="D274" s="491"/>
      <c r="E274" s="491"/>
      <c r="F274" s="491"/>
      <c r="G274" s="491"/>
      <c r="H274" s="491"/>
      <c r="I274" s="491"/>
      <c r="J274" s="491"/>
      <c r="K274" s="505"/>
      <c r="L274" s="506"/>
      <c r="M274" s="491"/>
      <c r="N274" s="491"/>
      <c r="O274" s="491"/>
      <c r="P274" s="491"/>
      <c r="Q274" s="491"/>
      <c r="R274" s="491"/>
      <c r="S274" s="491"/>
      <c r="T274" s="491"/>
      <c r="U274" s="491"/>
      <c r="V274" s="491"/>
      <c r="W274" s="491"/>
      <c r="X274" s="491"/>
      <c r="Y274" s="491"/>
      <c r="Z274" s="491"/>
      <c r="AA274" s="491"/>
      <c r="AB274" s="491"/>
      <c r="AC274" s="491"/>
    </row>
    <row r="275" spans="1:29">
      <c r="A275" s="491"/>
      <c r="B275" s="491"/>
      <c r="C275" s="491"/>
      <c r="D275" s="491"/>
      <c r="E275" s="491"/>
      <c r="F275" s="491"/>
      <c r="G275" s="491"/>
      <c r="H275" s="491"/>
      <c r="I275" s="491"/>
      <c r="J275" s="491"/>
      <c r="K275" s="505"/>
      <c r="L275" s="506"/>
      <c r="M275" s="491"/>
      <c r="N275" s="491"/>
      <c r="O275" s="491"/>
      <c r="P275" s="491"/>
      <c r="Q275" s="491"/>
      <c r="R275" s="491"/>
      <c r="S275" s="491"/>
      <c r="T275" s="491"/>
      <c r="U275" s="491"/>
      <c r="V275" s="491"/>
      <c r="W275" s="491"/>
      <c r="X275" s="491"/>
      <c r="Y275" s="491"/>
      <c r="Z275" s="491"/>
      <c r="AA275" s="491"/>
      <c r="AB275" s="491"/>
      <c r="AC275" s="491"/>
    </row>
    <row r="276" spans="1:29">
      <c r="A276" s="491"/>
      <c r="B276" s="491"/>
      <c r="C276" s="491"/>
      <c r="D276" s="491"/>
      <c r="E276" s="491"/>
      <c r="F276" s="491"/>
      <c r="G276" s="491"/>
      <c r="H276" s="491"/>
      <c r="I276" s="491"/>
      <c r="J276" s="491"/>
      <c r="K276" s="505"/>
      <c r="L276" s="506"/>
      <c r="M276" s="491"/>
      <c r="N276" s="491"/>
      <c r="O276" s="491"/>
      <c r="P276" s="491"/>
      <c r="Q276" s="491"/>
      <c r="R276" s="491"/>
      <c r="S276" s="491"/>
      <c r="T276" s="491"/>
      <c r="U276" s="491"/>
      <c r="V276" s="491"/>
      <c r="W276" s="491"/>
      <c r="X276" s="491"/>
      <c r="Y276" s="491"/>
      <c r="Z276" s="491"/>
      <c r="AA276" s="491"/>
      <c r="AB276" s="491"/>
      <c r="AC276" s="491"/>
    </row>
    <row r="277" spans="1:29">
      <c r="A277" s="491"/>
      <c r="B277" s="491"/>
      <c r="C277" s="491"/>
      <c r="D277" s="491"/>
      <c r="E277" s="491"/>
      <c r="F277" s="491"/>
      <c r="G277" s="491"/>
      <c r="H277" s="491"/>
      <c r="I277" s="491"/>
      <c r="J277" s="491"/>
      <c r="K277" s="505"/>
      <c r="L277" s="506"/>
      <c r="M277" s="491"/>
      <c r="N277" s="491"/>
      <c r="O277" s="491"/>
      <c r="P277" s="491"/>
      <c r="Q277" s="491"/>
      <c r="R277" s="491"/>
      <c r="S277" s="491"/>
      <c r="T277" s="491"/>
      <c r="U277" s="491"/>
      <c r="V277" s="491"/>
      <c r="W277" s="491"/>
      <c r="X277" s="491"/>
      <c r="Y277" s="491"/>
      <c r="Z277" s="491"/>
      <c r="AA277" s="491"/>
      <c r="AB277" s="491"/>
      <c r="AC277" s="491"/>
    </row>
    <row r="278" spans="1:29">
      <c r="A278" s="491"/>
      <c r="B278" s="491"/>
      <c r="C278" s="491"/>
      <c r="D278" s="491"/>
      <c r="E278" s="491"/>
      <c r="F278" s="491"/>
      <c r="G278" s="491"/>
      <c r="H278" s="491"/>
      <c r="I278" s="491"/>
      <c r="J278" s="491"/>
      <c r="K278" s="505"/>
      <c r="L278" s="506"/>
      <c r="M278" s="491"/>
      <c r="N278" s="491"/>
      <c r="O278" s="491"/>
      <c r="P278" s="491"/>
      <c r="Q278" s="491"/>
      <c r="R278" s="491"/>
      <c r="S278" s="491"/>
      <c r="T278" s="491"/>
      <c r="U278" s="491"/>
      <c r="V278" s="491"/>
      <c r="W278" s="491"/>
      <c r="X278" s="491"/>
      <c r="Y278" s="491"/>
      <c r="Z278" s="491"/>
      <c r="AA278" s="491"/>
      <c r="AB278" s="491"/>
      <c r="AC278" s="491"/>
    </row>
    <row r="279" spans="1:29">
      <c r="A279" s="491"/>
      <c r="B279" s="491"/>
      <c r="C279" s="491"/>
      <c r="D279" s="491"/>
      <c r="E279" s="491"/>
      <c r="F279" s="491"/>
      <c r="G279" s="491"/>
      <c r="H279" s="491"/>
      <c r="I279" s="491"/>
      <c r="J279" s="491"/>
      <c r="K279" s="505"/>
      <c r="L279" s="506"/>
      <c r="M279" s="491"/>
      <c r="N279" s="491"/>
      <c r="O279" s="491"/>
      <c r="P279" s="491"/>
      <c r="Q279" s="491"/>
      <c r="R279" s="491"/>
      <c r="S279" s="491"/>
      <c r="T279" s="491"/>
      <c r="U279" s="491"/>
      <c r="V279" s="491"/>
      <c r="W279" s="491"/>
      <c r="X279" s="491"/>
      <c r="Y279" s="491"/>
      <c r="Z279" s="491"/>
      <c r="AA279" s="491"/>
      <c r="AB279" s="491"/>
      <c r="AC279" s="491"/>
    </row>
    <row r="280" spans="1:29">
      <c r="A280" s="491"/>
      <c r="B280" s="491"/>
      <c r="C280" s="491"/>
      <c r="D280" s="491"/>
      <c r="E280" s="491"/>
      <c r="F280" s="491"/>
      <c r="G280" s="491"/>
      <c r="H280" s="491"/>
      <c r="I280" s="491"/>
      <c r="J280" s="491"/>
      <c r="K280" s="505"/>
      <c r="L280" s="506"/>
      <c r="M280" s="491"/>
      <c r="N280" s="491"/>
      <c r="O280" s="491"/>
      <c r="P280" s="491"/>
      <c r="Q280" s="491"/>
      <c r="R280" s="491"/>
      <c r="S280" s="491"/>
      <c r="T280" s="491"/>
      <c r="U280" s="491"/>
      <c r="V280" s="491"/>
      <c r="W280" s="491"/>
      <c r="X280" s="491"/>
      <c r="Y280" s="491"/>
      <c r="Z280" s="491"/>
      <c r="AA280" s="491"/>
      <c r="AB280" s="491"/>
      <c r="AC280" s="491"/>
    </row>
    <row r="281" spans="1:29">
      <c r="A281" s="491"/>
      <c r="B281" s="491"/>
      <c r="C281" s="491"/>
      <c r="D281" s="491"/>
      <c r="E281" s="491"/>
      <c r="F281" s="491"/>
      <c r="G281" s="491"/>
      <c r="H281" s="491"/>
      <c r="I281" s="491"/>
      <c r="J281" s="491"/>
      <c r="K281" s="505"/>
      <c r="L281" s="506"/>
      <c r="M281" s="491"/>
      <c r="N281" s="491"/>
      <c r="O281" s="491"/>
      <c r="P281" s="491"/>
      <c r="Q281" s="491"/>
      <c r="R281" s="491"/>
      <c r="S281" s="491"/>
      <c r="T281" s="491"/>
      <c r="U281" s="491"/>
      <c r="V281" s="491"/>
      <c r="W281" s="491"/>
      <c r="X281" s="491"/>
      <c r="Y281" s="491"/>
      <c r="Z281" s="491"/>
      <c r="AA281" s="491"/>
      <c r="AB281" s="491"/>
      <c r="AC281" s="491"/>
    </row>
    <row r="282" spans="1:29">
      <c r="A282" s="491"/>
      <c r="B282" s="491"/>
      <c r="C282" s="491"/>
      <c r="D282" s="491"/>
      <c r="E282" s="491"/>
      <c r="F282" s="491"/>
      <c r="G282" s="491"/>
      <c r="H282" s="491"/>
      <c r="I282" s="491"/>
      <c r="J282" s="491"/>
      <c r="K282" s="505"/>
      <c r="L282" s="506"/>
      <c r="M282" s="491"/>
      <c r="N282" s="491"/>
      <c r="O282" s="491"/>
      <c r="P282" s="491"/>
      <c r="Q282" s="491"/>
      <c r="R282" s="491"/>
      <c r="S282" s="491"/>
      <c r="T282" s="491"/>
      <c r="U282" s="491"/>
      <c r="V282" s="491"/>
      <c r="W282" s="491"/>
      <c r="X282" s="491"/>
      <c r="Y282" s="491"/>
      <c r="Z282" s="491"/>
      <c r="AA282" s="491"/>
      <c r="AB282" s="491"/>
      <c r="AC282" s="491"/>
    </row>
    <row r="283" spans="1:29">
      <c r="A283" s="491"/>
      <c r="B283" s="491"/>
      <c r="C283" s="491"/>
      <c r="D283" s="491"/>
      <c r="E283" s="491"/>
      <c r="F283" s="491"/>
      <c r="G283" s="491"/>
      <c r="H283" s="491"/>
      <c r="I283" s="491"/>
      <c r="J283" s="491"/>
      <c r="K283" s="505"/>
      <c r="L283" s="506"/>
      <c r="M283" s="491"/>
      <c r="N283" s="491"/>
      <c r="O283" s="491"/>
      <c r="P283" s="491"/>
      <c r="Q283" s="491"/>
      <c r="R283" s="491"/>
      <c r="S283" s="491"/>
      <c r="T283" s="491"/>
      <c r="U283" s="491"/>
      <c r="V283" s="491"/>
      <c r="W283" s="491"/>
      <c r="X283" s="491"/>
      <c r="Y283" s="491"/>
      <c r="Z283" s="491"/>
      <c r="AA283" s="491"/>
      <c r="AB283" s="491"/>
      <c r="AC283" s="491"/>
    </row>
    <row r="284" spans="1:29">
      <c r="A284" s="491"/>
      <c r="B284" s="491"/>
      <c r="C284" s="491"/>
      <c r="D284" s="491"/>
      <c r="E284" s="491"/>
      <c r="F284" s="491"/>
      <c r="G284" s="491"/>
      <c r="H284" s="491"/>
      <c r="I284" s="491"/>
      <c r="J284" s="491"/>
      <c r="K284" s="505"/>
      <c r="L284" s="506"/>
      <c r="M284" s="491"/>
      <c r="N284" s="491"/>
      <c r="O284" s="491"/>
      <c r="P284" s="491"/>
      <c r="Q284" s="491"/>
      <c r="R284" s="491"/>
      <c r="S284" s="491"/>
      <c r="T284" s="491"/>
      <c r="U284" s="491"/>
      <c r="V284" s="491"/>
      <c r="W284" s="491"/>
      <c r="X284" s="491"/>
      <c r="Y284" s="491"/>
      <c r="Z284" s="491"/>
      <c r="AA284" s="491"/>
      <c r="AB284" s="491"/>
      <c r="AC284" s="491"/>
    </row>
    <row r="285" spans="1:29">
      <c r="A285" s="491"/>
      <c r="B285" s="491"/>
      <c r="C285" s="491"/>
      <c r="D285" s="491"/>
      <c r="E285" s="491"/>
      <c r="F285" s="491"/>
      <c r="G285" s="491"/>
      <c r="H285" s="491"/>
      <c r="I285" s="491"/>
      <c r="J285" s="491"/>
      <c r="K285" s="505"/>
      <c r="L285" s="506"/>
      <c r="M285" s="491"/>
      <c r="N285" s="491"/>
      <c r="O285" s="491"/>
      <c r="P285" s="491"/>
      <c r="Q285" s="491"/>
      <c r="R285" s="491"/>
      <c r="S285" s="491"/>
      <c r="T285" s="491"/>
      <c r="U285" s="491"/>
      <c r="V285" s="491"/>
      <c r="W285" s="491"/>
      <c r="X285" s="491"/>
      <c r="Y285" s="491"/>
      <c r="Z285" s="491"/>
      <c r="AA285" s="491"/>
      <c r="AB285" s="491"/>
      <c r="AC285" s="491"/>
    </row>
    <row r="286" spans="1:29">
      <c r="A286" s="491"/>
      <c r="B286" s="491"/>
      <c r="C286" s="491"/>
      <c r="D286" s="491"/>
      <c r="E286" s="491"/>
      <c r="F286" s="491"/>
      <c r="G286" s="491"/>
      <c r="H286" s="491"/>
      <c r="I286" s="491"/>
      <c r="J286" s="491"/>
      <c r="K286" s="505"/>
      <c r="L286" s="506"/>
      <c r="M286" s="491"/>
      <c r="N286" s="491"/>
      <c r="O286" s="491"/>
      <c r="P286" s="491"/>
      <c r="Q286" s="491"/>
      <c r="R286" s="491"/>
      <c r="S286" s="491"/>
      <c r="T286" s="491"/>
      <c r="U286" s="491"/>
      <c r="V286" s="491"/>
      <c r="W286" s="491"/>
      <c r="X286" s="491"/>
      <c r="Y286" s="491"/>
      <c r="Z286" s="491"/>
      <c r="AA286" s="491"/>
      <c r="AB286" s="491"/>
      <c r="AC286" s="491"/>
    </row>
    <row r="287" spans="1:29">
      <c r="A287" s="491"/>
      <c r="B287" s="491"/>
      <c r="C287" s="491"/>
      <c r="D287" s="491"/>
      <c r="E287" s="491"/>
      <c r="F287" s="491"/>
      <c r="G287" s="491"/>
      <c r="H287" s="491"/>
      <c r="I287" s="491"/>
      <c r="J287" s="491"/>
      <c r="K287" s="505"/>
      <c r="L287" s="506"/>
      <c r="M287" s="491"/>
      <c r="N287" s="491"/>
      <c r="O287" s="491"/>
      <c r="P287" s="491"/>
      <c r="Q287" s="491"/>
      <c r="R287" s="491"/>
      <c r="S287" s="491"/>
      <c r="T287" s="491"/>
      <c r="U287" s="491"/>
      <c r="V287" s="491"/>
      <c r="W287" s="491"/>
      <c r="X287" s="491"/>
      <c r="Y287" s="491"/>
      <c r="Z287" s="491"/>
      <c r="AA287" s="491"/>
      <c r="AB287" s="491"/>
      <c r="AC287" s="491"/>
    </row>
    <row r="288" spans="1:29">
      <c r="A288" s="491"/>
      <c r="B288" s="491"/>
      <c r="C288" s="491"/>
      <c r="D288" s="491"/>
      <c r="E288" s="491"/>
      <c r="F288" s="491"/>
      <c r="G288" s="491"/>
      <c r="H288" s="491"/>
      <c r="I288" s="491"/>
      <c r="J288" s="491"/>
      <c r="K288" s="505"/>
      <c r="L288" s="506"/>
      <c r="M288" s="491"/>
      <c r="N288" s="491"/>
      <c r="O288" s="491"/>
      <c r="P288" s="491"/>
      <c r="Q288" s="491"/>
      <c r="R288" s="491"/>
      <c r="S288" s="491"/>
      <c r="T288" s="491"/>
      <c r="U288" s="491"/>
      <c r="V288" s="491"/>
      <c r="W288" s="491"/>
      <c r="X288" s="491"/>
      <c r="Y288" s="491"/>
      <c r="Z288" s="491"/>
      <c r="AA288" s="491"/>
      <c r="AB288" s="491"/>
      <c r="AC288" s="491"/>
    </row>
    <row r="289" spans="1:29">
      <c r="A289" s="491"/>
      <c r="B289" s="491"/>
      <c r="C289" s="491"/>
      <c r="D289" s="491"/>
      <c r="E289" s="491"/>
      <c r="F289" s="491"/>
      <c r="G289" s="491"/>
      <c r="H289" s="491"/>
      <c r="I289" s="491"/>
      <c r="J289" s="491"/>
      <c r="K289" s="505"/>
      <c r="L289" s="506"/>
      <c r="M289" s="491"/>
      <c r="N289" s="491"/>
      <c r="O289" s="491"/>
      <c r="P289" s="491"/>
      <c r="Q289" s="491"/>
      <c r="R289" s="491"/>
      <c r="S289" s="491"/>
      <c r="T289" s="491"/>
      <c r="U289" s="491"/>
      <c r="V289" s="491"/>
      <c r="W289" s="491"/>
      <c r="X289" s="491"/>
      <c r="Y289" s="491"/>
      <c r="Z289" s="491"/>
      <c r="AA289" s="491"/>
      <c r="AB289" s="491"/>
      <c r="AC289" s="491"/>
    </row>
    <row r="290" spans="1:29">
      <c r="A290" s="491"/>
      <c r="B290" s="491"/>
      <c r="C290" s="491"/>
      <c r="D290" s="491"/>
      <c r="E290" s="491"/>
      <c r="F290" s="491"/>
      <c r="G290" s="491"/>
      <c r="H290" s="491"/>
      <c r="I290" s="491"/>
      <c r="J290" s="491"/>
      <c r="K290" s="505"/>
      <c r="L290" s="506"/>
      <c r="M290" s="491"/>
      <c r="N290" s="491"/>
      <c r="O290" s="491"/>
      <c r="P290" s="491"/>
      <c r="Q290" s="491"/>
      <c r="R290" s="491"/>
      <c r="S290" s="491"/>
      <c r="T290" s="491"/>
      <c r="U290" s="491"/>
      <c r="V290" s="491"/>
      <c r="W290" s="491"/>
      <c r="X290" s="491"/>
      <c r="Y290" s="491"/>
      <c r="Z290" s="491"/>
      <c r="AA290" s="491"/>
      <c r="AB290" s="491"/>
      <c r="AC290" s="491"/>
    </row>
    <row r="291" spans="1:29">
      <c r="A291" s="491"/>
      <c r="B291" s="491"/>
      <c r="C291" s="491"/>
      <c r="D291" s="491"/>
      <c r="E291" s="491"/>
      <c r="F291" s="491"/>
      <c r="G291" s="491"/>
      <c r="H291" s="491"/>
      <c r="I291" s="491"/>
      <c r="J291" s="491"/>
      <c r="K291" s="505"/>
      <c r="L291" s="506"/>
      <c r="M291" s="491"/>
      <c r="N291" s="491"/>
      <c r="O291" s="491"/>
      <c r="P291" s="491"/>
      <c r="Q291" s="491"/>
      <c r="R291" s="491"/>
      <c r="S291" s="491"/>
      <c r="T291" s="491"/>
      <c r="U291" s="491"/>
      <c r="V291" s="491"/>
      <c r="W291" s="491"/>
      <c r="X291" s="491"/>
      <c r="Y291" s="491"/>
      <c r="Z291" s="491"/>
      <c r="AA291" s="491"/>
      <c r="AB291" s="491"/>
      <c r="AC291" s="491"/>
    </row>
    <row r="292" spans="1:29">
      <c r="A292" s="491"/>
      <c r="B292" s="491"/>
      <c r="C292" s="491"/>
      <c r="D292" s="491"/>
      <c r="E292" s="491"/>
      <c r="F292" s="491"/>
      <c r="G292" s="491"/>
      <c r="H292" s="491"/>
      <c r="I292" s="491"/>
      <c r="J292" s="491"/>
      <c r="K292" s="505"/>
      <c r="L292" s="506"/>
      <c r="M292" s="491"/>
      <c r="N292" s="491"/>
      <c r="O292" s="491"/>
      <c r="P292" s="491"/>
      <c r="Q292" s="491"/>
      <c r="R292" s="491"/>
      <c r="S292" s="491"/>
      <c r="T292" s="491"/>
      <c r="U292" s="491"/>
      <c r="V292" s="491"/>
      <c r="W292" s="491"/>
      <c r="X292" s="491"/>
      <c r="Y292" s="491"/>
      <c r="Z292" s="491"/>
      <c r="AA292" s="491"/>
      <c r="AB292" s="491"/>
      <c r="AC292" s="491"/>
    </row>
    <row r="293" spans="1:29">
      <c r="A293" s="491"/>
      <c r="B293" s="491"/>
      <c r="C293" s="491"/>
      <c r="D293" s="491"/>
      <c r="E293" s="491"/>
      <c r="F293" s="491"/>
      <c r="G293" s="491"/>
      <c r="H293" s="491"/>
      <c r="I293" s="491"/>
      <c r="J293" s="491"/>
      <c r="K293" s="505"/>
      <c r="L293" s="506"/>
      <c r="M293" s="491"/>
      <c r="N293" s="491"/>
      <c r="O293" s="491"/>
      <c r="P293" s="491"/>
      <c r="Q293" s="491"/>
      <c r="R293" s="491"/>
      <c r="S293" s="491"/>
      <c r="T293" s="491"/>
      <c r="U293" s="491"/>
      <c r="V293" s="491"/>
      <c r="W293" s="491"/>
      <c r="X293" s="491"/>
      <c r="Y293" s="491"/>
      <c r="Z293" s="491"/>
      <c r="AA293" s="491"/>
      <c r="AB293" s="491"/>
      <c r="AC293" s="491"/>
    </row>
    <row r="294" spans="1:29">
      <c r="A294" s="491"/>
      <c r="B294" s="491"/>
      <c r="C294" s="491"/>
      <c r="D294" s="491"/>
      <c r="E294" s="491"/>
      <c r="F294" s="491"/>
      <c r="G294" s="491"/>
      <c r="H294" s="491"/>
      <c r="I294" s="491"/>
      <c r="J294" s="491"/>
      <c r="K294" s="505"/>
      <c r="L294" s="506"/>
      <c r="M294" s="491"/>
      <c r="N294" s="491"/>
      <c r="O294" s="491"/>
      <c r="P294" s="491"/>
      <c r="Q294" s="491"/>
      <c r="R294" s="491"/>
      <c r="S294" s="491"/>
      <c r="T294" s="491"/>
      <c r="U294" s="491"/>
      <c r="V294" s="491"/>
      <c r="W294" s="491"/>
      <c r="X294" s="491"/>
      <c r="Y294" s="491"/>
      <c r="Z294" s="491"/>
      <c r="AA294" s="491"/>
      <c r="AB294" s="491"/>
      <c r="AC294" s="491"/>
    </row>
    <row r="295" spans="1:29">
      <c r="A295" s="491"/>
      <c r="B295" s="491"/>
      <c r="C295" s="491"/>
      <c r="D295" s="491"/>
      <c r="E295" s="491"/>
      <c r="F295" s="491"/>
      <c r="G295" s="491"/>
      <c r="H295" s="491"/>
      <c r="I295" s="491"/>
      <c r="J295" s="491"/>
      <c r="K295" s="505"/>
      <c r="L295" s="506"/>
      <c r="M295" s="491"/>
      <c r="N295" s="491"/>
      <c r="O295" s="491"/>
      <c r="P295" s="491"/>
      <c r="Q295" s="491"/>
      <c r="R295" s="491"/>
      <c r="S295" s="491"/>
      <c r="T295" s="491"/>
      <c r="U295" s="491"/>
      <c r="V295" s="491"/>
      <c r="W295" s="491"/>
      <c r="X295" s="491"/>
      <c r="Y295" s="491"/>
      <c r="Z295" s="491"/>
      <c r="AA295" s="491"/>
      <c r="AB295" s="491"/>
      <c r="AC295" s="491"/>
    </row>
    <row r="296" spans="1:29">
      <c r="A296" s="491"/>
      <c r="B296" s="491"/>
      <c r="C296" s="491"/>
      <c r="D296" s="491"/>
      <c r="E296" s="491"/>
      <c r="F296" s="491"/>
      <c r="G296" s="491"/>
      <c r="H296" s="491"/>
      <c r="I296" s="491"/>
      <c r="J296" s="491"/>
      <c r="K296" s="505"/>
      <c r="L296" s="506"/>
      <c r="M296" s="491"/>
      <c r="N296" s="491"/>
      <c r="O296" s="491"/>
      <c r="P296" s="491"/>
      <c r="Q296" s="491"/>
      <c r="R296" s="491"/>
      <c r="S296" s="491"/>
      <c r="T296" s="491"/>
      <c r="U296" s="491"/>
      <c r="V296" s="491"/>
      <c r="W296" s="491"/>
      <c r="X296" s="491"/>
      <c r="Y296" s="491"/>
      <c r="Z296" s="491"/>
      <c r="AA296" s="491"/>
      <c r="AB296" s="491"/>
      <c r="AC296" s="491"/>
    </row>
    <row r="297" spans="1:29">
      <c r="A297" s="491"/>
      <c r="B297" s="491"/>
      <c r="C297" s="491"/>
      <c r="D297" s="491"/>
      <c r="E297" s="491"/>
      <c r="F297" s="491"/>
      <c r="G297" s="491"/>
      <c r="H297" s="491"/>
      <c r="I297" s="491"/>
      <c r="J297" s="491"/>
      <c r="K297" s="505"/>
      <c r="L297" s="506"/>
      <c r="M297" s="491"/>
      <c r="N297" s="491"/>
      <c r="O297" s="491"/>
      <c r="P297" s="491"/>
      <c r="Q297" s="491"/>
      <c r="R297" s="491"/>
      <c r="S297" s="491"/>
      <c r="T297" s="491"/>
      <c r="U297" s="491"/>
      <c r="V297" s="491"/>
      <c r="W297" s="491"/>
      <c r="X297" s="491"/>
      <c r="Y297" s="491"/>
      <c r="Z297" s="491"/>
      <c r="AA297" s="491"/>
      <c r="AB297" s="491"/>
      <c r="AC297" s="491"/>
    </row>
    <row r="298" spans="1:29">
      <c r="A298" s="491"/>
      <c r="B298" s="491"/>
      <c r="C298" s="491"/>
      <c r="D298" s="491"/>
      <c r="E298" s="491"/>
      <c r="F298" s="491"/>
      <c r="G298" s="491"/>
      <c r="H298" s="491"/>
      <c r="I298" s="491"/>
      <c r="J298" s="491"/>
      <c r="K298" s="505"/>
      <c r="L298" s="506"/>
      <c r="M298" s="491"/>
      <c r="N298" s="491"/>
      <c r="O298" s="491"/>
      <c r="P298" s="491"/>
      <c r="Q298" s="491"/>
      <c r="R298" s="491"/>
      <c r="S298" s="491"/>
      <c r="T298" s="491"/>
      <c r="U298" s="491"/>
      <c r="V298" s="491"/>
      <c r="W298" s="491"/>
      <c r="X298" s="491"/>
      <c r="Y298" s="491"/>
      <c r="Z298" s="491"/>
      <c r="AA298" s="491"/>
      <c r="AB298" s="491"/>
      <c r="AC298" s="491"/>
    </row>
    <row r="299" spans="1:29">
      <c r="A299" s="491"/>
      <c r="B299" s="491"/>
      <c r="C299" s="491"/>
      <c r="D299" s="491"/>
      <c r="E299" s="491"/>
      <c r="F299" s="491"/>
      <c r="G299" s="491"/>
      <c r="H299" s="491"/>
      <c r="I299" s="491"/>
      <c r="J299" s="491"/>
      <c r="K299" s="505"/>
      <c r="L299" s="506"/>
      <c r="M299" s="491"/>
      <c r="N299" s="491"/>
      <c r="O299" s="491"/>
      <c r="P299" s="491"/>
      <c r="Q299" s="491"/>
      <c r="R299" s="491"/>
      <c r="S299" s="491"/>
      <c r="T299" s="491"/>
      <c r="U299" s="491"/>
      <c r="V299" s="491"/>
      <c r="W299" s="491"/>
      <c r="X299" s="491"/>
      <c r="Y299" s="491"/>
      <c r="Z299" s="491"/>
      <c r="AA299" s="491"/>
      <c r="AB299" s="491"/>
      <c r="AC299" s="491"/>
    </row>
    <row r="300" spans="1:29">
      <c r="A300" s="491"/>
      <c r="B300" s="491"/>
      <c r="C300" s="491"/>
      <c r="D300" s="491"/>
      <c r="E300" s="491"/>
      <c r="F300" s="491"/>
      <c r="G300" s="491"/>
      <c r="H300" s="491"/>
      <c r="I300" s="491"/>
      <c r="J300" s="491"/>
      <c r="K300" s="505"/>
      <c r="L300" s="506"/>
      <c r="M300" s="491"/>
      <c r="N300" s="491"/>
      <c r="O300" s="491"/>
      <c r="P300" s="491"/>
      <c r="Q300" s="491"/>
      <c r="R300" s="491"/>
      <c r="S300" s="491"/>
      <c r="T300" s="491"/>
      <c r="U300" s="491"/>
      <c r="V300" s="491"/>
      <c r="W300" s="491"/>
      <c r="X300" s="491"/>
      <c r="Y300" s="491"/>
      <c r="Z300" s="491"/>
      <c r="AA300" s="491"/>
      <c r="AB300" s="491"/>
      <c r="AC300" s="491"/>
    </row>
    <row r="301" spans="1:29">
      <c r="A301" s="491"/>
      <c r="B301" s="491"/>
      <c r="C301" s="491"/>
      <c r="D301" s="491"/>
      <c r="E301" s="491"/>
      <c r="F301" s="491"/>
      <c r="G301" s="491"/>
      <c r="H301" s="491"/>
      <c r="I301" s="491"/>
      <c r="J301" s="491"/>
      <c r="K301" s="505"/>
      <c r="L301" s="506"/>
      <c r="M301" s="491"/>
      <c r="N301" s="491"/>
      <c r="O301" s="491"/>
      <c r="P301" s="491"/>
      <c r="Q301" s="491"/>
      <c r="R301" s="491"/>
      <c r="S301" s="491"/>
      <c r="T301" s="491"/>
      <c r="U301" s="491"/>
      <c r="V301" s="491"/>
      <c r="W301" s="491"/>
      <c r="X301" s="491"/>
      <c r="Y301" s="491"/>
      <c r="Z301" s="491"/>
      <c r="AA301" s="491"/>
      <c r="AB301" s="491"/>
      <c r="AC301" s="491"/>
    </row>
    <row r="302" spans="1:29">
      <c r="A302" s="491"/>
      <c r="B302" s="491"/>
      <c r="C302" s="491"/>
      <c r="D302" s="491"/>
      <c r="E302" s="491"/>
      <c r="F302" s="491"/>
      <c r="G302" s="491"/>
      <c r="H302" s="491"/>
      <c r="I302" s="491"/>
      <c r="J302" s="491"/>
      <c r="K302" s="505"/>
      <c r="L302" s="506"/>
      <c r="M302" s="491"/>
      <c r="N302" s="491"/>
      <c r="O302" s="491"/>
      <c r="P302" s="491"/>
      <c r="Q302" s="491"/>
      <c r="R302" s="491"/>
      <c r="S302" s="491"/>
      <c r="T302" s="491"/>
      <c r="U302" s="491"/>
      <c r="V302" s="491"/>
      <c r="W302" s="491"/>
      <c r="X302" s="491"/>
      <c r="Y302" s="491"/>
      <c r="Z302" s="491"/>
      <c r="AA302" s="491"/>
      <c r="AB302" s="491"/>
      <c r="AC302" s="491"/>
    </row>
    <row r="303" spans="1:29">
      <c r="A303" s="491"/>
      <c r="B303" s="491"/>
      <c r="C303" s="491"/>
      <c r="D303" s="491"/>
      <c r="E303" s="491"/>
      <c r="F303" s="491"/>
      <c r="G303" s="491"/>
      <c r="H303" s="491"/>
      <c r="I303" s="491"/>
      <c r="J303" s="491"/>
      <c r="K303" s="505"/>
      <c r="L303" s="506"/>
      <c r="M303" s="491"/>
      <c r="N303" s="491"/>
      <c r="O303" s="491"/>
      <c r="P303" s="491"/>
      <c r="Q303" s="491"/>
      <c r="R303" s="491"/>
      <c r="S303" s="491"/>
      <c r="T303" s="491"/>
      <c r="U303" s="491"/>
      <c r="V303" s="491"/>
      <c r="W303" s="491"/>
      <c r="X303" s="491"/>
      <c r="Y303" s="491"/>
      <c r="Z303" s="491"/>
      <c r="AA303" s="491"/>
      <c r="AB303" s="491"/>
      <c r="AC303" s="491"/>
    </row>
    <row r="304" spans="1:29">
      <c r="A304" s="491"/>
      <c r="B304" s="491"/>
      <c r="C304" s="491"/>
      <c r="D304" s="491"/>
      <c r="E304" s="491"/>
      <c r="F304" s="491"/>
      <c r="G304" s="491"/>
      <c r="H304" s="491"/>
      <c r="I304" s="491"/>
      <c r="J304" s="491"/>
      <c r="K304" s="505"/>
      <c r="L304" s="506"/>
      <c r="M304" s="491"/>
      <c r="N304" s="491"/>
      <c r="O304" s="491"/>
      <c r="P304" s="491"/>
      <c r="Q304" s="491"/>
      <c r="R304" s="491"/>
      <c r="S304" s="491"/>
      <c r="T304" s="491"/>
      <c r="U304" s="491"/>
      <c r="V304" s="491"/>
      <c r="W304" s="491"/>
      <c r="X304" s="491"/>
      <c r="Y304" s="491"/>
      <c r="Z304" s="491"/>
      <c r="AA304" s="491"/>
      <c r="AB304" s="491"/>
      <c r="AC304" s="491"/>
    </row>
    <row r="305" spans="1:29">
      <c r="A305" s="491"/>
      <c r="B305" s="491"/>
      <c r="C305" s="491"/>
      <c r="D305" s="491"/>
      <c r="E305" s="491"/>
      <c r="F305" s="491"/>
      <c r="G305" s="491"/>
      <c r="H305" s="491"/>
      <c r="I305" s="491"/>
      <c r="J305" s="491"/>
      <c r="K305" s="505"/>
      <c r="L305" s="506"/>
      <c r="M305" s="491"/>
      <c r="N305" s="491"/>
      <c r="O305" s="491"/>
      <c r="P305" s="491"/>
      <c r="Q305" s="491"/>
      <c r="R305" s="491"/>
      <c r="S305" s="491"/>
      <c r="T305" s="491"/>
      <c r="U305" s="491"/>
      <c r="V305" s="491"/>
      <c r="W305" s="491"/>
      <c r="X305" s="491"/>
      <c r="Y305" s="491"/>
      <c r="Z305" s="491"/>
      <c r="AA305" s="491"/>
      <c r="AB305" s="491"/>
      <c r="AC305" s="491"/>
    </row>
    <row r="306" spans="1:29">
      <c r="A306" s="491"/>
      <c r="B306" s="491"/>
      <c r="C306" s="491"/>
      <c r="D306" s="491"/>
      <c r="E306" s="491"/>
      <c r="F306" s="491"/>
      <c r="G306" s="491"/>
      <c r="H306" s="491"/>
      <c r="I306" s="491"/>
      <c r="J306" s="491"/>
      <c r="K306" s="505"/>
      <c r="L306" s="506"/>
      <c r="M306" s="491"/>
      <c r="N306" s="491"/>
      <c r="O306" s="491"/>
      <c r="P306" s="491"/>
      <c r="Q306" s="491"/>
      <c r="R306" s="491"/>
      <c r="S306" s="491"/>
      <c r="T306" s="491"/>
      <c r="U306" s="491"/>
      <c r="V306" s="491"/>
      <c r="W306" s="491"/>
      <c r="X306" s="491"/>
      <c r="Y306" s="491"/>
      <c r="Z306" s="491"/>
      <c r="AA306" s="491"/>
      <c r="AB306" s="491"/>
      <c r="AC306" s="491"/>
    </row>
    <row r="307" spans="1:29">
      <c r="A307" s="491"/>
      <c r="B307" s="491"/>
      <c r="C307" s="491"/>
      <c r="D307" s="491"/>
      <c r="E307" s="491"/>
      <c r="F307" s="491"/>
      <c r="G307" s="491"/>
      <c r="H307" s="491"/>
      <c r="I307" s="491"/>
      <c r="J307" s="491"/>
      <c r="K307" s="505"/>
      <c r="L307" s="506"/>
      <c r="M307" s="491"/>
      <c r="N307" s="491"/>
      <c r="O307" s="491"/>
      <c r="P307" s="491"/>
      <c r="Q307" s="491"/>
      <c r="R307" s="491"/>
      <c r="S307" s="491"/>
      <c r="T307" s="491"/>
      <c r="U307" s="491"/>
      <c r="V307" s="491"/>
      <c r="W307" s="491"/>
      <c r="X307" s="491"/>
      <c r="Y307" s="491"/>
      <c r="Z307" s="491"/>
      <c r="AA307" s="491"/>
      <c r="AB307" s="491"/>
      <c r="AC307" s="491"/>
    </row>
    <row r="308" spans="1:29">
      <c r="A308" s="491"/>
      <c r="B308" s="491"/>
      <c r="C308" s="491"/>
      <c r="D308" s="491"/>
      <c r="E308" s="491"/>
      <c r="F308" s="491"/>
      <c r="G308" s="491"/>
      <c r="H308" s="491"/>
      <c r="I308" s="491"/>
      <c r="J308" s="491"/>
      <c r="K308" s="505"/>
      <c r="L308" s="506"/>
      <c r="M308" s="491"/>
      <c r="N308" s="491"/>
      <c r="O308" s="491"/>
      <c r="P308" s="491"/>
      <c r="Q308" s="491"/>
      <c r="R308" s="491"/>
      <c r="S308" s="491"/>
      <c r="T308" s="491"/>
      <c r="U308" s="491"/>
      <c r="V308" s="491"/>
      <c r="W308" s="491"/>
      <c r="X308" s="491"/>
      <c r="Y308" s="491"/>
      <c r="Z308" s="491"/>
      <c r="AA308" s="491"/>
      <c r="AB308" s="491"/>
      <c r="AC308" s="491"/>
    </row>
    <row r="309" spans="1:29">
      <c r="A309" s="491"/>
      <c r="B309" s="491"/>
      <c r="C309" s="491"/>
      <c r="D309" s="491"/>
      <c r="E309" s="491"/>
      <c r="F309" s="491"/>
      <c r="G309" s="491"/>
      <c r="H309" s="491"/>
      <c r="I309" s="491"/>
      <c r="J309" s="491"/>
      <c r="K309" s="505"/>
      <c r="L309" s="506"/>
      <c r="M309" s="491"/>
      <c r="N309" s="491"/>
      <c r="O309" s="491"/>
      <c r="P309" s="491"/>
      <c r="Q309" s="491"/>
      <c r="R309" s="491"/>
      <c r="S309" s="491"/>
      <c r="T309" s="491"/>
      <c r="U309" s="491"/>
      <c r="V309" s="491"/>
      <c r="W309" s="491"/>
      <c r="X309" s="491"/>
      <c r="Y309" s="491"/>
      <c r="Z309" s="491"/>
      <c r="AA309" s="491"/>
      <c r="AB309" s="491"/>
      <c r="AC309" s="491"/>
    </row>
    <row r="310" spans="1:29">
      <c r="A310" s="491"/>
      <c r="B310" s="491"/>
      <c r="C310" s="491"/>
      <c r="D310" s="491"/>
      <c r="E310" s="491"/>
      <c r="F310" s="491"/>
      <c r="G310" s="491"/>
      <c r="H310" s="491"/>
      <c r="I310" s="491"/>
      <c r="J310" s="491"/>
      <c r="K310" s="505"/>
      <c r="L310" s="506"/>
      <c r="M310" s="491"/>
      <c r="N310" s="491"/>
      <c r="O310" s="491"/>
      <c r="P310" s="491"/>
      <c r="Q310" s="491"/>
      <c r="R310" s="491"/>
      <c r="S310" s="491"/>
      <c r="T310" s="491"/>
      <c r="U310" s="491"/>
      <c r="V310" s="491"/>
      <c r="W310" s="491"/>
      <c r="X310" s="491"/>
      <c r="Y310" s="491"/>
      <c r="Z310" s="491"/>
      <c r="AA310" s="491"/>
      <c r="AB310" s="491"/>
      <c r="AC310" s="491"/>
    </row>
    <row r="311" spans="1:29">
      <c r="A311" s="491"/>
      <c r="B311" s="491"/>
      <c r="C311" s="491"/>
      <c r="D311" s="491"/>
      <c r="E311" s="491"/>
      <c r="F311" s="491"/>
      <c r="G311" s="491"/>
      <c r="H311" s="491"/>
      <c r="I311" s="491"/>
      <c r="J311" s="491"/>
      <c r="K311" s="505"/>
      <c r="L311" s="506"/>
      <c r="M311" s="491"/>
      <c r="N311" s="491"/>
      <c r="O311" s="491"/>
      <c r="P311" s="491"/>
      <c r="Q311" s="491"/>
      <c r="R311" s="491"/>
      <c r="S311" s="491"/>
      <c r="T311" s="491"/>
      <c r="U311" s="491"/>
      <c r="V311" s="491"/>
      <c r="W311" s="491"/>
      <c r="X311" s="491"/>
      <c r="Y311" s="491"/>
      <c r="Z311" s="491"/>
      <c r="AA311" s="491"/>
      <c r="AB311" s="491"/>
      <c r="AC311" s="491"/>
    </row>
    <row r="312" spans="1:29">
      <c r="A312" s="491"/>
      <c r="B312" s="491"/>
      <c r="C312" s="491"/>
      <c r="D312" s="491"/>
      <c r="E312" s="491"/>
      <c r="F312" s="491"/>
      <c r="G312" s="491"/>
      <c r="H312" s="491"/>
      <c r="I312" s="491"/>
      <c r="J312" s="491"/>
      <c r="K312" s="505"/>
      <c r="L312" s="506"/>
      <c r="M312" s="491"/>
      <c r="N312" s="491"/>
      <c r="O312" s="491"/>
      <c r="P312" s="491"/>
      <c r="Q312" s="491"/>
      <c r="R312" s="491"/>
      <c r="S312" s="491"/>
      <c r="T312" s="491"/>
      <c r="U312" s="491"/>
      <c r="V312" s="491"/>
      <c r="W312" s="491"/>
      <c r="X312" s="491"/>
      <c r="Y312" s="491"/>
      <c r="Z312" s="491"/>
      <c r="AA312" s="491"/>
      <c r="AB312" s="491"/>
      <c r="AC312" s="491"/>
    </row>
    <row r="313" spans="1:29">
      <c r="A313" s="491"/>
      <c r="B313" s="491"/>
      <c r="C313" s="491"/>
      <c r="D313" s="491"/>
      <c r="E313" s="491"/>
      <c r="F313" s="491"/>
      <c r="G313" s="491"/>
      <c r="H313" s="491"/>
      <c r="I313" s="491"/>
      <c r="J313" s="491"/>
      <c r="K313" s="505"/>
      <c r="L313" s="506"/>
      <c r="M313" s="491"/>
      <c r="N313" s="491"/>
      <c r="O313" s="491"/>
      <c r="P313" s="491"/>
      <c r="Q313" s="491"/>
      <c r="R313" s="491"/>
      <c r="S313" s="491"/>
      <c r="T313" s="491"/>
      <c r="U313" s="491"/>
      <c r="V313" s="491"/>
      <c r="W313" s="491"/>
      <c r="X313" s="491"/>
      <c r="Y313" s="491"/>
      <c r="Z313" s="491"/>
      <c r="AA313" s="491"/>
      <c r="AB313" s="491"/>
      <c r="AC313" s="491"/>
    </row>
    <row r="314" spans="1:29">
      <c r="A314" s="491"/>
      <c r="B314" s="491"/>
      <c r="C314" s="491"/>
      <c r="D314" s="491"/>
      <c r="E314" s="491"/>
      <c r="F314" s="491"/>
      <c r="G314" s="491"/>
      <c r="H314" s="491"/>
      <c r="I314" s="491"/>
      <c r="J314" s="491"/>
      <c r="K314" s="505"/>
      <c r="L314" s="506"/>
      <c r="M314" s="491"/>
      <c r="N314" s="491"/>
      <c r="O314" s="491"/>
      <c r="P314" s="491"/>
      <c r="Q314" s="491"/>
      <c r="R314" s="491"/>
      <c r="S314" s="491"/>
      <c r="T314" s="491"/>
      <c r="U314" s="491"/>
      <c r="V314" s="491"/>
      <c r="W314" s="491"/>
      <c r="X314" s="491"/>
      <c r="Y314" s="491"/>
      <c r="Z314" s="491"/>
      <c r="AA314" s="491"/>
      <c r="AB314" s="491"/>
      <c r="AC314" s="491"/>
    </row>
    <row r="315" spans="1:29">
      <c r="A315" s="491"/>
      <c r="B315" s="491"/>
      <c r="C315" s="491"/>
      <c r="D315" s="491"/>
      <c r="E315" s="491"/>
      <c r="F315" s="491"/>
      <c r="G315" s="491"/>
      <c r="H315" s="491"/>
      <c r="I315" s="491"/>
      <c r="J315" s="491"/>
      <c r="K315" s="505"/>
      <c r="L315" s="506"/>
      <c r="M315" s="491"/>
      <c r="N315" s="491"/>
      <c r="O315" s="491"/>
      <c r="P315" s="491"/>
      <c r="Q315" s="491"/>
      <c r="R315" s="491"/>
      <c r="S315" s="491"/>
      <c r="T315" s="491"/>
      <c r="U315" s="491"/>
      <c r="V315" s="491"/>
      <c r="W315" s="491"/>
      <c r="X315" s="491"/>
      <c r="Y315" s="491"/>
      <c r="Z315" s="491"/>
      <c r="AA315" s="491"/>
      <c r="AB315" s="491"/>
      <c r="AC315" s="491"/>
    </row>
    <row r="316" spans="1:29">
      <c r="A316" s="491"/>
      <c r="B316" s="491"/>
      <c r="C316" s="491"/>
      <c r="D316" s="491"/>
      <c r="E316" s="491"/>
      <c r="F316" s="491"/>
      <c r="G316" s="491"/>
      <c r="H316" s="491"/>
      <c r="I316" s="491"/>
      <c r="J316" s="491"/>
      <c r="K316" s="505"/>
      <c r="L316" s="506"/>
      <c r="M316" s="491"/>
      <c r="N316" s="491"/>
      <c r="O316" s="491"/>
      <c r="P316" s="491"/>
      <c r="Q316" s="491"/>
      <c r="R316" s="491"/>
      <c r="S316" s="491"/>
      <c r="T316" s="491"/>
      <c r="U316" s="491"/>
      <c r="V316" s="491"/>
      <c r="W316" s="491"/>
      <c r="X316" s="491"/>
      <c r="Y316" s="491"/>
      <c r="Z316" s="491"/>
      <c r="AA316" s="491"/>
      <c r="AB316" s="491"/>
      <c r="AC316" s="491"/>
    </row>
    <row r="317" spans="1:29">
      <c r="A317" s="491"/>
      <c r="B317" s="491"/>
      <c r="C317" s="491"/>
      <c r="D317" s="491"/>
      <c r="E317" s="491"/>
      <c r="F317" s="491"/>
      <c r="G317" s="491"/>
      <c r="H317" s="491"/>
      <c r="I317" s="491"/>
      <c r="J317" s="491"/>
      <c r="K317" s="505"/>
      <c r="L317" s="506"/>
      <c r="M317" s="491"/>
      <c r="N317" s="491"/>
      <c r="O317" s="491"/>
      <c r="P317" s="491"/>
      <c r="Q317" s="491"/>
      <c r="R317" s="491"/>
      <c r="S317" s="491"/>
      <c r="T317" s="491"/>
      <c r="U317" s="491"/>
      <c r="V317" s="491"/>
      <c r="W317" s="491"/>
      <c r="X317" s="491"/>
      <c r="Y317" s="491"/>
      <c r="Z317" s="491"/>
      <c r="AA317" s="491"/>
      <c r="AB317" s="491"/>
      <c r="AC317" s="491"/>
    </row>
    <row r="318" spans="1:29">
      <c r="A318" s="491"/>
      <c r="B318" s="491"/>
      <c r="C318" s="491"/>
      <c r="D318" s="491"/>
      <c r="E318" s="491"/>
      <c r="F318" s="491"/>
      <c r="G318" s="491"/>
      <c r="H318" s="491"/>
      <c r="I318" s="491"/>
      <c r="J318" s="491"/>
      <c r="K318" s="505"/>
      <c r="L318" s="506"/>
      <c r="M318" s="491"/>
      <c r="N318" s="491"/>
      <c r="O318" s="491"/>
      <c r="P318" s="491"/>
      <c r="Q318" s="491"/>
      <c r="R318" s="491"/>
      <c r="S318" s="491"/>
      <c r="T318" s="491"/>
      <c r="U318" s="491"/>
      <c r="V318" s="491"/>
      <c r="W318" s="491"/>
      <c r="X318" s="491"/>
      <c r="Y318" s="491"/>
      <c r="Z318" s="491"/>
      <c r="AA318" s="491"/>
      <c r="AB318" s="491"/>
      <c r="AC318" s="491"/>
    </row>
    <row r="319" spans="14:29">
      <c r="N319" s="491"/>
      <c r="O319" s="491"/>
      <c r="P319" s="491"/>
      <c r="Q319" s="491"/>
      <c r="R319" s="491"/>
      <c r="S319" s="491"/>
      <c r="T319" s="491"/>
      <c r="U319" s="491"/>
      <c r="V319" s="491"/>
      <c r="W319" s="491"/>
      <c r="X319" s="491"/>
      <c r="Y319" s="491"/>
      <c r="Z319" s="491"/>
      <c r="AA319" s="491"/>
      <c r="AB319" s="491"/>
      <c r="AC319" s="491"/>
    </row>
    <row r="320" spans="29:29">
      <c r="AC320" s="491"/>
    </row>
    <row r="321" spans="29:29">
      <c r="AC321" s="491"/>
    </row>
    <row r="322" spans="29:29">
      <c r="AC322" s="491"/>
    </row>
    <row r="323" spans="29:29">
      <c r="AC323" s="491"/>
    </row>
    <row r="324" spans="29:29">
      <c r="AC324" s="491"/>
    </row>
    <row r="325" spans="29:29">
      <c r="AC325" s="491"/>
    </row>
    <row r="326" spans="29:29">
      <c r="AC326" s="491"/>
    </row>
    <row r="327" spans="29:29">
      <c r="AC327" s="491"/>
    </row>
    <row r="328" spans="29:29">
      <c r="AC328" s="491"/>
    </row>
    <row r="329" spans="29:29">
      <c r="AC329" s="491"/>
    </row>
    <row r="330" spans="29:29">
      <c r="AC330" s="491"/>
    </row>
    <row r="331" spans="29:29">
      <c r="AC331" s="491"/>
    </row>
    <row r="332" spans="29:29">
      <c r="AC332" s="491"/>
    </row>
    <row r="333" spans="29:29">
      <c r="AC333" s="491"/>
    </row>
    <row r="334" spans="29:29">
      <c r="AC334" s="491"/>
    </row>
    <row r="335" spans="29:29">
      <c r="AC335" s="491"/>
    </row>
    <row r="336" spans="29:29">
      <c r="AC336" s="491"/>
    </row>
    <row r="337" spans="29:29">
      <c r="AC337" s="491"/>
    </row>
    <row r="338" spans="29:29">
      <c r="AC338" s="491"/>
    </row>
    <row r="339" spans="29:29">
      <c r="AC339" s="491"/>
    </row>
    <row r="340" spans="29:29">
      <c r="AC340" s="491"/>
    </row>
    <row r="341" spans="29:29">
      <c r="AC341" s="491"/>
    </row>
    <row r="342" spans="29:29">
      <c r="AC342" s="491"/>
    </row>
    <row r="343" spans="29:29">
      <c r="AC343" s="491"/>
    </row>
    <row r="344" spans="29:29">
      <c r="AC344" s="491"/>
    </row>
    <row r="345" spans="29:29">
      <c r="AC345" s="491"/>
    </row>
    <row r="346" spans="29:29">
      <c r="AC346" s="491"/>
    </row>
    <row r="347" spans="29:29">
      <c r="AC347" s="491"/>
    </row>
    <row r="348" spans="29:29">
      <c r="AC348" s="491"/>
    </row>
    <row r="349" spans="29:29">
      <c r="AC349" s="491"/>
    </row>
    <row r="350" spans="29:29">
      <c r="AC350" s="491"/>
    </row>
    <row r="351" spans="29:29">
      <c r="AC351" s="491"/>
    </row>
    <row r="352" spans="29:29">
      <c r="AC352" s="491"/>
    </row>
    <row r="353" spans="29:29">
      <c r="AC353" s="491"/>
    </row>
    <row r="354" spans="29:29">
      <c r="AC354" s="491"/>
    </row>
    <row r="355" spans="29:29">
      <c r="AC355" s="491"/>
    </row>
    <row r="356" spans="29:29">
      <c r="AC356" s="491"/>
    </row>
    <row r="357" spans="29:29">
      <c r="AC357" s="491"/>
    </row>
    <row r="358" spans="29:29">
      <c r="AC358" s="491"/>
    </row>
    <row r="359" spans="29:29">
      <c r="AC359" s="491"/>
    </row>
    <row r="360" spans="29:29">
      <c r="AC360" s="491"/>
    </row>
    <row r="361" spans="29:29">
      <c r="AC361" s="491"/>
    </row>
    <row r="362" spans="29:29">
      <c r="AC362" s="491"/>
    </row>
    <row r="363" spans="29:29">
      <c r="AC363" s="491"/>
    </row>
    <row r="364" spans="29:29">
      <c r="AC364" s="491"/>
    </row>
    <row r="365" spans="29:29">
      <c r="AC365" s="491"/>
    </row>
    <row r="366" spans="29:29">
      <c r="AC366" s="491"/>
    </row>
    <row r="367" spans="29:29">
      <c r="AC367" s="491"/>
    </row>
    <row r="368" spans="29:29">
      <c r="AC368" s="491"/>
    </row>
    <row r="369" spans="29:29">
      <c r="AC369" s="491"/>
    </row>
    <row r="370" spans="29:29">
      <c r="AC370" s="491"/>
    </row>
    <row r="371" spans="29:29">
      <c r="AC371" s="491"/>
    </row>
    <row r="372" spans="29:29">
      <c r="AC372" s="491"/>
    </row>
    <row r="373" spans="29:29">
      <c r="AC373" s="491"/>
    </row>
    <row r="374" spans="29:29">
      <c r="AC374" s="491"/>
    </row>
    <row r="375" spans="29:29">
      <c r="AC375" s="491"/>
    </row>
    <row r="376" spans="29:29">
      <c r="AC376" s="491"/>
    </row>
    <row r="377" spans="29:29">
      <c r="AC377" s="491"/>
    </row>
    <row r="378" spans="29:29">
      <c r="AC378" s="491"/>
    </row>
    <row r="379" spans="29:29">
      <c r="AC379" s="491"/>
    </row>
    <row r="380" spans="29:29">
      <c r="AC380" s="491"/>
    </row>
    <row r="381" spans="29:29">
      <c r="AC381" s="491"/>
    </row>
    <row r="382" spans="29:29">
      <c r="AC382" s="491"/>
    </row>
    <row r="383" spans="29:29">
      <c r="AC383" s="491"/>
    </row>
    <row r="384" spans="29:29">
      <c r="AC384" s="491"/>
    </row>
    <row r="385" spans="29:29">
      <c r="AC385" s="491"/>
    </row>
    <row r="386" spans="29:29">
      <c r="AC386" s="491"/>
    </row>
    <row r="387" spans="29:29">
      <c r="AC387" s="491"/>
    </row>
    <row r="388" spans="29:29">
      <c r="AC388" s="491"/>
    </row>
    <row r="389" spans="29:29">
      <c r="AC389" s="491"/>
    </row>
    <row r="390" spans="29:29">
      <c r="AC390" s="491"/>
    </row>
    <row r="391" spans="29:29">
      <c r="AC391" s="491"/>
    </row>
    <row r="392" spans="29:29">
      <c r="AC392" s="491"/>
    </row>
    <row r="393" spans="29:29">
      <c r="AC393" s="491"/>
    </row>
    <row r="394" spans="29:29">
      <c r="AC394" s="491"/>
    </row>
    <row r="395" spans="29:29">
      <c r="AC395" s="491"/>
    </row>
    <row r="396" spans="29:29">
      <c r="AC396" s="491"/>
    </row>
    <row r="397" spans="29:29">
      <c r="AC397" s="491"/>
    </row>
    <row r="398" spans="29:29">
      <c r="AC398" s="491"/>
    </row>
    <row r="399" spans="29:29">
      <c r="AC399" s="491"/>
    </row>
    <row r="400" spans="29:29">
      <c r="AC400" s="491"/>
    </row>
    <row r="401" spans="29:29">
      <c r="AC401" s="491"/>
    </row>
    <row r="402" spans="29:29">
      <c r="AC402" s="491"/>
    </row>
    <row r="403" spans="29:29">
      <c r="AC403" s="491"/>
    </row>
    <row r="404" spans="29:29">
      <c r="AC404" s="491"/>
    </row>
    <row r="405" spans="29:29">
      <c r="AC405" s="491"/>
    </row>
    <row r="406" spans="29:29">
      <c r="AC406" s="491"/>
    </row>
    <row r="407" spans="29:29">
      <c r="AC407" s="491"/>
    </row>
    <row r="408" spans="29:29">
      <c r="AC408" s="491"/>
    </row>
    <row r="409" spans="29:29">
      <c r="AC409" s="491"/>
    </row>
    <row r="410" spans="29:29">
      <c r="AC410" s="491"/>
    </row>
    <row r="411" spans="29:29">
      <c r="AC411" s="491"/>
    </row>
    <row r="412" spans="29:29">
      <c r="AC412" s="491"/>
    </row>
    <row r="413" spans="29:29">
      <c r="AC413" s="491"/>
    </row>
    <row r="414" spans="29:29">
      <c r="AC414" s="491"/>
    </row>
    <row r="415" spans="29:29">
      <c r="AC415" s="491"/>
    </row>
    <row r="416" spans="29:29">
      <c r="AC416" s="491"/>
    </row>
    <row r="417" spans="29:29">
      <c r="AC417" s="491"/>
    </row>
    <row r="418" spans="29:29">
      <c r="AC418" s="491"/>
    </row>
    <row r="419" spans="29:29">
      <c r="AC419" s="491"/>
    </row>
    <row r="420" spans="29:29">
      <c r="AC420" s="491"/>
    </row>
    <row r="421" spans="29:29">
      <c r="AC421" s="491"/>
    </row>
    <row r="422" spans="29:29">
      <c r="AC422" s="491"/>
    </row>
    <row r="423" spans="29:29">
      <c r="AC423" s="491"/>
    </row>
    <row r="424" spans="29:29">
      <c r="AC424" s="491"/>
    </row>
    <row r="425" spans="29:29">
      <c r="AC425" s="491"/>
    </row>
    <row r="426" spans="29:29">
      <c r="AC426" s="491"/>
    </row>
    <row r="427" spans="29:29">
      <c r="AC427" s="491"/>
    </row>
    <row r="428" spans="29:29">
      <c r="AC428" s="491"/>
    </row>
    <row r="429" spans="29:29">
      <c r="AC429" s="491"/>
    </row>
    <row r="430" spans="29:29">
      <c r="AC430" s="491"/>
    </row>
    <row r="431" spans="29:29">
      <c r="AC431" s="491"/>
    </row>
    <row r="432" spans="29:29">
      <c r="AC432" s="491"/>
    </row>
    <row r="433" spans="29:29">
      <c r="AC433" s="491"/>
    </row>
    <row r="434" spans="29:29">
      <c r="AC434" s="491"/>
    </row>
    <row r="435" spans="29:29">
      <c r="AC435" s="491"/>
    </row>
    <row r="436" spans="29:29">
      <c r="AC436" s="491"/>
    </row>
    <row r="437" spans="29:29">
      <c r="AC437" s="491"/>
    </row>
    <row r="438" spans="29:29">
      <c r="AC438" s="491"/>
    </row>
    <row r="439" spans="29:29">
      <c r="AC439" s="491"/>
    </row>
    <row r="440" spans="29:29">
      <c r="AC440" s="491"/>
    </row>
    <row r="441" spans="29:29">
      <c r="AC441" s="491"/>
    </row>
    <row r="442" spans="29:29">
      <c r="AC442" s="491"/>
    </row>
    <row r="443" spans="29:29">
      <c r="AC443" s="491"/>
    </row>
    <row r="444" spans="29:29">
      <c r="AC444" s="491"/>
    </row>
    <row r="445" spans="29:29">
      <c r="AC445" s="491"/>
    </row>
    <row r="446" spans="29:29">
      <c r="AC446" s="491"/>
    </row>
    <row r="447" spans="29:29">
      <c r="AC447" s="491"/>
    </row>
    <row r="448" spans="29:29">
      <c r="AC448" s="491"/>
    </row>
    <row r="449" spans="29:29">
      <c r="AC449" s="491"/>
    </row>
    <row r="450" spans="29:29">
      <c r="AC450" s="491"/>
    </row>
    <row r="451" spans="29:29">
      <c r="AC451" s="491"/>
    </row>
    <row r="452" spans="29:29">
      <c r="AC452" s="491"/>
    </row>
    <row r="453" spans="29:29">
      <c r="AC453" s="491"/>
    </row>
    <row r="454" spans="29:29">
      <c r="AC454" s="491"/>
    </row>
    <row r="455" spans="29:29">
      <c r="AC455" s="491"/>
    </row>
    <row r="456" spans="29:29">
      <c r="AC456" s="491"/>
    </row>
    <row r="457" spans="29:29">
      <c r="AC457" s="491"/>
    </row>
    <row r="458" spans="29:29">
      <c r="AC458" s="491"/>
    </row>
    <row r="459" spans="29:29">
      <c r="AC459" s="491"/>
    </row>
    <row r="460" spans="29:29">
      <c r="AC460" s="491"/>
    </row>
    <row r="461" spans="29:29">
      <c r="AC461" s="491"/>
    </row>
    <row r="462" spans="29:29">
      <c r="AC462" s="491"/>
    </row>
    <row r="463" spans="29:29">
      <c r="AC463" s="491"/>
    </row>
    <row r="464" spans="29:29">
      <c r="AC464" s="491"/>
    </row>
    <row r="465" spans="29:29">
      <c r="AC465" s="491"/>
    </row>
    <row r="466" spans="29:29">
      <c r="AC466" s="491"/>
    </row>
    <row r="467" spans="29:29">
      <c r="AC467" s="491"/>
    </row>
    <row r="468" spans="29:29">
      <c r="AC468" s="491"/>
    </row>
    <row r="469" spans="29:29">
      <c r="AC469" s="491"/>
    </row>
    <row r="470" spans="29:29">
      <c r="AC470" s="491"/>
    </row>
    <row r="471" spans="29:29">
      <c r="AC471" s="491"/>
    </row>
    <row r="472" spans="29:29">
      <c r="AC472" s="491"/>
    </row>
    <row r="473" spans="29:29">
      <c r="AC473" s="491"/>
    </row>
    <row r="474" spans="29:29">
      <c r="AC474" s="491"/>
    </row>
    <row r="475" spans="29:29">
      <c r="AC475" s="491"/>
    </row>
    <row r="476" spans="29:29">
      <c r="AC476" s="491"/>
    </row>
    <row r="477" spans="29:29">
      <c r="AC477" s="491"/>
    </row>
    <row r="478" spans="29:29">
      <c r="AC478" s="491"/>
    </row>
    <row r="479" spans="29:29">
      <c r="AC479" s="491"/>
    </row>
    <row r="480" spans="29:29">
      <c r="AC480" s="491"/>
    </row>
    <row r="481" spans="29:29">
      <c r="AC481" s="491"/>
    </row>
    <row r="482" spans="29:29">
      <c r="AC482" s="491"/>
    </row>
    <row r="483" spans="29:29">
      <c r="AC483" s="491"/>
    </row>
    <row r="484" spans="29:29">
      <c r="AC484" s="491"/>
    </row>
    <row r="485" spans="29:29">
      <c r="AC485" s="491"/>
    </row>
    <row r="486" spans="29:29">
      <c r="AC486" s="491"/>
    </row>
    <row r="487" spans="29:29">
      <c r="AC487" s="491"/>
    </row>
    <row r="488" spans="29:29">
      <c r="AC488" s="491"/>
    </row>
    <row r="489" spans="29:29">
      <c r="AC489" s="491"/>
    </row>
    <row r="490" spans="29:29">
      <c r="AC490" s="491"/>
    </row>
    <row r="491" spans="29:29">
      <c r="AC491" s="491"/>
    </row>
    <row r="492" spans="29:29">
      <c r="AC492" s="491"/>
    </row>
    <row r="493" spans="29:29">
      <c r="AC493" s="491"/>
    </row>
    <row r="494" spans="29:29">
      <c r="AC494" s="491"/>
    </row>
    <row r="495" spans="29:29">
      <c r="AC495" s="491"/>
    </row>
    <row r="496" spans="29:29">
      <c r="AC496" s="491"/>
    </row>
    <row r="497" spans="29:29">
      <c r="AC497" s="491"/>
    </row>
    <row r="498" spans="29:29">
      <c r="AC498" s="491"/>
    </row>
    <row r="499" spans="29:29">
      <c r="AC499" s="491"/>
    </row>
    <row r="500" spans="29:29">
      <c r="AC500" s="491"/>
    </row>
    <row r="501" spans="29:29">
      <c r="AC501" s="491"/>
    </row>
    <row r="502" spans="29:29">
      <c r="AC502" s="491"/>
    </row>
    <row r="503" spans="29:29">
      <c r="AC503" s="491"/>
    </row>
    <row r="504" spans="29:29">
      <c r="AC504" s="491"/>
    </row>
    <row r="505" spans="29:29">
      <c r="AC505" s="491"/>
    </row>
    <row r="506" spans="29:29">
      <c r="AC506" s="491"/>
    </row>
    <row r="507" spans="29:29">
      <c r="AC507" s="491"/>
    </row>
    <row r="508" spans="29:29">
      <c r="AC508" s="491"/>
    </row>
    <row r="509" spans="29:29">
      <c r="AC509" s="491"/>
    </row>
    <row r="510" spans="29:29">
      <c r="AC510" s="491"/>
    </row>
    <row r="511" spans="29:29">
      <c r="AC511" s="491"/>
    </row>
    <row r="512" spans="29:29">
      <c r="AC512" s="491"/>
    </row>
    <row r="513" spans="29:29">
      <c r="AC513" s="491"/>
    </row>
    <row r="514" spans="29:29">
      <c r="AC514" s="491"/>
    </row>
    <row r="515" spans="29:29">
      <c r="AC515" s="491"/>
    </row>
    <row r="516" spans="29:29">
      <c r="AC516" s="491"/>
    </row>
    <row r="517" spans="29:29">
      <c r="AC517" s="491"/>
    </row>
    <row r="518" spans="29:29">
      <c r="AC518" s="491"/>
    </row>
    <row r="519" spans="29:29">
      <c r="AC519" s="491"/>
    </row>
    <row r="520" spans="29:29">
      <c r="AC520" s="491"/>
    </row>
    <row r="521" spans="29:29">
      <c r="AC521" s="491"/>
    </row>
    <row r="522" spans="29:29">
      <c r="AC522" s="491"/>
    </row>
    <row r="523" spans="29:29">
      <c r="AC523" s="491"/>
    </row>
    <row r="524" spans="29:29">
      <c r="AC524" s="491"/>
    </row>
    <row r="525" spans="29:29">
      <c r="AC525" s="491"/>
    </row>
    <row r="526" spans="29:29">
      <c r="AC526" s="491"/>
    </row>
    <row r="527" spans="29:29">
      <c r="AC527" s="491"/>
    </row>
    <row r="528" spans="29:29">
      <c r="AC528" s="491"/>
    </row>
    <row r="529" spans="29:29">
      <c r="AC529" s="491"/>
    </row>
    <row r="530" spans="29:29">
      <c r="AC530" s="491"/>
    </row>
    <row r="531" spans="29:29">
      <c r="AC531" s="491"/>
    </row>
    <row r="532" spans="29:29">
      <c r="AC532" s="491"/>
    </row>
    <row r="533" spans="29:29">
      <c r="AC533" s="491"/>
    </row>
    <row r="534" spans="29:29">
      <c r="AC534" s="491"/>
    </row>
    <row r="535" spans="29:29">
      <c r="AC535" s="491"/>
    </row>
    <row r="536" spans="29:29">
      <c r="AC536" s="491"/>
    </row>
    <row r="537" spans="29:29">
      <c r="AC537" s="491"/>
    </row>
    <row r="538" spans="29:29">
      <c r="AC538" s="491"/>
    </row>
    <row r="539" spans="29:29">
      <c r="AC539" s="491"/>
    </row>
    <row r="540" spans="29:29">
      <c r="AC540" s="491"/>
    </row>
    <row r="541" spans="29:29">
      <c r="AC541" s="491"/>
    </row>
    <row r="542" spans="29:29">
      <c r="AC542" s="491"/>
    </row>
    <row r="543" spans="29:29">
      <c r="AC543" s="491"/>
    </row>
    <row r="544" spans="29:29">
      <c r="AC544" s="491"/>
    </row>
    <row r="545" spans="29:29">
      <c r="AC545" s="491"/>
    </row>
    <row r="546" spans="29:29">
      <c r="AC546" s="491"/>
    </row>
    <row r="547" spans="29:29">
      <c r="AC547" s="491"/>
    </row>
    <row r="548" spans="29:29">
      <c r="AC548" s="491"/>
    </row>
    <row r="549" spans="29:29">
      <c r="AC549" s="491"/>
    </row>
    <row r="550" spans="29:29">
      <c r="AC550" s="491"/>
    </row>
    <row r="551" spans="29:29">
      <c r="AC551" s="491"/>
    </row>
    <row r="552" spans="29:29">
      <c r="AC552" s="491"/>
    </row>
    <row r="553" spans="29:29">
      <c r="AC553" s="491"/>
    </row>
    <row r="554" spans="29:29">
      <c r="AC554" s="491"/>
    </row>
    <row r="555" spans="29:29">
      <c r="AC555" s="491"/>
    </row>
    <row r="556" spans="29:29">
      <c r="AC556" s="491"/>
    </row>
    <row r="557" spans="29:29">
      <c r="AC557" s="491"/>
    </row>
    <row r="558" spans="29:29">
      <c r="AC558" s="491"/>
    </row>
    <row r="559" spans="29:29">
      <c r="AC559" s="491"/>
    </row>
    <row r="560" spans="29:29">
      <c r="AC560" s="491"/>
    </row>
    <row r="561" spans="29:29">
      <c r="AC561" s="491"/>
    </row>
    <row r="562" spans="29:29">
      <c r="AC562" s="491"/>
    </row>
    <row r="563" spans="29:29">
      <c r="AC563" s="491"/>
    </row>
    <row r="564" spans="29:29">
      <c r="AC564" s="491"/>
    </row>
    <row r="565" spans="29:29">
      <c r="AC565" s="491"/>
    </row>
    <row r="566" spans="29:29">
      <c r="AC566" s="491"/>
    </row>
    <row r="567" spans="29:29">
      <c r="AC567" s="491"/>
    </row>
    <row r="568" spans="29:29">
      <c r="AC568" s="491"/>
    </row>
    <row r="569" spans="29:29">
      <c r="AC569" s="491"/>
    </row>
    <row r="570" spans="29:29">
      <c r="AC570" s="491"/>
    </row>
    <row r="571" spans="29:29">
      <c r="AC571" s="491"/>
    </row>
    <row r="572" spans="29:29">
      <c r="AC572" s="491"/>
    </row>
    <row r="573" spans="29:29">
      <c r="AC573" s="491"/>
    </row>
    <row r="574" spans="29:29">
      <c r="AC574" s="491"/>
    </row>
    <row r="575" spans="29:29">
      <c r="AC575" s="491"/>
    </row>
    <row r="576" spans="29:29">
      <c r="AC576" s="491"/>
    </row>
    <row r="577" spans="29:29">
      <c r="AC577" s="491"/>
    </row>
    <row r="578" spans="29:29">
      <c r="AC578" s="491"/>
    </row>
    <row r="579" spans="29:29">
      <c r="AC579" s="491"/>
    </row>
    <row r="580" spans="29:29">
      <c r="AC580" s="491"/>
    </row>
    <row r="581" spans="29:29">
      <c r="AC581" s="491"/>
    </row>
    <row r="582" spans="29:29">
      <c r="AC582" s="491"/>
    </row>
    <row r="583" spans="29:29">
      <c r="AC583" s="491"/>
    </row>
    <row r="584" spans="29:29">
      <c r="AC584" s="491"/>
    </row>
    <row r="585" spans="29:29">
      <c r="AC585" s="491"/>
    </row>
    <row r="586" spans="29:29">
      <c r="AC586" s="491"/>
    </row>
    <row r="587" spans="29:29">
      <c r="AC587" s="491"/>
    </row>
    <row r="588" spans="29:29">
      <c r="AC588" s="491"/>
    </row>
    <row r="589" spans="29:29">
      <c r="AC589" s="491"/>
    </row>
    <row r="590" spans="29:29">
      <c r="AC590" s="491"/>
    </row>
    <row r="591" spans="29:29">
      <c r="AC591" s="491"/>
    </row>
    <row r="592" spans="29:29">
      <c r="AC592" s="491"/>
    </row>
    <row r="593" spans="29:29">
      <c r="AC593" s="491"/>
    </row>
    <row r="594" spans="29:29">
      <c r="AC594" s="491"/>
    </row>
    <row r="595" spans="29:29">
      <c r="AC595" s="491"/>
    </row>
    <row r="596" spans="29:29">
      <c r="AC596" s="491"/>
    </row>
    <row r="597" spans="29:29">
      <c r="AC597" s="491"/>
    </row>
    <row r="598" spans="29:29">
      <c r="AC598" s="491"/>
    </row>
    <row r="599" spans="29:29">
      <c r="AC599" s="491"/>
    </row>
    <row r="600" spans="29:29">
      <c r="AC600" s="491"/>
    </row>
    <row r="601" spans="29:29">
      <c r="AC601" s="491"/>
    </row>
    <row r="602" spans="29:29">
      <c r="AC602" s="491"/>
    </row>
    <row r="603" spans="29:29">
      <c r="AC603" s="491"/>
    </row>
    <row r="604" spans="29:29">
      <c r="AC604" s="491"/>
    </row>
    <row r="605" spans="29:29">
      <c r="AC605" s="491"/>
    </row>
    <row r="606" spans="29:29">
      <c r="AC606" s="491"/>
    </row>
    <row r="607" spans="29:29">
      <c r="AC607" s="491"/>
    </row>
    <row r="608" spans="29:29">
      <c r="AC608" s="491"/>
    </row>
    <row r="609" spans="29:29">
      <c r="AC609" s="491"/>
    </row>
    <row r="610" spans="29:29">
      <c r="AC610" s="491"/>
    </row>
    <row r="611" spans="29:29">
      <c r="AC611" s="491"/>
    </row>
    <row r="612" spans="29:29">
      <c r="AC612" s="491"/>
    </row>
    <row r="613" spans="29:29">
      <c r="AC613" s="491"/>
    </row>
    <row r="614" spans="29:29">
      <c r="AC614" s="491"/>
    </row>
    <row r="615" spans="29:29">
      <c r="AC615" s="491"/>
    </row>
    <row r="616" spans="29:29">
      <c r="AC616" s="491"/>
    </row>
    <row r="617" spans="29:29">
      <c r="AC617" s="491"/>
    </row>
    <row r="618" spans="29:29">
      <c r="AC618" s="491"/>
    </row>
    <row r="619" spans="29:29">
      <c r="AC619" s="491"/>
    </row>
    <row r="620" spans="29:29">
      <c r="AC620" s="491"/>
    </row>
    <row r="621" spans="29:29">
      <c r="AC621" s="491"/>
    </row>
    <row r="622" spans="29:29">
      <c r="AC622" s="491"/>
    </row>
    <row r="623" spans="29:29">
      <c r="AC623" s="491"/>
    </row>
    <row r="624" spans="29:29">
      <c r="AC624" s="491"/>
    </row>
    <row r="625" spans="29:29">
      <c r="AC625" s="491"/>
    </row>
    <row r="626" spans="29:29">
      <c r="AC626" s="491"/>
    </row>
    <row r="627" spans="29:29">
      <c r="AC627" s="491"/>
    </row>
    <row r="628" spans="29:29">
      <c r="AC628" s="491"/>
    </row>
    <row r="629" spans="29:29">
      <c r="AC629" s="491"/>
    </row>
    <row r="630" spans="29:29">
      <c r="AC630" s="491"/>
    </row>
    <row r="631" spans="29:29">
      <c r="AC631" s="491"/>
    </row>
    <row r="632" spans="29:29">
      <c r="AC632" s="491"/>
    </row>
    <row r="633" spans="29:29">
      <c r="AC633" s="491"/>
    </row>
    <row r="634" spans="29:29">
      <c r="AC634" s="491"/>
    </row>
    <row r="635" spans="29:29">
      <c r="AC635" s="491"/>
    </row>
    <row r="636" spans="29:29">
      <c r="AC636" s="491"/>
    </row>
    <row r="637" spans="29:29">
      <c r="AC637" s="491"/>
    </row>
    <row r="638" spans="29:29">
      <c r="AC638" s="491"/>
    </row>
    <row r="639" spans="29:29">
      <c r="AC639" s="491"/>
    </row>
    <row r="640" spans="29:29">
      <c r="AC640" s="491"/>
    </row>
    <row r="641" spans="29:29">
      <c r="AC641" s="491"/>
    </row>
    <row r="642" spans="29:29">
      <c r="AC642" s="491"/>
    </row>
    <row r="643" spans="29:29">
      <c r="AC643" s="491"/>
    </row>
    <row r="644" spans="29:29">
      <c r="AC644" s="491"/>
    </row>
    <row r="645" spans="29:29">
      <c r="AC645" s="491"/>
    </row>
    <row r="646" spans="29:29">
      <c r="AC646" s="491"/>
    </row>
    <row r="647" spans="29:29">
      <c r="AC647" s="491"/>
    </row>
    <row r="648" spans="29:29">
      <c r="AC648" s="491"/>
    </row>
    <row r="649" spans="29:29">
      <c r="AC649" s="491"/>
    </row>
    <row r="650" spans="29:29">
      <c r="AC650" s="491"/>
    </row>
    <row r="651" spans="29:29">
      <c r="AC651" s="491"/>
    </row>
    <row r="652" spans="29:29">
      <c r="AC652" s="491"/>
    </row>
    <row r="653" spans="29:29">
      <c r="AC653" s="491"/>
    </row>
    <row r="654" spans="29:29">
      <c r="AC654" s="491"/>
    </row>
    <row r="655" spans="29:29">
      <c r="AC655" s="491"/>
    </row>
    <row r="656" spans="29:29">
      <c r="AC656" s="491"/>
    </row>
    <row r="657" spans="29:29">
      <c r="AC657" s="491"/>
    </row>
    <row r="658" spans="29:29">
      <c r="AC658" s="491"/>
    </row>
    <row r="659" spans="29:29">
      <c r="AC659" s="491"/>
    </row>
    <row r="660" spans="29:29">
      <c r="AC660" s="491"/>
    </row>
    <row r="661" spans="29:29">
      <c r="AC661" s="491"/>
    </row>
    <row r="662" spans="29:29">
      <c r="AC662" s="491"/>
    </row>
    <row r="663" spans="29:29">
      <c r="AC663" s="491"/>
    </row>
    <row r="664" spans="29:29">
      <c r="AC664" s="491"/>
    </row>
    <row r="665" spans="29:29">
      <c r="AC665" s="491"/>
    </row>
    <row r="666" spans="29:29">
      <c r="AC666" s="491"/>
    </row>
    <row r="667" spans="29:29">
      <c r="AC667" s="491"/>
    </row>
    <row r="668" spans="29:29">
      <c r="AC668" s="491"/>
    </row>
    <row r="669" spans="29:29">
      <c r="AC669" s="491"/>
    </row>
    <row r="670" spans="29:29">
      <c r="AC670" s="491"/>
    </row>
    <row r="671" spans="29:29">
      <c r="AC671" s="491"/>
    </row>
    <row r="672" spans="29:29">
      <c r="AC672" s="491"/>
    </row>
    <row r="673" spans="29:29">
      <c r="AC673" s="491"/>
    </row>
    <row r="674" spans="29:29">
      <c r="AC674" s="491"/>
    </row>
    <row r="675" spans="29:29">
      <c r="AC675" s="491"/>
    </row>
    <row r="676" spans="29:29">
      <c r="AC676" s="491"/>
    </row>
    <row r="677" spans="29:29">
      <c r="AC677" s="491"/>
    </row>
    <row r="678" spans="29:29">
      <c r="AC678" s="491"/>
    </row>
    <row r="679" spans="29:29">
      <c r="AC679" s="491"/>
    </row>
    <row r="680" spans="29:29">
      <c r="AC680" s="491"/>
    </row>
    <row r="681" spans="29:29">
      <c r="AC681" s="491"/>
    </row>
    <row r="682" spans="29:29">
      <c r="AC682" s="491"/>
    </row>
    <row r="683" spans="29:29">
      <c r="AC683" s="491"/>
    </row>
    <row r="684" spans="29:29">
      <c r="AC684" s="491"/>
    </row>
    <row r="685" spans="29:29">
      <c r="AC685" s="491"/>
    </row>
    <row r="686" spans="29:29">
      <c r="AC686" s="491"/>
    </row>
    <row r="687" spans="29:29">
      <c r="AC687" s="491"/>
    </row>
    <row r="688" spans="29:29">
      <c r="AC688" s="491"/>
    </row>
    <row r="689" spans="29:29">
      <c r="AC689" s="491"/>
    </row>
    <row r="690" spans="29:29">
      <c r="AC690" s="491"/>
    </row>
    <row r="691" spans="29:29">
      <c r="AC691" s="491"/>
    </row>
    <row r="692" spans="29:29">
      <c r="AC692" s="491"/>
    </row>
    <row r="693" spans="29:29">
      <c r="AC693" s="491"/>
    </row>
    <row r="694" spans="29:29">
      <c r="AC694" s="491"/>
    </row>
    <row r="695" spans="29:29">
      <c r="AC695" s="491"/>
    </row>
    <row r="696" spans="29:29">
      <c r="AC696" s="491"/>
    </row>
    <row r="697" spans="29:29">
      <c r="AC697" s="491"/>
    </row>
    <row r="698" spans="29:29">
      <c r="AC698" s="491"/>
    </row>
    <row r="699" spans="29:29">
      <c r="AC699" s="491"/>
    </row>
    <row r="700" spans="29:29">
      <c r="AC700" s="491"/>
    </row>
    <row r="701" spans="29:29">
      <c r="AC701" s="491"/>
    </row>
    <row r="702" spans="29:29">
      <c r="AC702" s="491"/>
    </row>
    <row r="703" spans="29:29">
      <c r="AC703" s="491"/>
    </row>
    <row r="704" spans="29:29">
      <c r="AC704" s="491"/>
    </row>
    <row r="705" spans="29:29">
      <c r="AC705" s="491"/>
    </row>
    <row r="706" spans="29:29">
      <c r="AC706" s="491"/>
    </row>
    <row r="707" spans="29:29">
      <c r="AC707" s="491"/>
    </row>
    <row r="708" spans="29:29">
      <c r="AC708" s="491"/>
    </row>
    <row r="709" spans="29:29">
      <c r="AC709" s="491"/>
    </row>
    <row r="710" spans="29:29">
      <c r="AC710" s="491"/>
    </row>
    <row r="711" spans="29:29">
      <c r="AC711" s="491"/>
    </row>
    <row r="712" spans="29:29">
      <c r="AC712" s="491"/>
    </row>
    <row r="713" spans="29:29">
      <c r="AC713" s="491"/>
    </row>
    <row r="714" spans="29:29">
      <c r="AC714" s="491"/>
    </row>
    <row r="715" spans="29:29">
      <c r="AC715" s="491"/>
    </row>
    <row r="716" spans="29:29">
      <c r="AC716" s="491"/>
    </row>
    <row r="717" spans="29:29">
      <c r="AC717" s="491"/>
    </row>
    <row r="718" spans="29:29">
      <c r="AC718" s="491"/>
    </row>
    <row r="719" spans="29:29">
      <c r="AC719" s="491"/>
    </row>
    <row r="720" spans="29:29">
      <c r="AC720" s="491"/>
    </row>
    <row r="721" spans="29:29">
      <c r="AC721" s="491"/>
    </row>
    <row r="722" spans="29:29">
      <c r="AC722" s="491"/>
    </row>
    <row r="723" spans="29:29">
      <c r="AC723" s="491"/>
    </row>
    <row r="724" spans="29:29">
      <c r="AC724" s="491"/>
    </row>
    <row r="725" spans="29:29">
      <c r="AC725" s="491"/>
    </row>
    <row r="726" spans="29:29">
      <c r="AC726" s="491"/>
    </row>
    <row r="727" spans="29:29">
      <c r="AC727" s="491"/>
    </row>
    <row r="728" spans="29:29">
      <c r="AC728" s="491"/>
    </row>
    <row r="729" spans="29:29">
      <c r="AC729" s="491"/>
    </row>
    <row r="730" spans="29:29">
      <c r="AC730" s="491"/>
    </row>
    <row r="731" spans="29:29">
      <c r="AC731" s="491"/>
    </row>
    <row r="732" spans="29:29">
      <c r="AC732" s="491"/>
    </row>
    <row r="733" spans="29:29">
      <c r="AC733" s="491"/>
    </row>
    <row r="734" spans="29:29">
      <c r="AC734" s="491"/>
    </row>
    <row r="735" spans="29:29">
      <c r="AC735" s="491"/>
    </row>
    <row r="736" spans="29:29">
      <c r="AC736" s="491"/>
    </row>
    <row r="737" spans="29:29">
      <c r="AC737" s="491"/>
    </row>
    <row r="738" spans="29:29">
      <c r="AC738" s="491"/>
    </row>
    <row r="739" spans="29:29">
      <c r="AC739" s="491"/>
    </row>
    <row r="740" spans="29:29">
      <c r="AC740" s="491"/>
    </row>
    <row r="741" spans="29:29">
      <c r="AC741" s="491"/>
    </row>
    <row r="742" spans="29:29">
      <c r="AC742" s="491"/>
    </row>
    <row r="743" spans="29:29">
      <c r="AC743" s="491"/>
    </row>
    <row r="744" spans="29:29">
      <c r="AC744" s="491"/>
    </row>
    <row r="745" spans="29:29">
      <c r="AC745" s="491"/>
    </row>
    <row r="746" spans="29:29">
      <c r="AC746" s="491"/>
    </row>
    <row r="747" spans="29:29">
      <c r="AC747" s="491"/>
    </row>
    <row r="748" spans="29:29">
      <c r="AC748" s="491"/>
    </row>
    <row r="749" spans="29:29">
      <c r="AC749" s="491"/>
    </row>
    <row r="750" spans="29:29">
      <c r="AC750" s="491"/>
    </row>
    <row r="751" spans="29:29">
      <c r="AC751" s="491"/>
    </row>
    <row r="752" spans="29:29">
      <c r="AC752" s="491"/>
    </row>
    <row r="753" spans="29:29">
      <c r="AC753" s="491"/>
    </row>
    <row r="754" spans="29:29">
      <c r="AC754" s="491"/>
    </row>
    <row r="755" spans="29:29">
      <c r="AC755" s="491"/>
    </row>
    <row r="756" spans="29:29">
      <c r="AC756" s="491"/>
    </row>
    <row r="757" spans="29:29">
      <c r="AC757" s="491"/>
    </row>
    <row r="758" spans="29:29">
      <c r="AC758" s="491"/>
    </row>
    <row r="759" spans="29:29">
      <c r="AC759" s="491"/>
    </row>
    <row r="760" spans="29:29">
      <c r="AC760" s="491"/>
    </row>
    <row r="761" spans="29:29">
      <c r="AC761" s="491"/>
    </row>
    <row r="762" spans="29:29">
      <c r="AC762" s="491"/>
    </row>
    <row r="763" spans="29:29">
      <c r="AC763" s="491"/>
    </row>
    <row r="764" spans="29:29">
      <c r="AC764" s="491"/>
    </row>
    <row r="765" spans="29:29">
      <c r="AC765" s="491"/>
    </row>
    <row r="766" spans="29:29">
      <c r="AC766" s="491"/>
    </row>
    <row r="767" spans="29:29">
      <c r="AC767" s="491"/>
    </row>
    <row r="768" spans="29:29">
      <c r="AC768" s="491"/>
    </row>
    <row r="769" spans="29:29">
      <c r="AC769" s="491"/>
    </row>
    <row r="770" spans="29:29">
      <c r="AC770" s="491"/>
    </row>
    <row r="771" spans="29:29">
      <c r="AC771" s="491"/>
    </row>
    <row r="772" spans="29:29">
      <c r="AC772" s="491"/>
    </row>
    <row r="773" spans="29:29">
      <c r="AC773" s="491"/>
    </row>
    <row r="774" spans="29:29">
      <c r="AC774" s="491"/>
    </row>
    <row r="775" spans="29:29">
      <c r="AC775" s="491"/>
    </row>
    <row r="776" spans="29:29">
      <c r="AC776" s="491"/>
    </row>
    <row r="777" spans="29:29">
      <c r="AC777" s="491"/>
    </row>
    <row r="778" spans="29:29">
      <c r="AC778" s="491"/>
    </row>
    <row r="779" spans="29:29">
      <c r="AC779" s="491"/>
    </row>
    <row r="780" spans="29:29">
      <c r="AC780" s="491"/>
    </row>
    <row r="781" spans="29:29">
      <c r="AC781" s="491"/>
    </row>
    <row r="782" spans="29:29">
      <c r="AC782" s="491"/>
    </row>
    <row r="783" spans="29:29">
      <c r="AC783" s="491"/>
    </row>
    <row r="784" spans="29:29">
      <c r="AC784" s="491"/>
    </row>
    <row r="785" spans="29:29">
      <c r="AC785" s="491"/>
    </row>
    <row r="786" spans="29:29">
      <c r="AC786" s="491"/>
    </row>
    <row r="787" spans="29:29">
      <c r="AC787" s="491"/>
    </row>
    <row r="788" spans="29:29">
      <c r="AC788" s="491"/>
    </row>
    <row r="789" spans="29:29">
      <c r="AC789" s="491"/>
    </row>
    <row r="790" spans="29:29">
      <c r="AC790" s="491"/>
    </row>
    <row r="791" spans="29:29">
      <c r="AC791" s="491"/>
    </row>
    <row r="792" spans="29:29">
      <c r="AC792" s="491"/>
    </row>
    <row r="793" spans="29:29">
      <c r="AC793" s="491"/>
    </row>
    <row r="794" spans="29:29">
      <c r="AC794" s="49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7" priority="4">
      <formula>$D$48="简单平均"</formula>
    </cfRule>
  </conditionalFormatting>
  <conditionalFormatting sqref="H48">
    <cfRule type="expression" dxfId="7" priority="3">
      <formula>$D$48="简单平均"</formula>
    </cfRule>
  </conditionalFormatting>
  <conditionalFormatting sqref="J48">
    <cfRule type="expression" dxfId="7"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E54">
    <cfRule type="expression" dxfId="10" priority="14" stopIfTrue="1">
      <formula>$F$54="超过30%"</formula>
    </cfRule>
  </conditionalFormatting>
  <conditionalFormatting sqref="G54">
    <cfRule type="expression" dxfId="10" priority="13" stopIfTrue="1">
      <formula>$H$54="超过30%"</formula>
    </cfRule>
  </conditionalFormatting>
  <conditionalFormatting sqref="I54">
    <cfRule type="expression" dxfId="10" priority="5" stopIfTrue="1">
      <formula>$J$54="超过30%"</formula>
    </cfRule>
  </conditionalFormatting>
  <conditionalFormatting sqref="J52:J54">
    <cfRule type="containsText" dxfId="12" priority="8" stopIfTrue="1" operator="between" text="超过">
      <formula>NOT(ISERROR(SEARCH("超过",J52)))</formula>
    </cfRule>
  </conditionalFormatting>
  <conditionalFormatting sqref="F7:F46 H7:H46 J7:J46">
    <cfRule type="cellIs" dxfId="11" priority="1" operator="notEqual">
      <formula>100</formula>
    </cfRule>
  </conditionalFormatting>
  <conditionalFormatting sqref="F52:F54 H52:H54">
    <cfRule type="containsText" dxfId="12" priority="17" stopIfTrue="1" operator="between" text="超过">
      <formula>NOT(ISERROR(SEARCH("超过",F52)))</formula>
    </cfRule>
  </conditionalFormatting>
  <dataValidations count="24">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794"/>
  <sheetViews>
    <sheetView view="pageBreakPreview" zoomScale="80" zoomScaleNormal="60" workbookViewId="0">
      <selection activeCell="N41" sqref="N41"/>
    </sheetView>
  </sheetViews>
  <sheetFormatPr defaultColWidth="9" defaultRowHeight="14.25"/>
  <cols>
    <col min="1" max="1" width="10.45" style="194" customWidth="1"/>
    <col min="2" max="2" width="15.725" style="194" customWidth="1"/>
    <col min="3" max="3" width="14.366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2345</v>
      </c>
      <c r="B1" s="539" t="s">
        <v>2454</v>
      </c>
      <c r="C1" s="199" t="s">
        <v>2347</v>
      </c>
      <c r="D1" s="1122" t="s">
        <v>378</v>
      </c>
      <c r="E1" s="201"/>
      <c r="F1" s="202" t="s">
        <v>696</v>
      </c>
      <c r="G1" s="203" t="s">
        <v>2349</v>
      </c>
      <c r="H1" s="201"/>
      <c r="I1" s="201"/>
      <c r="J1" s="201"/>
      <c r="K1" s="377"/>
      <c r="L1" s="378"/>
      <c r="M1" s="379"/>
      <c r="N1" s="379"/>
      <c r="O1" s="379"/>
      <c r="P1" s="380"/>
      <c r="Q1" s="380"/>
      <c r="R1" s="380"/>
      <c r="S1" s="380"/>
      <c r="T1" s="380"/>
      <c r="U1" s="380"/>
      <c r="V1" s="380"/>
      <c r="W1" s="380"/>
      <c r="X1" s="380"/>
      <c r="Y1" s="380"/>
      <c r="Z1" s="380"/>
      <c r="AA1" s="380"/>
      <c r="AB1" s="380"/>
      <c r="AC1" s="477"/>
    </row>
    <row r="2" s="188" customFormat="1" ht="28.5" customHeight="1" spans="1:29">
      <c r="A2" s="204" t="s">
        <v>919</v>
      </c>
      <c r="B2" s="205">
        <f>ROUND(B3*D3/10000,0)</f>
        <v>0</v>
      </c>
      <c r="C2" s="206"/>
      <c r="D2" s="206"/>
      <c r="E2" s="477"/>
      <c r="F2" s="208"/>
      <c r="G2" s="207"/>
      <c r="H2" s="207"/>
      <c r="I2" s="207"/>
      <c r="J2" s="207"/>
      <c r="K2" s="207"/>
      <c r="L2" s="382"/>
      <c r="M2" s="380"/>
      <c r="N2" s="380"/>
      <c r="O2" s="380"/>
      <c r="P2" s="380"/>
      <c r="Q2" s="380"/>
      <c r="R2" s="380"/>
      <c r="S2" s="380"/>
      <c r="T2" s="380"/>
      <c r="U2" s="380"/>
      <c r="V2" s="380"/>
      <c r="W2" s="380"/>
      <c r="X2" s="380"/>
      <c r="Y2" s="380"/>
      <c r="Z2" s="380"/>
      <c r="AA2" s="380"/>
      <c r="AB2" s="380"/>
      <c r="AC2" s="477"/>
    </row>
    <row r="3" s="188" customFormat="1" ht="28.5" customHeight="1" spans="1:29">
      <c r="A3" s="209" t="s">
        <v>2350</v>
      </c>
      <c r="B3" s="210">
        <f>C49</f>
        <v>7.7</v>
      </c>
      <c r="C3" s="211" t="s">
        <v>2351</v>
      </c>
      <c r="D3" s="212">
        <f>SUMIF('数据-汇总表'!$C19:$C33,D1,'数据-汇总表'!$E19:$E33)</f>
        <v>0</v>
      </c>
      <c r="E3" s="477"/>
      <c r="F3" s="208"/>
      <c r="G3" s="207"/>
      <c r="H3" s="207"/>
      <c r="I3" s="207"/>
      <c r="J3" s="207"/>
      <c r="K3" s="381"/>
      <c r="L3" s="382"/>
      <c r="M3" s="380"/>
      <c r="N3" s="380"/>
      <c r="O3" s="380"/>
      <c r="P3" s="380"/>
      <c r="Q3" s="380"/>
      <c r="R3" s="380"/>
      <c r="S3" s="380"/>
      <c r="T3" s="380"/>
      <c r="U3" s="380"/>
      <c r="V3" s="380"/>
      <c r="W3" s="380"/>
      <c r="X3" s="380"/>
      <c r="Y3" s="380"/>
      <c r="Z3" s="380"/>
      <c r="AA3" s="380"/>
      <c r="AB3" s="380"/>
      <c r="AC3" s="477"/>
    </row>
    <row r="4" ht="15" spans="1:29">
      <c r="A4" s="213" t="s">
        <v>923</v>
      </c>
      <c r="B4" s="214"/>
      <c r="C4" s="215" t="s">
        <v>924</v>
      </c>
      <c r="D4" s="216"/>
      <c r="E4" s="217" t="s">
        <v>925</v>
      </c>
      <c r="F4" s="218"/>
      <c r="G4" s="215" t="s">
        <v>926</v>
      </c>
      <c r="H4" s="216"/>
      <c r="I4" s="215" t="s">
        <v>927</v>
      </c>
      <c r="J4" s="216"/>
      <c r="K4" s="383" t="s">
        <v>928</v>
      </c>
      <c r="L4" s="384"/>
      <c r="M4" s="338"/>
      <c r="N4" s="338"/>
      <c r="O4" s="338"/>
      <c r="P4" s="276" t="s">
        <v>929</v>
      </c>
      <c r="Q4" s="450"/>
      <c r="R4" s="451" t="s">
        <v>925</v>
      </c>
      <c r="S4" s="452"/>
      <c r="T4" s="451" t="s">
        <v>926</v>
      </c>
      <c r="U4" s="452"/>
      <c r="V4" s="453" t="s">
        <v>927</v>
      </c>
      <c r="W4" s="453"/>
      <c r="X4" s="454"/>
      <c r="Y4" s="451" t="s">
        <v>929</v>
      </c>
      <c r="Z4" s="452"/>
      <c r="AA4" s="479" t="s">
        <v>925</v>
      </c>
      <c r="AB4" s="453" t="s">
        <v>926</v>
      </c>
      <c r="AC4" s="479" t="s">
        <v>927</v>
      </c>
    </row>
    <row r="5" ht="15" spans="1:29">
      <c r="A5" s="219"/>
      <c r="B5" s="220"/>
      <c r="C5" s="221" t="s">
        <v>930</v>
      </c>
      <c r="D5" s="222"/>
      <c r="E5" s="1123" t="s">
        <v>1424</v>
      </c>
      <c r="F5" s="224"/>
      <c r="G5" s="1124" t="s">
        <v>2455</v>
      </c>
      <c r="H5" s="222"/>
      <c r="I5" s="1133" t="s">
        <v>2456</v>
      </c>
      <c r="J5" s="222"/>
      <c r="K5" s="383"/>
      <c r="L5" s="384"/>
      <c r="M5" s="338"/>
      <c r="N5" s="338"/>
      <c r="O5" s="338"/>
      <c r="P5" s="282"/>
      <c r="Q5" s="455"/>
      <c r="R5" s="456"/>
      <c r="S5" s="457"/>
      <c r="T5" s="456"/>
      <c r="U5" s="457"/>
      <c r="V5" s="453"/>
      <c r="W5" s="453"/>
      <c r="X5" s="454"/>
      <c r="Y5" s="456"/>
      <c r="Z5" s="457"/>
      <c r="AA5" s="454"/>
      <c r="AB5" s="453"/>
      <c r="AC5" s="454"/>
    </row>
    <row r="6" ht="15.75" spans="1:29">
      <c r="A6" s="225"/>
      <c r="B6" s="226"/>
      <c r="C6" s="227" t="s">
        <v>931</v>
      </c>
      <c r="D6" s="228"/>
      <c r="E6" s="229" t="s">
        <v>931</v>
      </c>
      <c r="F6" s="230"/>
      <c r="G6" s="227" t="s">
        <v>931</v>
      </c>
      <c r="H6" s="228"/>
      <c r="I6" s="227" t="s">
        <v>931</v>
      </c>
      <c r="J6" s="228"/>
      <c r="K6" s="383" t="s">
        <v>932</v>
      </c>
      <c r="L6" s="384"/>
      <c r="M6" s="338"/>
      <c r="N6" s="338"/>
      <c r="O6" s="338"/>
      <c r="P6" s="270"/>
      <c r="Q6" s="458"/>
      <c r="R6" s="456"/>
      <c r="S6" s="457"/>
      <c r="T6" s="459"/>
      <c r="U6" s="460"/>
      <c r="V6" s="453"/>
      <c r="W6" s="453"/>
      <c r="X6" s="454"/>
      <c r="Y6" s="459"/>
      <c r="Z6" s="460"/>
      <c r="AA6" s="480"/>
      <c r="AB6" s="453"/>
      <c r="AC6" s="480"/>
    </row>
    <row r="7" s="189" customFormat="1" ht="15.75" spans="1:29">
      <c r="A7" s="231"/>
      <c r="B7" s="232" t="s">
        <v>933</v>
      </c>
      <c r="C7" s="233">
        <f>'数据-取费表'!B2</f>
        <v>45252</v>
      </c>
      <c r="D7" s="234">
        <v>100</v>
      </c>
      <c r="E7" s="235">
        <f>C7</f>
        <v>45252</v>
      </c>
      <c r="F7" s="236">
        <f>SUMIF(58:58,YEAR(E7)&amp;"-"&amp;MONTH(E7),59:59)</f>
        <v>100</v>
      </c>
      <c r="G7" s="235">
        <f>C7</f>
        <v>45252</v>
      </c>
      <c r="H7" s="234">
        <f>SUMIF(58:58,YEAR(G7)&amp;"-"&amp;MONTH(G7),59:59)</f>
        <v>100</v>
      </c>
      <c r="I7" s="235">
        <f>C7</f>
        <v>45252</v>
      </c>
      <c r="J7" s="234">
        <f>SUMIF(58:58,YEAR(I7)&amp;"-"&amp;MONTH(I7),59:59)</f>
        <v>100</v>
      </c>
      <c r="K7" s="385"/>
      <c r="L7" s="386"/>
      <c r="M7" s="387"/>
      <c r="N7" s="387"/>
      <c r="O7" s="387"/>
      <c r="P7" s="388" t="s">
        <v>934</v>
      </c>
      <c r="Q7" s="461"/>
      <c r="R7" s="462" t="s">
        <v>935</v>
      </c>
      <c r="S7" s="463">
        <f t="shared" ref="S7:W7" si="0">F7</f>
        <v>100</v>
      </c>
      <c r="T7" s="462" t="s">
        <v>935</v>
      </c>
      <c r="U7" s="463">
        <f t="shared" si="0"/>
        <v>100</v>
      </c>
      <c r="V7" s="462" t="s">
        <v>935</v>
      </c>
      <c r="W7" s="463">
        <f t="shared" si="0"/>
        <v>100</v>
      </c>
      <c r="X7" s="464"/>
      <c r="Y7" s="388" t="s">
        <v>934</v>
      </c>
      <c r="Z7" s="465"/>
      <c r="AA7" s="481">
        <f t="shared" ref="AA7:AA15" si="1">D7/F7</f>
        <v>1</v>
      </c>
      <c r="AB7" s="481">
        <f t="shared" ref="AB7:AB15" si="2">D7/H7</f>
        <v>1</v>
      </c>
      <c r="AC7" s="481">
        <f t="shared" ref="AC7:AC15" si="3">D7/J7</f>
        <v>1</v>
      </c>
    </row>
    <row r="8" s="189" customFormat="1" ht="15.75" spans="1:29">
      <c r="A8" s="238"/>
      <c r="B8" s="239" t="s">
        <v>936</v>
      </c>
      <c r="C8" s="240" t="s">
        <v>937</v>
      </c>
      <c r="D8" s="234">
        <v>100</v>
      </c>
      <c r="E8" s="240" t="s">
        <v>938</v>
      </c>
      <c r="F8" s="236">
        <f>SUMIF(61:61,E8,62:62)-SUMIF(61:61,C8,62:62)+100</f>
        <v>100</v>
      </c>
      <c r="G8" s="240" t="s">
        <v>938</v>
      </c>
      <c r="H8" s="234">
        <f>SUMIF(61:61,G8,62:62)-SUMIF(61:61,C8,62:62)+100</f>
        <v>100</v>
      </c>
      <c r="I8" s="240" t="s">
        <v>938</v>
      </c>
      <c r="J8" s="234">
        <f>SUMIF(61:61,I8,62:62)-SUMIF(61:61,C8,62:62)+100</f>
        <v>100</v>
      </c>
      <c r="K8" s="385"/>
      <c r="L8" s="386"/>
      <c r="M8" s="387"/>
      <c r="N8" s="387"/>
      <c r="O8" s="387"/>
      <c r="P8" s="388" t="s">
        <v>939</v>
      </c>
      <c r="Q8" s="465"/>
      <c r="R8" s="462" t="s">
        <v>935</v>
      </c>
      <c r="S8" s="463">
        <f t="shared" ref="S8:W8" si="4">F8</f>
        <v>100</v>
      </c>
      <c r="T8" s="462" t="s">
        <v>935</v>
      </c>
      <c r="U8" s="463">
        <f t="shared" si="4"/>
        <v>100</v>
      </c>
      <c r="V8" s="462" t="s">
        <v>935</v>
      </c>
      <c r="W8" s="463">
        <f t="shared" si="4"/>
        <v>100</v>
      </c>
      <c r="X8" s="464"/>
      <c r="Y8" s="388" t="s">
        <v>939</v>
      </c>
      <c r="Z8" s="465"/>
      <c r="AA8" s="481">
        <f t="shared" si="1"/>
        <v>1</v>
      </c>
      <c r="AB8" s="481">
        <f t="shared" si="2"/>
        <v>1</v>
      </c>
      <c r="AC8" s="481">
        <f t="shared" si="3"/>
        <v>1</v>
      </c>
    </row>
    <row r="9" s="189" customFormat="1" ht="15" spans="1:29">
      <c r="A9" s="241"/>
      <c r="B9" s="242" t="s">
        <v>940</v>
      </c>
      <c r="C9" s="243"/>
      <c r="D9" s="244">
        <v>100</v>
      </c>
      <c r="E9" s="245"/>
      <c r="F9" s="244">
        <f>SUMIF(63:63,E9,64:64)-SUMIF(63:63,C9,64:64)+100</f>
        <v>100</v>
      </c>
      <c r="G9" s="511"/>
      <c r="H9" s="244">
        <f>SUMIF(63:63,G9,64:64)-SUMIF(63:63,C9,64:64)+100</f>
        <v>100</v>
      </c>
      <c r="I9" s="511"/>
      <c r="J9" s="244">
        <f>SUMIF(63:63,I9,64:64)-SUMIF(63:63,C9,64:64)+100</f>
        <v>100</v>
      </c>
      <c r="K9" s="385"/>
      <c r="L9" s="386"/>
      <c r="M9" s="387"/>
      <c r="N9" s="387"/>
      <c r="O9" s="389"/>
      <c r="P9" s="390" t="s">
        <v>941</v>
      </c>
      <c r="Q9" s="466" t="str">
        <f t="shared" ref="Q9:Q15" si="5">B9</f>
        <v>用途</v>
      </c>
      <c r="R9" s="462" t="s">
        <v>935</v>
      </c>
      <c r="S9" s="463">
        <f t="shared" ref="S9:W9" si="6">F9</f>
        <v>100</v>
      </c>
      <c r="T9" s="462" t="s">
        <v>935</v>
      </c>
      <c r="U9" s="463">
        <f t="shared" si="6"/>
        <v>100</v>
      </c>
      <c r="V9" s="462" t="s">
        <v>935</v>
      </c>
      <c r="W9" s="463">
        <f t="shared" si="6"/>
        <v>100</v>
      </c>
      <c r="X9" s="464"/>
      <c r="Y9" s="466" t="s">
        <v>942</v>
      </c>
      <c r="Z9" s="481" t="str">
        <f t="shared" ref="Z9:Z15" si="7">Q9</f>
        <v>用途</v>
      </c>
      <c r="AA9" s="481">
        <f t="shared" si="1"/>
        <v>1</v>
      </c>
      <c r="AB9" s="481">
        <f t="shared" si="2"/>
        <v>1</v>
      </c>
      <c r="AC9" s="481">
        <f t="shared" si="3"/>
        <v>1</v>
      </c>
    </row>
    <row r="10" s="190" customFormat="1" ht="27" spans="1:29">
      <c r="A10" s="246"/>
      <c r="B10" s="239" t="s">
        <v>943</v>
      </c>
      <c r="C10" s="247"/>
      <c r="D10" s="248">
        <v>100</v>
      </c>
      <c r="E10" s="247"/>
      <c r="F10" s="248">
        <f>SUMIF(65:65,E10,66:66)-SUMIF(65:65,C10,66:66)+100</f>
        <v>100</v>
      </c>
      <c r="G10" s="249"/>
      <c r="H10" s="248">
        <f>SUMIF(65:65,G10,66:66)-SUMIF(65:65,C10,66:66)+100</f>
        <v>100</v>
      </c>
      <c r="I10" s="247"/>
      <c r="J10" s="248">
        <f>SUMIF(65:65,I10,66:66)-SUMIF(65:65,C10,66:66)+100</f>
        <v>100</v>
      </c>
      <c r="K10" s="391"/>
      <c r="L10" s="392"/>
      <c r="M10" s="393"/>
      <c r="N10" s="393"/>
      <c r="O10" s="394"/>
      <c r="P10" s="390"/>
      <c r="Q10" s="466" t="str">
        <f t="shared" si="5"/>
        <v>土地使用年限（年）</v>
      </c>
      <c r="R10" s="462" t="s">
        <v>935</v>
      </c>
      <c r="S10" s="463">
        <f t="shared" ref="S10:W10" si="8">F10</f>
        <v>100</v>
      </c>
      <c r="T10" s="462" t="s">
        <v>935</v>
      </c>
      <c r="U10" s="463">
        <f t="shared" si="8"/>
        <v>100</v>
      </c>
      <c r="V10" s="462" t="s">
        <v>935</v>
      </c>
      <c r="W10" s="463">
        <f t="shared" si="8"/>
        <v>100</v>
      </c>
      <c r="X10" s="464"/>
      <c r="Y10" s="466"/>
      <c r="Z10" s="481" t="str">
        <f t="shared" si="7"/>
        <v>土地使用年限（年）</v>
      </c>
      <c r="AA10" s="481">
        <f t="shared" si="1"/>
        <v>1</v>
      </c>
      <c r="AB10" s="481">
        <f t="shared" si="2"/>
        <v>1</v>
      </c>
      <c r="AC10" s="481">
        <f t="shared" si="3"/>
        <v>1</v>
      </c>
    </row>
    <row r="11" ht="15" spans="1:29">
      <c r="A11" s="540"/>
      <c r="B11" s="239" t="s">
        <v>944</v>
      </c>
      <c r="C11" s="541">
        <f>地块信息表!X12</f>
        <v>0</v>
      </c>
      <c r="D11" s="248">
        <v>100</v>
      </c>
      <c r="E11" s="541">
        <v>2</v>
      </c>
      <c r="F11" s="248">
        <f>LOOKUP(E11,68:68,69:69)-LOOKUP(C11,68:68,69:69)+100</f>
        <v>100</v>
      </c>
      <c r="G11" s="542">
        <v>2</v>
      </c>
      <c r="H11" s="248">
        <f>LOOKUP(G11,68:68,69:69)-LOOKUP(C11,68:68,69:69)+100</f>
        <v>100</v>
      </c>
      <c r="I11" s="541">
        <v>2</v>
      </c>
      <c r="J11" s="248">
        <f>LOOKUP(I11,68:68,69:69)-LOOKUP(C11,68:68,69:69)+100</f>
        <v>100</v>
      </c>
      <c r="K11" s="391">
        <v>0</v>
      </c>
      <c r="L11" s="396"/>
      <c r="M11" s="338"/>
      <c r="N11" s="338"/>
      <c r="O11" s="397"/>
      <c r="P11" s="390"/>
      <c r="Q11" s="466" t="str">
        <f t="shared" si="5"/>
        <v>容积率</v>
      </c>
      <c r="R11" s="462" t="s">
        <v>935</v>
      </c>
      <c r="S11" s="463">
        <f t="shared" ref="S11:W11" si="9">F11</f>
        <v>100</v>
      </c>
      <c r="T11" s="462" t="s">
        <v>935</v>
      </c>
      <c r="U11" s="463">
        <f t="shared" si="9"/>
        <v>100</v>
      </c>
      <c r="V11" s="462" t="s">
        <v>935</v>
      </c>
      <c r="W11" s="463">
        <f t="shared" si="9"/>
        <v>100</v>
      </c>
      <c r="X11" s="464"/>
      <c r="Y11" s="466"/>
      <c r="Z11" s="481" t="str">
        <f t="shared" si="7"/>
        <v>容积率</v>
      </c>
      <c r="AA11" s="481">
        <f t="shared" si="1"/>
        <v>1</v>
      </c>
      <c r="AB11" s="481">
        <f t="shared" si="2"/>
        <v>1</v>
      </c>
      <c r="AC11" s="481">
        <f t="shared" si="3"/>
        <v>1</v>
      </c>
    </row>
    <row r="12" s="189" customFormat="1" ht="15" spans="1:29">
      <c r="A12" s="250"/>
      <c r="B12" s="251">
        <v>111</v>
      </c>
      <c r="C12" s="252"/>
      <c r="D12" s="254">
        <v>100</v>
      </c>
      <c r="E12" s="257"/>
      <c r="F12" s="248">
        <f>SUMIF(70:70,E12,71:71)-SUMIF(70:70,C12,71:71)+100</f>
        <v>100</v>
      </c>
      <c r="G12" s="576"/>
      <c r="H12" s="248">
        <f>SUMIF(70:70,G12,71:71)-SUMIF(70:70,C12,71:71)+100</f>
        <v>100</v>
      </c>
      <c r="I12" s="257"/>
      <c r="J12" s="248">
        <f>SUMIF(70:70,I12,71:71)-SUMIF(70:70,C12,71:71)+100</f>
        <v>100</v>
      </c>
      <c r="K12" s="395"/>
      <c r="L12" s="386"/>
      <c r="M12" s="387"/>
      <c r="N12" s="387"/>
      <c r="O12" s="389"/>
      <c r="P12" s="390"/>
      <c r="Q12" s="466">
        <f t="shared" si="5"/>
        <v>111</v>
      </c>
      <c r="R12" s="462" t="s">
        <v>935</v>
      </c>
      <c r="S12" s="463">
        <f t="shared" ref="S12:W12" si="10">F12</f>
        <v>100</v>
      </c>
      <c r="T12" s="462" t="s">
        <v>935</v>
      </c>
      <c r="U12" s="463">
        <f t="shared" si="10"/>
        <v>100</v>
      </c>
      <c r="V12" s="462" t="s">
        <v>935</v>
      </c>
      <c r="W12" s="463">
        <f t="shared" si="10"/>
        <v>100</v>
      </c>
      <c r="X12" s="464"/>
      <c r="Y12" s="466"/>
      <c r="Z12" s="481">
        <f t="shared" si="7"/>
        <v>111</v>
      </c>
      <c r="AA12" s="481">
        <f t="shared" si="1"/>
        <v>1</v>
      </c>
      <c r="AB12" s="481">
        <f t="shared" si="2"/>
        <v>1</v>
      </c>
      <c r="AC12" s="481">
        <f t="shared" si="3"/>
        <v>1</v>
      </c>
    </row>
    <row r="13" ht="15" spans="1:29">
      <c r="A13" s="250"/>
      <c r="B13" s="251">
        <v>111</v>
      </c>
      <c r="C13" s="257"/>
      <c r="D13" s="258">
        <v>100</v>
      </c>
      <c r="E13" s="257"/>
      <c r="F13" s="248">
        <f>SUMIF(72:72,E13,73:73)-SUMIF(72:72,C13,73:73)+100</f>
        <v>100</v>
      </c>
      <c r="G13" s="576"/>
      <c r="H13" s="258">
        <f>SUMIF(72:72,G13,73:73)-SUMIF(72:72,C13,73:73)+100</f>
        <v>100</v>
      </c>
      <c r="I13" s="257"/>
      <c r="J13" s="258">
        <f>SUMIF(72:72,I13,73:73)-SUMIF(72:72,C13,73:73)+100</f>
        <v>100</v>
      </c>
      <c r="K13" s="395"/>
      <c r="L13" s="398"/>
      <c r="M13" s="338"/>
      <c r="N13" s="338"/>
      <c r="O13" s="397"/>
      <c r="P13" s="390"/>
      <c r="Q13" s="466">
        <f t="shared" si="5"/>
        <v>111</v>
      </c>
      <c r="R13" s="462" t="s">
        <v>935</v>
      </c>
      <c r="S13" s="463">
        <f t="shared" ref="S13:W13" si="11">F13</f>
        <v>100</v>
      </c>
      <c r="T13" s="462" t="s">
        <v>935</v>
      </c>
      <c r="U13" s="463">
        <f t="shared" si="11"/>
        <v>100</v>
      </c>
      <c r="V13" s="462" t="s">
        <v>935</v>
      </c>
      <c r="W13" s="463">
        <f t="shared" si="11"/>
        <v>100</v>
      </c>
      <c r="X13" s="464"/>
      <c r="Y13" s="466"/>
      <c r="Z13" s="481">
        <f t="shared" si="7"/>
        <v>111</v>
      </c>
      <c r="AA13" s="481">
        <f t="shared" si="1"/>
        <v>1</v>
      </c>
      <c r="AB13" s="481">
        <f t="shared" si="2"/>
        <v>1</v>
      </c>
      <c r="AC13" s="481">
        <f t="shared" si="3"/>
        <v>1</v>
      </c>
    </row>
    <row r="14" ht="15.75" spans="1:29">
      <c r="A14" s="255"/>
      <c r="B14" s="256">
        <v>111</v>
      </c>
      <c r="C14" s="307"/>
      <c r="D14" s="308">
        <v>100</v>
      </c>
      <c r="E14" s="307"/>
      <c r="F14" s="308">
        <f>SUMIF(74:74,E14,75:75)-SUMIF(74:74,C14,75:75)+100</f>
        <v>100</v>
      </c>
      <c r="G14" s="576"/>
      <c r="H14" s="308">
        <f>SUMIF(74:74,G14,75:75)-SUMIF(74:74,C14,75:75)+100</f>
        <v>100</v>
      </c>
      <c r="I14" s="257"/>
      <c r="J14" s="308">
        <f>SUMIF(74:74,I14,75:75)-SUMIF(74:74,C14,75:75)+100</f>
        <v>100</v>
      </c>
      <c r="K14" s="395"/>
      <c r="L14" s="398"/>
      <c r="M14" s="338"/>
      <c r="N14" s="338"/>
      <c r="O14" s="397"/>
      <c r="P14" s="390"/>
      <c r="Q14" s="466">
        <f t="shared" si="5"/>
        <v>111</v>
      </c>
      <c r="R14" s="462" t="s">
        <v>935</v>
      </c>
      <c r="S14" s="463">
        <f t="shared" ref="S14:W14" si="12">F14</f>
        <v>100</v>
      </c>
      <c r="T14" s="462" t="s">
        <v>935</v>
      </c>
      <c r="U14" s="463">
        <f t="shared" si="12"/>
        <v>100</v>
      </c>
      <c r="V14" s="462" t="s">
        <v>935</v>
      </c>
      <c r="W14" s="463">
        <f t="shared" si="12"/>
        <v>100</v>
      </c>
      <c r="X14" s="464"/>
      <c r="Y14" s="466"/>
      <c r="Z14" s="481">
        <f t="shared" si="7"/>
        <v>111</v>
      </c>
      <c r="AA14" s="481">
        <f t="shared" si="1"/>
        <v>1</v>
      </c>
      <c r="AB14" s="481">
        <f t="shared" si="2"/>
        <v>1</v>
      </c>
      <c r="AC14" s="481">
        <f t="shared" si="3"/>
        <v>1</v>
      </c>
    </row>
    <row r="15" ht="68.25" spans="1:29">
      <c r="A15" s="259" t="s">
        <v>946</v>
      </c>
      <c r="B15" s="260" t="s">
        <v>226</v>
      </c>
      <c r="C15" s="1125" t="str">
        <f>估价对象房地状况!C4</f>
        <v>估价对象位于XX商圈，周边商业氛围成熟，人流量大，商业繁华度好</v>
      </c>
      <c r="D15" s="262">
        <v>100</v>
      </c>
      <c r="E15" s="263"/>
      <c r="F15" s="264">
        <f t="shared" ref="F15:F19" si="13">SUMIF(76:76,E16,77:77)-SUMIF(76:76,C16,77:77)+100</f>
        <v>108</v>
      </c>
      <c r="G15" s="265"/>
      <c r="H15" s="262">
        <f t="shared" ref="H15:H19" si="14">SUMIF(76:76,G16,77:77)-SUMIF(76:76,C16,77:77)+100</f>
        <v>108</v>
      </c>
      <c r="I15" s="263"/>
      <c r="J15" s="262">
        <f t="shared" ref="J15:J19" si="15">SUMIF(76:76,I16,77:77)-SUMIF(76:76,C16,77:77)+100</f>
        <v>108</v>
      </c>
      <c r="K15" s="399">
        <v>8</v>
      </c>
      <c r="L15" s="398"/>
      <c r="M15" s="338"/>
      <c r="N15" s="338"/>
      <c r="O15" s="397"/>
      <c r="P15" s="400" t="s">
        <v>947</v>
      </c>
      <c r="Q15" s="390" t="str">
        <f t="shared" si="5"/>
        <v>商业繁华度</v>
      </c>
      <c r="R15" s="467" t="s">
        <v>935</v>
      </c>
      <c r="S15" s="468">
        <f t="shared" ref="S15:W15" si="16">F15</f>
        <v>108</v>
      </c>
      <c r="T15" s="467" t="s">
        <v>935</v>
      </c>
      <c r="U15" s="468">
        <f t="shared" si="16"/>
        <v>108</v>
      </c>
      <c r="V15" s="467" t="s">
        <v>935</v>
      </c>
      <c r="W15" s="468">
        <f t="shared" si="16"/>
        <v>108</v>
      </c>
      <c r="X15" s="454"/>
      <c r="Y15" s="400" t="s">
        <v>947</v>
      </c>
      <c r="Z15" s="453" t="str">
        <f t="shared" si="7"/>
        <v>商业繁华度</v>
      </c>
      <c r="AA15" s="453">
        <f t="shared" si="1"/>
        <v>0.925925925925926</v>
      </c>
      <c r="AB15" s="453">
        <f t="shared" si="2"/>
        <v>0.925925925925926</v>
      </c>
      <c r="AC15" s="453">
        <f t="shared" si="3"/>
        <v>0.925925925925926</v>
      </c>
    </row>
    <row r="16" ht="15" spans="1:29">
      <c r="A16" s="266"/>
      <c r="B16" s="267"/>
      <c r="C16" s="268" t="s">
        <v>951</v>
      </c>
      <c r="D16" s="269"/>
      <c r="E16" s="268" t="s">
        <v>949</v>
      </c>
      <c r="F16" s="270"/>
      <c r="G16" s="268" t="s">
        <v>949</v>
      </c>
      <c r="H16" s="271"/>
      <c r="I16" s="268" t="s">
        <v>949</v>
      </c>
      <c r="J16" s="269"/>
      <c r="K16" s="401"/>
      <c r="L16" s="398"/>
      <c r="M16" s="338"/>
      <c r="N16" s="338"/>
      <c r="O16" s="397"/>
      <c r="P16" s="367"/>
      <c r="Q16" s="390"/>
      <c r="R16" s="467"/>
      <c r="S16" s="468"/>
      <c r="T16" s="467"/>
      <c r="U16" s="468"/>
      <c r="V16" s="467"/>
      <c r="W16" s="468"/>
      <c r="X16" s="454"/>
      <c r="Y16" s="367"/>
      <c r="Z16" s="453"/>
      <c r="AA16" s="453">
        <v>1</v>
      </c>
      <c r="AB16" s="453">
        <v>1</v>
      </c>
      <c r="AC16" s="453">
        <v>1</v>
      </c>
    </row>
    <row r="17" ht="81" spans="1:29">
      <c r="A17" s="266"/>
      <c r="B17" s="285" t="s">
        <v>229</v>
      </c>
      <c r="C17" s="273" t="str">
        <f>估价对象房地状况!C6</f>
        <v>估价对象周边道路状况、公共交通通达情况、停车便捷程度，综合评价交通便捷度较好</v>
      </c>
      <c r="D17" s="271">
        <v>100</v>
      </c>
      <c r="E17" s="281"/>
      <c r="F17" s="282">
        <f t="shared" si="13"/>
        <v>105</v>
      </c>
      <c r="G17" s="283"/>
      <c r="H17" s="274">
        <f t="shared" si="14"/>
        <v>105</v>
      </c>
      <c r="I17" s="281"/>
      <c r="J17" s="274">
        <f t="shared" si="15"/>
        <v>105</v>
      </c>
      <c r="K17" s="399">
        <v>5</v>
      </c>
      <c r="L17" s="398"/>
      <c r="M17" s="338"/>
      <c r="N17" s="338"/>
      <c r="O17" s="397"/>
      <c r="P17" s="367"/>
      <c r="Q17" s="390" t="str">
        <f t="shared" ref="Q17:Q21" si="17">B17</f>
        <v>交通便捷度</v>
      </c>
      <c r="R17" s="467" t="s">
        <v>935</v>
      </c>
      <c r="S17" s="468">
        <f t="shared" ref="S17:W17" si="18">F17</f>
        <v>105</v>
      </c>
      <c r="T17" s="467" t="s">
        <v>935</v>
      </c>
      <c r="U17" s="468">
        <f t="shared" si="18"/>
        <v>105</v>
      </c>
      <c r="V17" s="467" t="s">
        <v>935</v>
      </c>
      <c r="W17" s="468">
        <f t="shared" si="18"/>
        <v>105</v>
      </c>
      <c r="X17" s="454"/>
      <c r="Y17" s="367"/>
      <c r="Z17" s="453" t="str">
        <f t="shared" ref="Z17:Z21" si="19">Q17</f>
        <v>交通便捷度</v>
      </c>
      <c r="AA17" s="453">
        <f t="shared" ref="AA17:AA21" si="20">D17/F17</f>
        <v>0.952380952380952</v>
      </c>
      <c r="AB17" s="453">
        <f t="shared" ref="AB17:AB21" si="21">D17/H17</f>
        <v>0.952380952380952</v>
      </c>
      <c r="AC17" s="453">
        <f t="shared" ref="AC17:AC21" si="22">D17/J17</f>
        <v>0.952380952380952</v>
      </c>
    </row>
    <row r="18" ht="15" spans="1:29">
      <c r="A18" s="266"/>
      <c r="B18" s="286"/>
      <c r="C18" s="279" t="s">
        <v>951</v>
      </c>
      <c r="D18" s="271"/>
      <c r="E18" s="544" t="s">
        <v>949</v>
      </c>
      <c r="F18" s="282"/>
      <c r="G18" s="545" t="s">
        <v>949</v>
      </c>
      <c r="H18" s="269"/>
      <c r="I18" s="544" t="s">
        <v>949</v>
      </c>
      <c r="J18" s="269"/>
      <c r="K18" s="401"/>
      <c r="L18" s="398"/>
      <c r="M18" s="338"/>
      <c r="N18" s="338"/>
      <c r="O18" s="397"/>
      <c r="P18" s="367"/>
      <c r="Q18" s="390"/>
      <c r="R18" s="467"/>
      <c r="S18" s="468"/>
      <c r="T18" s="467"/>
      <c r="U18" s="468"/>
      <c r="V18" s="467"/>
      <c r="W18" s="468"/>
      <c r="X18" s="454"/>
      <c r="Y18" s="367"/>
      <c r="Z18" s="453"/>
      <c r="AA18" s="453">
        <v>1</v>
      </c>
      <c r="AB18" s="453">
        <v>1</v>
      </c>
      <c r="AC18" s="453">
        <v>1</v>
      </c>
    </row>
    <row r="19" ht="40.5" spans="1:29">
      <c r="A19" s="266"/>
      <c r="B19" s="1126" t="s">
        <v>231</v>
      </c>
      <c r="C19" s="273" t="str">
        <f>估价对象房地状况!C7</f>
        <v>估价对象所在区域公共配套设施齐备情况</v>
      </c>
      <c r="D19" s="274">
        <v>100</v>
      </c>
      <c r="E19" s="275"/>
      <c r="F19" s="276">
        <f t="shared" si="13"/>
        <v>103</v>
      </c>
      <c r="G19" s="277"/>
      <c r="H19" s="271">
        <f t="shared" si="14"/>
        <v>103</v>
      </c>
      <c r="I19" s="275"/>
      <c r="J19" s="271">
        <f t="shared" si="15"/>
        <v>103</v>
      </c>
      <c r="K19" s="399">
        <v>3</v>
      </c>
      <c r="L19" s="398"/>
      <c r="M19" s="338"/>
      <c r="N19" s="338"/>
      <c r="O19" s="397"/>
      <c r="P19" s="367"/>
      <c r="Q19" s="390" t="str">
        <f t="shared" si="17"/>
        <v>公共配套设施</v>
      </c>
      <c r="R19" s="467" t="s">
        <v>935</v>
      </c>
      <c r="S19" s="468">
        <f t="shared" ref="S19:W19" si="23">F19</f>
        <v>103</v>
      </c>
      <c r="T19" s="467" t="s">
        <v>935</v>
      </c>
      <c r="U19" s="468">
        <f t="shared" si="23"/>
        <v>103</v>
      </c>
      <c r="V19" s="467" t="s">
        <v>935</v>
      </c>
      <c r="W19" s="468">
        <f t="shared" si="23"/>
        <v>103</v>
      </c>
      <c r="X19" s="454"/>
      <c r="Y19" s="367"/>
      <c r="Z19" s="453" t="str">
        <f t="shared" si="19"/>
        <v>公共配套设施</v>
      </c>
      <c r="AA19" s="453">
        <f t="shared" si="20"/>
        <v>0.970873786407767</v>
      </c>
      <c r="AB19" s="453">
        <f t="shared" si="21"/>
        <v>0.970873786407767</v>
      </c>
      <c r="AC19" s="453">
        <f t="shared" si="22"/>
        <v>0.970873786407767</v>
      </c>
    </row>
    <row r="20" ht="15" spans="1:29">
      <c r="A20" s="266"/>
      <c r="B20" s="286"/>
      <c r="C20" s="268" t="s">
        <v>951</v>
      </c>
      <c r="D20" s="269"/>
      <c r="E20" s="546" t="s">
        <v>949</v>
      </c>
      <c r="F20" s="270"/>
      <c r="G20" s="547" t="s">
        <v>949</v>
      </c>
      <c r="H20" s="269"/>
      <c r="I20" s="546" t="s">
        <v>949</v>
      </c>
      <c r="J20" s="269"/>
      <c r="K20" s="401"/>
      <c r="L20" s="398"/>
      <c r="M20" s="338"/>
      <c r="N20" s="338"/>
      <c r="O20" s="397"/>
      <c r="P20" s="367"/>
      <c r="Q20" s="390"/>
      <c r="R20" s="467"/>
      <c r="S20" s="468"/>
      <c r="T20" s="467"/>
      <c r="U20" s="468"/>
      <c r="V20" s="467"/>
      <c r="W20" s="468"/>
      <c r="X20" s="454"/>
      <c r="Y20" s="367"/>
      <c r="Z20" s="453"/>
      <c r="AA20" s="453">
        <v>1</v>
      </c>
      <c r="AB20" s="453">
        <v>1</v>
      </c>
      <c r="AC20" s="453">
        <v>1</v>
      </c>
    </row>
    <row r="21" ht="27" spans="1:29">
      <c r="A21" s="266"/>
      <c r="B21" s="1127" t="s">
        <v>232</v>
      </c>
      <c r="C21" s="273" t="str">
        <f>估价对象房地状况!C8</f>
        <v>估价对象所在区域基础设施水平</v>
      </c>
      <c r="D21" s="274">
        <v>100</v>
      </c>
      <c r="E21" s="277"/>
      <c r="F21" s="276">
        <f>SUMIF(82:82,E22,83:83)-SUMIF(82:82,C22,83:83)+100</f>
        <v>100</v>
      </c>
      <c r="G21" s="277"/>
      <c r="H21" s="274">
        <f>SUMIF(82:82,G22,83:83)-SUMIF(82:82,C22,83:83)+100</f>
        <v>100</v>
      </c>
      <c r="I21" s="275"/>
      <c r="J21" s="274">
        <f>SUMIF(82:82,I22,83:83)-SUMIF(82:82,C22,83:83)+100</f>
        <v>100</v>
      </c>
      <c r="K21" s="399"/>
      <c r="L21" s="398"/>
      <c r="M21" s="338"/>
      <c r="N21" s="338"/>
      <c r="O21" s="397"/>
      <c r="P21" s="367"/>
      <c r="Q21" s="390" t="str">
        <f t="shared" si="17"/>
        <v>基础设施水平</v>
      </c>
      <c r="R21" s="467" t="s">
        <v>935</v>
      </c>
      <c r="S21" s="468">
        <f t="shared" ref="S21:W21" si="24">F21</f>
        <v>100</v>
      </c>
      <c r="T21" s="467" t="s">
        <v>935</v>
      </c>
      <c r="U21" s="468">
        <f t="shared" si="24"/>
        <v>100</v>
      </c>
      <c r="V21" s="467" t="s">
        <v>935</v>
      </c>
      <c r="W21" s="468">
        <f t="shared" si="24"/>
        <v>100</v>
      </c>
      <c r="X21" s="454"/>
      <c r="Y21" s="367"/>
      <c r="Z21" s="453" t="str">
        <f t="shared" si="19"/>
        <v>基础设施水平</v>
      </c>
      <c r="AA21" s="453">
        <f t="shared" si="20"/>
        <v>1</v>
      </c>
      <c r="AB21" s="453">
        <f t="shared" si="21"/>
        <v>1</v>
      </c>
      <c r="AC21" s="453">
        <f t="shared" si="22"/>
        <v>1</v>
      </c>
    </row>
    <row r="22" ht="15" spans="1:29">
      <c r="A22" s="266"/>
      <c r="B22" s="292"/>
      <c r="C22" s="279" t="s">
        <v>247</v>
      </c>
      <c r="D22" s="269"/>
      <c r="E22" s="268" t="s">
        <v>247</v>
      </c>
      <c r="F22" s="270"/>
      <c r="G22" s="268" t="s">
        <v>247</v>
      </c>
      <c r="H22" s="269"/>
      <c r="I22" s="268" t="s">
        <v>247</v>
      </c>
      <c r="J22" s="269"/>
      <c r="K22" s="402"/>
      <c r="L22" s="398"/>
      <c r="M22" s="338"/>
      <c r="N22" s="338"/>
      <c r="O22" s="397"/>
      <c r="P22" s="367"/>
      <c r="Q22" s="390"/>
      <c r="R22" s="467"/>
      <c r="S22" s="468"/>
      <c r="T22" s="467"/>
      <c r="U22" s="468"/>
      <c r="V22" s="467"/>
      <c r="W22" s="468"/>
      <c r="X22" s="454"/>
      <c r="Y22" s="367"/>
      <c r="Z22" s="453"/>
      <c r="AA22" s="453">
        <v>1</v>
      </c>
      <c r="AB22" s="453">
        <v>1</v>
      </c>
      <c r="AC22" s="453">
        <v>1</v>
      </c>
    </row>
    <row r="23" ht="54" spans="1:29">
      <c r="A23" s="266"/>
      <c r="B23" s="285" t="s">
        <v>2356</v>
      </c>
      <c r="C23" s="1128" t="str">
        <f>估价对象房地状况!C9</f>
        <v>区域自然环境：；人文环境；综合评价环境状况一般</v>
      </c>
      <c r="D23" s="271">
        <v>100</v>
      </c>
      <c r="E23" s="281"/>
      <c r="F23" s="282">
        <f>SUMIF(84:84,E24,85:85)-SUMIF(84:84,C24,85:85)+100</f>
        <v>100</v>
      </c>
      <c r="G23" s="283"/>
      <c r="H23" s="271">
        <f>SUMIF(84:84,G24,85:85)-SUMIF(84:84,C24,85:85)+100</f>
        <v>100</v>
      </c>
      <c r="I23" s="281"/>
      <c r="J23" s="271">
        <f>SUMIF(84:84,I24,85:85)-SUMIF(84:84,C24,85:85)+100</f>
        <v>100</v>
      </c>
      <c r="K23" s="399">
        <v>1</v>
      </c>
      <c r="L23" s="398"/>
      <c r="M23" s="338"/>
      <c r="N23" s="338"/>
      <c r="O23" s="397"/>
      <c r="P23" s="367"/>
      <c r="Q23" s="390" t="str">
        <f t="shared" ref="Q23:Q46" si="25">B23</f>
        <v>自然及人文环境</v>
      </c>
      <c r="R23" s="467" t="s">
        <v>935</v>
      </c>
      <c r="S23" s="468">
        <f t="shared" ref="S23:W23" si="26">F23</f>
        <v>100</v>
      </c>
      <c r="T23" s="467" t="s">
        <v>935</v>
      </c>
      <c r="U23" s="468">
        <f t="shared" si="26"/>
        <v>100</v>
      </c>
      <c r="V23" s="467" t="s">
        <v>935</v>
      </c>
      <c r="W23" s="468">
        <f t="shared" si="26"/>
        <v>100</v>
      </c>
      <c r="X23" s="454"/>
      <c r="Y23" s="367"/>
      <c r="Z23" s="453" t="str">
        <f t="shared" ref="Z23:Z46" si="27">Q23</f>
        <v>自然及人文环境</v>
      </c>
      <c r="AA23" s="453">
        <f t="shared" ref="AA23:AA46" si="28">D23/F23</f>
        <v>1</v>
      </c>
      <c r="AB23" s="453">
        <f t="shared" ref="AB23:AB46" si="29">D23/H23</f>
        <v>1</v>
      </c>
      <c r="AC23" s="453">
        <f t="shared" ref="AC23:AC46" si="30">D23/J23</f>
        <v>1</v>
      </c>
    </row>
    <row r="24" ht="15" spans="1:29">
      <c r="A24" s="266"/>
      <c r="B24" s="286"/>
      <c r="C24" s="268" t="s">
        <v>951</v>
      </c>
      <c r="D24" s="269"/>
      <c r="E24" s="546" t="s">
        <v>951</v>
      </c>
      <c r="F24" s="270"/>
      <c r="G24" s="547" t="s">
        <v>951</v>
      </c>
      <c r="H24" s="269"/>
      <c r="I24" s="546" t="s">
        <v>951</v>
      </c>
      <c r="J24" s="269"/>
      <c r="K24" s="401"/>
      <c r="L24" s="398"/>
      <c r="M24" s="338"/>
      <c r="N24" s="338"/>
      <c r="O24" s="397"/>
      <c r="P24" s="367"/>
      <c r="Q24" s="390"/>
      <c r="R24" s="467"/>
      <c r="S24" s="468"/>
      <c r="T24" s="467"/>
      <c r="U24" s="468"/>
      <c r="V24" s="467"/>
      <c r="W24" s="468"/>
      <c r="X24" s="454"/>
      <c r="Y24" s="367"/>
      <c r="Z24" s="453"/>
      <c r="AA24" s="453">
        <v>1</v>
      </c>
      <c r="AB24" s="453">
        <v>1</v>
      </c>
      <c r="AC24" s="453">
        <v>1</v>
      </c>
    </row>
    <row r="25" ht="15" spans="1:29">
      <c r="A25" s="266"/>
      <c r="B25" s="297" t="s">
        <v>234</v>
      </c>
      <c r="C25" s="287" t="s">
        <v>2457</v>
      </c>
      <c r="D25" s="258">
        <v>100</v>
      </c>
      <c r="E25" s="287" t="s">
        <v>2457</v>
      </c>
      <c r="F25" s="288">
        <f>SUMIF(86:86,E25,87:87)-SUMIF(86:86,C25,87:87)+100</f>
        <v>100</v>
      </c>
      <c r="G25" s="287" t="s">
        <v>2457</v>
      </c>
      <c r="H25" s="258">
        <f>SUMIF(86:86,G25,87:87)-SUMIF(86:86,C25,87:87)+100</f>
        <v>100</v>
      </c>
      <c r="I25" s="287" t="s">
        <v>2457</v>
      </c>
      <c r="J25" s="258">
        <f>SUMIF(86:86,I25,87:87)-SUMIF(86:86,C25,87:87)+100</f>
        <v>100</v>
      </c>
      <c r="K25" s="391"/>
      <c r="L25" s="398"/>
      <c r="M25" s="338"/>
      <c r="N25" s="338"/>
      <c r="O25" s="397"/>
      <c r="P25" s="367"/>
      <c r="Q25" s="390" t="str">
        <f t="shared" si="25"/>
        <v>临街状况</v>
      </c>
      <c r="R25" s="467" t="s">
        <v>935</v>
      </c>
      <c r="S25" s="468">
        <f t="shared" ref="S25:W25" si="31">F25</f>
        <v>100</v>
      </c>
      <c r="T25" s="467" t="s">
        <v>935</v>
      </c>
      <c r="U25" s="468">
        <f t="shared" si="31"/>
        <v>100</v>
      </c>
      <c r="V25" s="467" t="s">
        <v>935</v>
      </c>
      <c r="W25" s="468">
        <f t="shared" si="31"/>
        <v>100</v>
      </c>
      <c r="X25" s="454"/>
      <c r="Y25" s="367"/>
      <c r="Z25" s="453" t="str">
        <f t="shared" si="27"/>
        <v>临街状况</v>
      </c>
      <c r="AA25" s="453">
        <f t="shared" si="28"/>
        <v>1</v>
      </c>
      <c r="AB25" s="453">
        <f t="shared" si="29"/>
        <v>1</v>
      </c>
      <c r="AC25" s="453">
        <f t="shared" si="30"/>
        <v>1</v>
      </c>
    </row>
    <row r="26" ht="15" spans="1:29">
      <c r="A26" s="266"/>
      <c r="B26" s="548" t="s">
        <v>2458</v>
      </c>
      <c r="C26" s="257"/>
      <c r="D26" s="258">
        <v>100</v>
      </c>
      <c r="E26" s="257"/>
      <c r="F26" s="288">
        <f>SUMIF(88:88,E26,89:89)-SUMIF(88:88,C26,89:89)+100</f>
        <v>100</v>
      </c>
      <c r="G26" s="257"/>
      <c r="H26" s="258">
        <f>SUMIF(88:88,G26,89:89)-SUMIF(88:88,C26,89:89)+100</f>
        <v>100</v>
      </c>
      <c r="I26" s="257"/>
      <c r="J26" s="258">
        <f>SUMIF(88:88,I26,89:89)-SUMIF(88:88,C26,89:89)+100</f>
        <v>100</v>
      </c>
      <c r="K26" s="395"/>
      <c r="L26" s="398"/>
      <c r="M26" s="338"/>
      <c r="N26" s="338"/>
      <c r="O26" s="397"/>
      <c r="P26" s="367"/>
      <c r="Q26" s="390" t="str">
        <f t="shared" si="25"/>
        <v>平面位置/可视性</v>
      </c>
      <c r="R26" s="467" t="s">
        <v>935</v>
      </c>
      <c r="S26" s="468">
        <f t="shared" ref="S26:W26" si="32">F26</f>
        <v>100</v>
      </c>
      <c r="T26" s="467" t="s">
        <v>935</v>
      </c>
      <c r="U26" s="468">
        <f t="shared" si="32"/>
        <v>100</v>
      </c>
      <c r="V26" s="467" t="s">
        <v>935</v>
      </c>
      <c r="W26" s="468">
        <f t="shared" si="32"/>
        <v>100</v>
      </c>
      <c r="X26" s="454"/>
      <c r="Y26" s="367"/>
      <c r="Z26" s="453" t="str">
        <f t="shared" si="27"/>
        <v>平面位置/可视性</v>
      </c>
      <c r="AA26" s="453">
        <f t="shared" si="28"/>
        <v>1</v>
      </c>
      <c r="AB26" s="453">
        <f t="shared" si="29"/>
        <v>1</v>
      </c>
      <c r="AC26" s="453">
        <f t="shared" si="30"/>
        <v>1</v>
      </c>
    </row>
    <row r="27" s="189" customFormat="1" ht="15" spans="1:29">
      <c r="A27" s="290"/>
      <c r="B27" s="285" t="s">
        <v>2459</v>
      </c>
      <c r="C27" s="579"/>
      <c r="D27" s="278">
        <v>100</v>
      </c>
      <c r="E27" s="579"/>
      <c r="F27" s="286">
        <f>SUMIF(90:90,E27,91:91)-SUMIF(90:90,C27,91:91)+100</f>
        <v>100</v>
      </c>
      <c r="G27" s="579"/>
      <c r="H27" s="278">
        <f>SUMIF(90:90,G27,91:91)-SUMIF(90:90,C27,91:91)+100</f>
        <v>100</v>
      </c>
      <c r="I27" s="579"/>
      <c r="J27" s="278">
        <f>SUMIF(90:90,I27,91:91)-SUMIF(90:90,C27,91:91)+100</f>
        <v>100</v>
      </c>
      <c r="K27" s="391"/>
      <c r="L27" s="386"/>
      <c r="M27" s="387"/>
      <c r="N27" s="387"/>
      <c r="O27" s="389"/>
      <c r="P27" s="367"/>
      <c r="Q27" s="466" t="str">
        <f t="shared" si="25"/>
        <v>人流量</v>
      </c>
      <c r="R27" s="462" t="s">
        <v>935</v>
      </c>
      <c r="S27" s="463">
        <f t="shared" ref="S27:W27" si="33">F27</f>
        <v>100</v>
      </c>
      <c r="T27" s="462" t="s">
        <v>935</v>
      </c>
      <c r="U27" s="463">
        <f t="shared" si="33"/>
        <v>100</v>
      </c>
      <c r="V27" s="462" t="s">
        <v>935</v>
      </c>
      <c r="W27" s="463">
        <f t="shared" si="33"/>
        <v>100</v>
      </c>
      <c r="X27" s="464"/>
      <c r="Y27" s="367"/>
      <c r="Z27" s="481" t="str">
        <f t="shared" si="27"/>
        <v>人流量</v>
      </c>
      <c r="AA27" s="453">
        <f t="shared" si="28"/>
        <v>1</v>
      </c>
      <c r="AB27" s="453">
        <f t="shared" si="29"/>
        <v>1</v>
      </c>
      <c r="AC27" s="453">
        <f t="shared" si="30"/>
        <v>1</v>
      </c>
    </row>
    <row r="28" ht="15" spans="1:29">
      <c r="A28" s="266"/>
      <c r="B28" s="297" t="s">
        <v>2460</v>
      </c>
      <c r="C28" s="287">
        <v>1</v>
      </c>
      <c r="D28" s="258">
        <v>100</v>
      </c>
      <c r="E28" s="287">
        <v>1</v>
      </c>
      <c r="F28" s="288">
        <f>SUMIF(92:92,E28,93:93)-SUMIF(92:92,C28,93:93)+100</f>
        <v>100</v>
      </c>
      <c r="G28" s="287">
        <v>1</v>
      </c>
      <c r="H28" s="258">
        <f>SUMIF(92:92,G28,93:93)-SUMIF(92:92,C28,93:93)+100</f>
        <v>100</v>
      </c>
      <c r="I28" s="287">
        <v>1</v>
      </c>
      <c r="J28" s="258">
        <f>SUMIF(92:92,I28,93:93)-SUMIF(92:92,C28,93:93)+100</f>
        <v>100</v>
      </c>
      <c r="K28" s="395"/>
      <c r="L28" s="398"/>
      <c r="M28" s="338"/>
      <c r="N28" s="338"/>
      <c r="O28" s="397"/>
      <c r="P28" s="367"/>
      <c r="Q28" s="390" t="str">
        <f t="shared" si="25"/>
        <v>楼层</v>
      </c>
      <c r="R28" s="467" t="s">
        <v>935</v>
      </c>
      <c r="S28" s="468">
        <f t="shared" ref="S28:W28" si="34">F28</f>
        <v>100</v>
      </c>
      <c r="T28" s="467" t="s">
        <v>935</v>
      </c>
      <c r="U28" s="468">
        <f t="shared" si="34"/>
        <v>100</v>
      </c>
      <c r="V28" s="467" t="s">
        <v>935</v>
      </c>
      <c r="W28" s="468">
        <f t="shared" si="34"/>
        <v>100</v>
      </c>
      <c r="X28" s="454"/>
      <c r="Y28" s="367"/>
      <c r="Z28" s="453" t="str">
        <f t="shared" si="27"/>
        <v>楼层</v>
      </c>
      <c r="AA28" s="453">
        <f t="shared" si="28"/>
        <v>1</v>
      </c>
      <c r="AB28" s="453">
        <f t="shared" si="29"/>
        <v>1</v>
      </c>
      <c r="AC28" s="453">
        <f t="shared" si="30"/>
        <v>1</v>
      </c>
    </row>
    <row r="29" ht="15" spans="1:29">
      <c r="A29" s="266"/>
      <c r="B29" s="548">
        <v>111</v>
      </c>
      <c r="C29" s="257"/>
      <c r="D29" s="258">
        <v>100</v>
      </c>
      <c r="E29" s="257"/>
      <c r="F29" s="288">
        <f>SUMIF(94:94,E29,95:95)-SUMIF(94:94,C29,95:95)+100</f>
        <v>100</v>
      </c>
      <c r="G29" s="257"/>
      <c r="H29" s="258">
        <f>SUMIF(94:94,G29,95:95)-SUMIF(94:94,C29,95:95)+100</f>
        <v>100</v>
      </c>
      <c r="I29" s="257"/>
      <c r="J29" s="258">
        <f>SUMIF(94:94,I29,95:95)-SUMIF(94:94,C29,95:95)+100</f>
        <v>100</v>
      </c>
      <c r="K29" s="395"/>
      <c r="L29" s="398"/>
      <c r="M29" s="338"/>
      <c r="N29" s="338"/>
      <c r="O29" s="397"/>
      <c r="P29" s="367"/>
      <c r="Q29" s="390">
        <f t="shared" si="25"/>
        <v>111</v>
      </c>
      <c r="R29" s="467" t="s">
        <v>935</v>
      </c>
      <c r="S29" s="468">
        <f t="shared" ref="S29:W29" si="35">F29</f>
        <v>100</v>
      </c>
      <c r="T29" s="467" t="s">
        <v>935</v>
      </c>
      <c r="U29" s="468">
        <f t="shared" si="35"/>
        <v>100</v>
      </c>
      <c r="V29" s="467" t="s">
        <v>935</v>
      </c>
      <c r="W29" s="468">
        <f t="shared" si="35"/>
        <v>100</v>
      </c>
      <c r="X29" s="454"/>
      <c r="Y29" s="367"/>
      <c r="Z29" s="453">
        <f t="shared" si="27"/>
        <v>111</v>
      </c>
      <c r="AA29" s="453">
        <f t="shared" si="28"/>
        <v>1</v>
      </c>
      <c r="AB29" s="453">
        <f t="shared" si="29"/>
        <v>1</v>
      </c>
      <c r="AC29" s="453">
        <f t="shared" si="30"/>
        <v>1</v>
      </c>
    </row>
    <row r="30" ht="15" spans="1:29">
      <c r="A30" s="266"/>
      <c r="B30" s="548">
        <v>111</v>
      </c>
      <c r="C30" s="257"/>
      <c r="D30" s="258">
        <v>100</v>
      </c>
      <c r="E30" s="257"/>
      <c r="F30" s="288">
        <f>SUMIF(96:96,E30,97:97)-SUMIF(96:96,C30,97:97)+100</f>
        <v>100</v>
      </c>
      <c r="G30" s="257"/>
      <c r="H30" s="258">
        <f>SUMIF(96:96,G30,97:97)-SUMIF(96:96,C30,97:97)+100</f>
        <v>100</v>
      </c>
      <c r="I30" s="257"/>
      <c r="J30" s="258">
        <f>SUMIF(96:96,I30,97:97)-SUMIF(96:96,C30,97:97)+100</f>
        <v>100</v>
      </c>
      <c r="K30" s="395"/>
      <c r="L30" s="398"/>
      <c r="M30" s="338"/>
      <c r="N30" s="338"/>
      <c r="O30" s="397"/>
      <c r="P30" s="367"/>
      <c r="Q30" s="390">
        <f t="shared" si="25"/>
        <v>111</v>
      </c>
      <c r="R30" s="467" t="s">
        <v>935</v>
      </c>
      <c r="S30" s="468">
        <f t="shared" ref="S30:W30" si="36">F30</f>
        <v>100</v>
      </c>
      <c r="T30" s="467" t="s">
        <v>935</v>
      </c>
      <c r="U30" s="468">
        <f t="shared" si="36"/>
        <v>100</v>
      </c>
      <c r="V30" s="467" t="s">
        <v>935</v>
      </c>
      <c r="W30" s="468">
        <f t="shared" si="36"/>
        <v>100</v>
      </c>
      <c r="X30" s="454"/>
      <c r="Y30" s="367"/>
      <c r="Z30" s="453">
        <f t="shared" si="27"/>
        <v>111</v>
      </c>
      <c r="AA30" s="453">
        <f t="shared" si="28"/>
        <v>1</v>
      </c>
      <c r="AB30" s="453">
        <f t="shared" si="29"/>
        <v>1</v>
      </c>
      <c r="AC30" s="453">
        <f t="shared" si="30"/>
        <v>1</v>
      </c>
    </row>
    <row r="31" ht="15.75" spans="1:29">
      <c r="A31" s="549"/>
      <c r="B31" s="548">
        <v>111</v>
      </c>
      <c r="C31" s="307"/>
      <c r="D31" s="308">
        <v>100</v>
      </c>
      <c r="E31" s="257"/>
      <c r="F31" s="310">
        <f>SUMIF(98:98,E31,99:99)-SUMIF(98:98,C31,99:99)+100</f>
        <v>100</v>
      </c>
      <c r="G31" s="257"/>
      <c r="H31" s="308">
        <f>SUMIF(98:98,G31,99:99)-SUMIF(98:98,C31,99:99)+100</f>
        <v>100</v>
      </c>
      <c r="I31" s="257"/>
      <c r="J31" s="308">
        <f>SUMIF(98:98,I31,99:99)-SUMIF(98:98,C31,99:99)+100</f>
        <v>100</v>
      </c>
      <c r="K31" s="395"/>
      <c r="L31" s="398"/>
      <c r="M31" s="338"/>
      <c r="N31" s="338"/>
      <c r="O31" s="397"/>
      <c r="P31" s="367"/>
      <c r="Q31" s="390">
        <f t="shared" si="25"/>
        <v>111</v>
      </c>
      <c r="R31" s="467" t="s">
        <v>935</v>
      </c>
      <c r="S31" s="468">
        <f t="shared" ref="S31:W31" si="37">F31</f>
        <v>100</v>
      </c>
      <c r="T31" s="467" t="s">
        <v>935</v>
      </c>
      <c r="U31" s="468">
        <f t="shared" si="37"/>
        <v>100</v>
      </c>
      <c r="V31" s="467" t="s">
        <v>935</v>
      </c>
      <c r="W31" s="468">
        <f t="shared" si="37"/>
        <v>100</v>
      </c>
      <c r="X31" s="454"/>
      <c r="Y31" s="367"/>
      <c r="Z31" s="453">
        <f t="shared" si="27"/>
        <v>111</v>
      </c>
      <c r="AA31" s="453">
        <f t="shared" si="28"/>
        <v>1</v>
      </c>
      <c r="AB31" s="453">
        <f t="shared" si="29"/>
        <v>1</v>
      </c>
      <c r="AC31" s="453">
        <f t="shared" si="30"/>
        <v>1</v>
      </c>
    </row>
    <row r="32" ht="27" spans="1:29">
      <c r="A32" s="293" t="s">
        <v>955</v>
      </c>
      <c r="B32" s="294" t="s">
        <v>2461</v>
      </c>
      <c r="C32" s="295" t="s">
        <v>2462</v>
      </c>
      <c r="D32" s="216">
        <v>100</v>
      </c>
      <c r="E32" s="295" t="s">
        <v>2463</v>
      </c>
      <c r="F32" s="288">
        <f>SUMIF(100:100,E32,101:101)-SUMIF(100:100,C32,101:101)+100</f>
        <v>103</v>
      </c>
      <c r="G32" s="295" t="s">
        <v>2464</v>
      </c>
      <c r="H32" s="258">
        <f>SUMIF(100:100,G32,101:101)-SUMIF(100:100,C32,101:101)+100</f>
        <v>109</v>
      </c>
      <c r="I32" s="295" t="s">
        <v>2465</v>
      </c>
      <c r="J32" s="216">
        <f>SUMIF(100:100,I32,101:101)-SUMIF(100:100,C32,101:101)+100</f>
        <v>106</v>
      </c>
      <c r="K32" s="391">
        <v>3</v>
      </c>
      <c r="L32" s="398"/>
      <c r="M32" s="338"/>
      <c r="N32" s="338"/>
      <c r="O32" s="397"/>
      <c r="P32" s="403" t="s">
        <v>954</v>
      </c>
      <c r="Q32" s="390" t="str">
        <f t="shared" si="25"/>
        <v>商业类型</v>
      </c>
      <c r="R32" s="467" t="s">
        <v>935</v>
      </c>
      <c r="S32" s="468">
        <f t="shared" ref="S32:W32" si="38">F32</f>
        <v>103</v>
      </c>
      <c r="T32" s="467" t="s">
        <v>935</v>
      </c>
      <c r="U32" s="468">
        <f t="shared" si="38"/>
        <v>109</v>
      </c>
      <c r="V32" s="467" t="s">
        <v>935</v>
      </c>
      <c r="W32" s="468">
        <f t="shared" si="38"/>
        <v>106</v>
      </c>
      <c r="X32" s="454"/>
      <c r="Y32" s="406" t="s">
        <v>954</v>
      </c>
      <c r="Z32" s="453" t="str">
        <f t="shared" si="27"/>
        <v>商业类型</v>
      </c>
      <c r="AA32" s="453">
        <f t="shared" si="28"/>
        <v>0.970873786407767</v>
      </c>
      <c r="AB32" s="453">
        <f t="shared" si="29"/>
        <v>0.917431192660551</v>
      </c>
      <c r="AC32" s="453">
        <f t="shared" si="30"/>
        <v>0.943396226415094</v>
      </c>
    </row>
    <row r="33" s="191" customFormat="1" ht="15" spans="1:29">
      <c r="A33" s="296"/>
      <c r="B33" s="297" t="s">
        <v>2362</v>
      </c>
      <c r="C33" s="253">
        <v>1</v>
      </c>
      <c r="D33" s="248">
        <v>100</v>
      </c>
      <c r="E33" s="542">
        <v>1</v>
      </c>
      <c r="F33" s="297">
        <f>LOOKUP(E33,103:103,104:104)-LOOKUP(C33,103:103,104:104)+100</f>
        <v>100</v>
      </c>
      <c r="G33" s="541">
        <v>1</v>
      </c>
      <c r="H33" s="248">
        <f>LOOKUP(G33,103:103,104:104)-LOOKUP(C33,103:103,104:104)+100</f>
        <v>100</v>
      </c>
      <c r="I33" s="541">
        <v>1</v>
      </c>
      <c r="J33" s="248">
        <f>LOOKUP(I33,103:103,104:104)-LOOKUP(C33,103:103,104:104)+100</f>
        <v>100</v>
      </c>
      <c r="K33" s="395"/>
      <c r="L33" s="396"/>
      <c r="M33" s="404"/>
      <c r="N33" s="404"/>
      <c r="O33" s="405"/>
      <c r="P33" s="406"/>
      <c r="Q33" s="469" t="str">
        <f t="shared" si="25"/>
        <v>项目建筑规模</v>
      </c>
      <c r="R33" s="470" t="s">
        <v>935</v>
      </c>
      <c r="S33" s="471">
        <f t="shared" ref="S33:W33" si="39">F33</f>
        <v>100</v>
      </c>
      <c r="T33" s="470" t="s">
        <v>935</v>
      </c>
      <c r="U33" s="471">
        <f t="shared" si="39"/>
        <v>100</v>
      </c>
      <c r="V33" s="470" t="s">
        <v>935</v>
      </c>
      <c r="W33" s="471">
        <f t="shared" si="39"/>
        <v>100</v>
      </c>
      <c r="X33" s="472"/>
      <c r="Y33" s="406"/>
      <c r="Z33" s="482" t="str">
        <f t="shared" si="27"/>
        <v>项目建筑规模</v>
      </c>
      <c r="AA33" s="453">
        <f t="shared" si="28"/>
        <v>1</v>
      </c>
      <c r="AB33" s="453">
        <f t="shared" si="29"/>
        <v>1</v>
      </c>
      <c r="AC33" s="453">
        <f t="shared" si="30"/>
        <v>1</v>
      </c>
    </row>
    <row r="34" ht="15" spans="1:29">
      <c r="A34" s="301"/>
      <c r="B34" s="297" t="s">
        <v>2363</v>
      </c>
      <c r="C34" s="302" t="s">
        <v>2076</v>
      </c>
      <c r="D34" s="258">
        <v>100</v>
      </c>
      <c r="E34" s="1129" t="s">
        <v>2076</v>
      </c>
      <c r="F34" s="288">
        <f>SUMIF(105:105,E34,106:106)-SUMIF(105:105,C34,106:106)+100</f>
        <v>100</v>
      </c>
      <c r="G34" s="1130" t="s">
        <v>2076</v>
      </c>
      <c r="H34" s="258">
        <f>SUMIF(105:105,G34,106:106)-SUMIF(105:105,C34,106:106)+100</f>
        <v>100</v>
      </c>
      <c r="I34" s="1130" t="s">
        <v>2076</v>
      </c>
      <c r="J34" s="258">
        <f>SUMIF(105:105,I34,106:106)-SUMIF(105:105,C34,106:106)+100</f>
        <v>100</v>
      </c>
      <c r="K34" s="391"/>
      <c r="L34" s="398"/>
      <c r="M34" s="338"/>
      <c r="N34" s="338"/>
      <c r="O34" s="397"/>
      <c r="P34" s="406"/>
      <c r="Q34" s="390" t="str">
        <f t="shared" si="25"/>
        <v>建筑结构</v>
      </c>
      <c r="R34" s="467" t="s">
        <v>935</v>
      </c>
      <c r="S34" s="468">
        <f t="shared" ref="S34:W34" si="40">F34</f>
        <v>100</v>
      </c>
      <c r="T34" s="467" t="s">
        <v>935</v>
      </c>
      <c r="U34" s="468">
        <f t="shared" si="40"/>
        <v>100</v>
      </c>
      <c r="V34" s="467" t="s">
        <v>935</v>
      </c>
      <c r="W34" s="468">
        <f t="shared" si="40"/>
        <v>100</v>
      </c>
      <c r="X34" s="454"/>
      <c r="Y34" s="406"/>
      <c r="Z34" s="453" t="str">
        <f t="shared" si="27"/>
        <v>建筑结构</v>
      </c>
      <c r="AA34" s="453">
        <f t="shared" si="28"/>
        <v>1</v>
      </c>
      <c r="AB34" s="453">
        <f t="shared" si="29"/>
        <v>1</v>
      </c>
      <c r="AC34" s="453">
        <f t="shared" si="30"/>
        <v>1</v>
      </c>
    </row>
    <row r="35" ht="15" spans="1:29">
      <c r="A35" s="301"/>
      <c r="B35" s="297" t="s">
        <v>2365</v>
      </c>
      <c r="C35" s="582"/>
      <c r="D35" s="258">
        <v>100</v>
      </c>
      <c r="E35" s="582"/>
      <c r="F35" s="288">
        <f>SUMIF(107:107,E35,108:108)-SUMIF(107:107,C35,108:108)+100</f>
        <v>100</v>
      </c>
      <c r="G35" s="582"/>
      <c r="H35" s="258">
        <f>SUMIF(107:107,G35,108:108)-SUMIF(107:107,C35,108:108)+100</f>
        <v>100</v>
      </c>
      <c r="I35" s="582"/>
      <c r="J35" s="258">
        <f>SUMIF(107:107,I35,108:108)-SUMIF(107:107,C35,108:108)+100</f>
        <v>100</v>
      </c>
      <c r="K35" s="391"/>
      <c r="L35" s="398"/>
      <c r="M35" s="338"/>
      <c r="N35" s="338"/>
      <c r="O35" s="397"/>
      <c r="P35" s="406"/>
      <c r="Q35" s="390" t="str">
        <f t="shared" si="25"/>
        <v>公共部分装修</v>
      </c>
      <c r="R35" s="467" t="s">
        <v>935</v>
      </c>
      <c r="S35" s="468">
        <f t="shared" ref="S35:W35" si="41">F35</f>
        <v>100</v>
      </c>
      <c r="T35" s="467" t="s">
        <v>935</v>
      </c>
      <c r="U35" s="468">
        <f t="shared" si="41"/>
        <v>100</v>
      </c>
      <c r="V35" s="467" t="s">
        <v>935</v>
      </c>
      <c r="W35" s="468">
        <f t="shared" si="41"/>
        <v>100</v>
      </c>
      <c r="X35" s="454"/>
      <c r="Y35" s="406"/>
      <c r="Z35" s="453" t="str">
        <f t="shared" si="27"/>
        <v>公共部分装修</v>
      </c>
      <c r="AA35" s="453">
        <f t="shared" si="28"/>
        <v>1</v>
      </c>
      <c r="AB35" s="453">
        <f t="shared" si="29"/>
        <v>1</v>
      </c>
      <c r="AC35" s="453">
        <f t="shared" si="30"/>
        <v>1</v>
      </c>
    </row>
    <row r="36" ht="15" spans="1:29">
      <c r="A36" s="301"/>
      <c r="B36" s="297" t="s">
        <v>2367</v>
      </c>
      <c r="C36" s="298">
        <v>1</v>
      </c>
      <c r="D36" s="258">
        <v>100</v>
      </c>
      <c r="E36" s="298">
        <v>0.8</v>
      </c>
      <c r="F36" s="288">
        <f>LOOKUP(E36,110:110,111:111)-LOOKUP(C36,110:110,111:111)+100</f>
        <v>99</v>
      </c>
      <c r="G36" s="298">
        <v>0.8</v>
      </c>
      <c r="H36" s="288">
        <f>LOOKUP(G36,110:110,111:111)-LOOKUP(C36,110:110,111:111)+100</f>
        <v>99</v>
      </c>
      <c r="I36" s="298">
        <v>0.8</v>
      </c>
      <c r="J36" s="258">
        <f>LOOKUP(I36,110:110,111:111)-LOOKUP(C36,110:110,111:111)+100</f>
        <v>99</v>
      </c>
      <c r="K36" s="391">
        <v>1</v>
      </c>
      <c r="L36" s="398"/>
      <c r="M36" s="338"/>
      <c r="N36" s="338"/>
      <c r="O36" s="397"/>
      <c r="P36" s="406"/>
      <c r="Q36" s="390" t="str">
        <f t="shared" si="25"/>
        <v>成新度</v>
      </c>
      <c r="R36" s="467" t="s">
        <v>935</v>
      </c>
      <c r="S36" s="468">
        <f t="shared" ref="S36:W36" si="42">F36</f>
        <v>99</v>
      </c>
      <c r="T36" s="467" t="s">
        <v>935</v>
      </c>
      <c r="U36" s="468">
        <f t="shared" si="42"/>
        <v>99</v>
      </c>
      <c r="V36" s="467" t="s">
        <v>935</v>
      </c>
      <c r="W36" s="468">
        <f t="shared" si="42"/>
        <v>99</v>
      </c>
      <c r="X36" s="454"/>
      <c r="Y36" s="406"/>
      <c r="Z36" s="453" t="str">
        <f t="shared" si="27"/>
        <v>成新度</v>
      </c>
      <c r="AA36" s="453">
        <f t="shared" si="28"/>
        <v>1.01010101010101</v>
      </c>
      <c r="AB36" s="453">
        <f t="shared" si="29"/>
        <v>1.01010101010101</v>
      </c>
      <c r="AC36" s="453">
        <f t="shared" si="30"/>
        <v>1.01010101010101</v>
      </c>
    </row>
    <row r="37" s="189" customFormat="1" ht="15" spans="1:29">
      <c r="A37" s="304"/>
      <c r="B37" s="550" t="s">
        <v>2370</v>
      </c>
      <c r="C37" s="582"/>
      <c r="D37" s="248">
        <v>100</v>
      </c>
      <c r="E37" s="582"/>
      <c r="F37" s="288">
        <f>SUMIF(112:112,E37,113:113)-SUMIF(112:112,C37,113:113)+100</f>
        <v>100</v>
      </c>
      <c r="G37" s="582"/>
      <c r="H37" s="258">
        <f>SUMIF(112:112,G37,113:113)-SUMIF(112:112,C37,113:113)+100</f>
        <v>100</v>
      </c>
      <c r="I37" s="582"/>
      <c r="J37" s="258">
        <f>SUMIF(112:112,I37,113:113)-SUMIF(112:112,C37,113:113)+100</f>
        <v>100</v>
      </c>
      <c r="K37" s="391"/>
      <c r="L37" s="386"/>
      <c r="M37" s="387"/>
      <c r="N37" s="387"/>
      <c r="O37" s="389"/>
      <c r="P37" s="406"/>
      <c r="Q37" s="466" t="str">
        <f t="shared" si="25"/>
        <v>市政基础设施</v>
      </c>
      <c r="R37" s="462" t="s">
        <v>935</v>
      </c>
      <c r="S37" s="463">
        <f t="shared" ref="S37:W37" si="43">F37</f>
        <v>100</v>
      </c>
      <c r="T37" s="462" t="s">
        <v>935</v>
      </c>
      <c r="U37" s="463">
        <f t="shared" si="43"/>
        <v>100</v>
      </c>
      <c r="V37" s="462" t="s">
        <v>935</v>
      </c>
      <c r="W37" s="463">
        <f t="shared" si="43"/>
        <v>100</v>
      </c>
      <c r="X37" s="464"/>
      <c r="Y37" s="406"/>
      <c r="Z37" s="481" t="str">
        <f t="shared" si="27"/>
        <v>市政基础设施</v>
      </c>
      <c r="AA37" s="481">
        <f t="shared" si="28"/>
        <v>1</v>
      </c>
      <c r="AB37" s="481">
        <f t="shared" si="29"/>
        <v>1</v>
      </c>
      <c r="AC37" s="481">
        <f t="shared" si="30"/>
        <v>1</v>
      </c>
    </row>
    <row r="38" ht="15" spans="1:29">
      <c r="A38" s="301"/>
      <c r="B38" s="297" t="s">
        <v>2466</v>
      </c>
      <c r="C38" s="582"/>
      <c r="D38" s="258">
        <v>100</v>
      </c>
      <c r="E38" s="582"/>
      <c r="F38" s="288">
        <f>SUMIF(114:114,E38,115:115)-SUMIF(114:114,C38,115:115)+100</f>
        <v>100</v>
      </c>
      <c r="G38" s="582"/>
      <c r="H38" s="258">
        <f>SUMIF(114:114,G38,115:115)-SUMIF(114:114,C38,115:115)+100</f>
        <v>100</v>
      </c>
      <c r="I38" s="582"/>
      <c r="J38" s="258">
        <f>SUMIF(114:114,I38,115:115)-SUMIF(114:114,C38,115:115)+100</f>
        <v>100</v>
      </c>
      <c r="K38" s="391"/>
      <c r="L38" s="398"/>
      <c r="M38" s="338"/>
      <c r="N38" s="338"/>
      <c r="O38" s="397"/>
      <c r="P38" s="406" t="s">
        <v>954</v>
      </c>
      <c r="Q38" s="390" t="str">
        <f t="shared" si="25"/>
        <v>业态</v>
      </c>
      <c r="R38" s="467" t="s">
        <v>935</v>
      </c>
      <c r="S38" s="468">
        <f t="shared" ref="S38:W38" si="44">F38</f>
        <v>100</v>
      </c>
      <c r="T38" s="467" t="s">
        <v>935</v>
      </c>
      <c r="U38" s="468">
        <f t="shared" si="44"/>
        <v>100</v>
      </c>
      <c r="V38" s="467" t="s">
        <v>935</v>
      </c>
      <c r="W38" s="468">
        <f t="shared" si="44"/>
        <v>100</v>
      </c>
      <c r="X38" s="454"/>
      <c r="Y38" s="406" t="s">
        <v>954</v>
      </c>
      <c r="Z38" s="453" t="str">
        <f t="shared" si="27"/>
        <v>业态</v>
      </c>
      <c r="AA38" s="453">
        <f t="shared" si="28"/>
        <v>1</v>
      </c>
      <c r="AB38" s="453">
        <f t="shared" si="29"/>
        <v>1</v>
      </c>
      <c r="AC38" s="453">
        <f t="shared" si="30"/>
        <v>1</v>
      </c>
    </row>
    <row r="39" ht="15" spans="1:29">
      <c r="A39" s="301"/>
      <c r="B39" s="297" t="s">
        <v>2467</v>
      </c>
      <c r="C39" s="582"/>
      <c r="D39" s="258">
        <v>100</v>
      </c>
      <c r="E39" s="582"/>
      <c r="F39" s="288">
        <f>SUMIF(116:116,E39,117:117)-SUMIF(116:116,C39,117:117)+100</f>
        <v>100</v>
      </c>
      <c r="G39" s="582"/>
      <c r="H39" s="258">
        <f>SUMIF(116:116,G39,117:117)-SUMIF(116:116,C39,117:117)+100</f>
        <v>100</v>
      </c>
      <c r="I39" s="582"/>
      <c r="J39" s="258">
        <f>SUMIF(116:116,I39,117:117)-SUMIF(116:116,C39,117:117)+100</f>
        <v>100</v>
      </c>
      <c r="K39" s="391"/>
      <c r="L39" s="398"/>
      <c r="M39" s="338"/>
      <c r="N39" s="338"/>
      <c r="O39" s="397"/>
      <c r="P39" s="406"/>
      <c r="Q39" s="390" t="str">
        <f t="shared" si="25"/>
        <v>层高</v>
      </c>
      <c r="R39" s="467" t="s">
        <v>935</v>
      </c>
      <c r="S39" s="468">
        <f t="shared" ref="S39:W39" si="45">F39</f>
        <v>100</v>
      </c>
      <c r="T39" s="467" t="s">
        <v>935</v>
      </c>
      <c r="U39" s="468">
        <f t="shared" si="45"/>
        <v>100</v>
      </c>
      <c r="V39" s="467" t="s">
        <v>935</v>
      </c>
      <c r="W39" s="468">
        <f t="shared" si="45"/>
        <v>100</v>
      </c>
      <c r="X39" s="454"/>
      <c r="Y39" s="406"/>
      <c r="Z39" s="453" t="str">
        <f t="shared" si="27"/>
        <v>层高</v>
      </c>
      <c r="AA39" s="453">
        <f t="shared" si="28"/>
        <v>1</v>
      </c>
      <c r="AB39" s="453">
        <f t="shared" si="29"/>
        <v>1</v>
      </c>
      <c r="AC39" s="453">
        <f t="shared" si="30"/>
        <v>1</v>
      </c>
    </row>
    <row r="40" ht="15" spans="1:29">
      <c r="A40" s="301"/>
      <c r="B40" s="297" t="s">
        <v>2468</v>
      </c>
      <c r="C40" s="1131"/>
      <c r="D40" s="258">
        <v>100</v>
      </c>
      <c r="E40" s="1132"/>
      <c r="F40" s="288">
        <f>SUMIF(118:118,E40,119:119)-SUMIF(118:118,C40,119:119)+100</f>
        <v>100</v>
      </c>
      <c r="G40" s="1132"/>
      <c r="H40" s="258">
        <f>SUMIF(118:118,G40,119:119)-SUMIF(118:118,C40,119:119)+100</f>
        <v>100</v>
      </c>
      <c r="I40" s="1132"/>
      <c r="J40" s="258">
        <f>SUMIF(118:118,I40,119:119)-SUMIF(118:118,C40,119:119)+100</f>
        <v>100</v>
      </c>
      <c r="K40" s="395"/>
      <c r="L40" s="398"/>
      <c r="M40" s="338"/>
      <c r="N40" s="338"/>
      <c r="O40" s="397"/>
      <c r="P40" s="406"/>
      <c r="Q40" s="390" t="str">
        <f t="shared" si="25"/>
        <v>单套建筑面积</v>
      </c>
      <c r="R40" s="467" t="s">
        <v>935</v>
      </c>
      <c r="S40" s="468">
        <f t="shared" ref="S40:W40" si="46">F40</f>
        <v>100</v>
      </c>
      <c r="T40" s="467" t="s">
        <v>935</v>
      </c>
      <c r="U40" s="468">
        <f t="shared" si="46"/>
        <v>100</v>
      </c>
      <c r="V40" s="467" t="s">
        <v>935</v>
      </c>
      <c r="W40" s="468">
        <f t="shared" si="46"/>
        <v>100</v>
      </c>
      <c r="X40" s="454"/>
      <c r="Y40" s="406"/>
      <c r="Z40" s="453" t="str">
        <f t="shared" si="27"/>
        <v>单套建筑面积</v>
      </c>
      <c r="AA40" s="453">
        <f t="shared" si="28"/>
        <v>1</v>
      </c>
      <c r="AB40" s="453">
        <f t="shared" si="29"/>
        <v>1</v>
      </c>
      <c r="AC40" s="453">
        <f t="shared" si="30"/>
        <v>1</v>
      </c>
    </row>
    <row r="41" s="191" customFormat="1" ht="15" spans="1:29">
      <c r="A41" s="296"/>
      <c r="B41" s="288" t="s">
        <v>2469</v>
      </c>
      <c r="C41" s="287"/>
      <c r="D41" s="258">
        <v>100</v>
      </c>
      <c r="E41" s="287"/>
      <c r="F41" s="288">
        <f>SUMIF(120:120,E41,121:121)-SUMIF(120:120,C41,121:121)+100</f>
        <v>100</v>
      </c>
      <c r="G41" s="287"/>
      <c r="H41" s="258">
        <f>SUMIF(120:120,G41,121:121)-SUMIF(120:120,C41,121:121)+100</f>
        <v>100</v>
      </c>
      <c r="I41" s="287"/>
      <c r="J41" s="258">
        <f>SUMIF(120:120,I41,121:121)-SUMIF(120:120,C41,121:121)+100</f>
        <v>100</v>
      </c>
      <c r="K41" s="391"/>
      <c r="L41" s="396"/>
      <c r="M41" s="404"/>
      <c r="N41" s="404"/>
      <c r="O41" s="405"/>
      <c r="P41" s="406"/>
      <c r="Q41" s="469" t="str">
        <f t="shared" si="25"/>
        <v>进深比</v>
      </c>
      <c r="R41" s="470" t="s">
        <v>935</v>
      </c>
      <c r="S41" s="471">
        <f t="shared" ref="S41:W41" si="47">F41</f>
        <v>100</v>
      </c>
      <c r="T41" s="470" t="s">
        <v>935</v>
      </c>
      <c r="U41" s="471">
        <f t="shared" si="47"/>
        <v>100</v>
      </c>
      <c r="V41" s="470" t="s">
        <v>935</v>
      </c>
      <c r="W41" s="471">
        <f t="shared" si="47"/>
        <v>100</v>
      </c>
      <c r="X41" s="472"/>
      <c r="Y41" s="406"/>
      <c r="Z41" s="482" t="str">
        <f t="shared" si="27"/>
        <v>进深比</v>
      </c>
      <c r="AA41" s="453">
        <f t="shared" si="28"/>
        <v>1</v>
      </c>
      <c r="AB41" s="453">
        <f t="shared" si="29"/>
        <v>1</v>
      </c>
      <c r="AC41" s="453">
        <f t="shared" si="30"/>
        <v>1</v>
      </c>
    </row>
    <row r="42" ht="15" spans="1:29">
      <c r="A42" s="301"/>
      <c r="B42" s="297" t="s">
        <v>2373</v>
      </c>
      <c r="C42" s="582"/>
      <c r="D42" s="258">
        <v>100</v>
      </c>
      <c r="E42" s="582"/>
      <c r="F42" s="288">
        <f>SUMIF(122:122,E42,123:123)-SUMIF(122:122,C42,123:123)+100</f>
        <v>100</v>
      </c>
      <c r="G42" s="582"/>
      <c r="H42" s="258">
        <f>SUMIF(122:122,G42,123:123)-SUMIF(122:122,C42,123:123)+100</f>
        <v>100</v>
      </c>
      <c r="I42" s="582"/>
      <c r="J42" s="258">
        <f>SUMIF(122:122,I42,123:123)-SUMIF(122:122,C42,123:123)+100</f>
        <v>100</v>
      </c>
      <c r="K42" s="391"/>
      <c r="L42" s="398"/>
      <c r="M42" s="338"/>
      <c r="N42" s="338"/>
      <c r="O42" s="397"/>
      <c r="P42" s="406"/>
      <c r="Q42" s="390" t="str">
        <f t="shared" si="25"/>
        <v>内部装修</v>
      </c>
      <c r="R42" s="467" t="s">
        <v>935</v>
      </c>
      <c r="S42" s="468">
        <f t="shared" ref="S42:W42" si="48">F42</f>
        <v>100</v>
      </c>
      <c r="T42" s="467" t="s">
        <v>935</v>
      </c>
      <c r="U42" s="468">
        <f t="shared" si="48"/>
        <v>100</v>
      </c>
      <c r="V42" s="467" t="s">
        <v>935</v>
      </c>
      <c r="W42" s="468">
        <f t="shared" si="48"/>
        <v>100</v>
      </c>
      <c r="X42" s="454"/>
      <c r="Y42" s="406"/>
      <c r="Z42" s="453" t="str">
        <f t="shared" si="27"/>
        <v>内部装修</v>
      </c>
      <c r="AA42" s="453">
        <f t="shared" si="28"/>
        <v>1</v>
      </c>
      <c r="AB42" s="453">
        <f t="shared" si="29"/>
        <v>1</v>
      </c>
      <c r="AC42" s="453">
        <f t="shared" si="30"/>
        <v>1</v>
      </c>
    </row>
    <row r="43" ht="15" spans="1:29">
      <c r="A43" s="301"/>
      <c r="B43" s="297" t="s">
        <v>235</v>
      </c>
      <c r="C43" s="582"/>
      <c r="D43" s="258">
        <v>100</v>
      </c>
      <c r="E43" s="582"/>
      <c r="F43" s="288">
        <f>SUMIF(124:124,E43,125:125)-SUMIF(124:124,C43,125:125)+100</f>
        <v>100</v>
      </c>
      <c r="G43" s="582"/>
      <c r="H43" s="258">
        <f>SUMIF(124:124,G43,125:125)-SUMIF(124:124,C43,125:125)+100</f>
        <v>100</v>
      </c>
      <c r="I43" s="582"/>
      <c r="J43" s="258">
        <f>SUMIF(124:124,I43,125:125)-SUMIF(124:124,C43,125:125)+100</f>
        <v>100</v>
      </c>
      <c r="K43" s="391"/>
      <c r="L43" s="398"/>
      <c r="M43" s="338"/>
      <c r="N43" s="338"/>
      <c r="O43" s="397"/>
      <c r="P43" s="406"/>
      <c r="Q43" s="390" t="str">
        <f t="shared" si="25"/>
        <v>内部装修维护情况</v>
      </c>
      <c r="R43" s="467" t="s">
        <v>935</v>
      </c>
      <c r="S43" s="468">
        <f t="shared" ref="S43:W43" si="49">F43</f>
        <v>100</v>
      </c>
      <c r="T43" s="467" t="s">
        <v>935</v>
      </c>
      <c r="U43" s="468">
        <f t="shared" si="49"/>
        <v>100</v>
      </c>
      <c r="V43" s="467" t="s">
        <v>935</v>
      </c>
      <c r="W43" s="468">
        <f t="shared" si="49"/>
        <v>100</v>
      </c>
      <c r="X43" s="454"/>
      <c r="Y43" s="406"/>
      <c r="Z43" s="453" t="str">
        <f t="shared" si="27"/>
        <v>内部装修维护情况</v>
      </c>
      <c r="AA43" s="453">
        <f t="shared" si="28"/>
        <v>1</v>
      </c>
      <c r="AB43" s="453">
        <f t="shared" si="29"/>
        <v>1</v>
      </c>
      <c r="AC43" s="453">
        <f t="shared" si="30"/>
        <v>1</v>
      </c>
    </row>
    <row r="44" s="189" customFormat="1" ht="15" spans="1:29">
      <c r="A44" s="304"/>
      <c r="B44" s="548">
        <v>111</v>
      </c>
      <c r="C44" s="253"/>
      <c r="D44" s="248">
        <v>100</v>
      </c>
      <c r="E44" s="257"/>
      <c r="F44" s="297">
        <f>SUMIF(126:126,E44,127:127)-SUMIF(126:126,C44,127:127)+100</f>
        <v>100</v>
      </c>
      <c r="G44" s="257"/>
      <c r="H44" s="248">
        <f>SUMIF(126:126,G44,127:127)-SUMIF(126:126,C44,127:127)+100</f>
        <v>100</v>
      </c>
      <c r="I44" s="257"/>
      <c r="J44" s="248">
        <f>SUMIF(126:126,I44,127:127)-SUMIF(126:126,C44,127:127)+100</f>
        <v>100</v>
      </c>
      <c r="K44" s="395"/>
      <c r="L44" s="386"/>
      <c r="M44" s="387"/>
      <c r="N44" s="387"/>
      <c r="O44" s="389"/>
      <c r="P44" s="406"/>
      <c r="Q44" s="466">
        <f t="shared" si="25"/>
        <v>111</v>
      </c>
      <c r="R44" s="462" t="s">
        <v>935</v>
      </c>
      <c r="S44" s="463">
        <f t="shared" ref="S44:W44" si="50">F44</f>
        <v>100</v>
      </c>
      <c r="T44" s="462" t="s">
        <v>935</v>
      </c>
      <c r="U44" s="463">
        <f t="shared" si="50"/>
        <v>100</v>
      </c>
      <c r="V44" s="462" t="s">
        <v>935</v>
      </c>
      <c r="W44" s="463">
        <f t="shared" si="50"/>
        <v>100</v>
      </c>
      <c r="X44" s="464"/>
      <c r="Y44" s="406"/>
      <c r="Z44" s="481">
        <f t="shared" si="27"/>
        <v>111</v>
      </c>
      <c r="AA44" s="481">
        <f t="shared" si="28"/>
        <v>1</v>
      </c>
      <c r="AB44" s="481">
        <f t="shared" si="29"/>
        <v>1</v>
      </c>
      <c r="AC44" s="481">
        <f t="shared" si="30"/>
        <v>1</v>
      </c>
    </row>
    <row r="45" ht="15" spans="1:29">
      <c r="A45" s="301"/>
      <c r="B45" s="548">
        <v>111</v>
      </c>
      <c r="C45" s="257"/>
      <c r="D45" s="258">
        <v>100</v>
      </c>
      <c r="E45" s="257"/>
      <c r="F45" s="288">
        <f>SUMIF(128:128,E45,129:129)-SUMIF(128:128,C45,129:129)+100</f>
        <v>100</v>
      </c>
      <c r="G45" s="257"/>
      <c r="H45" s="258">
        <f>SUMIF(128:128,G45,129:129)-SUMIF(128:128,C45,129:129)+100</f>
        <v>100</v>
      </c>
      <c r="I45" s="257"/>
      <c r="J45" s="258">
        <f>SUMIF(128:128,I45,129:129)-SUMIF(128:128,C45,129:129)+100</f>
        <v>100</v>
      </c>
      <c r="K45" s="395"/>
      <c r="L45" s="398"/>
      <c r="M45" s="338"/>
      <c r="N45" s="338"/>
      <c r="O45" s="397"/>
      <c r="P45" s="406"/>
      <c r="Q45" s="390">
        <f t="shared" si="25"/>
        <v>111</v>
      </c>
      <c r="R45" s="467" t="s">
        <v>935</v>
      </c>
      <c r="S45" s="468">
        <f t="shared" ref="S45:W45" si="51">F45</f>
        <v>100</v>
      </c>
      <c r="T45" s="467" t="s">
        <v>935</v>
      </c>
      <c r="U45" s="468">
        <f t="shared" si="51"/>
        <v>100</v>
      </c>
      <c r="V45" s="467" t="s">
        <v>935</v>
      </c>
      <c r="W45" s="468">
        <f t="shared" si="51"/>
        <v>100</v>
      </c>
      <c r="X45" s="454"/>
      <c r="Y45" s="406"/>
      <c r="Z45" s="453">
        <f t="shared" si="27"/>
        <v>111</v>
      </c>
      <c r="AA45" s="453">
        <f t="shared" si="28"/>
        <v>1</v>
      </c>
      <c r="AB45" s="453">
        <f t="shared" si="29"/>
        <v>1</v>
      </c>
      <c r="AC45" s="453">
        <f t="shared" si="30"/>
        <v>1</v>
      </c>
    </row>
    <row r="46" ht="15.75" spans="1:29">
      <c r="A46" s="305"/>
      <c r="B46" s="306">
        <v>111</v>
      </c>
      <c r="C46" s="307"/>
      <c r="D46" s="308">
        <v>100</v>
      </c>
      <c r="E46" s="257"/>
      <c r="F46" s="310">
        <f>SUMIF(130:130,E46,131:131)-SUMIF(130:130,C46,131:131)+100</f>
        <v>100</v>
      </c>
      <c r="G46" s="257"/>
      <c r="H46" s="308">
        <f>SUMIF(130:130,G46,131:131)-SUMIF(130:130,C46,131:131)+100</f>
        <v>100</v>
      </c>
      <c r="I46" s="257"/>
      <c r="J46" s="308">
        <f>SUMIF(130:130,I46,131:131)-SUMIF(130:130,C46,131:131)+100</f>
        <v>100</v>
      </c>
      <c r="K46" s="395"/>
      <c r="L46" s="398"/>
      <c r="M46" s="338"/>
      <c r="N46" s="338"/>
      <c r="O46" s="397"/>
      <c r="P46" s="553"/>
      <c r="Q46" s="390">
        <f t="shared" si="25"/>
        <v>111</v>
      </c>
      <c r="R46" s="467" t="s">
        <v>935</v>
      </c>
      <c r="S46" s="468">
        <f t="shared" ref="S46:W46" si="52">F46</f>
        <v>100</v>
      </c>
      <c r="T46" s="467" t="s">
        <v>935</v>
      </c>
      <c r="U46" s="468">
        <f t="shared" si="52"/>
        <v>100</v>
      </c>
      <c r="V46" s="467" t="s">
        <v>935</v>
      </c>
      <c r="W46" s="468">
        <f t="shared" si="52"/>
        <v>100</v>
      </c>
      <c r="X46" s="454"/>
      <c r="Y46" s="553"/>
      <c r="Z46" s="453">
        <f t="shared" si="27"/>
        <v>111</v>
      </c>
      <c r="AA46" s="453">
        <f t="shared" si="28"/>
        <v>1</v>
      </c>
      <c r="AB46" s="453">
        <f t="shared" si="29"/>
        <v>1</v>
      </c>
      <c r="AC46" s="453">
        <f t="shared" si="30"/>
        <v>1</v>
      </c>
    </row>
    <row r="47" ht="15" spans="1:29">
      <c r="A47" s="311" t="s">
        <v>2375</v>
      </c>
      <c r="B47" s="312"/>
      <c r="C47" s="313" t="s">
        <v>138</v>
      </c>
      <c r="D47" s="314"/>
      <c r="E47" s="315">
        <v>8.8</v>
      </c>
      <c r="F47" s="316"/>
      <c r="G47" s="317">
        <v>9.6</v>
      </c>
      <c r="H47" s="318"/>
      <c r="I47" s="315">
        <v>10</v>
      </c>
      <c r="J47" s="318"/>
      <c r="K47" s="407"/>
      <c r="L47" s="408"/>
      <c r="M47" s="338"/>
      <c r="N47" s="338"/>
      <c r="O47" s="338"/>
      <c r="P47" s="390" t="str">
        <f t="shared" ref="P47:P49" si="53">A47</f>
        <v>成交单价（元/平方米）</v>
      </c>
      <c r="Q47" s="390"/>
      <c r="R47" s="453">
        <f t="shared" ref="R47:V47" si="54">E47</f>
        <v>8.8</v>
      </c>
      <c r="S47" s="453"/>
      <c r="T47" s="453">
        <f t="shared" si="54"/>
        <v>9.6</v>
      </c>
      <c r="U47" s="453"/>
      <c r="V47" s="453">
        <f t="shared" si="54"/>
        <v>10</v>
      </c>
      <c r="W47" s="453"/>
      <c r="X47" s="267"/>
      <c r="Y47" s="483"/>
      <c r="Z47" s="267"/>
      <c r="AA47" s="267"/>
      <c r="AB47" s="267"/>
      <c r="AC47" s="267"/>
    </row>
    <row r="48" ht="15.75" spans="1:29">
      <c r="A48" s="319" t="s">
        <v>963</v>
      </c>
      <c r="B48" s="320"/>
      <c r="C48" s="321">
        <f>R49</f>
        <v>7.7</v>
      </c>
      <c r="D48" s="322" t="s">
        <v>964</v>
      </c>
      <c r="E48" s="323">
        <f t="shared" ref="E48:I48" si="55">R48</f>
        <v>7.4</v>
      </c>
      <c r="F48" s="324"/>
      <c r="G48" s="321">
        <f t="shared" si="55"/>
        <v>7.6</v>
      </c>
      <c r="H48" s="324"/>
      <c r="I48" s="323">
        <f t="shared" si="55"/>
        <v>8.2</v>
      </c>
      <c r="J48" s="324"/>
      <c r="K48" s="409">
        <f>F48+H48+J48</f>
        <v>0</v>
      </c>
      <c r="L48" s="408"/>
      <c r="M48" s="338"/>
      <c r="N48" s="338"/>
      <c r="O48" s="338"/>
      <c r="P48" s="390" t="str">
        <f t="shared" si="53"/>
        <v>比较价格（元/平方米）</v>
      </c>
      <c r="Q48" s="390"/>
      <c r="R48" s="453">
        <f>IF(F1="售价",ROUND(PRODUCT(R47,AA7:AA46),0),ROUND(PRODUCT(R47,AA7:AA46),1))</f>
        <v>7.4</v>
      </c>
      <c r="S48" s="453"/>
      <c r="T48" s="453">
        <f>IF(F1="售价",ROUND(PRODUCT(T47,AB7:AB46),0),ROUND(PRODUCT(T47,AB7:AB46),1))</f>
        <v>7.6</v>
      </c>
      <c r="U48" s="453"/>
      <c r="V48" s="453">
        <f>IF(F1="售价",ROUND(PRODUCT(V47,AC7:AC46),0),ROUND(PRODUCT(V47,AC7:AC46),1))</f>
        <v>8.2</v>
      </c>
      <c r="W48" s="453"/>
      <c r="X48" s="267"/>
      <c r="Y48" s="267"/>
      <c r="Z48" s="267"/>
      <c r="AA48" s="267"/>
      <c r="AB48" s="267"/>
      <c r="AC48" s="267"/>
    </row>
    <row r="49" ht="15.75" spans="1:29">
      <c r="A49" s="325" t="s">
        <v>965</v>
      </c>
      <c r="B49" s="326"/>
      <c r="C49" s="226">
        <f>R49</f>
        <v>7.7</v>
      </c>
      <c r="D49" s="226"/>
      <c r="E49" s="226"/>
      <c r="F49" s="226"/>
      <c r="G49" s="226"/>
      <c r="H49" s="226"/>
      <c r="I49" s="226"/>
      <c r="J49" s="226"/>
      <c r="K49" s="410"/>
      <c r="L49" s="408"/>
      <c r="M49" s="338"/>
      <c r="N49" s="338"/>
      <c r="O49" s="338"/>
      <c r="P49" s="288" t="str">
        <f t="shared" si="53"/>
        <v>估价对象XX用房的比较价格（楼面单价，元/平方米）</v>
      </c>
      <c r="Q49" s="473"/>
      <c r="R49" s="474">
        <f>IF(F1="售价",ROUND(IF(D48="简单平均",AVERAGE(R48:V48),R48*F48+T48*H48+V48*J48),0),ROUND(IF(D48="简单平均",AVERAGE(R48:V48),R48*F48+T48*H48+V48*J48),1))</f>
        <v>7.7</v>
      </c>
      <c r="S49" s="474"/>
      <c r="T49" s="474"/>
      <c r="U49" s="474"/>
      <c r="V49" s="474"/>
      <c r="W49" s="474"/>
      <c r="X49" s="267"/>
      <c r="Y49" s="267"/>
      <c r="Z49" s="267"/>
      <c r="AA49" s="267"/>
      <c r="AB49" s="267"/>
      <c r="AC49" s="267"/>
    </row>
    <row r="50" spans="1:29">
      <c r="A50" s="327"/>
      <c r="B50" s="327"/>
      <c r="C50" s="327"/>
      <c r="D50" s="327"/>
      <c r="E50" s="327"/>
      <c r="F50" s="327"/>
      <c r="G50" s="328"/>
      <c r="H50" s="327"/>
      <c r="I50" s="327"/>
      <c r="J50" s="327"/>
      <c r="K50" s="411"/>
      <c r="L50" s="412"/>
      <c r="M50" s="338"/>
      <c r="N50" s="338"/>
      <c r="O50" s="338"/>
      <c r="P50" s="338"/>
      <c r="Q50" s="338"/>
      <c r="R50" s="338"/>
      <c r="S50" s="338"/>
      <c r="T50" s="338"/>
      <c r="U50" s="338"/>
      <c r="V50" s="338"/>
      <c r="W50" s="338"/>
      <c r="X50" s="338"/>
      <c r="Y50" s="338"/>
      <c r="Z50" s="338"/>
      <c r="AA50" s="338"/>
      <c r="AB50" s="338"/>
      <c r="AC50" s="338"/>
    </row>
    <row r="51" spans="1:29">
      <c r="A51" s="327"/>
      <c r="B51" s="327"/>
      <c r="C51" s="327"/>
      <c r="D51" s="327"/>
      <c r="E51" s="327"/>
      <c r="F51" s="327"/>
      <c r="G51" s="327"/>
      <c r="H51" s="327"/>
      <c r="I51" s="327"/>
      <c r="J51" s="327"/>
      <c r="K51" s="411"/>
      <c r="L51" s="412"/>
      <c r="M51" s="338"/>
      <c r="N51" s="338"/>
      <c r="O51" s="338"/>
      <c r="P51" s="338"/>
      <c r="Q51" s="338"/>
      <c r="R51" s="338"/>
      <c r="S51" s="338"/>
      <c r="T51" s="338"/>
      <c r="U51" s="338"/>
      <c r="V51" s="338"/>
      <c r="W51" s="338"/>
      <c r="X51" s="338"/>
      <c r="Y51" s="338"/>
      <c r="Z51" s="338"/>
      <c r="AA51" s="338"/>
      <c r="AB51" s="338"/>
      <c r="AC51" s="338"/>
    </row>
    <row r="52" ht="13.5" customHeight="1" spans="1:29">
      <c r="A52" s="327"/>
      <c r="B52" s="327"/>
      <c r="C52" s="329" t="s">
        <v>966</v>
      </c>
      <c r="D52" s="330"/>
      <c r="E52" s="331">
        <f t="shared" ref="E52:I52" si="56">IF(E47&lt;E48,E48/E47-1,E47/E48-1)</f>
        <v>0.189189189189189</v>
      </c>
      <c r="F52" s="332" t="str">
        <f t="shared" ref="F52:J52" si="57">IF(OR(E52&gt;=0.3,E52&lt;=-0.3),"超过30%","")</f>
        <v/>
      </c>
      <c r="G52" s="331">
        <f t="shared" si="56"/>
        <v>0.263157894736842</v>
      </c>
      <c r="H52" s="332" t="str">
        <f t="shared" si="57"/>
        <v/>
      </c>
      <c r="I52" s="331">
        <f t="shared" si="56"/>
        <v>0.219512195121951</v>
      </c>
      <c r="J52" s="332" t="str">
        <f t="shared" si="57"/>
        <v/>
      </c>
      <c r="K52" s="411"/>
      <c r="L52" s="412"/>
      <c r="M52" s="338"/>
      <c r="N52" s="338"/>
      <c r="O52" s="338"/>
      <c r="P52" s="338"/>
      <c r="Q52" s="338"/>
      <c r="R52" s="338"/>
      <c r="S52" s="338"/>
      <c r="T52" s="338"/>
      <c r="U52" s="338"/>
      <c r="V52" s="338"/>
      <c r="W52" s="338"/>
      <c r="X52" s="338"/>
      <c r="Y52" s="338"/>
      <c r="Z52" s="338"/>
      <c r="AA52" s="338"/>
      <c r="AB52" s="338"/>
      <c r="AC52" s="338"/>
    </row>
    <row r="53" ht="13.5" customHeight="1" spans="1:29">
      <c r="A53" s="327"/>
      <c r="B53" s="327"/>
      <c r="C53" s="329" t="s">
        <v>967</v>
      </c>
      <c r="D53" s="333"/>
      <c r="E53" s="331">
        <f>IF(E48&lt;G48,G48/E48-1,E48/G48-1)</f>
        <v>0.027027027027027</v>
      </c>
      <c r="F53" s="332" t="str">
        <f t="shared" ref="F53:J53" si="58">IF(OR(E53&gt;=0.2,E53&lt;=-0.2),"超过20%","")</f>
        <v/>
      </c>
      <c r="G53" s="331">
        <f>IF(G48&lt;I48,I48/G48-1,G48/I48-1)</f>
        <v>0.0789473684210527</v>
      </c>
      <c r="H53" s="332" t="str">
        <f t="shared" si="58"/>
        <v/>
      </c>
      <c r="I53" s="331">
        <f>IF(I48&lt;E48,E48/I48-1,I48/E48-1)</f>
        <v>0.108108108108108</v>
      </c>
      <c r="J53" s="332" t="str">
        <f t="shared" si="58"/>
        <v/>
      </c>
      <c r="K53" s="411"/>
      <c r="L53" s="412"/>
      <c r="M53" s="338"/>
      <c r="N53" s="338"/>
      <c r="O53" s="338"/>
      <c r="P53" s="338"/>
      <c r="Q53" s="338"/>
      <c r="R53" s="338"/>
      <c r="S53" s="338"/>
      <c r="T53" s="338"/>
      <c r="U53" s="338"/>
      <c r="V53" s="338"/>
      <c r="W53" s="338"/>
      <c r="X53" s="338"/>
      <c r="Y53" s="338"/>
      <c r="Z53" s="338"/>
      <c r="AA53" s="338"/>
      <c r="AB53" s="338"/>
      <c r="AC53" s="338"/>
    </row>
    <row r="54" s="192" customFormat="1" ht="13.5" customHeight="1" spans="1:29">
      <c r="A54" s="334"/>
      <c r="B54" s="334"/>
      <c r="C54" s="329" t="s">
        <v>968</v>
      </c>
      <c r="D54" s="333"/>
      <c r="E54" s="331">
        <f>IF(E47&lt;G47,G47/E47-1,E47/G47-1)</f>
        <v>0.0909090909090908</v>
      </c>
      <c r="F54" s="332" t="str">
        <f t="shared" ref="F54:J54" si="59">IF(OR(E54&gt;=0.3,E54&lt;=-0.3),"超过30%","")</f>
        <v/>
      </c>
      <c r="G54" s="331">
        <f>IF(G47&lt;I47,I47/G47-1,G47/I47-1)</f>
        <v>0.0416666666666667</v>
      </c>
      <c r="H54" s="332" t="str">
        <f t="shared" si="59"/>
        <v/>
      </c>
      <c r="I54" s="331">
        <f>IF(I47&lt;E47,E47/I47-1,I47/E47-1)</f>
        <v>0.136363636363636</v>
      </c>
      <c r="J54" s="332" t="str">
        <f t="shared" si="59"/>
        <v/>
      </c>
      <c r="K54" s="413"/>
      <c r="L54" s="414"/>
      <c r="M54" s="335"/>
      <c r="N54" s="335"/>
      <c r="O54" s="335"/>
      <c r="P54" s="335"/>
      <c r="Q54" s="335"/>
      <c r="R54" s="335"/>
      <c r="S54" s="335"/>
      <c r="T54" s="335"/>
      <c r="U54" s="335"/>
      <c r="V54" s="335"/>
      <c r="W54" s="335"/>
      <c r="X54" s="335"/>
      <c r="Y54" s="335"/>
      <c r="Z54" s="335"/>
      <c r="AA54" s="335"/>
      <c r="AB54" s="335"/>
      <c r="AC54" s="335"/>
    </row>
    <row r="55" s="192" customFormat="1" spans="1:29">
      <c r="A55" s="335"/>
      <c r="B55" s="336"/>
      <c r="C55" s="337"/>
      <c r="D55" s="335"/>
      <c r="E55" s="335"/>
      <c r="F55" s="335"/>
      <c r="G55" s="335"/>
      <c r="H55" s="335"/>
      <c r="I55" s="335"/>
      <c r="J55" s="335"/>
      <c r="K55" s="415"/>
      <c r="L55" s="414"/>
      <c r="M55" s="335"/>
      <c r="N55" s="335"/>
      <c r="O55" s="335"/>
      <c r="P55" s="335"/>
      <c r="Q55" s="335"/>
      <c r="R55" s="335"/>
      <c r="S55" s="335"/>
      <c r="T55" s="335"/>
      <c r="U55" s="335"/>
      <c r="V55" s="335"/>
      <c r="W55" s="335"/>
      <c r="X55" s="335"/>
      <c r="Y55" s="335"/>
      <c r="Z55" s="335"/>
      <c r="AA55" s="335"/>
      <c r="AB55" s="335"/>
      <c r="AC55" s="335"/>
    </row>
    <row r="56" spans="1:29">
      <c r="A56" s="338"/>
      <c r="B56" s="336"/>
      <c r="C56" s="337"/>
      <c r="D56" s="338"/>
      <c r="E56" s="338"/>
      <c r="F56" s="338"/>
      <c r="G56" s="338"/>
      <c r="H56" s="338"/>
      <c r="I56" s="338"/>
      <c r="J56" s="338"/>
      <c r="K56" s="416"/>
      <c r="L56" s="412"/>
      <c r="M56" s="338"/>
      <c r="N56" s="338"/>
      <c r="O56" s="338"/>
      <c r="P56" s="338"/>
      <c r="Q56" s="338"/>
      <c r="R56" s="338"/>
      <c r="S56" s="338"/>
      <c r="T56" s="338"/>
      <c r="U56" s="338"/>
      <c r="V56" s="338"/>
      <c r="W56" s="338"/>
      <c r="X56" s="338"/>
      <c r="Y56" s="338"/>
      <c r="Z56" s="338"/>
      <c r="AA56" s="338"/>
      <c r="AB56" s="338"/>
      <c r="AC56" s="338"/>
    </row>
    <row r="57" ht="21" spans="1:29">
      <c r="A57" s="339" t="s">
        <v>990</v>
      </c>
      <c r="B57" s="267"/>
      <c r="C57" s="340"/>
      <c r="D57" s="340"/>
      <c r="E57" s="340"/>
      <c r="F57" s="341"/>
      <c r="G57" s="341"/>
      <c r="H57" s="340"/>
      <c r="I57" s="340"/>
      <c r="J57" s="340"/>
      <c r="K57" s="417"/>
      <c r="L57" s="418"/>
      <c r="M57" s="340"/>
      <c r="N57" s="419"/>
      <c r="O57" s="419"/>
      <c r="P57" s="419"/>
      <c r="Q57" s="422"/>
      <c r="R57" s="338"/>
      <c r="S57" s="338"/>
      <c r="T57" s="338"/>
      <c r="U57" s="338"/>
      <c r="V57" s="338"/>
      <c r="W57" s="338"/>
      <c r="X57" s="338"/>
      <c r="Y57" s="338"/>
      <c r="Z57" s="338"/>
      <c r="AA57" s="338"/>
      <c r="AB57" s="338"/>
      <c r="AC57" s="338"/>
    </row>
    <row r="58" s="193" customFormat="1" ht="15" spans="1:29">
      <c r="A58" s="342" t="s">
        <v>933</v>
      </c>
      <c r="B58" s="343"/>
      <c r="C58" s="344" t="str">
        <f>YEAR(C7)&amp;"-"&amp;MONTH(C7)</f>
        <v>2023-11</v>
      </c>
      <c r="D58" s="345">
        <f t="shared" ref="D58:O58" si="60">EDATE(C58,-1)</f>
        <v>45200</v>
      </c>
      <c r="E58" s="345">
        <f t="shared" si="60"/>
        <v>45170</v>
      </c>
      <c r="F58" s="345">
        <f t="shared" si="60"/>
        <v>45139</v>
      </c>
      <c r="G58" s="345">
        <f t="shared" si="60"/>
        <v>45108</v>
      </c>
      <c r="H58" s="345">
        <f t="shared" si="60"/>
        <v>45078</v>
      </c>
      <c r="I58" s="345">
        <f t="shared" si="60"/>
        <v>45047</v>
      </c>
      <c r="J58" s="345">
        <f t="shared" si="60"/>
        <v>45017</v>
      </c>
      <c r="K58" s="345">
        <f t="shared" si="60"/>
        <v>44986</v>
      </c>
      <c r="L58" s="345">
        <f t="shared" si="60"/>
        <v>44958</v>
      </c>
      <c r="M58" s="345">
        <f t="shared" si="60"/>
        <v>44927</v>
      </c>
      <c r="N58" s="345">
        <f t="shared" si="60"/>
        <v>44896</v>
      </c>
      <c r="O58" s="345">
        <f t="shared" si="60"/>
        <v>44866</v>
      </c>
      <c r="P58" s="420"/>
      <c r="Q58" s="420"/>
      <c r="R58" s="420"/>
      <c r="S58" s="420"/>
      <c r="T58" s="420"/>
      <c r="U58" s="420"/>
      <c r="V58" s="420"/>
      <c r="W58" s="420"/>
      <c r="X58" s="420"/>
      <c r="Y58" s="420"/>
      <c r="Z58" s="420"/>
      <c r="AA58" s="420"/>
      <c r="AB58" s="420"/>
      <c r="AC58" s="420"/>
    </row>
    <row r="59" s="189" customFormat="1" ht="15" spans="1:29">
      <c r="A59" s="346"/>
      <c r="B59" s="347"/>
      <c r="C59" s="348">
        <v>100</v>
      </c>
      <c r="D59" s="349"/>
      <c r="E59" s="349"/>
      <c r="F59" s="349"/>
      <c r="G59" s="349"/>
      <c r="H59" s="349"/>
      <c r="I59" s="349"/>
      <c r="J59" s="349"/>
      <c r="K59" s="349"/>
      <c r="L59" s="349"/>
      <c r="M59" s="289"/>
      <c r="N59" s="349"/>
      <c r="O59" s="421"/>
      <c r="P59" s="422"/>
      <c r="Q59" s="387"/>
      <c r="R59" s="387"/>
      <c r="S59" s="387"/>
      <c r="T59" s="387"/>
      <c r="U59" s="387"/>
      <c r="V59" s="387"/>
      <c r="W59" s="387"/>
      <c r="X59" s="387"/>
      <c r="Y59" s="387"/>
      <c r="Z59" s="387"/>
      <c r="AA59" s="387"/>
      <c r="AB59" s="387"/>
      <c r="AC59" s="387"/>
    </row>
    <row r="60" s="189" customFormat="1" ht="15.75" spans="1:29">
      <c r="A60" s="350" t="s">
        <v>1105</v>
      </c>
      <c r="B60" s="351"/>
      <c r="C60" s="352"/>
      <c r="D60" s="353"/>
      <c r="E60" s="353"/>
      <c r="F60" s="353"/>
      <c r="G60" s="353"/>
      <c r="H60" s="353"/>
      <c r="I60" s="353"/>
      <c r="J60" s="353"/>
      <c r="K60" s="353"/>
      <c r="L60" s="353"/>
      <c r="M60" s="423"/>
      <c r="N60" s="353"/>
      <c r="O60" s="424"/>
      <c r="P60" s="422"/>
      <c r="Q60" s="422"/>
      <c r="R60" s="387"/>
      <c r="S60" s="387"/>
      <c r="T60" s="387"/>
      <c r="U60" s="387"/>
      <c r="V60" s="387"/>
      <c r="W60" s="387"/>
      <c r="X60" s="387"/>
      <c r="Y60" s="387"/>
      <c r="Z60" s="387"/>
      <c r="AA60" s="387"/>
      <c r="AB60" s="387"/>
      <c r="AC60" s="387"/>
    </row>
    <row r="61" s="189" customFormat="1" ht="15" spans="1:29">
      <c r="A61" s="354" t="s">
        <v>936</v>
      </c>
      <c r="B61" s="347"/>
      <c r="C61" s="355" t="s">
        <v>937</v>
      </c>
      <c r="D61" s="356"/>
      <c r="E61" s="356"/>
      <c r="F61" s="356"/>
      <c r="G61" s="356"/>
      <c r="H61" s="356"/>
      <c r="I61" s="356"/>
      <c r="J61" s="356"/>
      <c r="K61" s="356"/>
      <c r="L61" s="425"/>
      <c r="M61" s="426"/>
      <c r="N61" s="427"/>
      <c r="O61" s="427"/>
      <c r="P61" s="428"/>
      <c r="Q61" s="422"/>
      <c r="R61" s="387"/>
      <c r="S61" s="387"/>
      <c r="T61" s="387"/>
      <c r="U61" s="387"/>
      <c r="V61" s="387"/>
      <c r="W61" s="387"/>
      <c r="X61" s="387"/>
      <c r="Y61" s="387"/>
      <c r="Z61" s="387"/>
      <c r="AA61" s="387"/>
      <c r="AB61" s="387"/>
      <c r="AC61" s="387"/>
    </row>
    <row r="62" s="189" customFormat="1" ht="15.75" spans="1:29">
      <c r="A62" s="354"/>
      <c r="B62" s="347"/>
      <c r="C62" s="583">
        <v>100</v>
      </c>
      <c r="D62" s="349"/>
      <c r="E62" s="349"/>
      <c r="F62" s="349"/>
      <c r="G62" s="349"/>
      <c r="H62" s="349"/>
      <c r="I62" s="349"/>
      <c r="J62" s="349"/>
      <c r="K62" s="349"/>
      <c r="L62" s="349"/>
      <c r="M62" s="421"/>
      <c r="N62" s="427"/>
      <c r="O62" s="427"/>
      <c r="P62" s="422"/>
      <c r="Q62" s="422"/>
      <c r="R62" s="387"/>
      <c r="S62" s="387"/>
      <c r="T62" s="387"/>
      <c r="U62" s="387"/>
      <c r="V62" s="387"/>
      <c r="W62" s="387"/>
      <c r="X62" s="387"/>
      <c r="Y62" s="387"/>
      <c r="Z62" s="387"/>
      <c r="AA62" s="387"/>
      <c r="AB62" s="387"/>
      <c r="AC62" s="1134"/>
    </row>
    <row r="63" spans="1:29">
      <c r="A63" s="357" t="s">
        <v>993</v>
      </c>
      <c r="B63" s="358" t="s">
        <v>994</v>
      </c>
      <c r="C63" s="359">
        <f>C9</f>
        <v>0</v>
      </c>
      <c r="D63" s="360"/>
      <c r="E63" s="360"/>
      <c r="F63" s="360"/>
      <c r="G63" s="360"/>
      <c r="H63" s="360"/>
      <c r="I63" s="360"/>
      <c r="J63" s="360"/>
      <c r="K63" s="429"/>
      <c r="L63" s="430"/>
      <c r="M63" s="431"/>
      <c r="N63" s="432"/>
      <c r="O63" s="432"/>
      <c r="P63" s="427"/>
      <c r="Q63" s="422"/>
      <c r="R63" s="338"/>
      <c r="S63" s="338"/>
      <c r="T63" s="338"/>
      <c r="U63" s="338"/>
      <c r="V63" s="338"/>
      <c r="W63" s="338"/>
      <c r="X63" s="338"/>
      <c r="Y63" s="338"/>
      <c r="Z63" s="338"/>
      <c r="AA63" s="338"/>
      <c r="AB63" s="338"/>
      <c r="AC63" s="338"/>
    </row>
    <row r="64" ht="15.75" spans="1:29">
      <c r="A64" s="266"/>
      <c r="B64" s="361"/>
      <c r="C64" s="362"/>
      <c r="D64" s="362"/>
      <c r="E64" s="362"/>
      <c r="F64" s="362"/>
      <c r="G64" s="362"/>
      <c r="H64" s="362"/>
      <c r="I64" s="362"/>
      <c r="J64" s="362"/>
      <c r="K64" s="362"/>
      <c r="L64" s="362"/>
      <c r="M64" s="433"/>
      <c r="N64" s="434"/>
      <c r="O64" s="434"/>
      <c r="P64" s="427"/>
      <c r="Q64" s="422"/>
      <c r="R64" s="338"/>
      <c r="S64" s="338"/>
      <c r="T64" s="338"/>
      <c r="U64" s="338"/>
      <c r="V64" s="338"/>
      <c r="W64" s="338"/>
      <c r="X64" s="338"/>
      <c r="Y64" s="338"/>
      <c r="Z64" s="338"/>
      <c r="AA64" s="338"/>
      <c r="AB64" s="338"/>
      <c r="AC64" s="338"/>
    </row>
    <row r="65" ht="27.75" spans="1:29">
      <c r="A65" s="266"/>
      <c r="B65" s="363" t="s">
        <v>995</v>
      </c>
      <c r="C65" s="364" t="s">
        <v>2376</v>
      </c>
      <c r="D65" s="364" t="s">
        <v>2377</v>
      </c>
      <c r="E65" s="364" t="s">
        <v>2378</v>
      </c>
      <c r="F65" s="364" t="s">
        <v>2379</v>
      </c>
      <c r="G65" s="364" t="s">
        <v>2380</v>
      </c>
      <c r="H65" s="364" t="s">
        <v>2381</v>
      </c>
      <c r="I65" s="364" t="s">
        <v>2382</v>
      </c>
      <c r="J65" s="364"/>
      <c r="K65" s="435"/>
      <c r="L65" s="436"/>
      <c r="M65" s="437"/>
      <c r="N65" s="432"/>
      <c r="O65" s="432"/>
      <c r="P65" s="427"/>
      <c r="Q65" s="422"/>
      <c r="R65" s="338"/>
      <c r="S65" s="338"/>
      <c r="T65" s="338"/>
      <c r="U65" s="338"/>
      <c r="V65" s="338"/>
      <c r="W65" s="338"/>
      <c r="X65" s="338"/>
      <c r="Y65" s="338"/>
      <c r="Z65" s="338"/>
      <c r="AA65" s="338"/>
      <c r="AB65" s="338"/>
      <c r="AC65" s="338"/>
    </row>
    <row r="66" ht="15.75" spans="1:29">
      <c r="A66" s="266"/>
      <c r="B66" s="365"/>
      <c r="C66" s="366" t="s">
        <v>989</v>
      </c>
      <c r="D66" s="366" t="s">
        <v>989</v>
      </c>
      <c r="E66" s="366" t="s">
        <v>989</v>
      </c>
      <c r="F66" s="366">
        <v>100</v>
      </c>
      <c r="G66" s="366">
        <f t="shared" ref="G66:I66" si="61">F66-$K10</f>
        <v>100</v>
      </c>
      <c r="H66" s="366">
        <f t="shared" si="61"/>
        <v>100</v>
      </c>
      <c r="I66" s="366">
        <f t="shared" si="61"/>
        <v>100</v>
      </c>
      <c r="J66" s="366"/>
      <c r="K66" s="366"/>
      <c r="L66" s="366"/>
      <c r="M66" s="438"/>
      <c r="N66" s="434"/>
      <c r="O66" s="434"/>
      <c r="P66" s="427"/>
      <c r="Q66" s="422"/>
      <c r="R66" s="338"/>
      <c r="S66" s="338"/>
      <c r="T66" s="338"/>
      <c r="U66" s="338"/>
      <c r="V66" s="338"/>
      <c r="W66" s="338"/>
      <c r="X66" s="338"/>
      <c r="Y66" s="338"/>
      <c r="Z66" s="338"/>
      <c r="AA66" s="338"/>
      <c r="AB66" s="338"/>
      <c r="AC66" s="338"/>
    </row>
    <row r="67" ht="15.75" spans="1:29">
      <c r="A67" s="266"/>
      <c r="B67" s="486" t="s">
        <v>996</v>
      </c>
      <c r="C67" s="551" t="str">
        <f t="shared" ref="C67:L67" si="62">C68&amp;"（含）"&amp;"-"&amp;D68</f>
        <v>0（含）-1</v>
      </c>
      <c r="D67" s="551" t="str">
        <f t="shared" si="62"/>
        <v>1（含）-2</v>
      </c>
      <c r="E67" s="551" t="str">
        <f t="shared" si="62"/>
        <v>2（含）-</v>
      </c>
      <c r="F67" s="551" t="str">
        <f t="shared" si="62"/>
        <v>（含）-</v>
      </c>
      <c r="G67" s="551" t="str">
        <f t="shared" si="62"/>
        <v>（含）-</v>
      </c>
      <c r="H67" s="551" t="str">
        <f t="shared" si="62"/>
        <v>（含）-</v>
      </c>
      <c r="I67" s="551" t="str">
        <f t="shared" si="62"/>
        <v>（含）-</v>
      </c>
      <c r="J67" s="551" t="str">
        <f t="shared" si="62"/>
        <v>（含）-</v>
      </c>
      <c r="K67" s="551" t="str">
        <f t="shared" si="62"/>
        <v>（含）-</v>
      </c>
      <c r="L67" s="551" t="str">
        <f t="shared" si="62"/>
        <v>（含）-</v>
      </c>
      <c r="M67" s="269" t="str">
        <f>M68&amp;"（含）"&amp;"-"&amp;P68</f>
        <v>（含）-</v>
      </c>
      <c r="N67" s="434"/>
      <c r="O67" s="434"/>
      <c r="P67" s="427"/>
      <c r="Q67" s="422"/>
      <c r="R67" s="338"/>
      <c r="S67" s="338"/>
      <c r="T67" s="338"/>
      <c r="U67" s="338"/>
      <c r="V67" s="338"/>
      <c r="W67" s="338"/>
      <c r="X67" s="338"/>
      <c r="Y67" s="338"/>
      <c r="Z67" s="338"/>
      <c r="AA67" s="338"/>
      <c r="AB67" s="338"/>
      <c r="AC67" s="338"/>
    </row>
    <row r="68" ht="15" spans="1:29">
      <c r="A68" s="266"/>
      <c r="B68" s="552"/>
      <c r="C68" s="368">
        <v>0</v>
      </c>
      <c r="D68" s="368">
        <v>1</v>
      </c>
      <c r="E68" s="368">
        <v>2</v>
      </c>
      <c r="F68" s="368"/>
      <c r="G68" s="368"/>
      <c r="H68" s="368"/>
      <c r="I68" s="368"/>
      <c r="J68" s="368"/>
      <c r="K68" s="439"/>
      <c r="L68" s="440"/>
      <c r="M68" s="441"/>
      <c r="N68" s="432"/>
      <c r="O68" s="432"/>
      <c r="P68" s="427"/>
      <c r="Q68" s="422"/>
      <c r="R68" s="338"/>
      <c r="S68" s="338"/>
      <c r="T68" s="338"/>
      <c r="U68" s="338"/>
      <c r="V68" s="338"/>
      <c r="W68" s="338"/>
      <c r="X68" s="338"/>
      <c r="Y68" s="338"/>
      <c r="Z68" s="338"/>
      <c r="AA68" s="338"/>
      <c r="AB68" s="338"/>
      <c r="AC68" s="338"/>
    </row>
    <row r="69" ht="15.75" spans="1:29">
      <c r="A69" s="266"/>
      <c r="B69" s="361"/>
      <c r="C69" s="366">
        <v>100</v>
      </c>
      <c r="D69" s="366">
        <f t="shared" ref="D69:M69" si="63">C69-$K11</f>
        <v>100</v>
      </c>
      <c r="E69" s="366">
        <f t="shared" si="63"/>
        <v>100</v>
      </c>
      <c r="F69" s="366">
        <f t="shared" si="63"/>
        <v>100</v>
      </c>
      <c r="G69" s="366">
        <f t="shared" si="63"/>
        <v>100</v>
      </c>
      <c r="H69" s="366">
        <f t="shared" si="63"/>
        <v>100</v>
      </c>
      <c r="I69" s="366">
        <f t="shared" si="63"/>
        <v>100</v>
      </c>
      <c r="J69" s="366">
        <f t="shared" si="63"/>
        <v>100</v>
      </c>
      <c r="K69" s="366">
        <f t="shared" si="63"/>
        <v>100</v>
      </c>
      <c r="L69" s="366">
        <f t="shared" si="63"/>
        <v>100</v>
      </c>
      <c r="M69" s="438">
        <f t="shared" si="63"/>
        <v>100</v>
      </c>
      <c r="N69" s="434"/>
      <c r="O69" s="434"/>
      <c r="P69" s="427"/>
      <c r="Q69" s="422"/>
      <c r="R69" s="338"/>
      <c r="S69" s="338"/>
      <c r="T69" s="338"/>
      <c r="U69" s="338"/>
      <c r="V69" s="338"/>
      <c r="W69" s="338"/>
      <c r="X69" s="338"/>
      <c r="Y69" s="338"/>
      <c r="Z69" s="338"/>
      <c r="AA69" s="338"/>
      <c r="AB69" s="338"/>
      <c r="AC69" s="338"/>
    </row>
    <row r="70" s="191" customFormat="1" ht="15.75" spans="1:29">
      <c r="A70" s="370"/>
      <c r="B70" s="363">
        <f>B12</f>
        <v>111</v>
      </c>
      <c r="C70" s="371"/>
      <c r="D70" s="371"/>
      <c r="E70" s="371"/>
      <c r="F70" s="371"/>
      <c r="G70" s="371"/>
      <c r="H70" s="372"/>
      <c r="I70" s="372"/>
      <c r="J70" s="372"/>
      <c r="K70" s="372"/>
      <c r="L70" s="442"/>
      <c r="M70" s="443"/>
      <c r="N70" s="444"/>
      <c r="O70" s="444"/>
      <c r="P70" s="444"/>
      <c r="Q70" s="475"/>
      <c r="R70" s="404"/>
      <c r="S70" s="404"/>
      <c r="T70" s="404"/>
      <c r="U70" s="404"/>
      <c r="V70" s="404"/>
      <c r="W70" s="404"/>
      <c r="X70" s="404"/>
      <c r="Y70" s="404"/>
      <c r="Z70" s="404"/>
      <c r="AA70" s="404"/>
      <c r="AB70" s="404"/>
      <c r="AC70" s="404"/>
    </row>
    <row r="71" s="191" customFormat="1" ht="15.75" spans="1:29">
      <c r="A71" s="370"/>
      <c r="B71" s="365"/>
      <c r="C71" s="369"/>
      <c r="D71" s="362"/>
      <c r="E71" s="362"/>
      <c r="F71" s="362"/>
      <c r="G71" s="362"/>
      <c r="H71" s="362"/>
      <c r="I71" s="362"/>
      <c r="J71" s="362"/>
      <c r="K71" s="362"/>
      <c r="L71" s="362"/>
      <c r="M71" s="433"/>
      <c r="N71" s="434"/>
      <c r="O71" s="434"/>
      <c r="P71" s="444"/>
      <c r="Q71" s="475"/>
      <c r="R71" s="404"/>
      <c r="S71" s="404"/>
      <c r="T71" s="404"/>
      <c r="U71" s="404"/>
      <c r="V71" s="404"/>
      <c r="W71" s="404"/>
      <c r="X71" s="404"/>
      <c r="Y71" s="404"/>
      <c r="Z71" s="404"/>
      <c r="AA71" s="404"/>
      <c r="AB71" s="404"/>
      <c r="AC71" s="404"/>
    </row>
    <row r="72" s="191" customFormat="1" ht="15.75" spans="1:29">
      <c r="A72" s="370"/>
      <c r="B72" s="363">
        <f>B13</f>
        <v>111</v>
      </c>
      <c r="C72" s="371"/>
      <c r="D72" s="371"/>
      <c r="E72" s="371"/>
      <c r="F72" s="371"/>
      <c r="G72" s="371"/>
      <c r="H72" s="372"/>
      <c r="I72" s="372"/>
      <c r="J72" s="372"/>
      <c r="K72" s="372"/>
      <c r="L72" s="442"/>
      <c r="M72" s="443"/>
      <c r="N72" s="444"/>
      <c r="O72" s="444"/>
      <c r="P72" s="404"/>
      <c r="Q72" s="476"/>
      <c r="R72" s="404"/>
      <c r="S72" s="404"/>
      <c r="T72" s="404"/>
      <c r="U72" s="404"/>
      <c r="V72" s="404"/>
      <c r="W72" s="404"/>
      <c r="X72" s="404"/>
      <c r="Y72" s="404"/>
      <c r="Z72" s="404"/>
      <c r="AA72" s="404"/>
      <c r="AB72" s="404"/>
      <c r="AC72" s="404"/>
    </row>
    <row r="73" s="191" customFormat="1" ht="15.75" spans="1:29">
      <c r="A73" s="370"/>
      <c r="B73" s="365"/>
      <c r="C73" s="369"/>
      <c r="D73" s="362"/>
      <c r="E73" s="362"/>
      <c r="F73" s="362"/>
      <c r="G73" s="369"/>
      <c r="H73" s="373"/>
      <c r="I73" s="373"/>
      <c r="J73" s="373"/>
      <c r="K73" s="373"/>
      <c r="L73" s="373"/>
      <c r="M73" s="445"/>
      <c r="N73" s="444"/>
      <c r="O73" s="444"/>
      <c r="P73" s="444"/>
      <c r="Q73" s="475"/>
      <c r="R73" s="404"/>
      <c r="S73" s="404"/>
      <c r="T73" s="404"/>
      <c r="U73" s="404"/>
      <c r="V73" s="404"/>
      <c r="W73" s="404"/>
      <c r="X73" s="404"/>
      <c r="Y73" s="404"/>
      <c r="Z73" s="404"/>
      <c r="AA73" s="404"/>
      <c r="AB73" s="404"/>
      <c r="AC73" s="404"/>
    </row>
    <row r="74" s="191" customFormat="1" ht="15.75" spans="1:29">
      <c r="A74" s="370"/>
      <c r="B74" s="486">
        <f>B14</f>
        <v>111</v>
      </c>
      <c r="C74" s="371"/>
      <c r="D74" s="371"/>
      <c r="E74" s="371"/>
      <c r="F74" s="371"/>
      <c r="G74" s="356"/>
      <c r="H74" s="554"/>
      <c r="I74" s="554"/>
      <c r="J74" s="554"/>
      <c r="K74" s="554"/>
      <c r="L74" s="562"/>
      <c r="M74" s="563"/>
      <c r="N74" s="444"/>
      <c r="O74" s="444"/>
      <c r="P74" s="564"/>
      <c r="Q74" s="475"/>
      <c r="R74" s="404"/>
      <c r="S74" s="404"/>
      <c r="T74" s="404"/>
      <c r="U74" s="404"/>
      <c r="V74" s="404"/>
      <c r="W74" s="404"/>
      <c r="X74" s="404"/>
      <c r="Y74" s="404"/>
      <c r="Z74" s="404"/>
      <c r="AA74" s="404"/>
      <c r="AB74" s="404"/>
      <c r="AC74" s="404"/>
    </row>
    <row r="75" s="191" customFormat="1" ht="15.75" spans="1:29">
      <c r="A75" s="555"/>
      <c r="B75" s="556"/>
      <c r="C75" s="557"/>
      <c r="D75" s="557"/>
      <c r="E75" s="557"/>
      <c r="F75" s="557"/>
      <c r="G75" s="557"/>
      <c r="H75" s="558"/>
      <c r="I75" s="558"/>
      <c r="J75" s="558"/>
      <c r="K75" s="558"/>
      <c r="L75" s="558"/>
      <c r="M75" s="565"/>
      <c r="N75" s="444"/>
      <c r="O75" s="444"/>
      <c r="P75" s="444"/>
      <c r="Q75" s="475"/>
      <c r="R75" s="404"/>
      <c r="S75" s="404"/>
      <c r="T75" s="404"/>
      <c r="U75" s="404"/>
      <c r="V75" s="404"/>
      <c r="W75" s="404"/>
      <c r="X75" s="404"/>
      <c r="Y75" s="404"/>
      <c r="Z75" s="404"/>
      <c r="AA75" s="404"/>
      <c r="AB75" s="404"/>
      <c r="AC75" s="404"/>
    </row>
    <row r="76" spans="1:29">
      <c r="A76" s="357" t="s">
        <v>997</v>
      </c>
      <c r="B76" s="358" t="s">
        <v>225</v>
      </c>
      <c r="C76" s="374" t="s">
        <v>246</v>
      </c>
      <c r="D76" s="374" t="s">
        <v>258</v>
      </c>
      <c r="E76" s="374" t="s">
        <v>269</v>
      </c>
      <c r="F76" s="374" t="s">
        <v>279</v>
      </c>
      <c r="G76" s="374" t="s">
        <v>287</v>
      </c>
      <c r="H76" s="359"/>
      <c r="I76" s="359"/>
      <c r="J76" s="359"/>
      <c r="K76" s="446"/>
      <c r="L76" s="447"/>
      <c r="M76" s="448"/>
      <c r="N76" s="432"/>
      <c r="O76" s="432"/>
      <c r="P76" s="449"/>
      <c r="Q76" s="422"/>
      <c r="R76" s="338"/>
      <c r="S76" s="338"/>
      <c r="T76" s="338"/>
      <c r="U76" s="338"/>
      <c r="V76" s="338"/>
      <c r="W76" s="338"/>
      <c r="X76" s="338"/>
      <c r="Y76" s="338"/>
      <c r="Z76" s="338"/>
      <c r="AA76" s="338"/>
      <c r="AB76" s="338"/>
      <c r="AC76" s="338"/>
    </row>
    <row r="77" ht="15.75" spans="1:29">
      <c r="A77" s="266"/>
      <c r="B77" s="365"/>
      <c r="C77" s="366">
        <v>100</v>
      </c>
      <c r="D77" s="366">
        <f t="shared" ref="D77:G77" si="64">C77-$K15</f>
        <v>92</v>
      </c>
      <c r="E77" s="366">
        <f t="shared" si="64"/>
        <v>84</v>
      </c>
      <c r="F77" s="366">
        <f t="shared" si="64"/>
        <v>76</v>
      </c>
      <c r="G77" s="366">
        <f t="shared" si="64"/>
        <v>68</v>
      </c>
      <c r="H77" s="366"/>
      <c r="I77" s="366"/>
      <c r="J77" s="366"/>
      <c r="K77" s="366"/>
      <c r="L77" s="366"/>
      <c r="M77" s="438"/>
      <c r="N77" s="434"/>
      <c r="O77" s="434"/>
      <c r="P77" s="427"/>
      <c r="Q77" s="422"/>
      <c r="R77" s="338"/>
      <c r="S77" s="338"/>
      <c r="T77" s="338"/>
      <c r="U77" s="338"/>
      <c r="V77" s="338"/>
      <c r="W77" s="338"/>
      <c r="X77" s="338"/>
      <c r="Y77" s="338"/>
      <c r="Z77" s="338"/>
      <c r="AA77" s="338"/>
      <c r="AB77" s="338"/>
      <c r="AC77" s="338"/>
    </row>
    <row r="78" ht="15.75" spans="1:29">
      <c r="A78" s="266"/>
      <c r="B78" s="363" t="s">
        <v>229</v>
      </c>
      <c r="C78" s="376" t="s">
        <v>246</v>
      </c>
      <c r="D78" s="376" t="s">
        <v>258</v>
      </c>
      <c r="E78" s="376" t="s">
        <v>269</v>
      </c>
      <c r="F78" s="376" t="s">
        <v>279</v>
      </c>
      <c r="G78" s="376" t="s">
        <v>287</v>
      </c>
      <c r="H78" s="364"/>
      <c r="I78" s="364"/>
      <c r="J78" s="364"/>
      <c r="K78" s="435"/>
      <c r="L78" s="436"/>
      <c r="M78" s="437"/>
      <c r="N78" s="432"/>
      <c r="O78" s="432"/>
      <c r="P78" s="427"/>
      <c r="Q78" s="422"/>
      <c r="R78" s="338"/>
      <c r="S78" s="338"/>
      <c r="T78" s="338"/>
      <c r="U78" s="338"/>
      <c r="V78" s="338"/>
      <c r="W78" s="338"/>
      <c r="X78" s="338"/>
      <c r="Y78" s="338"/>
      <c r="Z78" s="338"/>
      <c r="AA78" s="338"/>
      <c r="AB78" s="338"/>
      <c r="AC78" s="338"/>
    </row>
    <row r="79" ht="15.75" spans="1:29">
      <c r="A79" s="266"/>
      <c r="B79" s="365"/>
      <c r="C79" s="366">
        <v>100</v>
      </c>
      <c r="D79" s="366">
        <f t="shared" ref="D79:G79" si="65">C79-$K17</f>
        <v>95</v>
      </c>
      <c r="E79" s="366">
        <f t="shared" si="65"/>
        <v>90</v>
      </c>
      <c r="F79" s="366">
        <f t="shared" si="65"/>
        <v>85</v>
      </c>
      <c r="G79" s="366">
        <f t="shared" si="65"/>
        <v>80</v>
      </c>
      <c r="H79" s="366"/>
      <c r="I79" s="366"/>
      <c r="J79" s="366"/>
      <c r="K79" s="366"/>
      <c r="L79" s="366"/>
      <c r="M79" s="438"/>
      <c r="N79" s="434"/>
      <c r="O79" s="434"/>
      <c r="P79" s="427"/>
      <c r="Q79" s="422"/>
      <c r="R79" s="338"/>
      <c r="S79" s="338"/>
      <c r="T79" s="338"/>
      <c r="U79" s="338"/>
      <c r="V79" s="338"/>
      <c r="W79" s="338"/>
      <c r="X79" s="338"/>
      <c r="Y79" s="338"/>
      <c r="Z79" s="338"/>
      <c r="AA79" s="338"/>
      <c r="AB79" s="338"/>
      <c r="AC79" s="338"/>
    </row>
    <row r="80" ht="15.75" spans="1:29">
      <c r="A80" s="266"/>
      <c r="B80" s="375" t="s">
        <v>231</v>
      </c>
      <c r="C80" s="376" t="s">
        <v>246</v>
      </c>
      <c r="D80" s="376" t="s">
        <v>258</v>
      </c>
      <c r="E80" s="376" t="s">
        <v>269</v>
      </c>
      <c r="F80" s="376" t="s">
        <v>279</v>
      </c>
      <c r="G80" s="376" t="s">
        <v>287</v>
      </c>
      <c r="H80" s="364"/>
      <c r="I80" s="364"/>
      <c r="J80" s="364"/>
      <c r="K80" s="435"/>
      <c r="L80" s="436"/>
      <c r="M80" s="437"/>
      <c r="N80" s="432"/>
      <c r="O80" s="432"/>
      <c r="P80" s="427"/>
      <c r="Q80" s="422"/>
      <c r="R80" s="338"/>
      <c r="S80" s="338"/>
      <c r="T80" s="338"/>
      <c r="U80" s="338"/>
      <c r="V80" s="338"/>
      <c r="W80" s="338"/>
      <c r="X80" s="338"/>
      <c r="Y80" s="338"/>
      <c r="Z80" s="338"/>
      <c r="AA80" s="338"/>
      <c r="AB80" s="338"/>
      <c r="AC80" s="338"/>
    </row>
    <row r="81" ht="15.75" spans="1:29">
      <c r="A81" s="266"/>
      <c r="B81" s="365"/>
      <c r="C81" s="366">
        <v>100</v>
      </c>
      <c r="D81" s="366">
        <f t="shared" ref="D81:G81" si="66">C81-$K19</f>
        <v>97</v>
      </c>
      <c r="E81" s="366">
        <f t="shared" si="66"/>
        <v>94</v>
      </c>
      <c r="F81" s="366">
        <f t="shared" si="66"/>
        <v>91</v>
      </c>
      <c r="G81" s="366">
        <f t="shared" si="66"/>
        <v>88</v>
      </c>
      <c r="H81" s="366"/>
      <c r="I81" s="366"/>
      <c r="J81" s="366"/>
      <c r="K81" s="366"/>
      <c r="L81" s="366"/>
      <c r="M81" s="438"/>
      <c r="N81" s="434"/>
      <c r="O81" s="434"/>
      <c r="P81" s="427"/>
      <c r="Q81" s="422"/>
      <c r="R81" s="338"/>
      <c r="S81" s="338"/>
      <c r="T81" s="338"/>
      <c r="U81" s="338"/>
      <c r="V81" s="338"/>
      <c r="W81" s="338"/>
      <c r="X81" s="338"/>
      <c r="Y81" s="338"/>
      <c r="Z81" s="338"/>
      <c r="AA81" s="338"/>
      <c r="AB81" s="338"/>
      <c r="AC81" s="338"/>
    </row>
    <row r="82" ht="15.75" spans="1:29">
      <c r="A82" s="266"/>
      <c r="B82" s="484" t="s">
        <v>232</v>
      </c>
      <c r="C82" s="485" t="s">
        <v>247</v>
      </c>
      <c r="D82" s="485" t="s">
        <v>259</v>
      </c>
      <c r="E82" s="485" t="s">
        <v>270</v>
      </c>
      <c r="F82" s="485" t="s">
        <v>280</v>
      </c>
      <c r="G82" s="485" t="s">
        <v>288</v>
      </c>
      <c r="H82" s="364"/>
      <c r="I82" s="364"/>
      <c r="J82" s="364"/>
      <c r="K82" s="364"/>
      <c r="L82" s="364"/>
      <c r="M82" s="492"/>
      <c r="N82" s="434"/>
      <c r="O82" s="434"/>
      <c r="P82" s="427"/>
      <c r="Q82" s="422"/>
      <c r="R82" s="338"/>
      <c r="S82" s="338"/>
      <c r="T82" s="338"/>
      <c r="U82" s="338"/>
      <c r="V82" s="338"/>
      <c r="W82" s="338"/>
      <c r="X82" s="338"/>
      <c r="Y82" s="338"/>
      <c r="Z82" s="338"/>
      <c r="AA82" s="338"/>
      <c r="AB82" s="338"/>
      <c r="AC82" s="338"/>
    </row>
    <row r="83" ht="15.75" spans="1:29">
      <c r="A83" s="266"/>
      <c r="B83" s="486"/>
      <c r="C83" s="366">
        <v>100</v>
      </c>
      <c r="D83" s="366">
        <f t="shared" ref="D83:G83" si="67">C83-$K21</f>
        <v>100</v>
      </c>
      <c r="E83" s="366">
        <f t="shared" si="67"/>
        <v>100</v>
      </c>
      <c r="F83" s="366">
        <f t="shared" si="67"/>
        <v>100</v>
      </c>
      <c r="G83" s="366">
        <f t="shared" si="67"/>
        <v>100</v>
      </c>
      <c r="H83" s="367"/>
      <c r="I83" s="367"/>
      <c r="J83" s="367"/>
      <c r="K83" s="367"/>
      <c r="L83" s="367"/>
      <c r="M83" s="271"/>
      <c r="N83" s="434"/>
      <c r="O83" s="434"/>
      <c r="P83" s="427"/>
      <c r="Q83" s="422"/>
      <c r="R83" s="338"/>
      <c r="S83" s="338"/>
      <c r="T83" s="338"/>
      <c r="U83" s="338"/>
      <c r="V83" s="338"/>
      <c r="W83" s="338"/>
      <c r="X83" s="338"/>
      <c r="Y83" s="338"/>
      <c r="Z83" s="338"/>
      <c r="AA83" s="338"/>
      <c r="AB83" s="338"/>
      <c r="AC83" s="338"/>
    </row>
    <row r="84" ht="15.75" spans="1:29">
      <c r="A84" s="266"/>
      <c r="B84" s="363" t="s">
        <v>2356</v>
      </c>
      <c r="C84" s="376" t="s">
        <v>246</v>
      </c>
      <c r="D84" s="376" t="s">
        <v>258</v>
      </c>
      <c r="E84" s="376" t="s">
        <v>269</v>
      </c>
      <c r="F84" s="376" t="s">
        <v>279</v>
      </c>
      <c r="G84" s="376" t="s">
        <v>287</v>
      </c>
      <c r="H84" s="364"/>
      <c r="I84" s="364"/>
      <c r="J84" s="364"/>
      <c r="K84" s="435"/>
      <c r="L84" s="436"/>
      <c r="M84" s="437"/>
      <c r="N84" s="432"/>
      <c r="O84" s="432"/>
      <c r="P84" s="427"/>
      <c r="Q84" s="422"/>
      <c r="R84" s="338"/>
      <c r="S84" s="338"/>
      <c r="T84" s="338"/>
      <c r="U84" s="338"/>
      <c r="V84" s="338"/>
      <c r="W84" s="338"/>
      <c r="X84" s="338"/>
      <c r="Y84" s="338"/>
      <c r="Z84" s="338"/>
      <c r="AA84" s="338"/>
      <c r="AB84" s="338"/>
      <c r="AC84" s="338"/>
    </row>
    <row r="85" ht="15.75" spans="1:29">
      <c r="A85" s="266"/>
      <c r="B85" s="365"/>
      <c r="C85" s="366">
        <v>100</v>
      </c>
      <c r="D85" s="366">
        <f t="shared" ref="D85:G85" si="68">C85-$K23</f>
        <v>99</v>
      </c>
      <c r="E85" s="366">
        <f t="shared" si="68"/>
        <v>98</v>
      </c>
      <c r="F85" s="366">
        <f t="shared" si="68"/>
        <v>97</v>
      </c>
      <c r="G85" s="366">
        <f t="shared" si="68"/>
        <v>96</v>
      </c>
      <c r="H85" s="366"/>
      <c r="I85" s="366"/>
      <c r="J85" s="366"/>
      <c r="K85" s="366"/>
      <c r="L85" s="366"/>
      <c r="M85" s="438"/>
      <c r="N85" s="434"/>
      <c r="O85" s="434"/>
      <c r="P85" s="427"/>
      <c r="Q85" s="422"/>
      <c r="R85" s="338"/>
      <c r="S85" s="338"/>
      <c r="T85" s="338"/>
      <c r="U85" s="338"/>
      <c r="V85" s="338"/>
      <c r="W85" s="338"/>
      <c r="X85" s="338"/>
      <c r="Y85" s="338"/>
      <c r="Z85" s="338"/>
      <c r="AA85" s="338"/>
      <c r="AB85" s="338"/>
      <c r="AC85" s="338"/>
    </row>
    <row r="86" s="189" customFormat="1" ht="15.75" spans="1:29">
      <c r="A86" s="290"/>
      <c r="B86" s="363" t="s">
        <v>234</v>
      </c>
      <c r="C86" s="1135" t="s">
        <v>2457</v>
      </c>
      <c r="D86" s="371"/>
      <c r="E86" s="371"/>
      <c r="F86" s="371"/>
      <c r="G86" s="371"/>
      <c r="H86" s="371"/>
      <c r="I86" s="371"/>
      <c r="J86" s="371"/>
      <c r="K86" s="371"/>
      <c r="L86" s="496"/>
      <c r="M86" s="497"/>
      <c r="N86" s="427"/>
      <c r="O86" s="427"/>
      <c r="P86" s="427"/>
      <c r="Q86" s="422"/>
      <c r="R86" s="387"/>
      <c r="S86" s="387"/>
      <c r="T86" s="387"/>
      <c r="U86" s="387"/>
      <c r="V86" s="387"/>
      <c r="W86" s="387"/>
      <c r="X86" s="387"/>
      <c r="Y86" s="387"/>
      <c r="Z86" s="387"/>
      <c r="AA86" s="387"/>
      <c r="AB86" s="387"/>
      <c r="AC86" s="387"/>
    </row>
    <row r="87" s="189" customFormat="1" ht="15.75" spans="1:29">
      <c r="A87" s="290"/>
      <c r="B87" s="365"/>
      <c r="C87" s="488">
        <v>100</v>
      </c>
      <c r="D87" s="366">
        <f t="shared" ref="D87:M87" si="69">C87-$K25</f>
        <v>100</v>
      </c>
      <c r="E87" s="366">
        <f t="shared" si="69"/>
        <v>100</v>
      </c>
      <c r="F87" s="366">
        <f t="shared" si="69"/>
        <v>100</v>
      </c>
      <c r="G87" s="366">
        <f t="shared" si="69"/>
        <v>100</v>
      </c>
      <c r="H87" s="366">
        <f t="shared" si="69"/>
        <v>100</v>
      </c>
      <c r="I87" s="366">
        <f t="shared" si="69"/>
        <v>100</v>
      </c>
      <c r="J87" s="366">
        <f t="shared" si="69"/>
        <v>100</v>
      </c>
      <c r="K87" s="366">
        <f t="shared" si="69"/>
        <v>100</v>
      </c>
      <c r="L87" s="366">
        <f t="shared" si="69"/>
        <v>100</v>
      </c>
      <c r="M87" s="366">
        <f t="shared" si="69"/>
        <v>100</v>
      </c>
      <c r="N87" s="434"/>
      <c r="O87" s="434"/>
      <c r="P87" s="427"/>
      <c r="Q87" s="422"/>
      <c r="R87" s="387"/>
      <c r="S87" s="387"/>
      <c r="T87" s="387"/>
      <c r="U87" s="387"/>
      <c r="V87" s="387"/>
      <c r="W87" s="387"/>
      <c r="X87" s="387"/>
      <c r="Y87" s="387"/>
      <c r="Z87" s="387"/>
      <c r="AA87" s="387"/>
      <c r="AB87" s="387"/>
      <c r="AC87" s="387"/>
    </row>
    <row r="88" s="189" customFormat="1" ht="15.75" spans="1:29">
      <c r="A88" s="290"/>
      <c r="B88" s="363" t="str">
        <f>B26</f>
        <v>平面位置/可视性</v>
      </c>
      <c r="C88" s="371"/>
      <c r="D88" s="371"/>
      <c r="E88" s="371"/>
      <c r="F88" s="596"/>
      <c r="G88" s="371"/>
      <c r="H88" s="371"/>
      <c r="I88" s="371"/>
      <c r="J88" s="371"/>
      <c r="K88" s="371"/>
      <c r="L88" s="371"/>
      <c r="M88" s="497"/>
      <c r="N88" s="427"/>
      <c r="O88" s="427"/>
      <c r="P88" s="427"/>
      <c r="Q88" s="422"/>
      <c r="R88" s="387"/>
      <c r="S88" s="387"/>
      <c r="T88" s="387"/>
      <c r="U88" s="387"/>
      <c r="V88" s="387"/>
      <c r="W88" s="387"/>
      <c r="X88" s="387"/>
      <c r="Y88" s="387"/>
      <c r="Z88" s="387"/>
      <c r="AA88" s="387"/>
      <c r="AB88" s="387"/>
      <c r="AC88" s="387"/>
    </row>
    <row r="89" s="189" customFormat="1" ht="15.75" spans="1:29">
      <c r="A89" s="290"/>
      <c r="B89" s="365"/>
      <c r="C89" s="369"/>
      <c r="D89" s="362"/>
      <c r="E89" s="362"/>
      <c r="F89" s="362"/>
      <c r="G89" s="362"/>
      <c r="H89" s="362"/>
      <c r="I89" s="362"/>
      <c r="J89" s="362"/>
      <c r="K89" s="362"/>
      <c r="L89" s="362"/>
      <c r="M89" s="362"/>
      <c r="N89" s="434"/>
      <c r="O89" s="434"/>
      <c r="P89" s="427"/>
      <c r="Q89" s="422"/>
      <c r="R89" s="387"/>
      <c r="S89" s="387"/>
      <c r="T89" s="387"/>
      <c r="U89" s="387"/>
      <c r="V89" s="387"/>
      <c r="W89" s="387"/>
      <c r="X89" s="387"/>
      <c r="Y89" s="387"/>
      <c r="Z89" s="387"/>
      <c r="AA89" s="387"/>
      <c r="AB89" s="387"/>
      <c r="AC89" s="387"/>
    </row>
    <row r="90" s="191" customFormat="1" ht="15.75" spans="1:29">
      <c r="A90" s="370"/>
      <c r="B90" s="363" t="str">
        <f>B27</f>
        <v>人流量</v>
      </c>
      <c r="C90" s="371"/>
      <c r="D90" s="371"/>
      <c r="E90" s="371"/>
      <c r="F90" s="371"/>
      <c r="G90" s="371"/>
      <c r="H90" s="372"/>
      <c r="I90" s="372"/>
      <c r="J90" s="372"/>
      <c r="K90" s="372"/>
      <c r="L90" s="442"/>
      <c r="M90" s="443"/>
      <c r="N90" s="444"/>
      <c r="O90" s="444"/>
      <c r="P90" s="444"/>
      <c r="Q90" s="475"/>
      <c r="R90" s="404"/>
      <c r="S90" s="404"/>
      <c r="T90" s="404"/>
      <c r="U90" s="404"/>
      <c r="V90" s="404"/>
      <c r="W90" s="404"/>
      <c r="X90" s="404"/>
      <c r="Y90" s="404"/>
      <c r="Z90" s="404"/>
      <c r="AA90" s="404"/>
      <c r="AB90" s="404"/>
      <c r="AC90" s="404"/>
    </row>
    <row r="91" s="191" customFormat="1" ht="15.75" spans="1:29">
      <c r="A91" s="370"/>
      <c r="B91" s="365"/>
      <c r="C91" s="488">
        <v>100</v>
      </c>
      <c r="D91" s="366">
        <f t="shared" ref="D91:M91" si="70">C91-$K27</f>
        <v>100</v>
      </c>
      <c r="E91" s="366">
        <f t="shared" si="70"/>
        <v>100</v>
      </c>
      <c r="F91" s="366">
        <f t="shared" si="70"/>
        <v>100</v>
      </c>
      <c r="G91" s="366">
        <f t="shared" si="70"/>
        <v>100</v>
      </c>
      <c r="H91" s="366">
        <f t="shared" si="70"/>
        <v>100</v>
      </c>
      <c r="I91" s="366">
        <f t="shared" si="70"/>
        <v>100</v>
      </c>
      <c r="J91" s="366">
        <f t="shared" si="70"/>
        <v>100</v>
      </c>
      <c r="K91" s="366">
        <f t="shared" si="70"/>
        <v>100</v>
      </c>
      <c r="L91" s="366">
        <f t="shared" si="70"/>
        <v>100</v>
      </c>
      <c r="M91" s="366">
        <f t="shared" si="70"/>
        <v>100</v>
      </c>
      <c r="N91" s="444"/>
      <c r="O91" s="444"/>
      <c r="P91" s="444"/>
      <c r="Q91" s="475"/>
      <c r="R91" s="404"/>
      <c r="S91" s="404"/>
      <c r="T91" s="404"/>
      <c r="U91" s="404"/>
      <c r="V91" s="404"/>
      <c r="W91" s="404"/>
      <c r="X91" s="404"/>
      <c r="Y91" s="404"/>
      <c r="Z91" s="404"/>
      <c r="AA91" s="404"/>
      <c r="AB91" s="404"/>
      <c r="AC91" s="404"/>
    </row>
    <row r="92" ht="15.75" spans="1:29">
      <c r="A92" s="266"/>
      <c r="B92" s="363" t="str">
        <f>B28</f>
        <v>楼层</v>
      </c>
      <c r="C92" s="371">
        <v>1</v>
      </c>
      <c r="D92" s="371"/>
      <c r="E92" s="371"/>
      <c r="F92" s="371"/>
      <c r="G92" s="371"/>
      <c r="H92" s="371"/>
      <c r="I92" s="371"/>
      <c r="J92" s="371"/>
      <c r="K92" s="371"/>
      <c r="L92" s="496"/>
      <c r="M92" s="497"/>
      <c r="N92" s="432"/>
      <c r="O92" s="432"/>
      <c r="P92" s="427"/>
      <c r="Q92" s="422"/>
      <c r="R92" s="338"/>
      <c r="S92" s="338"/>
      <c r="T92" s="338"/>
      <c r="U92" s="338"/>
      <c r="V92" s="338"/>
      <c r="W92" s="338"/>
      <c r="X92" s="338"/>
      <c r="Y92" s="338"/>
      <c r="Z92" s="338"/>
      <c r="AA92" s="338"/>
      <c r="AB92" s="338"/>
      <c r="AC92" s="338"/>
    </row>
    <row r="93" ht="15.75" spans="1:29">
      <c r="A93" s="266"/>
      <c r="B93" s="365"/>
      <c r="C93" s="362"/>
      <c r="D93" s="362"/>
      <c r="E93" s="362"/>
      <c r="F93" s="362"/>
      <c r="G93" s="362"/>
      <c r="H93" s="362"/>
      <c r="I93" s="362"/>
      <c r="J93" s="362"/>
      <c r="K93" s="362"/>
      <c r="L93" s="362"/>
      <c r="M93" s="433"/>
      <c r="N93" s="434"/>
      <c r="O93" s="434"/>
      <c r="P93" s="427"/>
      <c r="Q93" s="422"/>
      <c r="R93" s="338"/>
      <c r="S93" s="338"/>
      <c r="T93" s="338"/>
      <c r="U93" s="338"/>
      <c r="V93" s="338"/>
      <c r="W93" s="338"/>
      <c r="X93" s="338"/>
      <c r="Y93" s="338"/>
      <c r="Z93" s="338"/>
      <c r="AA93" s="338"/>
      <c r="AB93" s="338"/>
      <c r="AC93" s="338"/>
    </row>
    <row r="94" ht="15.75" spans="1:29">
      <c r="A94" s="266"/>
      <c r="B94" s="363">
        <f>B29</f>
        <v>111</v>
      </c>
      <c r="C94" s="371"/>
      <c r="D94" s="371"/>
      <c r="E94" s="371"/>
      <c r="F94" s="371"/>
      <c r="G94" s="487"/>
      <c r="H94" s="487"/>
      <c r="I94" s="487"/>
      <c r="J94" s="487"/>
      <c r="K94" s="493"/>
      <c r="L94" s="494"/>
      <c r="M94" s="495"/>
      <c r="N94" s="432"/>
      <c r="O94" s="432"/>
      <c r="P94" s="427"/>
      <c r="Q94" s="422"/>
      <c r="R94" s="338"/>
      <c r="S94" s="338"/>
      <c r="T94" s="338"/>
      <c r="U94" s="338"/>
      <c r="V94" s="338"/>
      <c r="W94" s="338"/>
      <c r="X94" s="338"/>
      <c r="Y94" s="338"/>
      <c r="Z94" s="338"/>
      <c r="AA94" s="338"/>
      <c r="AB94" s="338"/>
      <c r="AC94" s="338"/>
    </row>
    <row r="95" ht="15.75" spans="1:29">
      <c r="A95" s="266"/>
      <c r="B95" s="365"/>
      <c r="C95" s="369"/>
      <c r="D95" s="362"/>
      <c r="E95" s="362"/>
      <c r="F95" s="362"/>
      <c r="G95" s="362"/>
      <c r="H95" s="362"/>
      <c r="I95" s="362"/>
      <c r="J95" s="362"/>
      <c r="K95" s="362"/>
      <c r="L95" s="362"/>
      <c r="M95" s="433"/>
      <c r="N95" s="434"/>
      <c r="O95" s="434"/>
      <c r="P95" s="427"/>
      <c r="Q95" s="422"/>
      <c r="R95" s="338"/>
      <c r="S95" s="338"/>
      <c r="T95" s="338"/>
      <c r="U95" s="338"/>
      <c r="V95" s="338"/>
      <c r="W95" s="338"/>
      <c r="X95" s="338"/>
      <c r="Y95" s="338"/>
      <c r="Z95" s="338"/>
      <c r="AA95" s="338"/>
      <c r="AB95" s="338"/>
      <c r="AC95" s="338"/>
    </row>
    <row r="96" ht="15.75" spans="1:29">
      <c r="A96" s="266"/>
      <c r="B96" s="363">
        <f>B30</f>
        <v>111</v>
      </c>
      <c r="C96" s="371"/>
      <c r="D96" s="371"/>
      <c r="E96" s="371"/>
      <c r="F96" s="371"/>
      <c r="G96" s="487"/>
      <c r="H96" s="487"/>
      <c r="I96" s="487"/>
      <c r="J96" s="487"/>
      <c r="K96" s="493"/>
      <c r="L96" s="494"/>
      <c r="M96" s="495"/>
      <c r="N96" s="432"/>
      <c r="O96" s="432"/>
      <c r="P96" s="427"/>
      <c r="Q96" s="422"/>
      <c r="R96" s="338"/>
      <c r="S96" s="338"/>
      <c r="T96" s="338"/>
      <c r="U96" s="338"/>
      <c r="V96" s="338"/>
      <c r="W96" s="338"/>
      <c r="X96" s="338"/>
      <c r="Y96" s="338"/>
      <c r="Z96" s="338"/>
      <c r="AA96" s="338"/>
      <c r="AB96" s="338"/>
      <c r="AC96" s="338"/>
    </row>
    <row r="97" ht="15.75" spans="1:29">
      <c r="A97" s="266"/>
      <c r="B97" s="365"/>
      <c r="C97" s="369"/>
      <c r="D97" s="362"/>
      <c r="E97" s="362"/>
      <c r="F97" s="362"/>
      <c r="G97" s="362"/>
      <c r="H97" s="362"/>
      <c r="I97" s="362"/>
      <c r="J97" s="362"/>
      <c r="K97" s="362"/>
      <c r="L97" s="362"/>
      <c r="M97" s="433"/>
      <c r="N97" s="434"/>
      <c r="O97" s="434"/>
      <c r="P97" s="427"/>
      <c r="Q97" s="422"/>
      <c r="R97" s="338"/>
      <c r="S97" s="338"/>
      <c r="T97" s="338"/>
      <c r="U97" s="338"/>
      <c r="V97" s="338"/>
      <c r="W97" s="338"/>
      <c r="X97" s="338"/>
      <c r="Y97" s="338"/>
      <c r="Z97" s="338"/>
      <c r="AA97" s="338"/>
      <c r="AB97" s="338"/>
      <c r="AC97" s="338"/>
    </row>
    <row r="98" ht="15.75" spans="1:29">
      <c r="A98" s="266"/>
      <c r="B98" s="486">
        <f>B31</f>
        <v>111</v>
      </c>
      <c r="C98" s="371"/>
      <c r="D98" s="371"/>
      <c r="E98" s="371"/>
      <c r="F98" s="371"/>
      <c r="G98" s="559"/>
      <c r="H98" s="559"/>
      <c r="I98" s="559"/>
      <c r="J98" s="559"/>
      <c r="K98" s="566"/>
      <c r="L98" s="567"/>
      <c r="M98" s="568"/>
      <c r="N98" s="432"/>
      <c r="O98" s="432"/>
      <c r="P98" s="427"/>
      <c r="Q98" s="422"/>
      <c r="R98" s="338"/>
      <c r="S98" s="338"/>
      <c r="T98" s="338"/>
      <c r="U98" s="338"/>
      <c r="V98" s="338"/>
      <c r="W98" s="338"/>
      <c r="X98" s="338"/>
      <c r="Y98" s="338"/>
      <c r="Z98" s="338"/>
      <c r="AA98" s="338"/>
      <c r="AB98" s="338"/>
      <c r="AC98" s="338"/>
    </row>
    <row r="99" ht="15.75" spans="1:29">
      <c r="A99" s="549"/>
      <c r="B99" s="556"/>
      <c r="C99" s="557"/>
      <c r="D99" s="557"/>
      <c r="E99" s="557"/>
      <c r="F99" s="557"/>
      <c r="G99" s="560"/>
      <c r="H99" s="560"/>
      <c r="I99" s="560"/>
      <c r="J99" s="560"/>
      <c r="K99" s="560"/>
      <c r="L99" s="560"/>
      <c r="M99" s="569"/>
      <c r="N99" s="434"/>
      <c r="O99" s="434"/>
      <c r="P99" s="427"/>
      <c r="Q99" s="422"/>
      <c r="R99" s="338"/>
      <c r="S99" s="338"/>
      <c r="T99" s="338"/>
      <c r="U99" s="338"/>
      <c r="V99" s="338"/>
      <c r="W99" s="338"/>
      <c r="X99" s="338"/>
      <c r="Y99" s="338"/>
      <c r="Z99" s="338"/>
      <c r="AA99" s="338"/>
      <c r="AB99" s="338"/>
      <c r="AC99" s="338"/>
    </row>
    <row r="100" ht="27" spans="1:29">
      <c r="A100" s="357" t="s">
        <v>1002</v>
      </c>
      <c r="B100" s="358" t="s">
        <v>2461</v>
      </c>
      <c r="C100" s="1136" t="s">
        <v>2464</v>
      </c>
      <c r="D100" s="1136" t="s">
        <v>2465</v>
      </c>
      <c r="E100" s="1136" t="s">
        <v>2463</v>
      </c>
      <c r="F100" s="1136" t="s">
        <v>2462</v>
      </c>
      <c r="G100" s="360"/>
      <c r="H100" s="360"/>
      <c r="I100" s="360"/>
      <c r="J100" s="360"/>
      <c r="K100" s="429"/>
      <c r="L100" s="430"/>
      <c r="M100" s="431"/>
      <c r="N100" s="432"/>
      <c r="O100" s="432"/>
      <c r="P100" s="427"/>
      <c r="Q100" s="422"/>
      <c r="R100" s="338"/>
      <c r="S100" s="338"/>
      <c r="T100" s="338"/>
      <c r="U100" s="338"/>
      <c r="V100" s="338"/>
      <c r="W100" s="338"/>
      <c r="X100" s="338"/>
      <c r="Y100" s="338"/>
      <c r="Z100" s="338"/>
      <c r="AA100" s="338"/>
      <c r="AB100" s="338"/>
      <c r="AC100" s="338"/>
    </row>
    <row r="101" ht="15.75" spans="1:29">
      <c r="A101" s="266"/>
      <c r="B101" s="365"/>
      <c r="C101" s="366">
        <v>100</v>
      </c>
      <c r="D101" s="366">
        <f t="shared" ref="D101:M101" si="71">C101-$K32</f>
        <v>97</v>
      </c>
      <c r="E101" s="366">
        <f t="shared" si="71"/>
        <v>94</v>
      </c>
      <c r="F101" s="366">
        <f t="shared" si="71"/>
        <v>91</v>
      </c>
      <c r="G101" s="366">
        <f t="shared" si="71"/>
        <v>88</v>
      </c>
      <c r="H101" s="366">
        <f t="shared" si="71"/>
        <v>85</v>
      </c>
      <c r="I101" s="366">
        <f t="shared" si="71"/>
        <v>82</v>
      </c>
      <c r="J101" s="366">
        <f t="shared" si="71"/>
        <v>79</v>
      </c>
      <c r="K101" s="366">
        <f t="shared" si="71"/>
        <v>76</v>
      </c>
      <c r="L101" s="366">
        <f t="shared" si="71"/>
        <v>73</v>
      </c>
      <c r="M101" s="438">
        <f t="shared" si="71"/>
        <v>70</v>
      </c>
      <c r="N101" s="434"/>
      <c r="O101" s="434"/>
      <c r="P101" s="427"/>
      <c r="Q101" s="422"/>
      <c r="R101" s="338"/>
      <c r="S101" s="338"/>
      <c r="T101" s="338"/>
      <c r="U101" s="338"/>
      <c r="V101" s="338"/>
      <c r="W101" s="338"/>
      <c r="X101" s="338"/>
      <c r="Y101" s="338"/>
      <c r="Z101" s="338"/>
      <c r="AA101" s="338"/>
      <c r="AB101" s="338"/>
      <c r="AC101" s="338"/>
    </row>
    <row r="102" ht="15.75" spans="1:29">
      <c r="A102" s="266"/>
      <c r="B102" s="363" t="s">
        <v>2362</v>
      </c>
      <c r="C102" s="376" t="str">
        <f t="shared" ref="C102:L102" si="72">C103&amp;"(含)"&amp;"-"&amp;D103</f>
        <v>0(含)-10000</v>
      </c>
      <c r="D102" s="376" t="str">
        <f t="shared" si="72"/>
        <v>10000(含)-</v>
      </c>
      <c r="E102" s="376" t="str">
        <f t="shared" si="72"/>
        <v>(含)-</v>
      </c>
      <c r="F102" s="376" t="str">
        <f t="shared" si="72"/>
        <v>(含)-</v>
      </c>
      <c r="G102" s="376" t="str">
        <f t="shared" si="72"/>
        <v>(含)-</v>
      </c>
      <c r="H102" s="376" t="str">
        <f t="shared" si="72"/>
        <v>(含)-</v>
      </c>
      <c r="I102" s="376" t="str">
        <f t="shared" si="72"/>
        <v>(含)-</v>
      </c>
      <c r="J102" s="376" t="str">
        <f t="shared" si="72"/>
        <v>(含)-</v>
      </c>
      <c r="K102" s="376" t="str">
        <f t="shared" si="72"/>
        <v>(含)-</v>
      </c>
      <c r="L102" s="376" t="str">
        <f t="shared" si="72"/>
        <v>(含)-</v>
      </c>
      <c r="M102" s="501" t="str">
        <f>M103&amp;"(含)"&amp;"-"&amp;P103</f>
        <v>(含)-</v>
      </c>
      <c r="N102" s="427"/>
      <c r="O102" s="427"/>
      <c r="P102" s="427"/>
      <c r="Q102" s="422"/>
      <c r="R102" s="338"/>
      <c r="S102" s="338"/>
      <c r="T102" s="338"/>
      <c r="U102" s="338"/>
      <c r="V102" s="338"/>
      <c r="W102" s="338"/>
      <c r="X102" s="338"/>
      <c r="Y102" s="338"/>
      <c r="Z102" s="338"/>
      <c r="AA102" s="338"/>
      <c r="AB102" s="338"/>
      <c r="AC102" s="338"/>
    </row>
    <row r="103" s="191" customFormat="1" ht="15" spans="1:29">
      <c r="A103" s="296"/>
      <c r="B103" s="561"/>
      <c r="C103" s="489">
        <v>0</v>
      </c>
      <c r="D103" s="489">
        <v>10000</v>
      </c>
      <c r="E103" s="489"/>
      <c r="F103" s="489"/>
      <c r="G103" s="489"/>
      <c r="H103" s="489"/>
      <c r="I103" s="489"/>
      <c r="J103" s="502"/>
      <c r="K103" s="502"/>
      <c r="L103" s="503"/>
      <c r="M103" s="504"/>
      <c r="N103" s="444"/>
      <c r="O103" s="444"/>
      <c r="P103" s="444"/>
      <c r="Q103" s="475"/>
      <c r="R103" s="404"/>
      <c r="S103" s="404"/>
      <c r="T103" s="404"/>
      <c r="U103" s="404"/>
      <c r="V103" s="404"/>
      <c r="W103" s="404"/>
      <c r="X103" s="404"/>
      <c r="Y103" s="404"/>
      <c r="Z103" s="404"/>
      <c r="AA103" s="404"/>
      <c r="AB103" s="404"/>
      <c r="AC103" s="404"/>
    </row>
    <row r="104" s="191" customFormat="1" ht="15.75" spans="1:29">
      <c r="A104" s="370"/>
      <c r="B104" s="365"/>
      <c r="C104" s="369">
        <v>100</v>
      </c>
      <c r="D104" s="362"/>
      <c r="E104" s="362"/>
      <c r="F104" s="362"/>
      <c r="G104" s="362"/>
      <c r="H104" s="362"/>
      <c r="I104" s="362"/>
      <c r="J104" s="362"/>
      <c r="K104" s="362"/>
      <c r="L104" s="362"/>
      <c r="M104" s="433"/>
      <c r="N104" s="434"/>
      <c r="O104" s="434"/>
      <c r="P104" s="444"/>
      <c r="Q104" s="475"/>
      <c r="R104" s="404"/>
      <c r="S104" s="404"/>
      <c r="T104" s="404"/>
      <c r="U104" s="404"/>
      <c r="V104" s="404"/>
      <c r="W104" s="404"/>
      <c r="X104" s="404"/>
      <c r="Y104" s="404"/>
      <c r="Z104" s="404"/>
      <c r="AA104" s="404"/>
      <c r="AB104" s="404"/>
      <c r="AC104" s="404"/>
    </row>
    <row r="105" ht="15.75" spans="1:29">
      <c r="A105" s="301"/>
      <c r="B105" s="363" t="s">
        <v>2363</v>
      </c>
      <c r="C105" s="1135" t="s">
        <v>2076</v>
      </c>
      <c r="D105" s="371"/>
      <c r="E105" s="487"/>
      <c r="F105" s="487"/>
      <c r="G105" s="487"/>
      <c r="H105" s="487"/>
      <c r="I105" s="487"/>
      <c r="J105" s="487"/>
      <c r="K105" s="493"/>
      <c r="L105" s="494"/>
      <c r="M105" s="495"/>
      <c r="N105" s="432"/>
      <c r="O105" s="432"/>
      <c r="P105" s="427"/>
      <c r="Q105" s="422"/>
      <c r="R105" s="338"/>
      <c r="S105" s="338"/>
      <c r="T105" s="338"/>
      <c r="U105" s="338"/>
      <c r="V105" s="338"/>
      <c r="W105" s="338"/>
      <c r="X105" s="338"/>
      <c r="Y105" s="338"/>
      <c r="Z105" s="338"/>
      <c r="AA105" s="338"/>
      <c r="AB105" s="338"/>
      <c r="AC105" s="338"/>
    </row>
    <row r="106" ht="15.75" spans="1:29">
      <c r="A106" s="266"/>
      <c r="B106" s="365"/>
      <c r="C106" s="366">
        <v>100</v>
      </c>
      <c r="D106" s="366">
        <f t="shared" ref="D106:M106" si="73">C106-$K34</f>
        <v>100</v>
      </c>
      <c r="E106" s="366">
        <f t="shared" si="73"/>
        <v>100</v>
      </c>
      <c r="F106" s="366">
        <f t="shared" si="73"/>
        <v>100</v>
      </c>
      <c r="G106" s="366">
        <f t="shared" si="73"/>
        <v>100</v>
      </c>
      <c r="H106" s="366">
        <f t="shared" si="73"/>
        <v>100</v>
      </c>
      <c r="I106" s="366">
        <f t="shared" si="73"/>
        <v>100</v>
      </c>
      <c r="J106" s="366">
        <f t="shared" si="73"/>
        <v>100</v>
      </c>
      <c r="K106" s="366">
        <f t="shared" si="73"/>
        <v>100</v>
      </c>
      <c r="L106" s="366">
        <f t="shared" si="73"/>
        <v>100</v>
      </c>
      <c r="M106" s="438">
        <f t="shared" si="73"/>
        <v>100</v>
      </c>
      <c r="N106" s="434"/>
      <c r="O106" s="434"/>
      <c r="P106" s="427"/>
      <c r="Q106" s="422"/>
      <c r="R106" s="338"/>
      <c r="S106" s="338"/>
      <c r="T106" s="338"/>
      <c r="U106" s="338"/>
      <c r="V106" s="338"/>
      <c r="W106" s="338"/>
      <c r="X106" s="338"/>
      <c r="Y106" s="338"/>
      <c r="Z106" s="338"/>
      <c r="AA106" s="338"/>
      <c r="AB106" s="338"/>
      <c r="AC106" s="338"/>
    </row>
    <row r="107" ht="15.75" spans="1:29">
      <c r="A107" s="301"/>
      <c r="B107" s="363" t="s">
        <v>2365</v>
      </c>
      <c r="C107" s="371"/>
      <c r="D107" s="371"/>
      <c r="E107" s="371"/>
      <c r="F107" s="487"/>
      <c r="G107" s="487"/>
      <c r="H107" s="487"/>
      <c r="I107" s="487"/>
      <c r="J107" s="487"/>
      <c r="K107" s="493"/>
      <c r="L107" s="494"/>
      <c r="M107" s="495"/>
      <c r="N107" s="432"/>
      <c r="O107" s="432"/>
      <c r="P107" s="427"/>
      <c r="Q107" s="422"/>
      <c r="R107" s="338"/>
      <c r="S107" s="338"/>
      <c r="T107" s="338"/>
      <c r="U107" s="338"/>
      <c r="V107" s="338"/>
      <c r="W107" s="338"/>
      <c r="X107" s="338"/>
      <c r="Y107" s="338"/>
      <c r="Z107" s="338"/>
      <c r="AA107" s="338"/>
      <c r="AB107" s="338"/>
      <c r="AC107" s="338"/>
    </row>
    <row r="108" ht="15.75" spans="1:29">
      <c r="A108" s="266"/>
      <c r="B108" s="365"/>
      <c r="C108" s="366">
        <v>100</v>
      </c>
      <c r="D108" s="366">
        <f t="shared" ref="D108:M108" si="74">C108-$K35</f>
        <v>100</v>
      </c>
      <c r="E108" s="366">
        <f t="shared" si="74"/>
        <v>100</v>
      </c>
      <c r="F108" s="366">
        <f t="shared" si="74"/>
        <v>100</v>
      </c>
      <c r="G108" s="366">
        <f t="shared" si="74"/>
        <v>100</v>
      </c>
      <c r="H108" s="366">
        <f t="shared" si="74"/>
        <v>100</v>
      </c>
      <c r="I108" s="366">
        <f t="shared" si="74"/>
        <v>100</v>
      </c>
      <c r="J108" s="366">
        <f t="shared" si="74"/>
        <v>100</v>
      </c>
      <c r="K108" s="366">
        <f t="shared" si="74"/>
        <v>100</v>
      </c>
      <c r="L108" s="366">
        <f t="shared" si="74"/>
        <v>100</v>
      </c>
      <c r="M108" s="438">
        <f t="shared" si="74"/>
        <v>100</v>
      </c>
      <c r="N108" s="434"/>
      <c r="O108" s="434"/>
      <c r="P108" s="427"/>
      <c r="Q108" s="422"/>
      <c r="R108" s="338"/>
      <c r="S108" s="338"/>
      <c r="T108" s="338"/>
      <c r="U108" s="338"/>
      <c r="V108" s="338"/>
      <c r="W108" s="338"/>
      <c r="X108" s="338"/>
      <c r="Y108" s="338"/>
      <c r="Z108" s="338"/>
      <c r="AA108" s="338"/>
      <c r="AB108" s="338"/>
      <c r="AC108" s="338"/>
    </row>
    <row r="109" ht="15.75" spans="1:29">
      <c r="A109" s="301"/>
      <c r="B109" s="363" t="s">
        <v>2367</v>
      </c>
      <c r="C109" s="376" t="str">
        <f t="shared" ref="C109:F109" si="75">C110&amp;"(含)"&amp;"-"&amp;D110</f>
        <v>0.5(含)-0.6</v>
      </c>
      <c r="D109" s="376" t="str">
        <f t="shared" si="75"/>
        <v>0.6(含)-0.7</v>
      </c>
      <c r="E109" s="376" t="str">
        <f t="shared" si="75"/>
        <v>0.7(含)-0.8</v>
      </c>
      <c r="F109" s="376" t="str">
        <f t="shared" si="75"/>
        <v>0.8(含)-0.9</v>
      </c>
      <c r="G109" s="376" t="str">
        <f>G110&amp;"(含)"&amp;"-"&amp;ROUND(H110,0)</f>
        <v>0.9(含)-1</v>
      </c>
      <c r="H109" s="376"/>
      <c r="I109" s="487"/>
      <c r="J109" s="487"/>
      <c r="K109" s="493"/>
      <c r="L109" s="494"/>
      <c r="M109" s="495"/>
      <c r="N109" s="432"/>
      <c r="O109" s="432"/>
      <c r="P109" s="427"/>
      <c r="Q109" s="422"/>
      <c r="R109" s="338"/>
      <c r="S109" s="338"/>
      <c r="T109" s="338"/>
      <c r="U109" s="338"/>
      <c r="V109" s="338"/>
      <c r="W109" s="338"/>
      <c r="X109" s="338"/>
      <c r="Y109" s="338"/>
      <c r="Z109" s="338"/>
      <c r="AA109" s="338"/>
      <c r="AB109" s="338"/>
      <c r="AC109" s="338"/>
    </row>
    <row r="110" ht="15" spans="1:29">
      <c r="A110" s="301"/>
      <c r="B110" s="486"/>
      <c r="C110" s="466">
        <v>0.5</v>
      </c>
      <c r="D110" s="466">
        <v>0.6</v>
      </c>
      <c r="E110" s="466">
        <v>0.7</v>
      </c>
      <c r="F110" s="466">
        <v>0.8</v>
      </c>
      <c r="G110" s="466">
        <v>0.9</v>
      </c>
      <c r="H110" s="466">
        <v>1.0001</v>
      </c>
      <c r="I110" s="535"/>
      <c r="J110" s="535"/>
      <c r="K110" s="536"/>
      <c r="L110" s="537"/>
      <c r="M110" s="538"/>
      <c r="N110" s="432"/>
      <c r="O110" s="432"/>
      <c r="P110" s="427"/>
      <c r="Q110" s="422"/>
      <c r="R110" s="338"/>
      <c r="S110" s="338"/>
      <c r="T110" s="338"/>
      <c r="U110" s="338"/>
      <c r="V110" s="338"/>
      <c r="W110" s="338"/>
      <c r="X110" s="338"/>
      <c r="Y110" s="338"/>
      <c r="Z110" s="338"/>
      <c r="AA110" s="338"/>
      <c r="AB110" s="338"/>
      <c r="AC110" s="338"/>
    </row>
    <row r="111" ht="15.75" spans="1:29">
      <c r="A111" s="266"/>
      <c r="B111" s="365"/>
      <c r="C111" s="488">
        <v>100</v>
      </c>
      <c r="D111" s="366">
        <f t="shared" ref="D111:M111" si="76">C111+$K36</f>
        <v>101</v>
      </c>
      <c r="E111" s="366">
        <f t="shared" si="76"/>
        <v>102</v>
      </c>
      <c r="F111" s="366">
        <f t="shared" si="76"/>
        <v>103</v>
      </c>
      <c r="G111" s="366">
        <f t="shared" si="76"/>
        <v>104</v>
      </c>
      <c r="H111" s="366">
        <f t="shared" si="76"/>
        <v>105</v>
      </c>
      <c r="I111" s="366">
        <f t="shared" si="76"/>
        <v>106</v>
      </c>
      <c r="J111" s="366">
        <f t="shared" si="76"/>
        <v>107</v>
      </c>
      <c r="K111" s="366">
        <f t="shared" si="76"/>
        <v>108</v>
      </c>
      <c r="L111" s="366">
        <f t="shared" si="76"/>
        <v>109</v>
      </c>
      <c r="M111" s="366">
        <f t="shared" si="76"/>
        <v>110</v>
      </c>
      <c r="N111" s="434"/>
      <c r="O111" s="434"/>
      <c r="P111" s="427"/>
      <c r="Q111" s="422"/>
      <c r="R111" s="338"/>
      <c r="S111" s="338"/>
      <c r="T111" s="338"/>
      <c r="U111" s="338"/>
      <c r="V111" s="338"/>
      <c r="W111" s="338"/>
      <c r="X111" s="338"/>
      <c r="Y111" s="338"/>
      <c r="Z111" s="338"/>
      <c r="AA111" s="338"/>
      <c r="AB111" s="338"/>
      <c r="AC111" s="338"/>
    </row>
    <row r="112" s="191" customFormat="1" ht="15.75" spans="1:29">
      <c r="A112" s="296"/>
      <c r="B112" s="375" t="s">
        <v>2370</v>
      </c>
      <c r="C112" s="371"/>
      <c r="D112" s="371"/>
      <c r="E112" s="371"/>
      <c r="F112" s="371"/>
      <c r="G112" s="371"/>
      <c r="H112" s="487"/>
      <c r="I112" s="487"/>
      <c r="J112" s="487"/>
      <c r="K112" s="493"/>
      <c r="L112" s="494"/>
      <c r="M112" s="495"/>
      <c r="N112" s="444"/>
      <c r="O112" s="444"/>
      <c r="P112" s="444"/>
      <c r="Q112" s="475"/>
      <c r="R112" s="404"/>
      <c r="S112" s="404"/>
      <c r="T112" s="404"/>
      <c r="U112" s="404"/>
      <c r="V112" s="404"/>
      <c r="W112" s="404"/>
      <c r="X112" s="404"/>
      <c r="Y112" s="404"/>
      <c r="Z112" s="404"/>
      <c r="AA112" s="404"/>
      <c r="AB112" s="404"/>
      <c r="AC112" s="404"/>
    </row>
    <row r="113" s="191" customFormat="1" ht="15.75" spans="1:29">
      <c r="A113" s="370"/>
      <c r="B113" s="365"/>
      <c r="C113" s="366">
        <v>100</v>
      </c>
      <c r="D113" s="366">
        <f t="shared" ref="D113:M113" si="77">C113-$K37</f>
        <v>100</v>
      </c>
      <c r="E113" s="366">
        <f t="shared" si="77"/>
        <v>100</v>
      </c>
      <c r="F113" s="366">
        <f t="shared" si="77"/>
        <v>100</v>
      </c>
      <c r="G113" s="366">
        <f t="shared" si="77"/>
        <v>100</v>
      </c>
      <c r="H113" s="366">
        <f t="shared" si="77"/>
        <v>100</v>
      </c>
      <c r="I113" s="366">
        <f t="shared" si="77"/>
        <v>100</v>
      </c>
      <c r="J113" s="366">
        <f t="shared" si="77"/>
        <v>100</v>
      </c>
      <c r="K113" s="366">
        <f t="shared" si="77"/>
        <v>100</v>
      </c>
      <c r="L113" s="366">
        <f t="shared" si="77"/>
        <v>100</v>
      </c>
      <c r="M113" s="366">
        <f t="shared" si="77"/>
        <v>100</v>
      </c>
      <c r="N113" s="444"/>
      <c r="O113" s="444"/>
      <c r="P113" s="444"/>
      <c r="Q113" s="475"/>
      <c r="R113" s="404"/>
      <c r="S113" s="404"/>
      <c r="T113" s="404"/>
      <c r="U113" s="404"/>
      <c r="V113" s="404"/>
      <c r="W113" s="404"/>
      <c r="X113" s="404"/>
      <c r="Y113" s="404"/>
      <c r="Z113" s="404"/>
      <c r="AA113" s="404"/>
      <c r="AB113" s="404"/>
      <c r="AC113" s="404"/>
    </row>
    <row r="114" ht="15.75" spans="1:29">
      <c r="A114" s="301"/>
      <c r="B114" s="363" t="s">
        <v>2466</v>
      </c>
      <c r="C114" s="371"/>
      <c r="D114" s="371"/>
      <c r="E114" s="487"/>
      <c r="F114" s="487"/>
      <c r="G114" s="487"/>
      <c r="H114" s="487"/>
      <c r="I114" s="487"/>
      <c r="J114" s="487"/>
      <c r="K114" s="493"/>
      <c r="L114" s="494"/>
      <c r="M114" s="495"/>
      <c r="N114" s="432"/>
      <c r="O114" s="432"/>
      <c r="P114" s="427"/>
      <c r="Q114" s="422"/>
      <c r="R114" s="338"/>
      <c r="S114" s="338"/>
      <c r="T114" s="338"/>
      <c r="U114" s="338"/>
      <c r="V114" s="338"/>
      <c r="W114" s="338"/>
      <c r="X114" s="338"/>
      <c r="Y114" s="338"/>
      <c r="Z114" s="338"/>
      <c r="AA114" s="338"/>
      <c r="AB114" s="338"/>
      <c r="AC114" s="338"/>
    </row>
    <row r="115" ht="15.75" spans="1:29">
      <c r="A115" s="266"/>
      <c r="B115" s="365"/>
      <c r="C115" s="366">
        <v>100</v>
      </c>
      <c r="D115" s="366">
        <f t="shared" ref="D115:M115" si="78">C115-$K38</f>
        <v>100</v>
      </c>
      <c r="E115" s="366">
        <f t="shared" si="78"/>
        <v>100</v>
      </c>
      <c r="F115" s="366">
        <f t="shared" si="78"/>
        <v>100</v>
      </c>
      <c r="G115" s="366">
        <f t="shared" si="78"/>
        <v>100</v>
      </c>
      <c r="H115" s="366">
        <f t="shared" si="78"/>
        <v>100</v>
      </c>
      <c r="I115" s="366">
        <f t="shared" si="78"/>
        <v>100</v>
      </c>
      <c r="J115" s="366">
        <f t="shared" si="78"/>
        <v>100</v>
      </c>
      <c r="K115" s="366">
        <f t="shared" si="78"/>
        <v>100</v>
      </c>
      <c r="L115" s="366">
        <f t="shared" si="78"/>
        <v>100</v>
      </c>
      <c r="M115" s="438">
        <f t="shared" si="78"/>
        <v>100</v>
      </c>
      <c r="N115" s="434"/>
      <c r="O115" s="434"/>
      <c r="P115" s="427"/>
      <c r="Q115" s="422"/>
      <c r="R115" s="338"/>
      <c r="S115" s="338"/>
      <c r="T115" s="338"/>
      <c r="U115" s="338"/>
      <c r="V115" s="338"/>
      <c r="W115" s="338"/>
      <c r="X115" s="338"/>
      <c r="Y115" s="338"/>
      <c r="Z115" s="338"/>
      <c r="AA115" s="338"/>
      <c r="AB115" s="338"/>
      <c r="AC115" s="338"/>
    </row>
    <row r="116" ht="15.75" spans="1:29">
      <c r="A116" s="301"/>
      <c r="B116" s="363" t="s">
        <v>2467</v>
      </c>
      <c r="C116" s="1135" t="s">
        <v>2470</v>
      </c>
      <c r="D116" s="371"/>
      <c r="E116" s="371"/>
      <c r="F116" s="371"/>
      <c r="G116" s="371"/>
      <c r="H116" s="487"/>
      <c r="I116" s="487"/>
      <c r="J116" s="487"/>
      <c r="K116" s="493"/>
      <c r="L116" s="494"/>
      <c r="M116" s="495"/>
      <c r="N116" s="432"/>
      <c r="O116" s="432"/>
      <c r="P116" s="427"/>
      <c r="Q116" s="422"/>
      <c r="R116" s="338"/>
      <c r="S116" s="338"/>
      <c r="T116" s="338"/>
      <c r="U116" s="338"/>
      <c r="V116" s="338"/>
      <c r="W116" s="338"/>
      <c r="X116" s="338"/>
      <c r="Y116" s="338"/>
      <c r="Z116" s="338"/>
      <c r="AA116" s="338"/>
      <c r="AB116" s="338"/>
      <c r="AC116" s="338"/>
    </row>
    <row r="117" ht="15.75" spans="1:29">
      <c r="A117" s="266"/>
      <c r="B117" s="365"/>
      <c r="C117" s="366">
        <v>100</v>
      </c>
      <c r="D117" s="366">
        <f t="shared" ref="D117:G117" si="79">C117-$K39</f>
        <v>100</v>
      </c>
      <c r="E117" s="366">
        <f t="shared" si="79"/>
        <v>100</v>
      </c>
      <c r="F117" s="366">
        <f t="shared" si="79"/>
        <v>100</v>
      </c>
      <c r="G117" s="366">
        <f t="shared" si="79"/>
        <v>100</v>
      </c>
      <c r="H117" s="366"/>
      <c r="I117" s="366"/>
      <c r="J117" s="366"/>
      <c r="K117" s="366"/>
      <c r="L117" s="366"/>
      <c r="M117" s="438"/>
      <c r="N117" s="434"/>
      <c r="O117" s="434"/>
      <c r="P117" s="427"/>
      <c r="Q117" s="422"/>
      <c r="R117" s="338"/>
      <c r="S117" s="338"/>
      <c r="T117" s="338"/>
      <c r="U117" s="338"/>
      <c r="V117" s="338"/>
      <c r="W117" s="338"/>
      <c r="X117" s="338"/>
      <c r="Y117" s="338"/>
      <c r="Z117" s="338"/>
      <c r="AA117" s="338"/>
      <c r="AB117" s="338"/>
      <c r="AC117" s="338"/>
    </row>
    <row r="118" ht="15.75" spans="1:29">
      <c r="A118" s="301"/>
      <c r="B118" s="363" t="s">
        <v>2468</v>
      </c>
      <c r="C118" s="1137"/>
      <c r="D118" s="1137"/>
      <c r="E118" s="1137"/>
      <c r="F118" s="1137"/>
      <c r="G118" s="1137"/>
      <c r="H118" s="372"/>
      <c r="I118" s="372"/>
      <c r="J118" s="372"/>
      <c r="K118" s="372"/>
      <c r="L118" s="442"/>
      <c r="M118" s="443"/>
      <c r="N118" s="432"/>
      <c r="O118" s="432"/>
      <c r="P118" s="427"/>
      <c r="Q118" s="422"/>
      <c r="R118" s="338"/>
      <c r="S118" s="338"/>
      <c r="T118" s="338"/>
      <c r="U118" s="338"/>
      <c r="V118" s="338"/>
      <c r="W118" s="338"/>
      <c r="X118" s="338"/>
      <c r="Y118" s="338"/>
      <c r="Z118" s="338"/>
      <c r="AA118" s="338"/>
      <c r="AB118" s="338"/>
      <c r="AC118" s="338"/>
    </row>
    <row r="119" ht="15.75" spans="1:29">
      <c r="A119" s="266"/>
      <c r="B119" s="365"/>
      <c r="C119" s="369"/>
      <c r="D119" s="362"/>
      <c r="E119" s="362"/>
      <c r="F119" s="362"/>
      <c r="G119" s="362"/>
      <c r="H119" s="362"/>
      <c r="I119" s="362"/>
      <c r="J119" s="362"/>
      <c r="K119" s="362"/>
      <c r="L119" s="362"/>
      <c r="M119" s="433"/>
      <c r="N119" s="434"/>
      <c r="O119" s="434"/>
      <c r="P119" s="427"/>
      <c r="Q119" s="422"/>
      <c r="R119" s="338"/>
      <c r="S119" s="338"/>
      <c r="T119" s="338"/>
      <c r="U119" s="338"/>
      <c r="V119" s="338"/>
      <c r="W119" s="338"/>
      <c r="X119" s="338"/>
      <c r="Y119" s="338"/>
      <c r="Z119" s="338"/>
      <c r="AA119" s="338"/>
      <c r="AB119" s="338"/>
      <c r="AC119" s="338"/>
    </row>
    <row r="120" s="191" customFormat="1" ht="15.75" spans="1:29">
      <c r="A120" s="296"/>
      <c r="B120" s="363" t="s">
        <v>2471</v>
      </c>
      <c r="C120" s="487"/>
      <c r="D120" s="487"/>
      <c r="E120" s="487"/>
      <c r="F120" s="487"/>
      <c r="G120" s="372"/>
      <c r="H120" s="372"/>
      <c r="I120" s="372"/>
      <c r="J120" s="372"/>
      <c r="K120" s="372"/>
      <c r="L120" s="442"/>
      <c r="M120" s="443"/>
      <c r="N120" s="444"/>
      <c r="O120" s="444"/>
      <c r="P120" s="444"/>
      <c r="Q120" s="475"/>
      <c r="R120" s="404"/>
      <c r="S120" s="404"/>
      <c r="T120" s="404"/>
      <c r="U120" s="404"/>
      <c r="V120" s="404"/>
      <c r="W120" s="404"/>
      <c r="X120" s="404"/>
      <c r="Y120" s="404"/>
      <c r="Z120" s="404"/>
      <c r="AA120" s="404"/>
      <c r="AB120" s="404"/>
      <c r="AC120" s="404"/>
    </row>
    <row r="121" s="191" customFormat="1" ht="15.75" spans="1:29">
      <c r="A121" s="370"/>
      <c r="B121" s="361"/>
      <c r="C121" s="488">
        <v>100</v>
      </c>
      <c r="D121" s="366">
        <f t="shared" ref="D121:M121" si="80">C121-$K41</f>
        <v>100</v>
      </c>
      <c r="E121" s="366">
        <f t="shared" si="80"/>
        <v>100</v>
      </c>
      <c r="F121" s="366">
        <f t="shared" si="80"/>
        <v>100</v>
      </c>
      <c r="G121" s="366">
        <f t="shared" si="80"/>
        <v>100</v>
      </c>
      <c r="H121" s="366">
        <f t="shared" si="80"/>
        <v>100</v>
      </c>
      <c r="I121" s="366">
        <f t="shared" si="80"/>
        <v>100</v>
      </c>
      <c r="J121" s="366">
        <f t="shared" si="80"/>
        <v>100</v>
      </c>
      <c r="K121" s="366">
        <f t="shared" si="80"/>
        <v>100</v>
      </c>
      <c r="L121" s="366">
        <f t="shared" si="80"/>
        <v>100</v>
      </c>
      <c r="M121" s="438">
        <f t="shared" si="80"/>
        <v>100</v>
      </c>
      <c r="N121" s="444"/>
      <c r="O121" s="444"/>
      <c r="P121" s="444"/>
      <c r="Q121" s="475"/>
      <c r="R121" s="404"/>
      <c r="S121" s="404"/>
      <c r="T121" s="404"/>
      <c r="U121" s="404"/>
      <c r="V121" s="404"/>
      <c r="W121" s="404"/>
      <c r="X121" s="404"/>
      <c r="Y121" s="404"/>
      <c r="Z121" s="404"/>
      <c r="AA121" s="404"/>
      <c r="AB121" s="404"/>
      <c r="AC121" s="404"/>
    </row>
    <row r="122" ht="15.75" spans="1:29">
      <c r="A122" s="301"/>
      <c r="B122" s="363" t="s">
        <v>2373</v>
      </c>
      <c r="C122" s="1135" t="s">
        <v>2374</v>
      </c>
      <c r="D122" s="371"/>
      <c r="E122" s="371"/>
      <c r="F122" s="487"/>
      <c r="G122" s="487"/>
      <c r="H122" s="487"/>
      <c r="I122" s="487"/>
      <c r="J122" s="487"/>
      <c r="K122" s="493"/>
      <c r="L122" s="494"/>
      <c r="M122" s="495"/>
      <c r="N122" s="432"/>
      <c r="O122" s="432"/>
      <c r="P122" s="427"/>
      <c r="Q122" s="422"/>
      <c r="R122" s="338"/>
      <c r="S122" s="338"/>
      <c r="T122" s="338"/>
      <c r="U122" s="338"/>
      <c r="V122" s="338"/>
      <c r="W122" s="338"/>
      <c r="X122" s="338"/>
      <c r="Y122" s="338"/>
      <c r="Z122" s="338"/>
      <c r="AA122" s="338"/>
      <c r="AB122" s="338"/>
      <c r="AC122" s="338"/>
    </row>
    <row r="123" ht="15.75" spans="1:29">
      <c r="A123" s="266"/>
      <c r="B123" s="365"/>
      <c r="C123" s="366">
        <v>100</v>
      </c>
      <c r="D123" s="366">
        <f t="shared" ref="D123:M123" si="81">C123-$K42</f>
        <v>100</v>
      </c>
      <c r="E123" s="366">
        <f t="shared" si="81"/>
        <v>100</v>
      </c>
      <c r="F123" s="366">
        <f t="shared" si="81"/>
        <v>100</v>
      </c>
      <c r="G123" s="366">
        <f t="shared" si="81"/>
        <v>100</v>
      </c>
      <c r="H123" s="366">
        <f t="shared" si="81"/>
        <v>100</v>
      </c>
      <c r="I123" s="366">
        <f t="shared" si="81"/>
        <v>100</v>
      </c>
      <c r="J123" s="366">
        <f t="shared" si="81"/>
        <v>100</v>
      </c>
      <c r="K123" s="366">
        <f t="shared" si="81"/>
        <v>100</v>
      </c>
      <c r="L123" s="366">
        <f t="shared" si="81"/>
        <v>100</v>
      </c>
      <c r="M123" s="438">
        <f t="shared" si="81"/>
        <v>100</v>
      </c>
      <c r="N123" s="434"/>
      <c r="O123" s="434"/>
      <c r="P123" s="427"/>
      <c r="Q123" s="422"/>
      <c r="R123" s="338"/>
      <c r="S123" s="338"/>
      <c r="T123" s="338"/>
      <c r="U123" s="338"/>
      <c r="V123" s="338"/>
      <c r="W123" s="338"/>
      <c r="X123" s="338"/>
      <c r="Y123" s="338"/>
      <c r="Z123" s="338"/>
      <c r="AA123" s="338"/>
      <c r="AB123" s="338"/>
      <c r="AC123" s="338"/>
    </row>
    <row r="124" ht="15.75" spans="1:29">
      <c r="A124" s="301"/>
      <c r="B124" s="363" t="s">
        <v>235</v>
      </c>
      <c r="C124" s="376" t="s">
        <v>246</v>
      </c>
      <c r="D124" s="376" t="s">
        <v>258</v>
      </c>
      <c r="E124" s="376" t="s">
        <v>269</v>
      </c>
      <c r="F124" s="376" t="s">
        <v>279</v>
      </c>
      <c r="G124" s="376" t="s">
        <v>287</v>
      </c>
      <c r="H124" s="364"/>
      <c r="I124" s="364"/>
      <c r="J124" s="364"/>
      <c r="K124" s="435"/>
      <c r="L124" s="436"/>
      <c r="M124" s="437"/>
      <c r="N124" s="432"/>
      <c r="O124" s="432"/>
      <c r="P124" s="444"/>
      <c r="Q124" s="422"/>
      <c r="R124" s="338"/>
      <c r="S124" s="338"/>
      <c r="T124" s="338"/>
      <c r="U124" s="338"/>
      <c r="V124" s="338"/>
      <c r="W124" s="338"/>
      <c r="X124" s="338"/>
      <c r="Y124" s="338"/>
      <c r="Z124" s="338"/>
      <c r="AA124" s="338"/>
      <c r="AB124" s="338"/>
      <c r="AC124" s="338"/>
    </row>
    <row r="125" ht="15.75" spans="1:29">
      <c r="A125" s="266"/>
      <c r="B125" s="365"/>
      <c r="C125" s="366">
        <v>100</v>
      </c>
      <c r="D125" s="366">
        <f t="shared" ref="D125:G125" si="82">C125-$K43</f>
        <v>100</v>
      </c>
      <c r="E125" s="366">
        <f t="shared" si="82"/>
        <v>100</v>
      </c>
      <c r="F125" s="366">
        <f t="shared" si="82"/>
        <v>100</v>
      </c>
      <c r="G125" s="366">
        <f t="shared" si="82"/>
        <v>100</v>
      </c>
      <c r="H125" s="366"/>
      <c r="I125" s="366"/>
      <c r="J125" s="366"/>
      <c r="K125" s="366"/>
      <c r="L125" s="366"/>
      <c r="M125" s="438"/>
      <c r="N125" s="434"/>
      <c r="O125" s="434"/>
      <c r="P125" s="427"/>
      <c r="Q125" s="422"/>
      <c r="R125" s="338"/>
      <c r="S125" s="338"/>
      <c r="T125" s="338"/>
      <c r="U125" s="338"/>
      <c r="V125" s="338"/>
      <c r="W125" s="338"/>
      <c r="X125" s="338"/>
      <c r="Y125" s="338"/>
      <c r="Z125" s="338"/>
      <c r="AA125" s="338"/>
      <c r="AB125" s="338"/>
      <c r="AC125" s="338"/>
    </row>
    <row r="126" s="191" customFormat="1" ht="15.75" spans="1:29">
      <c r="A126" s="296"/>
      <c r="B126" s="363">
        <f>B44</f>
        <v>111</v>
      </c>
      <c r="C126" s="371"/>
      <c r="D126" s="371"/>
      <c r="E126" s="371"/>
      <c r="F126" s="371"/>
      <c r="G126" s="371"/>
      <c r="H126" s="372"/>
      <c r="I126" s="372"/>
      <c r="J126" s="372"/>
      <c r="K126" s="372"/>
      <c r="L126" s="442"/>
      <c r="M126" s="443"/>
      <c r="N126" s="444"/>
      <c r="O126" s="444"/>
      <c r="P126" s="444"/>
      <c r="Q126" s="475"/>
      <c r="R126" s="404"/>
      <c r="S126" s="404"/>
      <c r="T126" s="404"/>
      <c r="U126" s="404"/>
      <c r="V126" s="404"/>
      <c r="W126" s="404"/>
      <c r="X126" s="404"/>
      <c r="Y126" s="404"/>
      <c r="Z126" s="404"/>
      <c r="AA126" s="404"/>
      <c r="AB126" s="404"/>
      <c r="AC126" s="404"/>
    </row>
    <row r="127" s="191" customFormat="1" ht="15.75" spans="1:29">
      <c r="A127" s="370"/>
      <c r="B127" s="365"/>
      <c r="C127" s="369"/>
      <c r="D127" s="362"/>
      <c r="E127" s="362"/>
      <c r="F127" s="362"/>
      <c r="G127" s="369"/>
      <c r="H127" s="373"/>
      <c r="I127" s="373"/>
      <c r="J127" s="373"/>
      <c r="K127" s="373"/>
      <c r="L127" s="373"/>
      <c r="M127" s="445"/>
      <c r="N127" s="444"/>
      <c r="O127" s="444"/>
      <c r="P127" s="444"/>
      <c r="Q127" s="475"/>
      <c r="R127" s="404"/>
      <c r="S127" s="404"/>
      <c r="T127" s="404"/>
      <c r="U127" s="404"/>
      <c r="V127" s="404"/>
      <c r="W127" s="404"/>
      <c r="X127" s="404"/>
      <c r="Y127" s="404"/>
      <c r="Z127" s="404"/>
      <c r="AA127" s="404"/>
      <c r="AB127" s="404"/>
      <c r="AC127" s="404"/>
    </row>
    <row r="128" ht="15.75" spans="1:29">
      <c r="A128" s="301"/>
      <c r="B128" s="363">
        <f>B45</f>
        <v>111</v>
      </c>
      <c r="C128" s="371"/>
      <c r="D128" s="371"/>
      <c r="E128" s="371"/>
      <c r="F128" s="371"/>
      <c r="G128" s="487"/>
      <c r="H128" s="487"/>
      <c r="I128" s="487"/>
      <c r="J128" s="487"/>
      <c r="K128" s="493"/>
      <c r="L128" s="494"/>
      <c r="M128" s="495"/>
      <c r="N128" s="432"/>
      <c r="O128" s="432"/>
      <c r="P128" s="427"/>
      <c r="Q128" s="422"/>
      <c r="R128" s="338"/>
      <c r="S128" s="338"/>
      <c r="T128" s="338"/>
      <c r="U128" s="338"/>
      <c r="V128" s="338"/>
      <c r="W128" s="338"/>
      <c r="X128" s="338"/>
      <c r="Y128" s="338"/>
      <c r="Z128" s="338"/>
      <c r="AA128" s="338"/>
      <c r="AB128" s="338"/>
      <c r="AC128" s="338"/>
    </row>
    <row r="129" ht="15.75" spans="1:29">
      <c r="A129" s="266"/>
      <c r="B129" s="365"/>
      <c r="C129" s="369"/>
      <c r="D129" s="362"/>
      <c r="E129" s="362"/>
      <c r="F129" s="362"/>
      <c r="G129" s="362"/>
      <c r="H129" s="362"/>
      <c r="I129" s="362"/>
      <c r="J129" s="362"/>
      <c r="K129" s="362"/>
      <c r="L129" s="362"/>
      <c r="M129" s="433"/>
      <c r="N129" s="434"/>
      <c r="O129" s="434"/>
      <c r="P129" s="427"/>
      <c r="Q129" s="422"/>
      <c r="R129" s="338"/>
      <c r="S129" s="338"/>
      <c r="T129" s="338"/>
      <c r="U129" s="338"/>
      <c r="V129" s="338"/>
      <c r="W129" s="338"/>
      <c r="X129" s="338"/>
      <c r="Y129" s="338"/>
      <c r="Z129" s="338"/>
      <c r="AA129" s="338"/>
      <c r="AB129" s="338"/>
      <c r="AC129" s="338"/>
    </row>
    <row r="130" ht="15.75" spans="1:29">
      <c r="A130" s="301"/>
      <c r="B130" s="486">
        <f>B46</f>
        <v>111</v>
      </c>
      <c r="C130" s="371"/>
      <c r="D130" s="371"/>
      <c r="E130" s="371"/>
      <c r="F130" s="371"/>
      <c r="G130" s="559"/>
      <c r="H130" s="559"/>
      <c r="I130" s="559"/>
      <c r="J130" s="559"/>
      <c r="K130" s="356"/>
      <c r="L130" s="425"/>
      <c r="M130" s="568"/>
      <c r="N130" s="432"/>
      <c r="O130" s="432"/>
      <c r="P130" s="427"/>
      <c r="Q130" s="422"/>
      <c r="R130" s="338"/>
      <c r="S130" s="338"/>
      <c r="T130" s="338"/>
      <c r="U130" s="338"/>
      <c r="V130" s="338"/>
      <c r="W130" s="338"/>
      <c r="X130" s="338"/>
      <c r="Y130" s="338"/>
      <c r="Z130" s="338"/>
      <c r="AA130" s="338"/>
      <c r="AB130" s="338"/>
      <c r="AC130" s="338"/>
    </row>
    <row r="131" ht="15.75" spans="1:29">
      <c r="A131" s="549"/>
      <c r="B131" s="556"/>
      <c r="C131" s="557"/>
      <c r="D131" s="557"/>
      <c r="E131" s="557"/>
      <c r="F131" s="557"/>
      <c r="G131" s="560"/>
      <c r="H131" s="560"/>
      <c r="I131" s="560"/>
      <c r="J131" s="560"/>
      <c r="K131" s="560"/>
      <c r="L131" s="560"/>
      <c r="M131" s="569"/>
      <c r="N131" s="434"/>
      <c r="O131" s="434"/>
      <c r="P131" s="427"/>
      <c r="Q131" s="422"/>
      <c r="R131" s="338"/>
      <c r="S131" s="338"/>
      <c r="T131" s="338"/>
      <c r="U131" s="338"/>
      <c r="V131" s="338"/>
      <c r="W131" s="338"/>
      <c r="X131" s="338"/>
      <c r="Y131" s="338"/>
      <c r="Z131" s="338"/>
      <c r="AA131" s="338"/>
      <c r="AB131" s="338"/>
      <c r="AC131" s="338"/>
    </row>
    <row r="132" spans="1:29">
      <c r="A132" s="491"/>
      <c r="B132" s="491"/>
      <c r="C132" s="491"/>
      <c r="D132" s="491"/>
      <c r="E132" s="491"/>
      <c r="F132" s="491"/>
      <c r="G132" s="491"/>
      <c r="H132" s="491"/>
      <c r="I132" s="491"/>
      <c r="J132" s="491"/>
      <c r="K132" s="505"/>
      <c r="L132" s="506"/>
      <c r="M132" s="491"/>
      <c r="N132" s="491"/>
      <c r="O132" s="491"/>
      <c r="P132" s="491"/>
      <c r="Q132" s="491"/>
      <c r="R132" s="491"/>
      <c r="S132" s="491"/>
      <c r="T132" s="491"/>
      <c r="U132" s="491"/>
      <c r="V132" s="491"/>
      <c r="W132" s="491"/>
      <c r="X132" s="491"/>
      <c r="Y132" s="491"/>
      <c r="Z132" s="491"/>
      <c r="AA132" s="491"/>
      <c r="AB132" s="491"/>
      <c r="AC132" s="491"/>
    </row>
    <row r="133" spans="1:29">
      <c r="A133" s="491"/>
      <c r="B133" s="491"/>
      <c r="C133" s="491"/>
      <c r="D133" s="491"/>
      <c r="E133" s="491"/>
      <c r="F133" s="491"/>
      <c r="G133" s="491"/>
      <c r="H133" s="491"/>
      <c r="I133" s="491"/>
      <c r="J133" s="491"/>
      <c r="K133" s="505"/>
      <c r="L133" s="506"/>
      <c r="M133" s="491"/>
      <c r="N133" s="491"/>
      <c r="O133" s="491"/>
      <c r="P133" s="491"/>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491"/>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491"/>
      <c r="Q135" s="491"/>
      <c r="R135" s="491"/>
      <c r="S135" s="491"/>
      <c r="T135" s="491"/>
      <c r="U135" s="491"/>
      <c r="V135" s="491"/>
      <c r="W135" s="491"/>
      <c r="X135" s="491"/>
      <c r="Y135" s="491"/>
      <c r="Z135" s="491"/>
      <c r="AA135" s="491"/>
      <c r="AB135" s="491"/>
      <c r="AC135" s="491"/>
    </row>
    <row r="136" spans="1:29">
      <c r="A136" s="491"/>
      <c r="B136" s="491"/>
      <c r="C136" s="491"/>
      <c r="D136" s="491"/>
      <c r="E136" s="491"/>
      <c r="F136" s="491"/>
      <c r="G136" s="491"/>
      <c r="H136" s="491"/>
      <c r="I136" s="491"/>
      <c r="J136" s="491"/>
      <c r="K136" s="505"/>
      <c r="L136" s="506"/>
      <c r="M136" s="491"/>
      <c r="N136" s="491"/>
      <c r="O136" s="491"/>
      <c r="P136" s="491"/>
      <c r="Q136" s="491"/>
      <c r="R136" s="491"/>
      <c r="S136" s="491"/>
      <c r="T136" s="491"/>
      <c r="U136" s="491"/>
      <c r="V136" s="491"/>
      <c r="W136" s="491"/>
      <c r="X136" s="491"/>
      <c r="Y136" s="491"/>
      <c r="Z136" s="491"/>
      <c r="AA136" s="491"/>
      <c r="AB136" s="491"/>
      <c r="AC136" s="491"/>
    </row>
    <row r="137" spans="1:29">
      <c r="A137" s="491"/>
      <c r="B137" s="491"/>
      <c r="C137" s="491"/>
      <c r="D137" s="491"/>
      <c r="E137" s="491"/>
      <c r="F137" s="491"/>
      <c r="G137" s="491"/>
      <c r="H137" s="491"/>
      <c r="I137" s="491"/>
      <c r="J137" s="491"/>
      <c r="K137" s="505"/>
      <c r="L137" s="506"/>
      <c r="M137" s="491"/>
      <c r="N137" s="491"/>
      <c r="O137" s="491"/>
      <c r="P137" s="491"/>
      <c r="Q137" s="491"/>
      <c r="R137" s="491"/>
      <c r="S137" s="491"/>
      <c r="T137" s="491"/>
      <c r="U137" s="491"/>
      <c r="V137" s="491"/>
      <c r="W137" s="491"/>
      <c r="X137" s="491"/>
      <c r="Y137" s="491"/>
      <c r="Z137" s="491"/>
      <c r="AA137" s="491"/>
      <c r="AB137" s="491"/>
      <c r="AC137" s="491"/>
    </row>
    <row r="138" spans="1:29">
      <c r="A138" s="491"/>
      <c r="B138" s="491"/>
      <c r="C138" s="491"/>
      <c r="D138" s="491"/>
      <c r="E138" s="491"/>
      <c r="F138" s="491"/>
      <c r="G138" s="491"/>
      <c r="H138" s="491"/>
      <c r="I138" s="491"/>
      <c r="J138" s="491"/>
      <c r="K138" s="505"/>
      <c r="L138" s="506"/>
      <c r="M138" s="491"/>
      <c r="N138" s="491"/>
      <c r="O138" s="491"/>
      <c r="P138" s="491"/>
      <c r="Q138" s="491"/>
      <c r="R138" s="491"/>
      <c r="S138" s="491"/>
      <c r="T138" s="491"/>
      <c r="U138" s="491"/>
      <c r="V138" s="491"/>
      <c r="W138" s="491"/>
      <c r="X138" s="491"/>
      <c r="Y138" s="491"/>
      <c r="Z138" s="491"/>
      <c r="AA138" s="491"/>
      <c r="AB138" s="491"/>
      <c r="AC138" s="491"/>
    </row>
    <row r="139" spans="1:29">
      <c r="A139" s="491"/>
      <c r="B139" s="491"/>
      <c r="C139" s="491"/>
      <c r="D139" s="491"/>
      <c r="E139" s="491"/>
      <c r="F139" s="491"/>
      <c r="G139" s="491"/>
      <c r="H139" s="491"/>
      <c r="I139" s="491"/>
      <c r="J139" s="491"/>
      <c r="K139" s="505"/>
      <c r="L139" s="506"/>
      <c r="M139" s="491"/>
      <c r="N139" s="491"/>
      <c r="O139" s="491"/>
      <c r="P139" s="491"/>
      <c r="Q139" s="491"/>
      <c r="R139" s="491"/>
      <c r="S139" s="491"/>
      <c r="T139" s="491"/>
      <c r="U139" s="491"/>
      <c r="V139" s="491"/>
      <c r="W139" s="491"/>
      <c r="X139" s="491"/>
      <c r="Y139" s="491"/>
      <c r="Z139" s="491"/>
      <c r="AA139" s="491"/>
      <c r="AB139" s="491"/>
      <c r="AC139" s="491"/>
    </row>
    <row r="140" spans="1:29">
      <c r="A140" s="491"/>
      <c r="B140" s="491"/>
      <c r="C140" s="491"/>
      <c r="D140" s="491"/>
      <c r="E140" s="491"/>
      <c r="F140" s="491"/>
      <c r="G140" s="491"/>
      <c r="H140" s="491"/>
      <c r="I140" s="491"/>
      <c r="J140" s="491"/>
      <c r="K140" s="505"/>
      <c r="L140" s="506"/>
      <c r="M140" s="491"/>
      <c r="N140" s="491"/>
      <c r="O140" s="491"/>
      <c r="P140" s="491"/>
      <c r="Q140" s="491"/>
      <c r="R140" s="491"/>
      <c r="S140" s="491"/>
      <c r="T140" s="491"/>
      <c r="U140" s="491"/>
      <c r="V140" s="491"/>
      <c r="W140" s="491"/>
      <c r="X140" s="491"/>
      <c r="Y140" s="491"/>
      <c r="Z140" s="491"/>
      <c r="AA140" s="491"/>
      <c r="AB140" s="491"/>
      <c r="AC140" s="491"/>
    </row>
    <row r="141" spans="1:29">
      <c r="A141" s="491"/>
      <c r="B141" s="491"/>
      <c r="C141" s="491"/>
      <c r="D141" s="491"/>
      <c r="E141" s="491"/>
      <c r="F141" s="491"/>
      <c r="G141" s="491"/>
      <c r="H141" s="491"/>
      <c r="I141" s="491"/>
      <c r="J141" s="491"/>
      <c r="K141" s="505"/>
      <c r="L141" s="506"/>
      <c r="M141" s="491"/>
      <c r="N141" s="491"/>
      <c r="O141" s="491"/>
      <c r="P141" s="491"/>
      <c r="Q141" s="491"/>
      <c r="R141" s="491"/>
      <c r="S141" s="491"/>
      <c r="T141" s="491"/>
      <c r="U141" s="491"/>
      <c r="V141" s="491"/>
      <c r="W141" s="491"/>
      <c r="X141" s="491"/>
      <c r="Y141" s="491"/>
      <c r="Z141" s="491"/>
      <c r="AA141" s="491"/>
      <c r="AB141" s="491"/>
      <c r="AC141" s="491"/>
    </row>
    <row r="142" spans="1:29">
      <c r="A142" s="491"/>
      <c r="B142" s="491"/>
      <c r="C142" s="491"/>
      <c r="D142" s="491"/>
      <c r="E142" s="491"/>
      <c r="F142" s="491"/>
      <c r="G142" s="491"/>
      <c r="H142" s="491"/>
      <c r="I142" s="491"/>
      <c r="J142" s="491"/>
      <c r="K142" s="505"/>
      <c r="L142" s="506"/>
      <c r="M142" s="491"/>
      <c r="N142" s="491"/>
      <c r="O142" s="491"/>
      <c r="P142" s="491"/>
      <c r="Q142" s="491"/>
      <c r="R142" s="491"/>
      <c r="S142" s="491"/>
      <c r="T142" s="491"/>
      <c r="U142" s="491"/>
      <c r="V142" s="491"/>
      <c r="W142" s="491"/>
      <c r="X142" s="491"/>
      <c r="Y142" s="491"/>
      <c r="Z142" s="491"/>
      <c r="AA142" s="491"/>
      <c r="AB142" s="491"/>
      <c r="AC142" s="491"/>
    </row>
    <row r="143" spans="1:29">
      <c r="A143" s="491"/>
      <c r="B143" s="491"/>
      <c r="C143" s="491"/>
      <c r="D143" s="491"/>
      <c r="E143" s="491"/>
      <c r="F143" s="491"/>
      <c r="G143" s="491"/>
      <c r="H143" s="491"/>
      <c r="I143" s="491"/>
      <c r="J143" s="491"/>
      <c r="K143" s="505"/>
      <c r="L143" s="506"/>
      <c r="M143" s="491"/>
      <c r="N143" s="491"/>
      <c r="O143" s="491"/>
      <c r="P143" s="491"/>
      <c r="Q143" s="491"/>
      <c r="R143" s="491"/>
      <c r="S143" s="491"/>
      <c r="T143" s="491"/>
      <c r="U143" s="491"/>
      <c r="V143" s="491"/>
      <c r="W143" s="491"/>
      <c r="X143" s="491"/>
      <c r="Y143" s="491"/>
      <c r="Z143" s="491"/>
      <c r="AA143" s="491"/>
      <c r="AB143" s="491"/>
      <c r="AC143" s="491"/>
    </row>
    <row r="144" spans="1:29">
      <c r="A144" s="491"/>
      <c r="B144" s="491"/>
      <c r="C144" s="491"/>
      <c r="D144" s="491"/>
      <c r="E144" s="491"/>
      <c r="F144" s="491"/>
      <c r="G144" s="491"/>
      <c r="H144" s="491"/>
      <c r="I144" s="491"/>
      <c r="J144" s="491"/>
      <c r="K144" s="505"/>
      <c r="L144" s="506"/>
      <c r="M144" s="491"/>
      <c r="N144" s="491"/>
      <c r="O144" s="491"/>
      <c r="P144" s="491"/>
      <c r="Q144" s="491"/>
      <c r="R144" s="491"/>
      <c r="S144" s="491"/>
      <c r="T144" s="491"/>
      <c r="U144" s="491"/>
      <c r="V144" s="491"/>
      <c r="W144" s="491"/>
      <c r="X144" s="491"/>
      <c r="Y144" s="491"/>
      <c r="Z144" s="491"/>
      <c r="AA144" s="491"/>
      <c r="AB144" s="491"/>
      <c r="AC144" s="491"/>
    </row>
    <row r="145" spans="1:29">
      <c r="A145" s="491"/>
      <c r="B145" s="491"/>
      <c r="C145" s="491"/>
      <c r="D145" s="491"/>
      <c r="E145" s="491"/>
      <c r="F145" s="491"/>
      <c r="G145" s="491"/>
      <c r="H145" s="491"/>
      <c r="I145" s="491"/>
      <c r="J145" s="491"/>
      <c r="K145" s="505"/>
      <c r="L145" s="506"/>
      <c r="M145" s="491"/>
      <c r="N145" s="491"/>
      <c r="O145" s="491"/>
      <c r="P145" s="491"/>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491"/>
      <c r="Q146" s="491"/>
      <c r="R146" s="491"/>
      <c r="S146" s="491"/>
      <c r="T146" s="491"/>
      <c r="U146" s="491"/>
      <c r="V146" s="491"/>
      <c r="W146" s="491"/>
      <c r="X146" s="491"/>
      <c r="Y146" s="491"/>
      <c r="Z146" s="491"/>
      <c r="AA146" s="491"/>
      <c r="AB146" s="491"/>
      <c r="AC146" s="491"/>
    </row>
    <row r="147" spans="1:29">
      <c r="A147" s="491"/>
      <c r="B147" s="491"/>
      <c r="C147" s="491"/>
      <c r="D147" s="491"/>
      <c r="E147" s="491"/>
      <c r="F147" s="491"/>
      <c r="G147" s="491"/>
      <c r="H147" s="491"/>
      <c r="I147" s="491"/>
      <c r="J147" s="491"/>
      <c r="K147" s="505"/>
      <c r="L147" s="506"/>
      <c r="M147" s="491"/>
      <c r="N147" s="491"/>
      <c r="O147" s="491"/>
      <c r="P147" s="491"/>
      <c r="Q147" s="491"/>
      <c r="R147" s="491"/>
      <c r="S147" s="491"/>
      <c r="T147" s="491"/>
      <c r="U147" s="491"/>
      <c r="V147" s="491"/>
      <c r="W147" s="491"/>
      <c r="X147" s="491"/>
      <c r="Y147" s="491"/>
      <c r="Z147" s="491"/>
      <c r="AA147" s="491"/>
      <c r="AB147" s="491"/>
      <c r="AC147" s="491"/>
    </row>
    <row r="148" spans="1:29">
      <c r="A148" s="491"/>
      <c r="B148" s="491"/>
      <c r="C148" s="491"/>
      <c r="D148" s="491"/>
      <c r="E148" s="491"/>
      <c r="F148" s="491"/>
      <c r="G148" s="491"/>
      <c r="H148" s="491"/>
      <c r="I148" s="491"/>
      <c r="J148" s="491"/>
      <c r="K148" s="505"/>
      <c r="L148" s="506"/>
      <c r="M148" s="491"/>
      <c r="N148" s="491"/>
      <c r="O148" s="491"/>
      <c r="P148" s="491"/>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491"/>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491"/>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491"/>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491"/>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491"/>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491"/>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491"/>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491"/>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491"/>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491"/>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491"/>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491"/>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491"/>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491"/>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491"/>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491"/>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491"/>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491"/>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491"/>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491"/>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491"/>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491"/>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491"/>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491"/>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491"/>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491"/>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491"/>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491"/>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491"/>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491"/>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491"/>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491"/>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491"/>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491"/>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491"/>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491"/>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491"/>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491"/>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491"/>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491"/>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491"/>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491"/>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491"/>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491"/>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491"/>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491"/>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491"/>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491"/>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491"/>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491"/>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491"/>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491"/>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491"/>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491"/>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491"/>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491"/>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491"/>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491"/>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491"/>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491"/>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491"/>
      <c r="Q209" s="491"/>
      <c r="R209" s="491"/>
      <c r="S209" s="491"/>
      <c r="T209" s="491"/>
      <c r="U209" s="491"/>
      <c r="V209" s="491"/>
      <c r="W209" s="491"/>
      <c r="X209" s="491"/>
      <c r="Y209" s="491"/>
      <c r="Z209" s="491"/>
      <c r="AA209" s="491"/>
      <c r="AB209" s="491"/>
      <c r="AC209" s="491"/>
    </row>
    <row r="210" spans="1:29">
      <c r="A210" s="491"/>
      <c r="B210" s="491"/>
      <c r="C210" s="491"/>
      <c r="D210" s="491"/>
      <c r="E210" s="491"/>
      <c r="F210" s="491"/>
      <c r="G210" s="491"/>
      <c r="H210" s="491"/>
      <c r="I210" s="491"/>
      <c r="J210" s="491"/>
      <c r="K210" s="505"/>
      <c r="L210" s="506"/>
      <c r="M210" s="491"/>
      <c r="N210" s="491"/>
      <c r="O210" s="491"/>
      <c r="P210" s="491"/>
      <c r="Q210" s="491"/>
      <c r="R210" s="491"/>
      <c r="S210" s="491"/>
      <c r="T210" s="491"/>
      <c r="U210" s="491"/>
      <c r="V210" s="491"/>
      <c r="W210" s="491"/>
      <c r="X210" s="491"/>
      <c r="Y210" s="491"/>
      <c r="Z210" s="491"/>
      <c r="AA210" s="491"/>
      <c r="AB210" s="491"/>
      <c r="AC210" s="491"/>
    </row>
    <row r="211" spans="1:29">
      <c r="A211" s="491"/>
      <c r="B211" s="491"/>
      <c r="C211" s="491"/>
      <c r="D211" s="491"/>
      <c r="E211" s="491"/>
      <c r="F211" s="491"/>
      <c r="G211" s="491"/>
      <c r="H211" s="491"/>
      <c r="I211" s="491"/>
      <c r="J211" s="491"/>
      <c r="K211" s="505"/>
      <c r="L211" s="506"/>
      <c r="M211" s="491"/>
      <c r="N211" s="491"/>
      <c r="O211" s="491"/>
      <c r="P211" s="491"/>
      <c r="Q211" s="491"/>
      <c r="R211" s="491"/>
      <c r="S211" s="491"/>
      <c r="T211" s="491"/>
      <c r="U211" s="491"/>
      <c r="V211" s="491"/>
      <c r="W211" s="491"/>
      <c r="X211" s="491"/>
      <c r="Y211" s="491"/>
      <c r="Z211" s="491"/>
      <c r="AA211" s="491"/>
      <c r="AB211" s="491"/>
      <c r="AC211" s="491"/>
    </row>
    <row r="212" spans="1:29">
      <c r="A212" s="491"/>
      <c r="B212" s="491"/>
      <c r="C212" s="491"/>
      <c r="D212" s="491"/>
      <c r="E212" s="491"/>
      <c r="F212" s="491"/>
      <c r="G212" s="491"/>
      <c r="H212" s="491"/>
      <c r="I212" s="491"/>
      <c r="J212" s="491"/>
      <c r="K212" s="505"/>
      <c r="L212" s="506"/>
      <c r="M212" s="491"/>
      <c r="N212" s="491"/>
      <c r="O212" s="491"/>
      <c r="P212" s="491"/>
      <c r="Q212" s="491"/>
      <c r="R212" s="491"/>
      <c r="S212" s="491"/>
      <c r="T212" s="491"/>
      <c r="U212" s="491"/>
      <c r="V212" s="491"/>
      <c r="W212" s="491"/>
      <c r="X212" s="491"/>
      <c r="Y212" s="491"/>
      <c r="Z212" s="491"/>
      <c r="AA212" s="491"/>
      <c r="AB212" s="491"/>
      <c r="AC212" s="491"/>
    </row>
    <row r="213" spans="1:29">
      <c r="A213" s="491"/>
      <c r="B213" s="491"/>
      <c r="C213" s="491"/>
      <c r="D213" s="491"/>
      <c r="E213" s="491"/>
      <c r="F213" s="491"/>
      <c r="G213" s="491"/>
      <c r="H213" s="491"/>
      <c r="I213" s="491"/>
      <c r="J213" s="491"/>
      <c r="K213" s="505"/>
      <c r="L213" s="506"/>
      <c r="M213" s="491"/>
      <c r="N213" s="491"/>
      <c r="O213" s="491"/>
      <c r="P213" s="491"/>
      <c r="Q213" s="491"/>
      <c r="R213" s="491"/>
      <c r="S213" s="491"/>
      <c r="T213" s="491"/>
      <c r="U213" s="491"/>
      <c r="V213" s="491"/>
      <c r="W213" s="491"/>
      <c r="X213" s="491"/>
      <c r="Y213" s="491"/>
      <c r="Z213" s="491"/>
      <c r="AA213" s="491"/>
      <c r="AB213" s="491"/>
      <c r="AC213" s="491"/>
    </row>
    <row r="214" spans="1:29">
      <c r="A214" s="491"/>
      <c r="B214" s="491"/>
      <c r="C214" s="491"/>
      <c r="D214" s="491"/>
      <c r="E214" s="491"/>
      <c r="F214" s="491"/>
      <c r="G214" s="491"/>
      <c r="H214" s="491"/>
      <c r="I214" s="491"/>
      <c r="J214" s="491"/>
      <c r="K214" s="505"/>
      <c r="L214" s="506"/>
      <c r="M214" s="491"/>
      <c r="N214" s="491"/>
      <c r="O214" s="491"/>
      <c r="P214" s="491"/>
      <c r="Q214" s="491"/>
      <c r="R214" s="491"/>
      <c r="S214" s="491"/>
      <c r="T214" s="491"/>
      <c r="U214" s="491"/>
      <c r="V214" s="491"/>
      <c r="W214" s="491"/>
      <c r="X214" s="491"/>
      <c r="Y214" s="491"/>
      <c r="Z214" s="491"/>
      <c r="AA214" s="491"/>
      <c r="AB214" s="491"/>
      <c r="AC214" s="491"/>
    </row>
    <row r="215" spans="1:29">
      <c r="A215" s="491"/>
      <c r="B215" s="491"/>
      <c r="C215" s="491"/>
      <c r="D215" s="491"/>
      <c r="E215" s="491"/>
      <c r="F215" s="491"/>
      <c r="G215" s="491"/>
      <c r="H215" s="491"/>
      <c r="I215" s="491"/>
      <c r="J215" s="491"/>
      <c r="K215" s="505"/>
      <c r="L215" s="506"/>
      <c r="M215" s="491"/>
      <c r="N215" s="491"/>
      <c r="O215" s="491"/>
      <c r="P215" s="491"/>
      <c r="Q215" s="491"/>
      <c r="R215" s="491"/>
      <c r="S215" s="491"/>
      <c r="T215" s="491"/>
      <c r="U215" s="491"/>
      <c r="V215" s="491"/>
      <c r="W215" s="491"/>
      <c r="X215" s="491"/>
      <c r="Y215" s="491"/>
      <c r="Z215" s="491"/>
      <c r="AA215" s="491"/>
      <c r="AB215" s="491"/>
      <c r="AC215" s="491"/>
    </row>
    <row r="216" spans="1:29">
      <c r="A216" s="491"/>
      <c r="B216" s="491"/>
      <c r="C216" s="491"/>
      <c r="D216" s="491"/>
      <c r="E216" s="491"/>
      <c r="F216" s="491"/>
      <c r="G216" s="491"/>
      <c r="H216" s="491"/>
      <c r="I216" s="491"/>
      <c r="J216" s="491"/>
      <c r="K216" s="505"/>
      <c r="L216" s="506"/>
      <c r="M216" s="491"/>
      <c r="N216" s="491"/>
      <c r="O216" s="491"/>
      <c r="P216" s="491"/>
      <c r="Q216" s="491"/>
      <c r="R216" s="491"/>
      <c r="S216" s="491"/>
      <c r="T216" s="491"/>
      <c r="U216" s="491"/>
      <c r="V216" s="491"/>
      <c r="W216" s="491"/>
      <c r="X216" s="491"/>
      <c r="Y216" s="491"/>
      <c r="Z216" s="491"/>
      <c r="AA216" s="491"/>
      <c r="AB216" s="491"/>
      <c r="AC216" s="491"/>
    </row>
    <row r="217" spans="1:29">
      <c r="A217" s="491"/>
      <c r="B217" s="491"/>
      <c r="C217" s="491"/>
      <c r="D217" s="491"/>
      <c r="E217" s="491"/>
      <c r="F217" s="491"/>
      <c r="G217" s="491"/>
      <c r="H217" s="491"/>
      <c r="I217" s="491"/>
      <c r="J217" s="491"/>
      <c r="K217" s="505"/>
      <c r="L217" s="506"/>
      <c r="M217" s="491"/>
      <c r="N217" s="491"/>
      <c r="O217" s="491"/>
      <c r="P217" s="491"/>
      <c r="Q217" s="491"/>
      <c r="R217" s="491"/>
      <c r="S217" s="491"/>
      <c r="T217" s="491"/>
      <c r="U217" s="491"/>
      <c r="V217" s="491"/>
      <c r="W217" s="491"/>
      <c r="X217" s="491"/>
      <c r="Y217" s="491"/>
      <c r="Z217" s="491"/>
      <c r="AA217" s="491"/>
      <c r="AB217" s="491"/>
      <c r="AC217" s="491"/>
    </row>
    <row r="218" spans="1:29">
      <c r="A218" s="491"/>
      <c r="B218" s="491"/>
      <c r="C218" s="491"/>
      <c r="D218" s="491"/>
      <c r="E218" s="491"/>
      <c r="F218" s="491"/>
      <c r="G218" s="491"/>
      <c r="H218" s="491"/>
      <c r="I218" s="491"/>
      <c r="J218" s="491"/>
      <c r="K218" s="505"/>
      <c r="L218" s="506"/>
      <c r="M218" s="491"/>
      <c r="N218" s="491"/>
      <c r="O218" s="491"/>
      <c r="P218" s="491"/>
      <c r="Q218" s="491"/>
      <c r="R218" s="491"/>
      <c r="S218" s="491"/>
      <c r="T218" s="491"/>
      <c r="U218" s="491"/>
      <c r="V218" s="491"/>
      <c r="W218" s="491"/>
      <c r="X218" s="491"/>
      <c r="Y218" s="491"/>
      <c r="Z218" s="491"/>
      <c r="AA218" s="491"/>
      <c r="AB218" s="491"/>
      <c r="AC218" s="491"/>
    </row>
    <row r="219" spans="1:29">
      <c r="A219" s="491"/>
      <c r="B219" s="491"/>
      <c r="C219" s="491"/>
      <c r="D219" s="491"/>
      <c r="E219" s="491"/>
      <c r="F219" s="491"/>
      <c r="G219" s="491"/>
      <c r="H219" s="491"/>
      <c r="I219" s="491"/>
      <c r="J219" s="491"/>
      <c r="K219" s="505"/>
      <c r="L219" s="506"/>
      <c r="M219" s="491"/>
      <c r="N219" s="491"/>
      <c r="O219" s="491"/>
      <c r="P219" s="491"/>
      <c r="Q219" s="491"/>
      <c r="R219" s="491"/>
      <c r="S219" s="491"/>
      <c r="T219" s="491"/>
      <c r="U219" s="491"/>
      <c r="V219" s="491"/>
      <c r="W219" s="491"/>
      <c r="X219" s="491"/>
      <c r="Y219" s="491"/>
      <c r="Z219" s="491"/>
      <c r="AA219" s="491"/>
      <c r="AB219" s="491"/>
      <c r="AC219" s="491"/>
    </row>
    <row r="220" spans="1:29">
      <c r="A220" s="491"/>
      <c r="B220" s="491"/>
      <c r="C220" s="491"/>
      <c r="D220" s="491"/>
      <c r="E220" s="491"/>
      <c r="F220" s="491"/>
      <c r="G220" s="491"/>
      <c r="H220" s="491"/>
      <c r="I220" s="491"/>
      <c r="J220" s="491"/>
      <c r="K220" s="505"/>
      <c r="L220" s="506"/>
      <c r="M220" s="491"/>
      <c r="N220" s="491"/>
      <c r="O220" s="491"/>
      <c r="P220" s="491"/>
      <c r="Q220" s="491"/>
      <c r="R220" s="491"/>
      <c r="S220" s="491"/>
      <c r="T220" s="491"/>
      <c r="U220" s="491"/>
      <c r="V220" s="491"/>
      <c r="W220" s="491"/>
      <c r="X220" s="491"/>
      <c r="Y220" s="491"/>
      <c r="Z220" s="491"/>
      <c r="AA220" s="491"/>
      <c r="AB220" s="491"/>
      <c r="AC220" s="491"/>
    </row>
    <row r="221" spans="1:29">
      <c r="A221" s="491"/>
      <c r="B221" s="491"/>
      <c r="C221" s="491"/>
      <c r="D221" s="491"/>
      <c r="E221" s="491"/>
      <c r="F221" s="491"/>
      <c r="G221" s="491"/>
      <c r="H221" s="491"/>
      <c r="I221" s="491"/>
      <c r="J221" s="491"/>
      <c r="K221" s="505"/>
      <c r="L221" s="506"/>
      <c r="M221" s="491"/>
      <c r="N221" s="491"/>
      <c r="O221" s="491"/>
      <c r="P221" s="491"/>
      <c r="Q221" s="491"/>
      <c r="R221" s="491"/>
      <c r="S221" s="491"/>
      <c r="T221" s="491"/>
      <c r="U221" s="491"/>
      <c r="V221" s="491"/>
      <c r="W221" s="491"/>
      <c r="X221" s="491"/>
      <c r="Y221" s="491"/>
      <c r="Z221" s="491"/>
      <c r="AA221" s="491"/>
      <c r="AB221" s="491"/>
      <c r="AC221" s="491"/>
    </row>
    <row r="222" spans="1:29">
      <c r="A222" s="491"/>
      <c r="B222" s="491"/>
      <c r="C222" s="491"/>
      <c r="D222" s="491"/>
      <c r="E222" s="491"/>
      <c r="F222" s="491"/>
      <c r="G222" s="491"/>
      <c r="H222" s="491"/>
      <c r="I222" s="491"/>
      <c r="J222" s="491"/>
      <c r="K222" s="505"/>
      <c r="L222" s="506"/>
      <c r="M222" s="491"/>
      <c r="N222" s="491"/>
      <c r="O222" s="491"/>
      <c r="P222" s="491"/>
      <c r="Q222" s="491"/>
      <c r="R222" s="491"/>
      <c r="S222" s="491"/>
      <c r="T222" s="491"/>
      <c r="U222" s="491"/>
      <c r="V222" s="491"/>
      <c r="W222" s="491"/>
      <c r="X222" s="491"/>
      <c r="Y222" s="491"/>
      <c r="Z222" s="491"/>
      <c r="AA222" s="491"/>
      <c r="AB222" s="491"/>
      <c r="AC222" s="491"/>
    </row>
    <row r="223" spans="1:29">
      <c r="A223" s="491"/>
      <c r="B223" s="491"/>
      <c r="C223" s="491"/>
      <c r="D223" s="491"/>
      <c r="E223" s="491"/>
      <c r="F223" s="491"/>
      <c r="G223" s="491"/>
      <c r="H223" s="491"/>
      <c r="I223" s="491"/>
      <c r="J223" s="491"/>
      <c r="K223" s="505"/>
      <c r="L223" s="506"/>
      <c r="M223" s="491"/>
      <c r="N223" s="491"/>
      <c r="O223" s="491"/>
      <c r="P223" s="491"/>
      <c r="Q223" s="491"/>
      <c r="R223" s="491"/>
      <c r="S223" s="491"/>
      <c r="T223" s="491"/>
      <c r="U223" s="491"/>
      <c r="V223" s="491"/>
      <c r="W223" s="491"/>
      <c r="X223" s="491"/>
      <c r="Y223" s="491"/>
      <c r="Z223" s="491"/>
      <c r="AA223" s="491"/>
      <c r="AB223" s="491"/>
      <c r="AC223" s="491"/>
    </row>
    <row r="224" spans="1:29">
      <c r="A224" s="491"/>
      <c r="B224" s="491"/>
      <c r="C224" s="491"/>
      <c r="D224" s="491"/>
      <c r="E224" s="491"/>
      <c r="F224" s="491"/>
      <c r="G224" s="491"/>
      <c r="H224" s="491"/>
      <c r="I224" s="491"/>
      <c r="J224" s="491"/>
      <c r="K224" s="505"/>
      <c r="L224" s="506"/>
      <c r="M224" s="491"/>
      <c r="N224" s="491"/>
      <c r="O224" s="491"/>
      <c r="P224" s="491"/>
      <c r="Q224" s="491"/>
      <c r="R224" s="491"/>
      <c r="S224" s="491"/>
      <c r="T224" s="491"/>
      <c r="U224" s="491"/>
      <c r="V224" s="491"/>
      <c r="W224" s="491"/>
      <c r="X224" s="491"/>
      <c r="Y224" s="491"/>
      <c r="Z224" s="491"/>
      <c r="AA224" s="491"/>
      <c r="AB224" s="491"/>
      <c r="AC224" s="491"/>
    </row>
    <row r="225" spans="1:29">
      <c r="A225" s="491"/>
      <c r="B225" s="491"/>
      <c r="C225" s="491"/>
      <c r="D225" s="491"/>
      <c r="E225" s="491"/>
      <c r="F225" s="491"/>
      <c r="G225" s="491"/>
      <c r="H225" s="491"/>
      <c r="I225" s="491"/>
      <c r="J225" s="491"/>
      <c r="K225" s="505"/>
      <c r="L225" s="506"/>
      <c r="M225" s="491"/>
      <c r="N225" s="491"/>
      <c r="O225" s="491"/>
      <c r="P225" s="491"/>
      <c r="Q225" s="491"/>
      <c r="R225" s="491"/>
      <c r="S225" s="491"/>
      <c r="T225" s="491"/>
      <c r="U225" s="491"/>
      <c r="V225" s="491"/>
      <c r="W225" s="491"/>
      <c r="X225" s="491"/>
      <c r="Y225" s="491"/>
      <c r="Z225" s="491"/>
      <c r="AA225" s="491"/>
      <c r="AB225" s="491"/>
      <c r="AC225" s="491"/>
    </row>
    <row r="226" spans="1:29">
      <c r="A226" s="491"/>
      <c r="B226" s="491"/>
      <c r="C226" s="491"/>
      <c r="D226" s="491"/>
      <c r="E226" s="491"/>
      <c r="F226" s="491"/>
      <c r="G226" s="491"/>
      <c r="H226" s="491"/>
      <c r="I226" s="491"/>
      <c r="J226" s="491"/>
      <c r="K226" s="505"/>
      <c r="L226" s="506"/>
      <c r="M226" s="491"/>
      <c r="N226" s="491"/>
      <c r="O226" s="491"/>
      <c r="P226" s="491"/>
      <c r="Q226" s="491"/>
      <c r="R226" s="491"/>
      <c r="S226" s="491"/>
      <c r="T226" s="491"/>
      <c r="U226" s="491"/>
      <c r="V226" s="491"/>
      <c r="W226" s="491"/>
      <c r="X226" s="491"/>
      <c r="Y226" s="491"/>
      <c r="Z226" s="491"/>
      <c r="AA226" s="491"/>
      <c r="AB226" s="491"/>
      <c r="AC226" s="491"/>
    </row>
    <row r="227" spans="1:29">
      <c r="A227" s="491"/>
      <c r="B227" s="491"/>
      <c r="C227" s="491"/>
      <c r="D227" s="491"/>
      <c r="E227" s="491"/>
      <c r="F227" s="491"/>
      <c r="G227" s="491"/>
      <c r="H227" s="491"/>
      <c r="I227" s="491"/>
      <c r="J227" s="491"/>
      <c r="K227" s="505"/>
      <c r="L227" s="506"/>
      <c r="M227" s="491"/>
      <c r="N227" s="491"/>
      <c r="O227" s="491"/>
      <c r="P227" s="491"/>
      <c r="Q227" s="491"/>
      <c r="R227" s="491"/>
      <c r="S227" s="491"/>
      <c r="T227" s="491"/>
      <c r="U227" s="491"/>
      <c r="V227" s="491"/>
      <c r="W227" s="491"/>
      <c r="X227" s="491"/>
      <c r="Y227" s="491"/>
      <c r="Z227" s="491"/>
      <c r="AA227" s="491"/>
      <c r="AB227" s="491"/>
      <c r="AC227" s="491"/>
    </row>
    <row r="228" spans="1:29">
      <c r="A228" s="491"/>
      <c r="B228" s="491"/>
      <c r="C228" s="491"/>
      <c r="D228" s="491"/>
      <c r="E228" s="491"/>
      <c r="F228" s="491"/>
      <c r="G228" s="491"/>
      <c r="H228" s="491"/>
      <c r="I228" s="491"/>
      <c r="J228" s="491"/>
      <c r="K228" s="505"/>
      <c r="L228" s="506"/>
      <c r="M228" s="491"/>
      <c r="N228" s="491"/>
      <c r="O228" s="491"/>
      <c r="P228" s="491"/>
      <c r="Q228" s="491"/>
      <c r="R228" s="491"/>
      <c r="S228" s="491"/>
      <c r="T228" s="491"/>
      <c r="U228" s="491"/>
      <c r="V228" s="491"/>
      <c r="W228" s="491"/>
      <c r="X228" s="491"/>
      <c r="Y228" s="491"/>
      <c r="Z228" s="491"/>
      <c r="AA228" s="491"/>
      <c r="AB228" s="491"/>
      <c r="AC228" s="491"/>
    </row>
    <row r="229" spans="1:29">
      <c r="A229" s="491"/>
      <c r="B229" s="491"/>
      <c r="C229" s="491"/>
      <c r="D229" s="491"/>
      <c r="E229" s="491"/>
      <c r="F229" s="491"/>
      <c r="G229" s="491"/>
      <c r="H229" s="491"/>
      <c r="I229" s="491"/>
      <c r="J229" s="491"/>
      <c r="K229" s="505"/>
      <c r="L229" s="506"/>
      <c r="M229" s="491"/>
      <c r="N229" s="491"/>
      <c r="O229" s="491"/>
      <c r="P229" s="491"/>
      <c r="Q229" s="491"/>
      <c r="R229" s="491"/>
      <c r="S229" s="491"/>
      <c r="T229" s="491"/>
      <c r="U229" s="491"/>
      <c r="V229" s="491"/>
      <c r="W229" s="491"/>
      <c r="X229" s="491"/>
      <c r="Y229" s="491"/>
      <c r="Z229" s="491"/>
      <c r="AA229" s="491"/>
      <c r="AB229" s="491"/>
      <c r="AC229" s="491"/>
    </row>
    <row r="230" spans="1:29">
      <c r="A230" s="491"/>
      <c r="B230" s="491"/>
      <c r="C230" s="491"/>
      <c r="D230" s="491"/>
      <c r="E230" s="491"/>
      <c r="F230" s="491"/>
      <c r="G230" s="491"/>
      <c r="H230" s="491"/>
      <c r="I230" s="491"/>
      <c r="J230" s="491"/>
      <c r="K230" s="505"/>
      <c r="L230" s="506"/>
      <c r="M230" s="491"/>
      <c r="N230" s="491"/>
      <c r="O230" s="491"/>
      <c r="P230" s="491"/>
      <c r="Q230" s="491"/>
      <c r="R230" s="491"/>
      <c r="S230" s="491"/>
      <c r="T230" s="491"/>
      <c r="U230" s="491"/>
      <c r="V230" s="491"/>
      <c r="W230" s="491"/>
      <c r="X230" s="491"/>
      <c r="Y230" s="491"/>
      <c r="Z230" s="491"/>
      <c r="AA230" s="491"/>
      <c r="AB230" s="491"/>
      <c r="AC230" s="491"/>
    </row>
    <row r="231" spans="1:29">
      <c r="A231" s="491"/>
      <c r="B231" s="491"/>
      <c r="C231" s="491"/>
      <c r="D231" s="491"/>
      <c r="E231" s="491"/>
      <c r="F231" s="491"/>
      <c r="G231" s="491"/>
      <c r="H231" s="491"/>
      <c r="I231" s="491"/>
      <c r="J231" s="491"/>
      <c r="K231" s="505"/>
      <c r="L231" s="506"/>
      <c r="M231" s="491"/>
      <c r="N231" s="491"/>
      <c r="O231" s="491"/>
      <c r="P231" s="491"/>
      <c r="Q231" s="491"/>
      <c r="R231" s="491"/>
      <c r="S231" s="491"/>
      <c r="T231" s="491"/>
      <c r="U231" s="491"/>
      <c r="V231" s="491"/>
      <c r="W231" s="491"/>
      <c r="X231" s="491"/>
      <c r="Y231" s="491"/>
      <c r="Z231" s="491"/>
      <c r="AA231" s="491"/>
      <c r="AB231" s="491"/>
      <c r="AC231" s="491"/>
    </row>
    <row r="232" spans="1:29">
      <c r="A232" s="491"/>
      <c r="B232" s="491"/>
      <c r="C232" s="491"/>
      <c r="D232" s="491"/>
      <c r="E232" s="491"/>
      <c r="F232" s="491"/>
      <c r="G232" s="491"/>
      <c r="H232" s="491"/>
      <c r="I232" s="491"/>
      <c r="J232" s="491"/>
      <c r="K232" s="505"/>
      <c r="L232" s="506"/>
      <c r="M232" s="491"/>
      <c r="N232" s="491"/>
      <c r="O232" s="491"/>
      <c r="P232" s="491"/>
      <c r="Q232" s="491"/>
      <c r="R232" s="491"/>
      <c r="S232" s="491"/>
      <c r="T232" s="491"/>
      <c r="U232" s="491"/>
      <c r="V232" s="491"/>
      <c r="W232" s="491"/>
      <c r="X232" s="491"/>
      <c r="Y232" s="491"/>
      <c r="Z232" s="491"/>
      <c r="AA232" s="491"/>
      <c r="AB232" s="491"/>
      <c r="AC232" s="491"/>
    </row>
    <row r="233" spans="1:29">
      <c r="A233" s="491"/>
      <c r="B233" s="491"/>
      <c r="C233" s="491"/>
      <c r="D233" s="491"/>
      <c r="E233" s="491"/>
      <c r="F233" s="491"/>
      <c r="G233" s="491"/>
      <c r="H233" s="491"/>
      <c r="I233" s="491"/>
      <c r="J233" s="491"/>
      <c r="K233" s="505"/>
      <c r="L233" s="506"/>
      <c r="M233" s="491"/>
      <c r="N233" s="491"/>
      <c r="O233" s="491"/>
      <c r="P233" s="491"/>
      <c r="Q233" s="491"/>
      <c r="R233" s="491"/>
      <c r="S233" s="491"/>
      <c r="T233" s="491"/>
      <c r="U233" s="491"/>
      <c r="V233" s="491"/>
      <c r="W233" s="491"/>
      <c r="X233" s="491"/>
      <c r="Y233" s="491"/>
      <c r="Z233" s="491"/>
      <c r="AA233" s="491"/>
      <c r="AB233" s="491"/>
      <c r="AC233" s="491"/>
    </row>
    <row r="234" spans="1:29">
      <c r="A234" s="491"/>
      <c r="B234" s="491"/>
      <c r="C234" s="491"/>
      <c r="D234" s="491"/>
      <c r="E234" s="491"/>
      <c r="F234" s="491"/>
      <c r="G234" s="491"/>
      <c r="H234" s="491"/>
      <c r="I234" s="491"/>
      <c r="J234" s="491"/>
      <c r="K234" s="505"/>
      <c r="L234" s="506"/>
      <c r="M234" s="491"/>
      <c r="N234" s="491"/>
      <c r="O234" s="491"/>
      <c r="P234" s="491"/>
      <c r="Q234" s="491"/>
      <c r="R234" s="491"/>
      <c r="S234" s="491"/>
      <c r="T234" s="491"/>
      <c r="U234" s="491"/>
      <c r="V234" s="491"/>
      <c r="W234" s="491"/>
      <c r="X234" s="491"/>
      <c r="Y234" s="491"/>
      <c r="Z234" s="491"/>
      <c r="AA234" s="491"/>
      <c r="AB234" s="491"/>
      <c r="AC234" s="491"/>
    </row>
    <row r="235" spans="1:29">
      <c r="A235" s="491"/>
      <c r="B235" s="491"/>
      <c r="C235" s="491"/>
      <c r="D235" s="491"/>
      <c r="E235" s="491"/>
      <c r="F235" s="491"/>
      <c r="G235" s="491"/>
      <c r="H235" s="491"/>
      <c r="I235" s="491"/>
      <c r="J235" s="491"/>
      <c r="K235" s="505"/>
      <c r="L235" s="506"/>
      <c r="M235" s="491"/>
      <c r="N235" s="491"/>
      <c r="O235" s="491"/>
      <c r="P235" s="491"/>
      <c r="Q235" s="491"/>
      <c r="R235" s="491"/>
      <c r="S235" s="491"/>
      <c r="T235" s="491"/>
      <c r="U235" s="491"/>
      <c r="V235" s="491"/>
      <c r="W235" s="491"/>
      <c r="X235" s="491"/>
      <c r="Y235" s="491"/>
      <c r="Z235" s="491"/>
      <c r="AA235" s="491"/>
      <c r="AB235" s="491"/>
      <c r="AC235" s="491"/>
    </row>
    <row r="236" spans="1:29">
      <c r="A236" s="491"/>
      <c r="B236" s="491"/>
      <c r="C236" s="491"/>
      <c r="D236" s="491"/>
      <c r="E236" s="491"/>
      <c r="F236" s="491"/>
      <c r="G236" s="491"/>
      <c r="H236" s="491"/>
      <c r="I236" s="491"/>
      <c r="J236" s="491"/>
      <c r="K236" s="505"/>
      <c r="L236" s="506"/>
      <c r="M236" s="491"/>
      <c r="N236" s="491"/>
      <c r="O236" s="491"/>
      <c r="P236" s="491"/>
      <c r="Q236" s="491"/>
      <c r="R236" s="491"/>
      <c r="S236" s="491"/>
      <c r="T236" s="491"/>
      <c r="U236" s="491"/>
      <c r="V236" s="491"/>
      <c r="W236" s="491"/>
      <c r="X236" s="491"/>
      <c r="Y236" s="491"/>
      <c r="Z236" s="491"/>
      <c r="AA236" s="491"/>
      <c r="AB236" s="491"/>
      <c r="AC236" s="491"/>
    </row>
    <row r="237" spans="1:29">
      <c r="A237" s="491"/>
      <c r="B237" s="491"/>
      <c r="C237" s="491"/>
      <c r="D237" s="491"/>
      <c r="E237" s="491"/>
      <c r="F237" s="491"/>
      <c r="G237" s="491"/>
      <c r="H237" s="491"/>
      <c r="I237" s="491"/>
      <c r="J237" s="491"/>
      <c r="K237" s="505"/>
      <c r="L237" s="506"/>
      <c r="M237" s="491"/>
      <c r="N237" s="491"/>
      <c r="O237" s="491"/>
      <c r="P237" s="491"/>
      <c r="Q237" s="491"/>
      <c r="R237" s="491"/>
      <c r="S237" s="491"/>
      <c r="T237" s="491"/>
      <c r="U237" s="491"/>
      <c r="V237" s="491"/>
      <c r="W237" s="491"/>
      <c r="X237" s="491"/>
      <c r="Y237" s="491"/>
      <c r="Z237" s="491"/>
      <c r="AA237" s="491"/>
      <c r="AB237" s="491"/>
      <c r="AC237" s="491"/>
    </row>
    <row r="238" spans="1:29">
      <c r="A238" s="491"/>
      <c r="B238" s="491"/>
      <c r="C238" s="491"/>
      <c r="D238" s="491"/>
      <c r="E238" s="491"/>
      <c r="F238" s="491"/>
      <c r="G238" s="491"/>
      <c r="H238" s="491"/>
      <c r="I238" s="491"/>
      <c r="J238" s="491"/>
      <c r="K238" s="505"/>
      <c r="L238" s="506"/>
      <c r="M238" s="491"/>
      <c r="N238" s="491"/>
      <c r="O238" s="491"/>
      <c r="P238" s="491"/>
      <c r="Q238" s="491"/>
      <c r="R238" s="491"/>
      <c r="S238" s="491"/>
      <c r="T238" s="491"/>
      <c r="U238" s="491"/>
      <c r="V238" s="491"/>
      <c r="W238" s="491"/>
      <c r="X238" s="491"/>
      <c r="Y238" s="491"/>
      <c r="Z238" s="491"/>
      <c r="AA238" s="491"/>
      <c r="AB238" s="491"/>
      <c r="AC238" s="491"/>
    </row>
    <row r="239" spans="1:29">
      <c r="A239" s="491"/>
      <c r="B239" s="491"/>
      <c r="C239" s="491"/>
      <c r="D239" s="491"/>
      <c r="E239" s="491"/>
      <c r="F239" s="491"/>
      <c r="G239" s="491"/>
      <c r="H239" s="491"/>
      <c r="I239" s="491"/>
      <c r="J239" s="491"/>
      <c r="K239" s="505"/>
      <c r="L239" s="506"/>
      <c r="M239" s="491"/>
      <c r="N239" s="491"/>
      <c r="O239" s="491"/>
      <c r="P239" s="491"/>
      <c r="Q239" s="491"/>
      <c r="R239" s="491"/>
      <c r="S239" s="491"/>
      <c r="T239" s="491"/>
      <c r="U239" s="491"/>
      <c r="V239" s="491"/>
      <c r="W239" s="491"/>
      <c r="X239" s="491"/>
      <c r="Y239" s="491"/>
      <c r="Z239" s="491"/>
      <c r="AA239" s="491"/>
      <c r="AB239" s="491"/>
      <c r="AC239" s="491"/>
    </row>
    <row r="240" spans="1:29">
      <c r="A240" s="491"/>
      <c r="B240" s="491"/>
      <c r="C240" s="491"/>
      <c r="D240" s="491"/>
      <c r="E240" s="491"/>
      <c r="F240" s="491"/>
      <c r="G240" s="491"/>
      <c r="H240" s="491"/>
      <c r="I240" s="491"/>
      <c r="J240" s="491"/>
      <c r="K240" s="505"/>
      <c r="L240" s="506"/>
      <c r="M240" s="491"/>
      <c r="N240" s="491"/>
      <c r="O240" s="491"/>
      <c r="P240" s="491"/>
      <c r="Q240" s="491"/>
      <c r="R240" s="491"/>
      <c r="S240" s="491"/>
      <c r="T240" s="491"/>
      <c r="U240" s="491"/>
      <c r="V240" s="491"/>
      <c r="W240" s="491"/>
      <c r="X240" s="491"/>
      <c r="Y240" s="491"/>
      <c r="Z240" s="491"/>
      <c r="AA240" s="491"/>
      <c r="AB240" s="491"/>
      <c r="AC240" s="491"/>
    </row>
    <row r="241" spans="1:29">
      <c r="A241" s="491"/>
      <c r="B241" s="491"/>
      <c r="C241" s="491"/>
      <c r="D241" s="491"/>
      <c r="E241" s="491"/>
      <c r="F241" s="491"/>
      <c r="G241" s="491"/>
      <c r="H241" s="491"/>
      <c r="I241" s="491"/>
      <c r="J241" s="491"/>
      <c r="K241" s="505"/>
      <c r="L241" s="506"/>
      <c r="M241" s="491"/>
      <c r="N241" s="491"/>
      <c r="O241" s="491"/>
      <c r="P241" s="491"/>
      <c r="Q241" s="491"/>
      <c r="R241" s="491"/>
      <c r="S241" s="491"/>
      <c r="T241" s="491"/>
      <c r="U241" s="491"/>
      <c r="V241" s="491"/>
      <c r="W241" s="491"/>
      <c r="X241" s="491"/>
      <c r="Y241" s="491"/>
      <c r="Z241" s="491"/>
      <c r="AA241" s="491"/>
      <c r="AB241" s="491"/>
      <c r="AC241" s="491"/>
    </row>
    <row r="242" spans="1:29">
      <c r="A242" s="491"/>
      <c r="B242" s="491"/>
      <c r="C242" s="491"/>
      <c r="D242" s="491"/>
      <c r="E242" s="491"/>
      <c r="F242" s="491"/>
      <c r="G242" s="491"/>
      <c r="H242" s="491"/>
      <c r="I242" s="491"/>
      <c r="J242" s="491"/>
      <c r="K242" s="505"/>
      <c r="L242" s="506"/>
      <c r="M242" s="491"/>
      <c r="N242" s="491"/>
      <c r="O242" s="491"/>
      <c r="P242" s="491"/>
      <c r="Q242" s="491"/>
      <c r="R242" s="491"/>
      <c r="S242" s="491"/>
      <c r="T242" s="491"/>
      <c r="U242" s="491"/>
      <c r="V242" s="491"/>
      <c r="W242" s="491"/>
      <c r="X242" s="491"/>
      <c r="Y242" s="491"/>
      <c r="Z242" s="491"/>
      <c r="AA242" s="491"/>
      <c r="AB242" s="491"/>
      <c r="AC242" s="491"/>
    </row>
    <row r="243" spans="1:29">
      <c r="A243" s="491"/>
      <c r="B243" s="491"/>
      <c r="C243" s="491"/>
      <c r="D243" s="491"/>
      <c r="E243" s="491"/>
      <c r="F243" s="491"/>
      <c r="G243" s="491"/>
      <c r="H243" s="491"/>
      <c r="I243" s="491"/>
      <c r="J243" s="491"/>
      <c r="K243" s="505"/>
      <c r="L243" s="506"/>
      <c r="M243" s="491"/>
      <c r="N243" s="491"/>
      <c r="O243" s="491"/>
      <c r="P243" s="491"/>
      <c r="Q243" s="491"/>
      <c r="R243" s="491"/>
      <c r="S243" s="491"/>
      <c r="T243" s="491"/>
      <c r="U243" s="491"/>
      <c r="V243" s="491"/>
      <c r="W243" s="491"/>
      <c r="X243" s="491"/>
      <c r="Y243" s="491"/>
      <c r="Z243" s="491"/>
      <c r="AA243" s="491"/>
      <c r="AB243" s="491"/>
      <c r="AC243" s="491"/>
    </row>
    <row r="244" spans="1:29">
      <c r="A244" s="491"/>
      <c r="B244" s="491"/>
      <c r="C244" s="491"/>
      <c r="D244" s="491"/>
      <c r="E244" s="491"/>
      <c r="F244" s="491"/>
      <c r="G244" s="491"/>
      <c r="H244" s="491"/>
      <c r="I244" s="491"/>
      <c r="J244" s="491"/>
      <c r="K244" s="505"/>
      <c r="L244" s="506"/>
      <c r="M244" s="491"/>
      <c r="N244" s="491"/>
      <c r="O244" s="491"/>
      <c r="P244" s="491"/>
      <c r="Q244" s="491"/>
      <c r="R244" s="491"/>
      <c r="S244" s="491"/>
      <c r="T244" s="491"/>
      <c r="U244" s="491"/>
      <c r="V244" s="491"/>
      <c r="W244" s="491"/>
      <c r="X244" s="491"/>
      <c r="Y244" s="491"/>
      <c r="Z244" s="491"/>
      <c r="AA244" s="491"/>
      <c r="AB244" s="491"/>
      <c r="AC244" s="491"/>
    </row>
    <row r="245" spans="1:29">
      <c r="A245" s="491"/>
      <c r="B245" s="491"/>
      <c r="C245" s="491"/>
      <c r="D245" s="491"/>
      <c r="E245" s="491"/>
      <c r="F245" s="491"/>
      <c r="G245" s="491"/>
      <c r="H245" s="491"/>
      <c r="I245" s="491"/>
      <c r="J245" s="491"/>
      <c r="K245" s="505"/>
      <c r="L245" s="506"/>
      <c r="M245" s="491"/>
      <c r="N245" s="491"/>
      <c r="O245" s="491"/>
      <c r="P245" s="491"/>
      <c r="Q245" s="491"/>
      <c r="R245" s="491"/>
      <c r="S245" s="491"/>
      <c r="T245" s="491"/>
      <c r="U245" s="491"/>
      <c r="V245" s="491"/>
      <c r="W245" s="491"/>
      <c r="X245" s="491"/>
      <c r="Y245" s="491"/>
      <c r="Z245" s="491"/>
      <c r="AA245" s="491"/>
      <c r="AB245" s="491"/>
      <c r="AC245" s="491"/>
    </row>
    <row r="246" spans="1:29">
      <c r="A246" s="491"/>
      <c r="B246" s="491"/>
      <c r="C246" s="491"/>
      <c r="D246" s="491"/>
      <c r="E246" s="491"/>
      <c r="F246" s="491"/>
      <c r="G246" s="491"/>
      <c r="H246" s="491"/>
      <c r="I246" s="491"/>
      <c r="J246" s="491"/>
      <c r="K246" s="505"/>
      <c r="L246" s="506"/>
      <c r="M246" s="491"/>
      <c r="N246" s="491"/>
      <c r="O246" s="491"/>
      <c r="P246" s="491"/>
      <c r="Q246" s="491"/>
      <c r="R246" s="491"/>
      <c r="S246" s="491"/>
      <c r="T246" s="491"/>
      <c r="U246" s="491"/>
      <c r="V246" s="491"/>
      <c r="W246" s="491"/>
      <c r="X246" s="491"/>
      <c r="Y246" s="491"/>
      <c r="Z246" s="491"/>
      <c r="AA246" s="491"/>
      <c r="AB246" s="491"/>
      <c r="AC246" s="491"/>
    </row>
    <row r="247" spans="1:29">
      <c r="A247" s="491"/>
      <c r="B247" s="491"/>
      <c r="C247" s="491"/>
      <c r="D247" s="491"/>
      <c r="E247" s="491"/>
      <c r="F247" s="491"/>
      <c r="G247" s="491"/>
      <c r="H247" s="491"/>
      <c r="I247" s="491"/>
      <c r="J247" s="491"/>
      <c r="K247" s="505"/>
      <c r="L247" s="506"/>
      <c r="M247" s="491"/>
      <c r="N247" s="491"/>
      <c r="O247" s="491"/>
      <c r="P247" s="491"/>
      <c r="Q247" s="491"/>
      <c r="R247" s="491"/>
      <c r="S247" s="491"/>
      <c r="T247" s="491"/>
      <c r="U247" s="491"/>
      <c r="V247" s="491"/>
      <c r="W247" s="491"/>
      <c r="X247" s="491"/>
      <c r="Y247" s="491"/>
      <c r="Z247" s="491"/>
      <c r="AA247" s="491"/>
      <c r="AB247" s="491"/>
      <c r="AC247" s="491"/>
    </row>
    <row r="248" spans="1:29">
      <c r="A248" s="491"/>
      <c r="B248" s="491"/>
      <c r="C248" s="491"/>
      <c r="D248" s="491"/>
      <c r="E248" s="491"/>
      <c r="F248" s="491"/>
      <c r="G248" s="491"/>
      <c r="H248" s="491"/>
      <c r="I248" s="491"/>
      <c r="J248" s="491"/>
      <c r="K248" s="505"/>
      <c r="L248" s="506"/>
      <c r="M248" s="491"/>
      <c r="N248" s="491"/>
      <c r="O248" s="491"/>
      <c r="P248" s="491"/>
      <c r="Q248" s="491"/>
      <c r="R248" s="491"/>
      <c r="S248" s="491"/>
      <c r="T248" s="491"/>
      <c r="U248" s="491"/>
      <c r="V248" s="491"/>
      <c r="W248" s="491"/>
      <c r="X248" s="491"/>
      <c r="Y248" s="491"/>
      <c r="Z248" s="491"/>
      <c r="AA248" s="491"/>
      <c r="AB248" s="491"/>
      <c r="AC248" s="491"/>
    </row>
    <row r="249" spans="1:29">
      <c r="A249" s="491"/>
      <c r="B249" s="491"/>
      <c r="C249" s="491"/>
      <c r="D249" s="491"/>
      <c r="E249" s="491"/>
      <c r="F249" s="491"/>
      <c r="G249" s="491"/>
      <c r="H249" s="491"/>
      <c r="I249" s="491"/>
      <c r="J249" s="491"/>
      <c r="K249" s="505"/>
      <c r="L249" s="506"/>
      <c r="M249" s="491"/>
      <c r="N249" s="491"/>
      <c r="O249" s="491"/>
      <c r="P249" s="491"/>
      <c r="Q249" s="491"/>
      <c r="R249" s="491"/>
      <c r="S249" s="491"/>
      <c r="T249" s="491"/>
      <c r="U249" s="491"/>
      <c r="V249" s="491"/>
      <c r="W249" s="491"/>
      <c r="X249" s="491"/>
      <c r="Y249" s="491"/>
      <c r="Z249" s="491"/>
      <c r="AA249" s="491"/>
      <c r="AB249" s="491"/>
      <c r="AC249" s="491"/>
    </row>
    <row r="250" spans="1:29">
      <c r="A250" s="491"/>
      <c r="B250" s="491"/>
      <c r="C250" s="491"/>
      <c r="D250" s="491"/>
      <c r="E250" s="491"/>
      <c r="F250" s="491"/>
      <c r="G250" s="491"/>
      <c r="H250" s="491"/>
      <c r="I250" s="491"/>
      <c r="J250" s="491"/>
      <c r="K250" s="505"/>
      <c r="L250" s="506"/>
      <c r="M250" s="491"/>
      <c r="N250" s="491"/>
      <c r="O250" s="491"/>
      <c r="P250" s="491"/>
      <c r="Q250" s="491"/>
      <c r="R250" s="491"/>
      <c r="S250" s="491"/>
      <c r="T250" s="491"/>
      <c r="U250" s="491"/>
      <c r="V250" s="491"/>
      <c r="W250" s="491"/>
      <c r="X250" s="491"/>
      <c r="Y250" s="491"/>
      <c r="Z250" s="491"/>
      <c r="AA250" s="491"/>
      <c r="AB250" s="491"/>
      <c r="AC250" s="491"/>
    </row>
    <row r="251" spans="1:29">
      <c r="A251" s="491"/>
      <c r="B251" s="491"/>
      <c r="C251" s="491"/>
      <c r="D251" s="491"/>
      <c r="E251" s="491"/>
      <c r="F251" s="491"/>
      <c r="G251" s="491"/>
      <c r="H251" s="491"/>
      <c r="I251" s="491"/>
      <c r="J251" s="491"/>
      <c r="K251" s="505"/>
      <c r="L251" s="506"/>
      <c r="M251" s="491"/>
      <c r="N251" s="491"/>
      <c r="O251" s="491"/>
      <c r="P251" s="491"/>
      <c r="Q251" s="491"/>
      <c r="R251" s="491"/>
      <c r="S251" s="491"/>
      <c r="T251" s="491"/>
      <c r="U251" s="491"/>
      <c r="V251" s="491"/>
      <c r="W251" s="491"/>
      <c r="X251" s="491"/>
      <c r="Y251" s="491"/>
      <c r="Z251" s="491"/>
      <c r="AA251" s="491"/>
      <c r="AB251" s="491"/>
      <c r="AC251" s="491"/>
    </row>
    <row r="252" spans="1:29">
      <c r="A252" s="491"/>
      <c r="B252" s="491"/>
      <c r="C252" s="491"/>
      <c r="D252" s="491"/>
      <c r="E252" s="491"/>
      <c r="F252" s="491"/>
      <c r="G252" s="491"/>
      <c r="H252" s="491"/>
      <c r="I252" s="491"/>
      <c r="J252" s="491"/>
      <c r="K252" s="505"/>
      <c r="L252" s="506"/>
      <c r="M252" s="491"/>
      <c r="N252" s="491"/>
      <c r="O252" s="491"/>
      <c r="P252" s="491"/>
      <c r="Q252" s="491"/>
      <c r="R252" s="491"/>
      <c r="S252" s="491"/>
      <c r="T252" s="491"/>
      <c r="U252" s="491"/>
      <c r="V252" s="491"/>
      <c r="W252" s="491"/>
      <c r="X252" s="491"/>
      <c r="Y252" s="491"/>
      <c r="Z252" s="491"/>
      <c r="AA252" s="491"/>
      <c r="AB252" s="491"/>
      <c r="AC252" s="491"/>
    </row>
    <row r="253" spans="1:29">
      <c r="A253" s="491"/>
      <c r="B253" s="491"/>
      <c r="C253" s="491"/>
      <c r="D253" s="491"/>
      <c r="E253" s="491"/>
      <c r="F253" s="491"/>
      <c r="G253" s="491"/>
      <c r="H253" s="491"/>
      <c r="I253" s="491"/>
      <c r="J253" s="491"/>
      <c r="K253" s="505"/>
      <c r="L253" s="506"/>
      <c r="M253" s="491"/>
      <c r="N253" s="491"/>
      <c r="O253" s="491"/>
      <c r="P253" s="491"/>
      <c r="Q253" s="491"/>
      <c r="R253" s="491"/>
      <c r="S253" s="491"/>
      <c r="T253" s="491"/>
      <c r="U253" s="491"/>
      <c r="V253" s="491"/>
      <c r="W253" s="491"/>
      <c r="X253" s="491"/>
      <c r="Y253" s="491"/>
      <c r="Z253" s="491"/>
      <c r="AA253" s="491"/>
      <c r="AB253" s="491"/>
      <c r="AC253" s="491"/>
    </row>
    <row r="254" spans="1:29">
      <c r="A254" s="491"/>
      <c r="B254" s="491"/>
      <c r="C254" s="491"/>
      <c r="D254" s="491"/>
      <c r="E254" s="491"/>
      <c r="F254" s="491"/>
      <c r="G254" s="491"/>
      <c r="H254" s="491"/>
      <c r="I254" s="491"/>
      <c r="J254" s="491"/>
      <c r="K254" s="505"/>
      <c r="L254" s="506"/>
      <c r="M254" s="491"/>
      <c r="N254" s="491"/>
      <c r="O254" s="491"/>
      <c r="P254" s="491"/>
      <c r="Q254" s="491"/>
      <c r="R254" s="491"/>
      <c r="S254" s="491"/>
      <c r="T254" s="491"/>
      <c r="U254" s="491"/>
      <c r="V254" s="491"/>
      <c r="W254" s="491"/>
      <c r="X254" s="491"/>
      <c r="Y254" s="491"/>
      <c r="Z254" s="491"/>
      <c r="AA254" s="491"/>
      <c r="AB254" s="491"/>
      <c r="AC254" s="491"/>
    </row>
    <row r="255" spans="1:29">
      <c r="A255" s="491"/>
      <c r="B255" s="491"/>
      <c r="C255" s="491"/>
      <c r="D255" s="491"/>
      <c r="E255" s="491"/>
      <c r="F255" s="491"/>
      <c r="G255" s="491"/>
      <c r="H255" s="491"/>
      <c r="I255" s="491"/>
      <c r="J255" s="491"/>
      <c r="K255" s="505"/>
      <c r="L255" s="506"/>
      <c r="M255" s="491"/>
      <c r="N255" s="491"/>
      <c r="O255" s="491"/>
      <c r="P255" s="491"/>
      <c r="Q255" s="491"/>
      <c r="R255" s="491"/>
      <c r="S255" s="491"/>
      <c r="T255" s="491"/>
      <c r="U255" s="491"/>
      <c r="V255" s="491"/>
      <c r="W255" s="491"/>
      <c r="X255" s="491"/>
      <c r="Y255" s="491"/>
      <c r="Z255" s="491"/>
      <c r="AA255" s="491"/>
      <c r="AB255" s="491"/>
      <c r="AC255" s="491"/>
    </row>
    <row r="256" spans="1:29">
      <c r="A256" s="491"/>
      <c r="B256" s="491"/>
      <c r="C256" s="491"/>
      <c r="D256" s="491"/>
      <c r="E256" s="491"/>
      <c r="F256" s="491"/>
      <c r="G256" s="491"/>
      <c r="H256" s="491"/>
      <c r="I256" s="491"/>
      <c r="J256" s="491"/>
      <c r="K256" s="505"/>
      <c r="L256" s="506"/>
      <c r="M256" s="491"/>
      <c r="N256" s="491"/>
      <c r="O256" s="491"/>
      <c r="P256" s="491"/>
      <c r="Q256" s="491"/>
      <c r="R256" s="491"/>
      <c r="S256" s="491"/>
      <c r="T256" s="491"/>
      <c r="U256" s="491"/>
      <c r="V256" s="491"/>
      <c r="W256" s="491"/>
      <c r="X256" s="491"/>
      <c r="Y256" s="491"/>
      <c r="Z256" s="491"/>
      <c r="AA256" s="491"/>
      <c r="AB256" s="491"/>
      <c r="AC256" s="491"/>
    </row>
    <row r="257" spans="1:29">
      <c r="A257" s="491"/>
      <c r="B257" s="491"/>
      <c r="C257" s="491"/>
      <c r="D257" s="491"/>
      <c r="E257" s="491"/>
      <c r="F257" s="491"/>
      <c r="G257" s="491"/>
      <c r="H257" s="491"/>
      <c r="I257" s="491"/>
      <c r="J257" s="491"/>
      <c r="K257" s="505"/>
      <c r="L257" s="506"/>
      <c r="M257" s="491"/>
      <c r="N257" s="491"/>
      <c r="O257" s="491"/>
      <c r="P257" s="491"/>
      <c r="Q257" s="491"/>
      <c r="R257" s="491"/>
      <c r="S257" s="491"/>
      <c r="T257" s="491"/>
      <c r="U257" s="491"/>
      <c r="V257" s="491"/>
      <c r="W257" s="491"/>
      <c r="X257" s="491"/>
      <c r="Y257" s="491"/>
      <c r="Z257" s="491"/>
      <c r="AA257" s="491"/>
      <c r="AB257" s="491"/>
      <c r="AC257" s="491"/>
    </row>
    <row r="258" spans="1:29">
      <c r="A258" s="491"/>
      <c r="B258" s="491"/>
      <c r="C258" s="491"/>
      <c r="D258" s="491"/>
      <c r="E258" s="491"/>
      <c r="F258" s="491"/>
      <c r="G258" s="491"/>
      <c r="H258" s="491"/>
      <c r="I258" s="491"/>
      <c r="J258" s="491"/>
      <c r="K258" s="505"/>
      <c r="L258" s="506"/>
      <c r="M258" s="491"/>
      <c r="N258" s="491"/>
      <c r="O258" s="491"/>
      <c r="P258" s="491"/>
      <c r="Q258" s="491"/>
      <c r="R258" s="491"/>
      <c r="S258" s="491"/>
      <c r="T258" s="491"/>
      <c r="U258" s="491"/>
      <c r="V258" s="491"/>
      <c r="W258" s="491"/>
      <c r="X258" s="491"/>
      <c r="Y258" s="491"/>
      <c r="Z258" s="491"/>
      <c r="AA258" s="491"/>
      <c r="AB258" s="491"/>
      <c r="AC258" s="491"/>
    </row>
    <row r="259" spans="1:29">
      <c r="A259" s="491"/>
      <c r="B259" s="491"/>
      <c r="C259" s="491"/>
      <c r="D259" s="491"/>
      <c r="E259" s="491"/>
      <c r="F259" s="491"/>
      <c r="G259" s="491"/>
      <c r="H259" s="491"/>
      <c r="I259" s="491"/>
      <c r="J259" s="491"/>
      <c r="K259" s="505"/>
      <c r="L259" s="506"/>
      <c r="M259" s="491"/>
      <c r="N259" s="491"/>
      <c r="O259" s="491"/>
      <c r="P259" s="491"/>
      <c r="Q259" s="491"/>
      <c r="R259" s="491"/>
      <c r="S259" s="491"/>
      <c r="T259" s="491"/>
      <c r="U259" s="491"/>
      <c r="V259" s="491"/>
      <c r="W259" s="491"/>
      <c r="X259" s="491"/>
      <c r="Y259" s="491"/>
      <c r="Z259" s="491"/>
      <c r="AA259" s="491"/>
      <c r="AB259" s="491"/>
      <c r="AC259" s="491"/>
    </row>
    <row r="260" spans="1:29">
      <c r="A260" s="491"/>
      <c r="B260" s="491"/>
      <c r="C260" s="491"/>
      <c r="D260" s="491"/>
      <c r="E260" s="491"/>
      <c r="F260" s="491"/>
      <c r="G260" s="491"/>
      <c r="H260" s="491"/>
      <c r="I260" s="491"/>
      <c r="J260" s="491"/>
      <c r="K260" s="505"/>
      <c r="L260" s="506"/>
      <c r="M260" s="491"/>
      <c r="N260" s="491"/>
      <c r="O260" s="491"/>
      <c r="P260" s="491"/>
      <c r="Q260" s="491"/>
      <c r="R260" s="491"/>
      <c r="S260" s="491"/>
      <c r="T260" s="491"/>
      <c r="U260" s="491"/>
      <c r="V260" s="491"/>
      <c r="W260" s="491"/>
      <c r="X260" s="491"/>
      <c r="Y260" s="491"/>
      <c r="Z260" s="491"/>
      <c r="AA260" s="491"/>
      <c r="AB260" s="491"/>
      <c r="AC260" s="491"/>
    </row>
    <row r="261" spans="1:29">
      <c r="A261" s="491"/>
      <c r="B261" s="491"/>
      <c r="C261" s="491"/>
      <c r="D261" s="491"/>
      <c r="E261" s="491"/>
      <c r="F261" s="491"/>
      <c r="G261" s="491"/>
      <c r="H261" s="491"/>
      <c r="I261" s="491"/>
      <c r="J261" s="491"/>
      <c r="K261" s="505"/>
      <c r="L261" s="506"/>
      <c r="M261" s="491"/>
      <c r="N261" s="491"/>
      <c r="O261" s="491"/>
      <c r="P261" s="491"/>
      <c r="Q261" s="491"/>
      <c r="R261" s="491"/>
      <c r="S261" s="491"/>
      <c r="T261" s="491"/>
      <c r="U261" s="491"/>
      <c r="V261" s="491"/>
      <c r="W261" s="491"/>
      <c r="X261" s="491"/>
      <c r="Y261" s="491"/>
      <c r="Z261" s="491"/>
      <c r="AA261" s="491"/>
      <c r="AB261" s="491"/>
      <c r="AC261" s="491"/>
    </row>
    <row r="262" spans="1:29">
      <c r="A262" s="491"/>
      <c r="B262" s="491"/>
      <c r="C262" s="491"/>
      <c r="D262" s="491"/>
      <c r="E262" s="491"/>
      <c r="F262" s="491"/>
      <c r="G262" s="491"/>
      <c r="H262" s="491"/>
      <c r="I262" s="491"/>
      <c r="J262" s="491"/>
      <c r="K262" s="505"/>
      <c r="L262" s="506"/>
      <c r="M262" s="491"/>
      <c r="N262" s="491"/>
      <c r="O262" s="491"/>
      <c r="P262" s="491"/>
      <c r="Q262" s="491"/>
      <c r="R262" s="491"/>
      <c r="S262" s="491"/>
      <c r="T262" s="491"/>
      <c r="U262" s="491"/>
      <c r="V262" s="491"/>
      <c r="W262" s="491"/>
      <c r="X262" s="491"/>
      <c r="Y262" s="491"/>
      <c r="Z262" s="491"/>
      <c r="AA262" s="491"/>
      <c r="AB262" s="491"/>
      <c r="AC262" s="491"/>
    </row>
    <row r="263" spans="1:29">
      <c r="A263" s="491"/>
      <c r="B263" s="491"/>
      <c r="C263" s="491"/>
      <c r="D263" s="491"/>
      <c r="E263" s="491"/>
      <c r="F263" s="491"/>
      <c r="G263" s="491"/>
      <c r="H263" s="491"/>
      <c r="I263" s="491"/>
      <c r="J263" s="491"/>
      <c r="K263" s="505"/>
      <c r="L263" s="506"/>
      <c r="M263" s="491"/>
      <c r="N263" s="491"/>
      <c r="O263" s="491"/>
      <c r="P263" s="491"/>
      <c r="Q263" s="491"/>
      <c r="R263" s="491"/>
      <c r="S263" s="491"/>
      <c r="T263" s="491"/>
      <c r="U263" s="491"/>
      <c r="V263" s="491"/>
      <c r="W263" s="491"/>
      <c r="X263" s="491"/>
      <c r="Y263" s="491"/>
      <c r="Z263" s="491"/>
      <c r="AA263" s="491"/>
      <c r="AB263" s="491"/>
      <c r="AC263" s="491"/>
    </row>
    <row r="264" spans="1:29">
      <c r="A264" s="491"/>
      <c r="B264" s="491"/>
      <c r="C264" s="491"/>
      <c r="D264" s="491"/>
      <c r="E264" s="491"/>
      <c r="F264" s="491"/>
      <c r="G264" s="491"/>
      <c r="H264" s="491"/>
      <c r="I264" s="491"/>
      <c r="J264" s="491"/>
      <c r="K264" s="505"/>
      <c r="L264" s="506"/>
      <c r="M264" s="491"/>
      <c r="N264" s="491"/>
      <c r="O264" s="491"/>
      <c r="P264" s="491"/>
      <c r="Q264" s="491"/>
      <c r="R264" s="491"/>
      <c r="S264" s="491"/>
      <c r="T264" s="491"/>
      <c r="U264" s="491"/>
      <c r="V264" s="491"/>
      <c r="W264" s="491"/>
      <c r="X264" s="491"/>
      <c r="Y264" s="491"/>
      <c r="Z264" s="491"/>
      <c r="AA264" s="491"/>
      <c r="AB264" s="491"/>
      <c r="AC264" s="491"/>
    </row>
    <row r="265" spans="1:29">
      <c r="A265" s="491"/>
      <c r="B265" s="491"/>
      <c r="C265" s="491"/>
      <c r="D265" s="491"/>
      <c r="E265" s="491"/>
      <c r="F265" s="491"/>
      <c r="G265" s="491"/>
      <c r="H265" s="491"/>
      <c r="I265" s="491"/>
      <c r="J265" s="491"/>
      <c r="K265" s="505"/>
      <c r="L265" s="506"/>
      <c r="M265" s="491"/>
      <c r="N265" s="491"/>
      <c r="O265" s="491"/>
      <c r="P265" s="491"/>
      <c r="Q265" s="491"/>
      <c r="R265" s="491"/>
      <c r="S265" s="491"/>
      <c r="T265" s="491"/>
      <c r="U265" s="491"/>
      <c r="V265" s="491"/>
      <c r="W265" s="491"/>
      <c r="X265" s="491"/>
      <c r="Y265" s="491"/>
      <c r="Z265" s="491"/>
      <c r="AA265" s="491"/>
      <c r="AB265" s="491"/>
      <c r="AC265" s="491"/>
    </row>
    <row r="266" spans="1:29">
      <c r="A266" s="491"/>
      <c r="B266" s="491"/>
      <c r="C266" s="491"/>
      <c r="D266" s="491"/>
      <c r="E266" s="491"/>
      <c r="F266" s="491"/>
      <c r="G266" s="491"/>
      <c r="H266" s="491"/>
      <c r="I266" s="491"/>
      <c r="J266" s="491"/>
      <c r="K266" s="505"/>
      <c r="L266" s="506"/>
      <c r="M266" s="491"/>
      <c r="N266" s="491"/>
      <c r="O266" s="491"/>
      <c r="P266" s="491"/>
      <c r="Q266" s="491"/>
      <c r="R266" s="491"/>
      <c r="S266" s="491"/>
      <c r="T266" s="491"/>
      <c r="U266" s="491"/>
      <c r="V266" s="491"/>
      <c r="W266" s="491"/>
      <c r="X266" s="491"/>
      <c r="Y266" s="491"/>
      <c r="Z266" s="491"/>
      <c r="AA266" s="491"/>
      <c r="AB266" s="491"/>
      <c r="AC266" s="491"/>
    </row>
    <row r="267" spans="1:29">
      <c r="A267" s="491"/>
      <c r="B267" s="491"/>
      <c r="C267" s="491"/>
      <c r="D267" s="491"/>
      <c r="E267" s="491"/>
      <c r="F267" s="491"/>
      <c r="G267" s="491"/>
      <c r="H267" s="491"/>
      <c r="I267" s="491"/>
      <c r="J267" s="491"/>
      <c r="K267" s="505"/>
      <c r="L267" s="506"/>
      <c r="M267" s="491"/>
      <c r="N267" s="491"/>
      <c r="O267" s="491"/>
      <c r="P267" s="491"/>
      <c r="Q267" s="491"/>
      <c r="R267" s="491"/>
      <c r="S267" s="491"/>
      <c r="T267" s="491"/>
      <c r="U267" s="491"/>
      <c r="V267" s="491"/>
      <c r="W267" s="491"/>
      <c r="X267" s="491"/>
      <c r="Y267" s="491"/>
      <c r="Z267" s="491"/>
      <c r="AA267" s="491"/>
      <c r="AB267" s="491"/>
      <c r="AC267" s="491"/>
    </row>
    <row r="268" spans="1:29">
      <c r="A268" s="491"/>
      <c r="B268" s="491"/>
      <c r="C268" s="491"/>
      <c r="D268" s="491"/>
      <c r="E268" s="491"/>
      <c r="F268" s="491"/>
      <c r="G268" s="491"/>
      <c r="H268" s="491"/>
      <c r="I268" s="491"/>
      <c r="J268" s="491"/>
      <c r="K268" s="505"/>
      <c r="L268" s="506"/>
      <c r="M268" s="491"/>
      <c r="N268" s="491"/>
      <c r="O268" s="491"/>
      <c r="P268" s="491"/>
      <c r="Q268" s="491"/>
      <c r="R268" s="491"/>
      <c r="S268" s="491"/>
      <c r="T268" s="491"/>
      <c r="U268" s="491"/>
      <c r="V268" s="491"/>
      <c r="W268" s="491"/>
      <c r="X268" s="491"/>
      <c r="Y268" s="491"/>
      <c r="Z268" s="491"/>
      <c r="AA268" s="491"/>
      <c r="AB268" s="491"/>
      <c r="AC268" s="491"/>
    </row>
    <row r="269" spans="1:29">
      <c r="A269" s="491"/>
      <c r="B269" s="491"/>
      <c r="C269" s="491"/>
      <c r="D269" s="491"/>
      <c r="E269" s="491"/>
      <c r="F269" s="491"/>
      <c r="G269" s="491"/>
      <c r="H269" s="491"/>
      <c r="I269" s="491"/>
      <c r="J269" s="491"/>
      <c r="K269" s="505"/>
      <c r="L269" s="506"/>
      <c r="M269" s="491"/>
      <c r="N269" s="491"/>
      <c r="O269" s="491"/>
      <c r="P269" s="491"/>
      <c r="Q269" s="491"/>
      <c r="R269" s="491"/>
      <c r="S269" s="491"/>
      <c r="T269" s="491"/>
      <c r="U269" s="491"/>
      <c r="V269" s="491"/>
      <c r="W269" s="491"/>
      <c r="X269" s="491"/>
      <c r="Y269" s="491"/>
      <c r="Z269" s="491"/>
      <c r="AA269" s="491"/>
      <c r="AB269" s="491"/>
      <c r="AC269" s="491"/>
    </row>
    <row r="270" spans="1:29">
      <c r="A270" s="491"/>
      <c r="B270" s="491"/>
      <c r="C270" s="491"/>
      <c r="D270" s="491"/>
      <c r="E270" s="491"/>
      <c r="F270" s="491"/>
      <c r="G270" s="491"/>
      <c r="H270" s="491"/>
      <c r="I270" s="491"/>
      <c r="J270" s="491"/>
      <c r="K270" s="505"/>
      <c r="L270" s="506"/>
      <c r="M270" s="491"/>
      <c r="N270" s="491"/>
      <c r="O270" s="491"/>
      <c r="P270" s="491"/>
      <c r="Q270" s="491"/>
      <c r="R270" s="491"/>
      <c r="S270" s="491"/>
      <c r="T270" s="491"/>
      <c r="U270" s="491"/>
      <c r="V270" s="491"/>
      <c r="W270" s="491"/>
      <c r="X270" s="491"/>
      <c r="Y270" s="491"/>
      <c r="Z270" s="491"/>
      <c r="AA270" s="491"/>
      <c r="AB270" s="491"/>
      <c r="AC270" s="491"/>
    </row>
    <row r="271" spans="1:29">
      <c r="A271" s="491"/>
      <c r="B271" s="491"/>
      <c r="C271" s="491"/>
      <c r="D271" s="491"/>
      <c r="E271" s="491"/>
      <c r="F271" s="491"/>
      <c r="G271" s="491"/>
      <c r="H271" s="491"/>
      <c r="I271" s="491"/>
      <c r="J271" s="491"/>
      <c r="K271" s="505"/>
      <c r="L271" s="506"/>
      <c r="M271" s="491"/>
      <c r="N271" s="491"/>
      <c r="O271" s="491"/>
      <c r="P271" s="491"/>
      <c r="Q271" s="491"/>
      <c r="R271" s="491"/>
      <c r="S271" s="491"/>
      <c r="T271" s="491"/>
      <c r="U271" s="491"/>
      <c r="V271" s="491"/>
      <c r="W271" s="491"/>
      <c r="X271" s="491"/>
      <c r="Y271" s="491"/>
      <c r="Z271" s="491"/>
      <c r="AA271" s="491"/>
      <c r="AB271" s="491"/>
      <c r="AC271" s="491"/>
    </row>
    <row r="272" spans="1:29">
      <c r="A272" s="491"/>
      <c r="B272" s="491"/>
      <c r="C272" s="491"/>
      <c r="D272" s="491"/>
      <c r="E272" s="491"/>
      <c r="F272" s="491"/>
      <c r="G272" s="491"/>
      <c r="H272" s="491"/>
      <c r="I272" s="491"/>
      <c r="J272" s="491"/>
      <c r="K272" s="505"/>
      <c r="L272" s="506"/>
      <c r="M272" s="491"/>
      <c r="N272" s="491"/>
      <c r="O272" s="491"/>
      <c r="P272" s="491"/>
      <c r="Q272" s="491"/>
      <c r="R272" s="491"/>
      <c r="S272" s="491"/>
      <c r="T272" s="491"/>
      <c r="U272" s="491"/>
      <c r="V272" s="491"/>
      <c r="W272" s="491"/>
      <c r="X272" s="491"/>
      <c r="Y272" s="491"/>
      <c r="Z272" s="491"/>
      <c r="AA272" s="491"/>
      <c r="AB272" s="491"/>
      <c r="AC272" s="491"/>
    </row>
    <row r="273" spans="1:29">
      <c r="A273" s="491"/>
      <c r="B273" s="491"/>
      <c r="C273" s="491"/>
      <c r="D273" s="491"/>
      <c r="E273" s="491"/>
      <c r="F273" s="491"/>
      <c r="G273" s="491"/>
      <c r="H273" s="491"/>
      <c r="I273" s="491"/>
      <c r="J273" s="491"/>
      <c r="K273" s="505"/>
      <c r="L273" s="506"/>
      <c r="M273" s="491"/>
      <c r="N273" s="491"/>
      <c r="O273" s="491"/>
      <c r="P273" s="491"/>
      <c r="Q273" s="491"/>
      <c r="R273" s="491"/>
      <c r="S273" s="491"/>
      <c r="T273" s="491"/>
      <c r="U273" s="491"/>
      <c r="V273" s="491"/>
      <c r="W273" s="491"/>
      <c r="X273" s="491"/>
      <c r="Y273" s="491"/>
      <c r="Z273" s="491"/>
      <c r="AA273" s="491"/>
      <c r="AB273" s="491"/>
      <c r="AC273" s="491"/>
    </row>
    <row r="274" spans="1:29">
      <c r="A274" s="491"/>
      <c r="B274" s="491"/>
      <c r="C274" s="491"/>
      <c r="D274" s="491"/>
      <c r="E274" s="491"/>
      <c r="F274" s="491"/>
      <c r="G274" s="491"/>
      <c r="H274" s="491"/>
      <c r="I274" s="491"/>
      <c r="J274" s="491"/>
      <c r="K274" s="505"/>
      <c r="L274" s="506"/>
      <c r="M274" s="491"/>
      <c r="N274" s="491"/>
      <c r="O274" s="491"/>
      <c r="P274" s="491"/>
      <c r="Q274" s="491"/>
      <c r="R274" s="491"/>
      <c r="S274" s="491"/>
      <c r="T274" s="491"/>
      <c r="U274" s="491"/>
      <c r="V274" s="491"/>
      <c r="W274" s="491"/>
      <c r="X274" s="491"/>
      <c r="Y274" s="491"/>
      <c r="Z274" s="491"/>
      <c r="AA274" s="491"/>
      <c r="AB274" s="491"/>
      <c r="AC274" s="491"/>
    </row>
    <row r="275" spans="1:29">
      <c r="A275" s="491"/>
      <c r="B275" s="491"/>
      <c r="C275" s="491"/>
      <c r="D275" s="491"/>
      <c r="E275" s="491"/>
      <c r="F275" s="491"/>
      <c r="G275" s="491"/>
      <c r="H275" s="491"/>
      <c r="I275" s="491"/>
      <c r="J275" s="491"/>
      <c r="K275" s="505"/>
      <c r="L275" s="506"/>
      <c r="M275" s="491"/>
      <c r="N275" s="491"/>
      <c r="O275" s="491"/>
      <c r="P275" s="491"/>
      <c r="Q275" s="491"/>
      <c r="R275" s="491"/>
      <c r="S275" s="491"/>
      <c r="T275" s="491"/>
      <c r="U275" s="491"/>
      <c r="V275" s="491"/>
      <c r="W275" s="491"/>
      <c r="X275" s="491"/>
      <c r="Y275" s="491"/>
      <c r="Z275" s="491"/>
      <c r="AA275" s="491"/>
      <c r="AB275" s="491"/>
      <c r="AC275" s="491"/>
    </row>
    <row r="276" spans="1:29">
      <c r="A276" s="491"/>
      <c r="B276" s="491"/>
      <c r="C276" s="491"/>
      <c r="D276" s="491"/>
      <c r="E276" s="491"/>
      <c r="F276" s="491"/>
      <c r="G276" s="491"/>
      <c r="H276" s="491"/>
      <c r="I276" s="491"/>
      <c r="J276" s="491"/>
      <c r="K276" s="505"/>
      <c r="L276" s="506"/>
      <c r="M276" s="491"/>
      <c r="N276" s="491"/>
      <c r="O276" s="491"/>
      <c r="P276" s="491"/>
      <c r="Q276" s="491"/>
      <c r="R276" s="491"/>
      <c r="S276" s="491"/>
      <c r="T276" s="491"/>
      <c r="U276" s="491"/>
      <c r="V276" s="491"/>
      <c r="W276" s="491"/>
      <c r="X276" s="491"/>
      <c r="Y276" s="491"/>
      <c r="Z276" s="491"/>
      <c r="AA276" s="491"/>
      <c r="AB276" s="491"/>
      <c r="AC276" s="491"/>
    </row>
    <row r="277" spans="1:29">
      <c r="A277" s="491"/>
      <c r="B277" s="491"/>
      <c r="C277" s="491"/>
      <c r="D277" s="491"/>
      <c r="E277" s="491"/>
      <c r="F277" s="491"/>
      <c r="G277" s="491"/>
      <c r="H277" s="491"/>
      <c r="I277" s="491"/>
      <c r="J277" s="491"/>
      <c r="K277" s="505"/>
      <c r="L277" s="506"/>
      <c r="M277" s="491"/>
      <c r="N277" s="491"/>
      <c r="O277" s="491"/>
      <c r="P277" s="491"/>
      <c r="Q277" s="491"/>
      <c r="R277" s="491"/>
      <c r="S277" s="491"/>
      <c r="T277" s="491"/>
      <c r="U277" s="491"/>
      <c r="V277" s="491"/>
      <c r="W277" s="491"/>
      <c r="X277" s="491"/>
      <c r="Y277" s="491"/>
      <c r="Z277" s="491"/>
      <c r="AA277" s="491"/>
      <c r="AB277" s="491"/>
      <c r="AC277" s="491"/>
    </row>
    <row r="278" spans="1:29">
      <c r="A278" s="491"/>
      <c r="B278" s="491"/>
      <c r="C278" s="491"/>
      <c r="D278" s="491"/>
      <c r="E278" s="491"/>
      <c r="F278" s="491"/>
      <c r="G278" s="491"/>
      <c r="H278" s="491"/>
      <c r="I278" s="491"/>
      <c r="J278" s="491"/>
      <c r="K278" s="505"/>
      <c r="L278" s="506"/>
      <c r="M278" s="491"/>
      <c r="N278" s="491"/>
      <c r="O278" s="491"/>
      <c r="P278" s="491"/>
      <c r="Q278" s="491"/>
      <c r="R278" s="491"/>
      <c r="S278" s="491"/>
      <c r="T278" s="491"/>
      <c r="U278" s="491"/>
      <c r="V278" s="491"/>
      <c r="W278" s="491"/>
      <c r="X278" s="491"/>
      <c r="Y278" s="491"/>
      <c r="Z278" s="491"/>
      <c r="AA278" s="491"/>
      <c r="AB278" s="491"/>
      <c r="AC278" s="491"/>
    </row>
    <row r="279" spans="1:29">
      <c r="A279" s="491"/>
      <c r="B279" s="491"/>
      <c r="C279" s="491"/>
      <c r="D279" s="491"/>
      <c r="E279" s="491"/>
      <c r="F279" s="491"/>
      <c r="G279" s="491"/>
      <c r="H279" s="491"/>
      <c r="I279" s="491"/>
      <c r="J279" s="491"/>
      <c r="K279" s="505"/>
      <c r="L279" s="506"/>
      <c r="M279" s="491"/>
      <c r="N279" s="491"/>
      <c r="O279" s="491"/>
      <c r="P279" s="491"/>
      <c r="Q279" s="491"/>
      <c r="R279" s="491"/>
      <c r="S279" s="491"/>
      <c r="T279" s="491"/>
      <c r="U279" s="491"/>
      <c r="V279" s="491"/>
      <c r="W279" s="491"/>
      <c r="X279" s="491"/>
      <c r="Y279" s="491"/>
      <c r="Z279" s="491"/>
      <c r="AA279" s="491"/>
      <c r="AB279" s="491"/>
      <c r="AC279" s="491"/>
    </row>
    <row r="280" spans="1:29">
      <c r="A280" s="491"/>
      <c r="B280" s="491"/>
      <c r="C280" s="491"/>
      <c r="D280" s="491"/>
      <c r="E280" s="491"/>
      <c r="F280" s="491"/>
      <c r="G280" s="491"/>
      <c r="H280" s="491"/>
      <c r="I280" s="491"/>
      <c r="J280" s="491"/>
      <c r="K280" s="505"/>
      <c r="L280" s="506"/>
      <c r="M280" s="491"/>
      <c r="N280" s="491"/>
      <c r="O280" s="491"/>
      <c r="P280" s="491"/>
      <c r="Q280" s="491"/>
      <c r="R280" s="491"/>
      <c r="S280" s="491"/>
      <c r="T280" s="491"/>
      <c r="U280" s="491"/>
      <c r="V280" s="491"/>
      <c r="W280" s="491"/>
      <c r="X280" s="491"/>
      <c r="Y280" s="491"/>
      <c r="Z280" s="491"/>
      <c r="AA280" s="491"/>
      <c r="AB280" s="491"/>
      <c r="AC280" s="491"/>
    </row>
    <row r="281" spans="1:29">
      <c r="A281" s="491"/>
      <c r="B281" s="491"/>
      <c r="C281" s="491"/>
      <c r="D281" s="491"/>
      <c r="E281" s="491"/>
      <c r="F281" s="491"/>
      <c r="G281" s="491"/>
      <c r="H281" s="491"/>
      <c r="I281" s="491"/>
      <c r="J281" s="491"/>
      <c r="K281" s="505"/>
      <c r="L281" s="506"/>
      <c r="M281" s="491"/>
      <c r="N281" s="491"/>
      <c r="O281" s="491"/>
      <c r="P281" s="491"/>
      <c r="Q281" s="491"/>
      <c r="R281" s="491"/>
      <c r="S281" s="491"/>
      <c r="T281" s="491"/>
      <c r="U281" s="491"/>
      <c r="V281" s="491"/>
      <c r="W281" s="491"/>
      <c r="X281" s="491"/>
      <c r="Y281" s="491"/>
      <c r="Z281" s="491"/>
      <c r="AA281" s="491"/>
      <c r="AB281" s="491"/>
      <c r="AC281" s="491"/>
    </row>
    <row r="282" spans="1:29">
      <c r="A282" s="491"/>
      <c r="B282" s="491"/>
      <c r="C282" s="491"/>
      <c r="D282" s="491"/>
      <c r="E282" s="491"/>
      <c r="F282" s="491"/>
      <c r="G282" s="491"/>
      <c r="H282" s="491"/>
      <c r="I282" s="491"/>
      <c r="J282" s="491"/>
      <c r="K282" s="505"/>
      <c r="L282" s="506"/>
      <c r="M282" s="491"/>
      <c r="N282" s="491"/>
      <c r="O282" s="491"/>
      <c r="P282" s="491"/>
      <c r="Q282" s="491"/>
      <c r="R282" s="491"/>
      <c r="S282" s="491"/>
      <c r="T282" s="491"/>
      <c r="U282" s="491"/>
      <c r="V282" s="491"/>
      <c r="W282" s="491"/>
      <c r="X282" s="491"/>
      <c r="Y282" s="491"/>
      <c r="Z282" s="491"/>
      <c r="AA282" s="491"/>
      <c r="AB282" s="491"/>
      <c r="AC282" s="491"/>
    </row>
    <row r="283" spans="1:29">
      <c r="A283" s="491"/>
      <c r="B283" s="491"/>
      <c r="C283" s="491"/>
      <c r="D283" s="491"/>
      <c r="E283" s="491"/>
      <c r="F283" s="491"/>
      <c r="G283" s="491"/>
      <c r="H283" s="491"/>
      <c r="I283" s="491"/>
      <c r="J283" s="491"/>
      <c r="K283" s="505"/>
      <c r="L283" s="506"/>
      <c r="M283" s="491"/>
      <c r="N283" s="491"/>
      <c r="O283" s="491"/>
      <c r="P283" s="491"/>
      <c r="Q283" s="491"/>
      <c r="R283" s="491"/>
      <c r="S283" s="491"/>
      <c r="T283" s="491"/>
      <c r="U283" s="491"/>
      <c r="V283" s="491"/>
      <c r="W283" s="491"/>
      <c r="X283" s="491"/>
      <c r="Y283" s="491"/>
      <c r="Z283" s="491"/>
      <c r="AA283" s="491"/>
      <c r="AB283" s="491"/>
      <c r="AC283" s="491"/>
    </row>
    <row r="284" spans="1:29">
      <c r="A284" s="491"/>
      <c r="B284" s="491"/>
      <c r="C284" s="491"/>
      <c r="D284" s="491"/>
      <c r="E284" s="491"/>
      <c r="F284" s="491"/>
      <c r="G284" s="491"/>
      <c r="H284" s="491"/>
      <c r="I284" s="491"/>
      <c r="J284" s="491"/>
      <c r="K284" s="505"/>
      <c r="L284" s="506"/>
      <c r="M284" s="491"/>
      <c r="N284" s="491"/>
      <c r="O284" s="491"/>
      <c r="P284" s="491"/>
      <c r="Q284" s="491"/>
      <c r="R284" s="491"/>
      <c r="S284" s="491"/>
      <c r="T284" s="491"/>
      <c r="U284" s="491"/>
      <c r="V284" s="491"/>
      <c r="W284" s="491"/>
      <c r="X284" s="491"/>
      <c r="Y284" s="491"/>
      <c r="Z284" s="491"/>
      <c r="AA284" s="491"/>
      <c r="AB284" s="491"/>
      <c r="AC284" s="491"/>
    </row>
    <row r="285" spans="1:29">
      <c r="A285" s="491"/>
      <c r="B285" s="491"/>
      <c r="C285" s="491"/>
      <c r="D285" s="491"/>
      <c r="E285" s="491"/>
      <c r="F285" s="491"/>
      <c r="G285" s="491"/>
      <c r="H285" s="491"/>
      <c r="I285" s="491"/>
      <c r="J285" s="491"/>
      <c r="K285" s="505"/>
      <c r="L285" s="506"/>
      <c r="M285" s="491"/>
      <c r="N285" s="491"/>
      <c r="O285" s="491"/>
      <c r="P285" s="491"/>
      <c r="Q285" s="491"/>
      <c r="R285" s="491"/>
      <c r="S285" s="491"/>
      <c r="T285" s="491"/>
      <c r="U285" s="491"/>
      <c r="V285" s="491"/>
      <c r="W285" s="491"/>
      <c r="X285" s="491"/>
      <c r="Y285" s="491"/>
      <c r="Z285" s="491"/>
      <c r="AA285" s="491"/>
      <c r="AB285" s="491"/>
      <c r="AC285" s="491"/>
    </row>
    <row r="286" spans="1:29">
      <c r="A286" s="491"/>
      <c r="B286" s="491"/>
      <c r="C286" s="491"/>
      <c r="D286" s="491"/>
      <c r="E286" s="491"/>
      <c r="F286" s="491"/>
      <c r="G286" s="491"/>
      <c r="H286" s="491"/>
      <c r="I286" s="491"/>
      <c r="J286" s="491"/>
      <c r="K286" s="505"/>
      <c r="L286" s="506"/>
      <c r="M286" s="491"/>
      <c r="N286" s="491"/>
      <c r="O286" s="491"/>
      <c r="P286" s="491"/>
      <c r="Q286" s="491"/>
      <c r="R286" s="491"/>
      <c r="S286" s="491"/>
      <c r="T286" s="491"/>
      <c r="U286" s="491"/>
      <c r="V286" s="491"/>
      <c r="W286" s="491"/>
      <c r="X286" s="491"/>
      <c r="Y286" s="491"/>
      <c r="Z286" s="491"/>
      <c r="AA286" s="491"/>
      <c r="AB286" s="491"/>
      <c r="AC286" s="491"/>
    </row>
    <row r="287" spans="1:29">
      <c r="A287" s="491"/>
      <c r="B287" s="491"/>
      <c r="C287" s="491"/>
      <c r="D287" s="491"/>
      <c r="E287" s="491"/>
      <c r="F287" s="491"/>
      <c r="G287" s="491"/>
      <c r="H287" s="491"/>
      <c r="I287" s="491"/>
      <c r="J287" s="491"/>
      <c r="K287" s="505"/>
      <c r="L287" s="506"/>
      <c r="M287" s="491"/>
      <c r="N287" s="491"/>
      <c r="O287" s="491"/>
      <c r="P287" s="491"/>
      <c r="Q287" s="491"/>
      <c r="R287" s="491"/>
      <c r="S287" s="491"/>
      <c r="T287" s="491"/>
      <c r="U287" s="491"/>
      <c r="V287" s="491"/>
      <c r="W287" s="491"/>
      <c r="X287" s="491"/>
      <c r="Y287" s="491"/>
      <c r="Z287" s="491"/>
      <c r="AA287" s="491"/>
      <c r="AB287" s="491"/>
      <c r="AC287" s="491"/>
    </row>
    <row r="288" spans="1:29">
      <c r="A288" s="491"/>
      <c r="B288" s="491"/>
      <c r="C288" s="491"/>
      <c r="D288" s="491"/>
      <c r="E288" s="491"/>
      <c r="F288" s="491"/>
      <c r="G288" s="491"/>
      <c r="H288" s="491"/>
      <c r="I288" s="491"/>
      <c r="J288" s="491"/>
      <c r="K288" s="505"/>
      <c r="L288" s="506"/>
      <c r="M288" s="491"/>
      <c r="N288" s="491"/>
      <c r="O288" s="491"/>
      <c r="P288" s="491"/>
      <c r="Q288" s="491"/>
      <c r="R288" s="491"/>
      <c r="S288" s="491"/>
      <c r="T288" s="491"/>
      <c r="U288" s="491"/>
      <c r="V288" s="491"/>
      <c r="W288" s="491"/>
      <c r="X288" s="491"/>
      <c r="Y288" s="491"/>
      <c r="Z288" s="491"/>
      <c r="AA288" s="491"/>
      <c r="AB288" s="491"/>
      <c r="AC288" s="491"/>
    </row>
    <row r="289" spans="1:29">
      <c r="A289" s="491"/>
      <c r="B289" s="491"/>
      <c r="C289" s="491"/>
      <c r="D289" s="491"/>
      <c r="E289" s="491"/>
      <c r="F289" s="491"/>
      <c r="G289" s="491"/>
      <c r="H289" s="491"/>
      <c r="I289" s="491"/>
      <c r="J289" s="491"/>
      <c r="K289" s="505"/>
      <c r="L289" s="506"/>
      <c r="M289" s="491"/>
      <c r="N289" s="491"/>
      <c r="O289" s="491"/>
      <c r="P289" s="491"/>
      <c r="Q289" s="491"/>
      <c r="R289" s="491"/>
      <c r="S289" s="491"/>
      <c r="T289" s="491"/>
      <c r="U289" s="491"/>
      <c r="V289" s="491"/>
      <c r="W289" s="491"/>
      <c r="X289" s="491"/>
      <c r="Y289" s="491"/>
      <c r="Z289" s="491"/>
      <c r="AA289" s="491"/>
      <c r="AB289" s="491"/>
      <c r="AC289" s="491"/>
    </row>
    <row r="290" spans="1:29">
      <c r="A290" s="491"/>
      <c r="B290" s="491"/>
      <c r="C290" s="491"/>
      <c r="D290" s="491"/>
      <c r="E290" s="491"/>
      <c r="F290" s="491"/>
      <c r="G290" s="491"/>
      <c r="H290" s="491"/>
      <c r="I290" s="491"/>
      <c r="J290" s="491"/>
      <c r="K290" s="505"/>
      <c r="L290" s="506"/>
      <c r="M290" s="491"/>
      <c r="N290" s="491"/>
      <c r="O290" s="491"/>
      <c r="P290" s="491"/>
      <c r="Q290" s="491"/>
      <c r="R290" s="491"/>
      <c r="S290" s="491"/>
      <c r="T290" s="491"/>
      <c r="U290" s="491"/>
      <c r="V290" s="491"/>
      <c r="W290" s="491"/>
      <c r="X290" s="491"/>
      <c r="Y290" s="491"/>
      <c r="Z290" s="491"/>
      <c r="AA290" s="491"/>
      <c r="AB290" s="491"/>
      <c r="AC290" s="491"/>
    </row>
    <row r="291" spans="1:29">
      <c r="A291" s="491"/>
      <c r="B291" s="491"/>
      <c r="C291" s="491"/>
      <c r="D291" s="491"/>
      <c r="E291" s="491"/>
      <c r="F291" s="491"/>
      <c r="G291" s="491"/>
      <c r="H291" s="491"/>
      <c r="I291" s="491"/>
      <c r="J291" s="491"/>
      <c r="K291" s="505"/>
      <c r="L291" s="506"/>
      <c r="M291" s="491"/>
      <c r="N291" s="491"/>
      <c r="O291" s="491"/>
      <c r="P291" s="491"/>
      <c r="Q291" s="491"/>
      <c r="R291" s="491"/>
      <c r="S291" s="491"/>
      <c r="T291" s="491"/>
      <c r="U291" s="491"/>
      <c r="V291" s="491"/>
      <c r="W291" s="491"/>
      <c r="X291" s="491"/>
      <c r="Y291" s="491"/>
      <c r="Z291" s="491"/>
      <c r="AA291" s="491"/>
      <c r="AB291" s="491"/>
      <c r="AC291" s="491"/>
    </row>
    <row r="292" spans="1:29">
      <c r="A292" s="491"/>
      <c r="B292" s="491"/>
      <c r="C292" s="491"/>
      <c r="D292" s="491"/>
      <c r="E292" s="491"/>
      <c r="F292" s="491"/>
      <c r="G292" s="491"/>
      <c r="H292" s="491"/>
      <c r="I292" s="491"/>
      <c r="J292" s="491"/>
      <c r="K292" s="505"/>
      <c r="L292" s="506"/>
      <c r="M292" s="491"/>
      <c r="N292" s="491"/>
      <c r="O292" s="491"/>
      <c r="P292" s="491"/>
      <c r="Q292" s="491"/>
      <c r="R292" s="491"/>
      <c r="S292" s="491"/>
      <c r="T292" s="491"/>
      <c r="U292" s="491"/>
      <c r="V292" s="491"/>
      <c r="W292" s="491"/>
      <c r="X292" s="491"/>
      <c r="Y292" s="491"/>
      <c r="Z292" s="491"/>
      <c r="AA292" s="491"/>
      <c r="AB292" s="491"/>
      <c r="AC292" s="491"/>
    </row>
    <row r="293" spans="1:29">
      <c r="A293" s="491"/>
      <c r="B293" s="491"/>
      <c r="C293" s="491"/>
      <c r="D293" s="491"/>
      <c r="E293" s="491"/>
      <c r="F293" s="491"/>
      <c r="G293" s="491"/>
      <c r="H293" s="491"/>
      <c r="I293" s="491"/>
      <c r="J293" s="491"/>
      <c r="K293" s="505"/>
      <c r="L293" s="506"/>
      <c r="M293" s="491"/>
      <c r="N293" s="491"/>
      <c r="O293" s="491"/>
      <c r="P293" s="491"/>
      <c r="Q293" s="491"/>
      <c r="R293" s="491"/>
      <c r="S293" s="491"/>
      <c r="T293" s="491"/>
      <c r="U293" s="491"/>
      <c r="V293" s="491"/>
      <c r="W293" s="491"/>
      <c r="X293" s="491"/>
      <c r="Y293" s="491"/>
      <c r="Z293" s="491"/>
      <c r="AA293" s="491"/>
      <c r="AB293" s="491"/>
      <c r="AC293" s="491"/>
    </row>
    <row r="294" spans="1:29">
      <c r="A294" s="491"/>
      <c r="B294" s="491"/>
      <c r="C294" s="491"/>
      <c r="D294" s="491"/>
      <c r="E294" s="491"/>
      <c r="F294" s="491"/>
      <c r="G294" s="491"/>
      <c r="H294" s="491"/>
      <c r="I294" s="491"/>
      <c r="J294" s="491"/>
      <c r="K294" s="505"/>
      <c r="L294" s="506"/>
      <c r="M294" s="491"/>
      <c r="N294" s="491"/>
      <c r="O294" s="491"/>
      <c r="P294" s="491"/>
      <c r="Q294" s="491"/>
      <c r="R294" s="491"/>
      <c r="S294" s="491"/>
      <c r="T294" s="491"/>
      <c r="U294" s="491"/>
      <c r="V294" s="491"/>
      <c r="W294" s="491"/>
      <c r="X294" s="491"/>
      <c r="Y294" s="491"/>
      <c r="Z294" s="491"/>
      <c r="AA294" s="491"/>
      <c r="AB294" s="491"/>
      <c r="AC294" s="491"/>
    </row>
    <row r="295" spans="1:29">
      <c r="A295" s="491"/>
      <c r="B295" s="491"/>
      <c r="C295" s="491"/>
      <c r="D295" s="491"/>
      <c r="E295" s="491"/>
      <c r="F295" s="491"/>
      <c r="G295" s="491"/>
      <c r="H295" s="491"/>
      <c r="I295" s="491"/>
      <c r="J295" s="491"/>
      <c r="K295" s="505"/>
      <c r="L295" s="506"/>
      <c r="M295" s="491"/>
      <c r="N295" s="491"/>
      <c r="O295" s="491"/>
      <c r="P295" s="491"/>
      <c r="Q295" s="491"/>
      <c r="R295" s="491"/>
      <c r="S295" s="491"/>
      <c r="T295" s="491"/>
      <c r="U295" s="491"/>
      <c r="V295" s="491"/>
      <c r="W295" s="491"/>
      <c r="X295" s="491"/>
      <c r="Y295" s="491"/>
      <c r="Z295" s="491"/>
      <c r="AA295" s="491"/>
      <c r="AB295" s="491"/>
      <c r="AC295" s="491"/>
    </row>
    <row r="296" spans="1:29">
      <c r="A296" s="491"/>
      <c r="B296" s="491"/>
      <c r="C296" s="491"/>
      <c r="D296" s="491"/>
      <c r="E296" s="491"/>
      <c r="F296" s="491"/>
      <c r="G296" s="491"/>
      <c r="H296" s="491"/>
      <c r="I296" s="491"/>
      <c r="J296" s="491"/>
      <c r="K296" s="505"/>
      <c r="L296" s="506"/>
      <c r="M296" s="491"/>
      <c r="N296" s="491"/>
      <c r="O296" s="491"/>
      <c r="P296" s="491"/>
      <c r="Q296" s="491"/>
      <c r="R296" s="491"/>
      <c r="S296" s="491"/>
      <c r="T296" s="491"/>
      <c r="U296" s="491"/>
      <c r="V296" s="491"/>
      <c r="W296" s="491"/>
      <c r="X296" s="491"/>
      <c r="Y296" s="491"/>
      <c r="Z296" s="491"/>
      <c r="AA296" s="491"/>
      <c r="AB296" s="491"/>
      <c r="AC296" s="491"/>
    </row>
    <row r="297" spans="1:29">
      <c r="A297" s="491"/>
      <c r="B297" s="491"/>
      <c r="C297" s="491"/>
      <c r="D297" s="491"/>
      <c r="E297" s="491"/>
      <c r="F297" s="491"/>
      <c r="G297" s="491"/>
      <c r="H297" s="491"/>
      <c r="I297" s="491"/>
      <c r="J297" s="491"/>
      <c r="K297" s="505"/>
      <c r="L297" s="506"/>
      <c r="M297" s="491"/>
      <c r="N297" s="491"/>
      <c r="O297" s="491"/>
      <c r="P297" s="491"/>
      <c r="Q297" s="491"/>
      <c r="R297" s="491"/>
      <c r="S297" s="491"/>
      <c r="T297" s="491"/>
      <c r="U297" s="491"/>
      <c r="V297" s="491"/>
      <c r="W297" s="491"/>
      <c r="X297" s="491"/>
      <c r="Y297" s="491"/>
      <c r="Z297" s="491"/>
      <c r="AA297" s="491"/>
      <c r="AB297" s="491"/>
      <c r="AC297" s="491"/>
    </row>
    <row r="298" spans="1:29">
      <c r="A298" s="491"/>
      <c r="B298" s="491"/>
      <c r="C298" s="491"/>
      <c r="D298" s="491"/>
      <c r="E298" s="491"/>
      <c r="F298" s="491"/>
      <c r="G298" s="491"/>
      <c r="H298" s="491"/>
      <c r="I298" s="491"/>
      <c r="J298" s="491"/>
      <c r="K298" s="505"/>
      <c r="L298" s="506"/>
      <c r="M298" s="491"/>
      <c r="N298" s="491"/>
      <c r="O298" s="491"/>
      <c r="P298" s="491"/>
      <c r="Q298" s="491"/>
      <c r="R298" s="491"/>
      <c r="S298" s="491"/>
      <c r="T298" s="491"/>
      <c r="U298" s="491"/>
      <c r="V298" s="491"/>
      <c r="W298" s="491"/>
      <c r="X298" s="491"/>
      <c r="Y298" s="491"/>
      <c r="Z298" s="491"/>
      <c r="AA298" s="491"/>
      <c r="AB298" s="491"/>
      <c r="AC298" s="491"/>
    </row>
    <row r="299" spans="1:29">
      <c r="A299" s="491"/>
      <c r="B299" s="491"/>
      <c r="C299" s="491"/>
      <c r="D299" s="491"/>
      <c r="E299" s="491"/>
      <c r="F299" s="491"/>
      <c r="G299" s="491"/>
      <c r="H299" s="491"/>
      <c r="I299" s="491"/>
      <c r="J299" s="491"/>
      <c r="K299" s="505"/>
      <c r="L299" s="506"/>
      <c r="M299" s="491"/>
      <c r="N299" s="491"/>
      <c r="O299" s="491"/>
      <c r="P299" s="491"/>
      <c r="Q299" s="491"/>
      <c r="R299" s="491"/>
      <c r="S299" s="491"/>
      <c r="T299" s="491"/>
      <c r="U299" s="491"/>
      <c r="V299" s="491"/>
      <c r="W299" s="491"/>
      <c r="X299" s="491"/>
      <c r="Y299" s="491"/>
      <c r="Z299" s="491"/>
      <c r="AA299" s="491"/>
      <c r="AB299" s="491"/>
      <c r="AC299" s="491"/>
    </row>
    <row r="300" spans="1:29">
      <c r="A300" s="491"/>
      <c r="B300" s="491"/>
      <c r="C300" s="491"/>
      <c r="D300" s="491"/>
      <c r="E300" s="491"/>
      <c r="F300" s="491"/>
      <c r="G300" s="491"/>
      <c r="H300" s="491"/>
      <c r="I300" s="491"/>
      <c r="J300" s="491"/>
      <c r="K300" s="505"/>
      <c r="L300" s="506"/>
      <c r="M300" s="491"/>
      <c r="N300" s="491"/>
      <c r="O300" s="491"/>
      <c r="P300" s="491"/>
      <c r="Q300" s="491"/>
      <c r="R300" s="491"/>
      <c r="S300" s="491"/>
      <c r="T300" s="491"/>
      <c r="U300" s="491"/>
      <c r="V300" s="491"/>
      <c r="W300" s="491"/>
      <c r="X300" s="491"/>
      <c r="Y300" s="491"/>
      <c r="Z300" s="491"/>
      <c r="AA300" s="491"/>
      <c r="AB300" s="491"/>
      <c r="AC300" s="491"/>
    </row>
    <row r="301" spans="1:29">
      <c r="A301" s="491"/>
      <c r="B301" s="491"/>
      <c r="C301" s="491"/>
      <c r="D301" s="491"/>
      <c r="E301" s="491"/>
      <c r="F301" s="491"/>
      <c r="G301" s="491"/>
      <c r="H301" s="491"/>
      <c r="I301" s="491"/>
      <c r="J301" s="491"/>
      <c r="K301" s="505"/>
      <c r="L301" s="506"/>
      <c r="M301" s="491"/>
      <c r="N301" s="491"/>
      <c r="O301" s="491"/>
      <c r="P301" s="491"/>
      <c r="Q301" s="491"/>
      <c r="R301" s="491"/>
      <c r="S301" s="491"/>
      <c r="T301" s="491"/>
      <c r="U301" s="491"/>
      <c r="V301" s="491"/>
      <c r="W301" s="491"/>
      <c r="X301" s="491"/>
      <c r="Y301" s="491"/>
      <c r="Z301" s="491"/>
      <c r="AA301" s="491"/>
      <c r="AB301" s="491"/>
      <c r="AC301" s="491"/>
    </row>
    <row r="302" spans="1:29">
      <c r="A302" s="491"/>
      <c r="B302" s="491"/>
      <c r="C302" s="491"/>
      <c r="D302" s="491"/>
      <c r="E302" s="491"/>
      <c r="F302" s="491"/>
      <c r="G302" s="491"/>
      <c r="H302" s="491"/>
      <c r="I302" s="491"/>
      <c r="J302" s="491"/>
      <c r="K302" s="505"/>
      <c r="L302" s="506"/>
      <c r="M302" s="491"/>
      <c r="N302" s="491"/>
      <c r="O302" s="491"/>
      <c r="P302" s="491"/>
      <c r="Q302" s="491"/>
      <c r="R302" s="491"/>
      <c r="S302" s="491"/>
      <c r="T302" s="491"/>
      <c r="U302" s="491"/>
      <c r="V302" s="491"/>
      <c r="W302" s="491"/>
      <c r="X302" s="491"/>
      <c r="Y302" s="491"/>
      <c r="Z302" s="491"/>
      <c r="AA302" s="491"/>
      <c r="AB302" s="491"/>
      <c r="AC302" s="491"/>
    </row>
    <row r="303" spans="1:29">
      <c r="A303" s="491"/>
      <c r="B303" s="491"/>
      <c r="C303" s="491"/>
      <c r="D303" s="491"/>
      <c r="E303" s="491"/>
      <c r="F303" s="491"/>
      <c r="G303" s="491"/>
      <c r="H303" s="491"/>
      <c r="I303" s="491"/>
      <c r="J303" s="491"/>
      <c r="K303" s="505"/>
      <c r="L303" s="506"/>
      <c r="M303" s="491"/>
      <c r="N303" s="491"/>
      <c r="O303" s="491"/>
      <c r="P303" s="491"/>
      <c r="Q303" s="491"/>
      <c r="R303" s="491"/>
      <c r="S303" s="491"/>
      <c r="T303" s="491"/>
      <c r="U303" s="491"/>
      <c r="V303" s="491"/>
      <c r="W303" s="491"/>
      <c r="X303" s="491"/>
      <c r="Y303" s="491"/>
      <c r="Z303" s="491"/>
      <c r="AA303" s="491"/>
      <c r="AB303" s="491"/>
      <c r="AC303" s="491"/>
    </row>
    <row r="304" spans="1:29">
      <c r="A304" s="491"/>
      <c r="B304" s="491"/>
      <c r="C304" s="491"/>
      <c r="D304" s="491"/>
      <c r="E304" s="491"/>
      <c r="F304" s="491"/>
      <c r="G304" s="491"/>
      <c r="H304" s="491"/>
      <c r="I304" s="491"/>
      <c r="J304" s="491"/>
      <c r="K304" s="505"/>
      <c r="L304" s="506"/>
      <c r="M304" s="491"/>
      <c r="N304" s="491"/>
      <c r="O304" s="491"/>
      <c r="P304" s="491"/>
      <c r="Q304" s="491"/>
      <c r="R304" s="491"/>
      <c r="S304" s="491"/>
      <c r="T304" s="491"/>
      <c r="U304" s="491"/>
      <c r="V304" s="491"/>
      <c r="W304" s="491"/>
      <c r="X304" s="491"/>
      <c r="Y304" s="491"/>
      <c r="Z304" s="491"/>
      <c r="AA304" s="491"/>
      <c r="AB304" s="491"/>
      <c r="AC304" s="491"/>
    </row>
    <row r="305" spans="1:29">
      <c r="A305" s="491"/>
      <c r="B305" s="491"/>
      <c r="C305" s="491"/>
      <c r="D305" s="491"/>
      <c r="E305" s="491"/>
      <c r="F305" s="491"/>
      <c r="G305" s="491"/>
      <c r="H305" s="491"/>
      <c r="I305" s="491"/>
      <c r="J305" s="491"/>
      <c r="K305" s="505"/>
      <c r="L305" s="506"/>
      <c r="M305" s="491"/>
      <c r="N305" s="491"/>
      <c r="O305" s="491"/>
      <c r="P305" s="491"/>
      <c r="Q305" s="491"/>
      <c r="R305" s="491"/>
      <c r="S305" s="491"/>
      <c r="T305" s="491"/>
      <c r="U305" s="491"/>
      <c r="V305" s="491"/>
      <c r="W305" s="491"/>
      <c r="X305" s="491"/>
      <c r="Y305" s="491"/>
      <c r="Z305" s="491"/>
      <c r="AA305" s="491"/>
      <c r="AB305" s="491"/>
      <c r="AC305" s="491"/>
    </row>
    <row r="306" spans="1:29">
      <c r="A306" s="491"/>
      <c r="B306" s="491"/>
      <c r="C306" s="491"/>
      <c r="D306" s="491"/>
      <c r="E306" s="491"/>
      <c r="F306" s="491"/>
      <c r="G306" s="491"/>
      <c r="H306" s="491"/>
      <c r="I306" s="491"/>
      <c r="J306" s="491"/>
      <c r="K306" s="505"/>
      <c r="L306" s="506"/>
      <c r="M306" s="491"/>
      <c r="N306" s="491"/>
      <c r="O306" s="491"/>
      <c r="P306" s="491"/>
      <c r="Q306" s="491"/>
      <c r="R306" s="491"/>
      <c r="S306" s="491"/>
      <c r="T306" s="491"/>
      <c r="U306" s="491"/>
      <c r="V306" s="491"/>
      <c r="W306" s="491"/>
      <c r="X306" s="491"/>
      <c r="Y306" s="491"/>
      <c r="Z306" s="491"/>
      <c r="AA306" s="491"/>
      <c r="AB306" s="491"/>
      <c r="AC306" s="491"/>
    </row>
    <row r="307" spans="1:29">
      <c r="A307" s="491"/>
      <c r="B307" s="491"/>
      <c r="C307" s="491"/>
      <c r="D307" s="491"/>
      <c r="E307" s="491"/>
      <c r="F307" s="491"/>
      <c r="G307" s="491"/>
      <c r="H307" s="491"/>
      <c r="I307" s="491"/>
      <c r="J307" s="491"/>
      <c r="K307" s="505"/>
      <c r="L307" s="506"/>
      <c r="M307" s="491"/>
      <c r="N307" s="491"/>
      <c r="O307" s="491"/>
      <c r="P307" s="491"/>
      <c r="Q307" s="491"/>
      <c r="R307" s="491"/>
      <c r="S307" s="491"/>
      <c r="T307" s="491"/>
      <c r="U307" s="491"/>
      <c r="V307" s="491"/>
      <c r="W307" s="491"/>
      <c r="X307" s="491"/>
      <c r="Y307" s="491"/>
      <c r="Z307" s="491"/>
      <c r="AA307" s="491"/>
      <c r="AB307" s="491"/>
      <c r="AC307" s="491"/>
    </row>
    <row r="308" spans="1:29">
      <c r="A308" s="491"/>
      <c r="B308" s="491"/>
      <c r="C308" s="491"/>
      <c r="D308" s="491"/>
      <c r="E308" s="491"/>
      <c r="F308" s="491"/>
      <c r="G308" s="491"/>
      <c r="H308" s="491"/>
      <c r="I308" s="491"/>
      <c r="J308" s="491"/>
      <c r="K308" s="505"/>
      <c r="L308" s="506"/>
      <c r="M308" s="491"/>
      <c r="N308" s="491"/>
      <c r="O308" s="491"/>
      <c r="P308" s="491"/>
      <c r="Q308" s="491"/>
      <c r="R308" s="491"/>
      <c r="S308" s="491"/>
      <c r="T308" s="491"/>
      <c r="U308" s="491"/>
      <c r="V308" s="491"/>
      <c r="W308" s="491"/>
      <c r="X308" s="491"/>
      <c r="Y308" s="491"/>
      <c r="Z308" s="491"/>
      <c r="AA308" s="491"/>
      <c r="AB308" s="491"/>
      <c r="AC308" s="491"/>
    </row>
    <row r="309" spans="1:29">
      <c r="A309" s="491"/>
      <c r="B309" s="491"/>
      <c r="C309" s="491"/>
      <c r="D309" s="491"/>
      <c r="E309" s="491"/>
      <c r="F309" s="491"/>
      <c r="G309" s="491"/>
      <c r="H309" s="491"/>
      <c r="I309" s="491"/>
      <c r="J309" s="491"/>
      <c r="K309" s="505"/>
      <c r="L309" s="506"/>
      <c r="M309" s="491"/>
      <c r="N309" s="491"/>
      <c r="O309" s="491"/>
      <c r="P309" s="491"/>
      <c r="Q309" s="491"/>
      <c r="R309" s="491"/>
      <c r="S309" s="491"/>
      <c r="T309" s="491"/>
      <c r="U309" s="491"/>
      <c r="V309" s="491"/>
      <c r="W309" s="491"/>
      <c r="X309" s="491"/>
      <c r="Y309" s="491"/>
      <c r="Z309" s="491"/>
      <c r="AA309" s="491"/>
      <c r="AB309" s="491"/>
      <c r="AC309" s="491"/>
    </row>
    <row r="310" spans="1:29">
      <c r="A310" s="491"/>
      <c r="B310" s="491"/>
      <c r="C310" s="491"/>
      <c r="D310" s="491"/>
      <c r="E310" s="491"/>
      <c r="F310" s="491"/>
      <c r="G310" s="491"/>
      <c r="H310" s="491"/>
      <c r="I310" s="491"/>
      <c r="J310" s="491"/>
      <c r="K310" s="505"/>
      <c r="L310" s="506"/>
      <c r="M310" s="491"/>
      <c r="N310" s="491"/>
      <c r="O310" s="491"/>
      <c r="P310" s="491"/>
      <c r="Q310" s="491"/>
      <c r="R310" s="491"/>
      <c r="S310" s="491"/>
      <c r="T310" s="491"/>
      <c r="U310" s="491"/>
      <c r="V310" s="491"/>
      <c r="W310" s="491"/>
      <c r="X310" s="491"/>
      <c r="Y310" s="491"/>
      <c r="Z310" s="491"/>
      <c r="AA310" s="491"/>
      <c r="AB310" s="491"/>
      <c r="AC310" s="491"/>
    </row>
    <row r="311" spans="1:29">
      <c r="A311" s="491"/>
      <c r="B311" s="491"/>
      <c r="C311" s="491"/>
      <c r="D311" s="491"/>
      <c r="E311" s="491"/>
      <c r="F311" s="491"/>
      <c r="G311" s="491"/>
      <c r="H311" s="491"/>
      <c r="I311" s="491"/>
      <c r="J311" s="491"/>
      <c r="K311" s="505"/>
      <c r="L311" s="506"/>
      <c r="M311" s="491"/>
      <c r="N311" s="491"/>
      <c r="O311" s="491"/>
      <c r="P311" s="491"/>
      <c r="Q311" s="491"/>
      <c r="R311" s="491"/>
      <c r="S311" s="491"/>
      <c r="T311" s="491"/>
      <c r="U311" s="491"/>
      <c r="V311" s="491"/>
      <c r="W311" s="491"/>
      <c r="X311" s="491"/>
      <c r="Y311" s="491"/>
      <c r="Z311" s="491"/>
      <c r="AA311" s="491"/>
      <c r="AB311" s="491"/>
      <c r="AC311" s="491"/>
    </row>
    <row r="312" spans="1:29">
      <c r="A312" s="491"/>
      <c r="B312" s="491"/>
      <c r="C312" s="491"/>
      <c r="D312" s="491"/>
      <c r="E312" s="491"/>
      <c r="F312" s="491"/>
      <c r="G312" s="491"/>
      <c r="H312" s="491"/>
      <c r="I312" s="491"/>
      <c r="J312" s="491"/>
      <c r="K312" s="505"/>
      <c r="L312" s="506"/>
      <c r="M312" s="491"/>
      <c r="N312" s="491"/>
      <c r="O312" s="491"/>
      <c r="P312" s="491"/>
      <c r="Q312" s="491"/>
      <c r="R312" s="491"/>
      <c r="S312" s="491"/>
      <c r="T312" s="491"/>
      <c r="U312" s="491"/>
      <c r="V312" s="491"/>
      <c r="W312" s="491"/>
      <c r="X312" s="491"/>
      <c r="Y312" s="491"/>
      <c r="Z312" s="491"/>
      <c r="AA312" s="491"/>
      <c r="AB312" s="491"/>
      <c r="AC312" s="491"/>
    </row>
    <row r="313" spans="1:29">
      <c r="A313" s="491"/>
      <c r="B313" s="491"/>
      <c r="C313" s="491"/>
      <c r="D313" s="491"/>
      <c r="E313" s="491"/>
      <c r="F313" s="491"/>
      <c r="G313" s="491"/>
      <c r="H313" s="491"/>
      <c r="I313" s="491"/>
      <c r="J313" s="491"/>
      <c r="K313" s="505"/>
      <c r="L313" s="506"/>
      <c r="M313" s="491"/>
      <c r="N313" s="491"/>
      <c r="O313" s="491"/>
      <c r="P313" s="491"/>
      <c r="Q313" s="491"/>
      <c r="R313" s="491"/>
      <c r="S313" s="491"/>
      <c r="T313" s="491"/>
      <c r="U313" s="491"/>
      <c r="V313" s="491"/>
      <c r="W313" s="491"/>
      <c r="X313" s="491"/>
      <c r="Y313" s="491"/>
      <c r="Z313" s="491"/>
      <c r="AA313" s="491"/>
      <c r="AB313" s="491"/>
      <c r="AC313" s="491"/>
    </row>
    <row r="314" spans="1:29">
      <c r="A314" s="491"/>
      <c r="B314" s="491"/>
      <c r="C314" s="491"/>
      <c r="D314" s="491"/>
      <c r="E314" s="491"/>
      <c r="F314" s="491"/>
      <c r="G314" s="491"/>
      <c r="H314" s="491"/>
      <c r="I314" s="491"/>
      <c r="J314" s="491"/>
      <c r="K314" s="505"/>
      <c r="L314" s="506"/>
      <c r="M314" s="491"/>
      <c r="N314" s="491"/>
      <c r="O314" s="491"/>
      <c r="P314" s="491"/>
      <c r="Q314" s="491"/>
      <c r="R314" s="491"/>
      <c r="S314" s="491"/>
      <c r="T314" s="491"/>
      <c r="U314" s="491"/>
      <c r="V314" s="491"/>
      <c r="W314" s="491"/>
      <c r="X314" s="491"/>
      <c r="Y314" s="491"/>
      <c r="Z314" s="491"/>
      <c r="AA314" s="491"/>
      <c r="AB314" s="491"/>
      <c r="AC314" s="491"/>
    </row>
    <row r="315" spans="1:29">
      <c r="A315" s="491"/>
      <c r="B315" s="491"/>
      <c r="C315" s="491"/>
      <c r="D315" s="491"/>
      <c r="E315" s="491"/>
      <c r="F315" s="491"/>
      <c r="G315" s="491"/>
      <c r="H315" s="491"/>
      <c r="I315" s="491"/>
      <c r="J315" s="491"/>
      <c r="K315" s="505"/>
      <c r="L315" s="506"/>
      <c r="M315" s="491"/>
      <c r="N315" s="491"/>
      <c r="O315" s="491"/>
      <c r="P315" s="491"/>
      <c r="Q315" s="491"/>
      <c r="R315" s="491"/>
      <c r="S315" s="491"/>
      <c r="T315" s="491"/>
      <c r="U315" s="491"/>
      <c r="V315" s="491"/>
      <c r="W315" s="491"/>
      <c r="X315" s="491"/>
      <c r="Y315" s="491"/>
      <c r="Z315" s="491"/>
      <c r="AA315" s="491"/>
      <c r="AB315" s="491"/>
      <c r="AC315" s="491"/>
    </row>
    <row r="316" spans="1:29">
      <c r="A316" s="491"/>
      <c r="B316" s="491"/>
      <c r="C316" s="491"/>
      <c r="D316" s="491"/>
      <c r="E316" s="491"/>
      <c r="F316" s="491"/>
      <c r="G316" s="491"/>
      <c r="H316" s="491"/>
      <c r="I316" s="491"/>
      <c r="J316" s="491"/>
      <c r="K316" s="505"/>
      <c r="L316" s="506"/>
      <c r="M316" s="491"/>
      <c r="N316" s="491"/>
      <c r="O316" s="491"/>
      <c r="P316" s="491"/>
      <c r="Q316" s="491"/>
      <c r="R316" s="491"/>
      <c r="S316" s="491"/>
      <c r="T316" s="491"/>
      <c r="U316" s="491"/>
      <c r="V316" s="491"/>
      <c r="W316" s="491"/>
      <c r="X316" s="491"/>
      <c r="Y316" s="491"/>
      <c r="Z316" s="491"/>
      <c r="AA316" s="491"/>
      <c r="AB316" s="491"/>
      <c r="AC316" s="491"/>
    </row>
    <row r="317" spans="1:29">
      <c r="A317" s="491"/>
      <c r="B317" s="491"/>
      <c r="C317" s="491"/>
      <c r="D317" s="491"/>
      <c r="E317" s="491"/>
      <c r="F317" s="491"/>
      <c r="G317" s="491"/>
      <c r="H317" s="491"/>
      <c r="I317" s="491"/>
      <c r="J317" s="491"/>
      <c r="K317" s="505"/>
      <c r="L317" s="506"/>
      <c r="M317" s="491"/>
      <c r="N317" s="491"/>
      <c r="O317" s="491"/>
      <c r="P317" s="491"/>
      <c r="Q317" s="491"/>
      <c r="R317" s="491"/>
      <c r="S317" s="491"/>
      <c r="T317" s="491"/>
      <c r="U317" s="491"/>
      <c r="V317" s="491"/>
      <c r="W317" s="491"/>
      <c r="X317" s="491"/>
      <c r="Y317" s="491"/>
      <c r="Z317" s="491"/>
      <c r="AA317" s="491"/>
      <c r="AB317" s="491"/>
      <c r="AC317" s="491"/>
    </row>
    <row r="318" spans="1:29">
      <c r="A318" s="491"/>
      <c r="B318" s="491"/>
      <c r="C318" s="491"/>
      <c r="D318" s="491"/>
      <c r="E318" s="491"/>
      <c r="F318" s="491"/>
      <c r="G318" s="491"/>
      <c r="H318" s="491"/>
      <c r="I318" s="491"/>
      <c r="J318" s="491"/>
      <c r="K318" s="505"/>
      <c r="L318" s="506"/>
      <c r="M318" s="491"/>
      <c r="N318" s="491"/>
      <c r="O318" s="491"/>
      <c r="P318" s="491"/>
      <c r="Q318" s="491"/>
      <c r="R318" s="491"/>
      <c r="S318" s="491"/>
      <c r="T318" s="491"/>
      <c r="U318" s="491"/>
      <c r="V318" s="491"/>
      <c r="W318" s="491"/>
      <c r="X318" s="491"/>
      <c r="Y318" s="491"/>
      <c r="Z318" s="491"/>
      <c r="AA318" s="491"/>
      <c r="AB318" s="491"/>
      <c r="AC318" s="491"/>
    </row>
    <row r="319" spans="14:29">
      <c r="N319" s="491"/>
      <c r="O319" s="491"/>
      <c r="P319" s="491"/>
      <c r="Q319" s="491"/>
      <c r="R319" s="491"/>
      <c r="S319" s="491"/>
      <c r="T319" s="491"/>
      <c r="U319" s="491"/>
      <c r="V319" s="491"/>
      <c r="W319" s="491"/>
      <c r="X319" s="491"/>
      <c r="Y319" s="491"/>
      <c r="Z319" s="491"/>
      <c r="AA319" s="491"/>
      <c r="AB319" s="491"/>
      <c r="AC319" s="491"/>
    </row>
    <row r="320" spans="29:29">
      <c r="AC320" s="491"/>
    </row>
    <row r="321" spans="29:29">
      <c r="AC321" s="491"/>
    </row>
    <row r="322" spans="29:29">
      <c r="AC322" s="491"/>
    </row>
    <row r="323" spans="29:29">
      <c r="AC323" s="491"/>
    </row>
    <row r="324" spans="29:29">
      <c r="AC324" s="491"/>
    </row>
    <row r="325" spans="29:29">
      <c r="AC325" s="491"/>
    </row>
    <row r="326" spans="29:29">
      <c r="AC326" s="491"/>
    </row>
    <row r="327" spans="29:29">
      <c r="AC327" s="491"/>
    </row>
    <row r="328" spans="29:29">
      <c r="AC328" s="491"/>
    </row>
    <row r="329" spans="29:29">
      <c r="AC329" s="491"/>
    </row>
    <row r="330" spans="29:29">
      <c r="AC330" s="491"/>
    </row>
    <row r="331" spans="29:29">
      <c r="AC331" s="491"/>
    </row>
    <row r="332" spans="29:29">
      <c r="AC332" s="491"/>
    </row>
    <row r="333" spans="29:29">
      <c r="AC333" s="491"/>
    </row>
    <row r="334" spans="29:29">
      <c r="AC334" s="491"/>
    </row>
    <row r="335" spans="29:29">
      <c r="AC335" s="491"/>
    </row>
    <row r="336" spans="29:29">
      <c r="AC336" s="491"/>
    </row>
    <row r="337" spans="29:29">
      <c r="AC337" s="491"/>
    </row>
    <row r="338" spans="29:29">
      <c r="AC338" s="491"/>
    </row>
    <row r="339" spans="29:29">
      <c r="AC339" s="491"/>
    </row>
    <row r="340" spans="29:29">
      <c r="AC340" s="491"/>
    </row>
    <row r="341" spans="29:29">
      <c r="AC341" s="491"/>
    </row>
    <row r="342" spans="29:29">
      <c r="AC342" s="491"/>
    </row>
    <row r="343" spans="29:29">
      <c r="AC343" s="491"/>
    </row>
    <row r="344" spans="29:29">
      <c r="AC344" s="491"/>
    </row>
    <row r="345" spans="29:29">
      <c r="AC345" s="491"/>
    </row>
    <row r="346" spans="29:29">
      <c r="AC346" s="491"/>
    </row>
    <row r="347" spans="29:29">
      <c r="AC347" s="491"/>
    </row>
    <row r="348" spans="29:29">
      <c r="AC348" s="491"/>
    </row>
    <row r="349" spans="29:29">
      <c r="AC349" s="491"/>
    </row>
    <row r="350" spans="29:29">
      <c r="AC350" s="491"/>
    </row>
    <row r="351" spans="29:29">
      <c r="AC351" s="491"/>
    </row>
    <row r="352" spans="29:29">
      <c r="AC352" s="491"/>
    </row>
    <row r="353" spans="29:29">
      <c r="AC353" s="491"/>
    </row>
    <row r="354" spans="29:29">
      <c r="AC354" s="491"/>
    </row>
    <row r="355" spans="29:29">
      <c r="AC355" s="491"/>
    </row>
    <row r="356" spans="29:29">
      <c r="AC356" s="491"/>
    </row>
    <row r="357" spans="29:29">
      <c r="AC357" s="491"/>
    </row>
    <row r="358" spans="29:29">
      <c r="AC358" s="491"/>
    </row>
    <row r="359" spans="29:29">
      <c r="AC359" s="491"/>
    </row>
    <row r="360" spans="29:29">
      <c r="AC360" s="491"/>
    </row>
    <row r="361" spans="29:29">
      <c r="AC361" s="491"/>
    </row>
    <row r="362" spans="29:29">
      <c r="AC362" s="491"/>
    </row>
    <row r="363" spans="29:29">
      <c r="AC363" s="491"/>
    </row>
    <row r="364" spans="29:29">
      <c r="AC364" s="491"/>
    </row>
    <row r="365" spans="29:29">
      <c r="AC365" s="491"/>
    </row>
    <row r="366" spans="29:29">
      <c r="AC366" s="491"/>
    </row>
    <row r="367" spans="29:29">
      <c r="AC367" s="491"/>
    </row>
    <row r="368" spans="29:29">
      <c r="AC368" s="491"/>
    </row>
    <row r="369" spans="29:29">
      <c r="AC369" s="491"/>
    </row>
    <row r="370" spans="29:29">
      <c r="AC370" s="491"/>
    </row>
    <row r="371" spans="29:29">
      <c r="AC371" s="491"/>
    </row>
    <row r="372" spans="29:29">
      <c r="AC372" s="491"/>
    </row>
    <row r="373" spans="29:29">
      <c r="AC373" s="491"/>
    </row>
    <row r="374" spans="29:29">
      <c r="AC374" s="491"/>
    </row>
    <row r="375" spans="29:29">
      <c r="AC375" s="491"/>
    </row>
    <row r="376" spans="29:29">
      <c r="AC376" s="491"/>
    </row>
    <row r="377" spans="29:29">
      <c r="AC377" s="491"/>
    </row>
    <row r="378" spans="29:29">
      <c r="AC378" s="491"/>
    </row>
    <row r="379" spans="29:29">
      <c r="AC379" s="491"/>
    </row>
    <row r="380" spans="29:29">
      <c r="AC380" s="491"/>
    </row>
    <row r="381" spans="29:29">
      <c r="AC381" s="491"/>
    </row>
    <row r="382" spans="29:29">
      <c r="AC382" s="491"/>
    </row>
    <row r="383" spans="29:29">
      <c r="AC383" s="491"/>
    </row>
    <row r="384" spans="29:29">
      <c r="AC384" s="491"/>
    </row>
    <row r="385" spans="29:29">
      <c r="AC385" s="491"/>
    </row>
    <row r="386" spans="29:29">
      <c r="AC386" s="491"/>
    </row>
    <row r="387" spans="29:29">
      <c r="AC387" s="491"/>
    </row>
    <row r="388" spans="29:29">
      <c r="AC388" s="491"/>
    </row>
    <row r="389" spans="29:29">
      <c r="AC389" s="491"/>
    </row>
    <row r="390" spans="29:29">
      <c r="AC390" s="491"/>
    </row>
    <row r="391" spans="29:29">
      <c r="AC391" s="491"/>
    </row>
    <row r="392" spans="29:29">
      <c r="AC392" s="491"/>
    </row>
    <row r="393" spans="29:29">
      <c r="AC393" s="491"/>
    </row>
    <row r="394" spans="29:29">
      <c r="AC394" s="491"/>
    </row>
    <row r="395" spans="29:29">
      <c r="AC395" s="491"/>
    </row>
    <row r="396" spans="29:29">
      <c r="AC396" s="491"/>
    </row>
    <row r="397" spans="29:29">
      <c r="AC397" s="491"/>
    </row>
    <row r="398" spans="29:29">
      <c r="AC398" s="491"/>
    </row>
    <row r="399" spans="29:29">
      <c r="AC399" s="491"/>
    </row>
    <row r="400" spans="29:29">
      <c r="AC400" s="491"/>
    </row>
    <row r="401" spans="29:29">
      <c r="AC401" s="491"/>
    </row>
    <row r="402" spans="29:29">
      <c r="AC402" s="491"/>
    </row>
    <row r="403" spans="29:29">
      <c r="AC403" s="491"/>
    </row>
    <row r="404" spans="29:29">
      <c r="AC404" s="491"/>
    </row>
    <row r="405" spans="29:29">
      <c r="AC405" s="491"/>
    </row>
    <row r="406" spans="29:29">
      <c r="AC406" s="491"/>
    </row>
    <row r="407" spans="29:29">
      <c r="AC407" s="491"/>
    </row>
    <row r="408" spans="29:29">
      <c r="AC408" s="491"/>
    </row>
    <row r="409" spans="29:29">
      <c r="AC409" s="491"/>
    </row>
    <row r="410" spans="29:29">
      <c r="AC410" s="491"/>
    </row>
    <row r="411" spans="29:29">
      <c r="AC411" s="491"/>
    </row>
    <row r="412" spans="29:29">
      <c r="AC412" s="491"/>
    </row>
    <row r="413" spans="29:29">
      <c r="AC413" s="491"/>
    </row>
    <row r="414" spans="29:29">
      <c r="AC414" s="491"/>
    </row>
    <row r="415" spans="29:29">
      <c r="AC415" s="491"/>
    </row>
    <row r="416" spans="29:29">
      <c r="AC416" s="491"/>
    </row>
    <row r="417" spans="29:29">
      <c r="AC417" s="491"/>
    </row>
    <row r="418" spans="29:29">
      <c r="AC418" s="491"/>
    </row>
    <row r="419" spans="29:29">
      <c r="AC419" s="491"/>
    </row>
    <row r="420" spans="29:29">
      <c r="AC420" s="491"/>
    </row>
    <row r="421" spans="29:29">
      <c r="AC421" s="491"/>
    </row>
    <row r="422" spans="29:29">
      <c r="AC422" s="491"/>
    </row>
    <row r="423" spans="29:29">
      <c r="AC423" s="491"/>
    </row>
    <row r="424" spans="29:29">
      <c r="AC424" s="491"/>
    </row>
    <row r="425" spans="29:29">
      <c r="AC425" s="491"/>
    </row>
    <row r="426" spans="29:29">
      <c r="AC426" s="491"/>
    </row>
    <row r="427" spans="29:29">
      <c r="AC427" s="491"/>
    </row>
    <row r="428" spans="29:29">
      <c r="AC428" s="491"/>
    </row>
    <row r="429" spans="29:29">
      <c r="AC429" s="491"/>
    </row>
    <row r="430" spans="29:29">
      <c r="AC430" s="491"/>
    </row>
    <row r="431" spans="29:29">
      <c r="AC431" s="491"/>
    </row>
    <row r="432" spans="29:29">
      <c r="AC432" s="491"/>
    </row>
    <row r="433" spans="29:29">
      <c r="AC433" s="491"/>
    </row>
    <row r="434" spans="29:29">
      <c r="AC434" s="491"/>
    </row>
    <row r="435" spans="29:29">
      <c r="AC435" s="491"/>
    </row>
    <row r="436" spans="29:29">
      <c r="AC436" s="491"/>
    </row>
    <row r="437" spans="29:29">
      <c r="AC437" s="491"/>
    </row>
    <row r="438" spans="29:29">
      <c r="AC438" s="491"/>
    </row>
    <row r="439" spans="29:29">
      <c r="AC439" s="491"/>
    </row>
    <row r="440" spans="29:29">
      <c r="AC440" s="491"/>
    </row>
    <row r="441" spans="29:29">
      <c r="AC441" s="491"/>
    </row>
    <row r="442" spans="29:29">
      <c r="AC442" s="491"/>
    </row>
    <row r="443" spans="29:29">
      <c r="AC443" s="491"/>
    </row>
    <row r="444" spans="29:29">
      <c r="AC444" s="491"/>
    </row>
    <row r="445" spans="29:29">
      <c r="AC445" s="491"/>
    </row>
    <row r="446" spans="29:29">
      <c r="AC446" s="491"/>
    </row>
    <row r="447" spans="29:29">
      <c r="AC447" s="491"/>
    </row>
    <row r="448" spans="29:29">
      <c r="AC448" s="491"/>
    </row>
    <row r="449" spans="29:29">
      <c r="AC449" s="491"/>
    </row>
    <row r="450" spans="29:29">
      <c r="AC450" s="491"/>
    </row>
    <row r="451" spans="29:29">
      <c r="AC451" s="491"/>
    </row>
    <row r="452" spans="29:29">
      <c r="AC452" s="491"/>
    </row>
    <row r="453" spans="29:29">
      <c r="AC453" s="491"/>
    </row>
    <row r="454" spans="29:29">
      <c r="AC454" s="491"/>
    </row>
    <row r="455" spans="29:29">
      <c r="AC455" s="491"/>
    </row>
    <row r="456" spans="29:29">
      <c r="AC456" s="491"/>
    </row>
    <row r="457" spans="29:29">
      <c r="AC457" s="491"/>
    </row>
    <row r="458" spans="29:29">
      <c r="AC458" s="491"/>
    </row>
    <row r="459" spans="29:29">
      <c r="AC459" s="491"/>
    </row>
    <row r="460" spans="29:29">
      <c r="AC460" s="491"/>
    </row>
    <row r="461" spans="29:29">
      <c r="AC461" s="491"/>
    </row>
    <row r="462" spans="29:29">
      <c r="AC462" s="491"/>
    </row>
    <row r="463" spans="29:29">
      <c r="AC463" s="491"/>
    </row>
    <row r="464" spans="29:29">
      <c r="AC464" s="491"/>
    </row>
    <row r="465" spans="29:29">
      <c r="AC465" s="491"/>
    </row>
    <row r="466" spans="29:29">
      <c r="AC466" s="491"/>
    </row>
    <row r="467" spans="29:29">
      <c r="AC467" s="491"/>
    </row>
    <row r="468" spans="29:29">
      <c r="AC468" s="491"/>
    </row>
    <row r="469" spans="29:29">
      <c r="AC469" s="491"/>
    </row>
    <row r="470" spans="29:29">
      <c r="AC470" s="491"/>
    </row>
    <row r="471" spans="29:29">
      <c r="AC471" s="491"/>
    </row>
    <row r="472" spans="29:29">
      <c r="AC472" s="491"/>
    </row>
    <row r="473" spans="29:29">
      <c r="AC473" s="491"/>
    </row>
    <row r="474" spans="29:29">
      <c r="AC474" s="491"/>
    </row>
    <row r="475" spans="29:29">
      <c r="AC475" s="491"/>
    </row>
    <row r="476" spans="29:29">
      <c r="AC476" s="491"/>
    </row>
    <row r="477" spans="29:29">
      <c r="AC477" s="491"/>
    </row>
    <row r="478" spans="29:29">
      <c r="AC478" s="491"/>
    </row>
    <row r="479" spans="29:29">
      <c r="AC479" s="491"/>
    </row>
    <row r="480" spans="29:29">
      <c r="AC480" s="491"/>
    </row>
    <row r="481" spans="29:29">
      <c r="AC481" s="491"/>
    </row>
    <row r="482" spans="29:29">
      <c r="AC482" s="491"/>
    </row>
    <row r="483" spans="29:29">
      <c r="AC483" s="491"/>
    </row>
    <row r="484" spans="29:29">
      <c r="AC484" s="491"/>
    </row>
    <row r="485" spans="29:29">
      <c r="AC485" s="491"/>
    </row>
    <row r="486" spans="29:29">
      <c r="AC486" s="491"/>
    </row>
    <row r="487" spans="29:29">
      <c r="AC487" s="491"/>
    </row>
    <row r="488" spans="29:29">
      <c r="AC488" s="491"/>
    </row>
    <row r="489" spans="29:29">
      <c r="AC489" s="491"/>
    </row>
    <row r="490" spans="29:29">
      <c r="AC490" s="491"/>
    </row>
    <row r="491" spans="29:29">
      <c r="AC491" s="491"/>
    </row>
    <row r="492" spans="29:29">
      <c r="AC492" s="491"/>
    </row>
    <row r="493" spans="29:29">
      <c r="AC493" s="491"/>
    </row>
    <row r="494" spans="29:29">
      <c r="AC494" s="491"/>
    </row>
    <row r="495" spans="29:29">
      <c r="AC495" s="491"/>
    </row>
    <row r="496" spans="29:29">
      <c r="AC496" s="491"/>
    </row>
    <row r="497" spans="29:29">
      <c r="AC497" s="491"/>
    </row>
    <row r="498" spans="29:29">
      <c r="AC498" s="491"/>
    </row>
    <row r="499" spans="29:29">
      <c r="AC499" s="491"/>
    </row>
    <row r="500" spans="29:29">
      <c r="AC500" s="491"/>
    </row>
    <row r="501" spans="29:29">
      <c r="AC501" s="491"/>
    </row>
    <row r="502" spans="29:29">
      <c r="AC502" s="491"/>
    </row>
    <row r="503" spans="29:29">
      <c r="AC503" s="491"/>
    </row>
    <row r="504" spans="29:29">
      <c r="AC504" s="491"/>
    </row>
    <row r="505" spans="29:29">
      <c r="AC505" s="491"/>
    </row>
    <row r="506" spans="29:29">
      <c r="AC506" s="491"/>
    </row>
    <row r="507" spans="29:29">
      <c r="AC507" s="491"/>
    </row>
    <row r="508" spans="29:29">
      <c r="AC508" s="491"/>
    </row>
    <row r="509" spans="29:29">
      <c r="AC509" s="491"/>
    </row>
    <row r="510" spans="29:29">
      <c r="AC510" s="491"/>
    </row>
    <row r="511" spans="29:29">
      <c r="AC511" s="491"/>
    </row>
    <row r="512" spans="29:29">
      <c r="AC512" s="491"/>
    </row>
    <row r="513" spans="29:29">
      <c r="AC513" s="491"/>
    </row>
    <row r="514" spans="29:29">
      <c r="AC514" s="491"/>
    </row>
    <row r="515" spans="29:29">
      <c r="AC515" s="491"/>
    </row>
    <row r="516" spans="29:29">
      <c r="AC516" s="491"/>
    </row>
    <row r="517" spans="29:29">
      <c r="AC517" s="491"/>
    </row>
    <row r="518" spans="29:29">
      <c r="AC518" s="491"/>
    </row>
    <row r="519" spans="29:29">
      <c r="AC519" s="491"/>
    </row>
    <row r="520" spans="29:29">
      <c r="AC520" s="491"/>
    </row>
    <row r="521" spans="29:29">
      <c r="AC521" s="491"/>
    </row>
    <row r="522" spans="29:29">
      <c r="AC522" s="491"/>
    </row>
    <row r="523" spans="29:29">
      <c r="AC523" s="491"/>
    </row>
    <row r="524" spans="29:29">
      <c r="AC524" s="491"/>
    </row>
    <row r="525" spans="29:29">
      <c r="AC525" s="491"/>
    </row>
    <row r="526" spans="29:29">
      <c r="AC526" s="491"/>
    </row>
    <row r="527" spans="29:29">
      <c r="AC527" s="491"/>
    </row>
    <row r="528" spans="29:29">
      <c r="AC528" s="491"/>
    </row>
    <row r="529" spans="29:29">
      <c r="AC529" s="491"/>
    </row>
    <row r="530" spans="29:29">
      <c r="AC530" s="491"/>
    </row>
    <row r="531" spans="29:29">
      <c r="AC531" s="491"/>
    </row>
    <row r="532" spans="29:29">
      <c r="AC532" s="491"/>
    </row>
    <row r="533" spans="29:29">
      <c r="AC533" s="491"/>
    </row>
    <row r="534" spans="29:29">
      <c r="AC534" s="491"/>
    </row>
    <row r="535" spans="29:29">
      <c r="AC535" s="491"/>
    </row>
    <row r="536" spans="29:29">
      <c r="AC536" s="491"/>
    </row>
    <row r="537" spans="29:29">
      <c r="AC537" s="491"/>
    </row>
    <row r="538" spans="29:29">
      <c r="AC538" s="491"/>
    </row>
    <row r="539" spans="29:29">
      <c r="AC539" s="491"/>
    </row>
    <row r="540" spans="29:29">
      <c r="AC540" s="491"/>
    </row>
    <row r="541" spans="29:29">
      <c r="AC541" s="491"/>
    </row>
    <row r="542" spans="29:29">
      <c r="AC542" s="491"/>
    </row>
    <row r="543" spans="29:29">
      <c r="AC543" s="491"/>
    </row>
    <row r="544" spans="29:29">
      <c r="AC544" s="491"/>
    </row>
    <row r="545" spans="29:29">
      <c r="AC545" s="491"/>
    </row>
    <row r="546" spans="29:29">
      <c r="AC546" s="491"/>
    </row>
    <row r="547" spans="29:29">
      <c r="AC547" s="491"/>
    </row>
    <row r="548" spans="29:29">
      <c r="AC548" s="491"/>
    </row>
    <row r="549" spans="29:29">
      <c r="AC549" s="491"/>
    </row>
    <row r="550" spans="29:29">
      <c r="AC550" s="491"/>
    </row>
    <row r="551" spans="29:29">
      <c r="AC551" s="491"/>
    </row>
    <row r="552" spans="29:29">
      <c r="AC552" s="491"/>
    </row>
    <row r="553" spans="29:29">
      <c r="AC553" s="491"/>
    </row>
    <row r="554" spans="29:29">
      <c r="AC554" s="491"/>
    </row>
    <row r="555" spans="29:29">
      <c r="AC555" s="491"/>
    </row>
    <row r="556" spans="29:29">
      <c r="AC556" s="491"/>
    </row>
    <row r="557" spans="29:29">
      <c r="AC557" s="491"/>
    </row>
    <row r="558" spans="29:29">
      <c r="AC558" s="491"/>
    </row>
    <row r="559" spans="29:29">
      <c r="AC559" s="491"/>
    </row>
    <row r="560" spans="29:29">
      <c r="AC560" s="491"/>
    </row>
    <row r="561" spans="29:29">
      <c r="AC561" s="491"/>
    </row>
    <row r="562" spans="29:29">
      <c r="AC562" s="491"/>
    </row>
    <row r="563" spans="29:29">
      <c r="AC563" s="491"/>
    </row>
    <row r="564" spans="29:29">
      <c r="AC564" s="491"/>
    </row>
    <row r="565" spans="29:29">
      <c r="AC565" s="491"/>
    </row>
    <row r="566" spans="29:29">
      <c r="AC566" s="491"/>
    </row>
    <row r="567" spans="29:29">
      <c r="AC567" s="491"/>
    </row>
    <row r="568" spans="29:29">
      <c r="AC568" s="491"/>
    </row>
    <row r="569" spans="29:29">
      <c r="AC569" s="491"/>
    </row>
    <row r="570" spans="29:29">
      <c r="AC570" s="491"/>
    </row>
    <row r="571" spans="29:29">
      <c r="AC571" s="491"/>
    </row>
    <row r="572" spans="29:29">
      <c r="AC572" s="491"/>
    </row>
    <row r="573" spans="29:29">
      <c r="AC573" s="491"/>
    </row>
    <row r="574" spans="29:29">
      <c r="AC574" s="491"/>
    </row>
    <row r="575" spans="29:29">
      <c r="AC575" s="491"/>
    </row>
    <row r="576" spans="29:29">
      <c r="AC576" s="491"/>
    </row>
    <row r="577" spans="29:29">
      <c r="AC577" s="491"/>
    </row>
    <row r="578" spans="29:29">
      <c r="AC578" s="491"/>
    </row>
    <row r="579" spans="29:29">
      <c r="AC579" s="491"/>
    </row>
    <row r="580" spans="29:29">
      <c r="AC580" s="491"/>
    </row>
    <row r="581" spans="29:29">
      <c r="AC581" s="491"/>
    </row>
    <row r="582" spans="29:29">
      <c r="AC582" s="491"/>
    </row>
    <row r="583" spans="29:29">
      <c r="AC583" s="491"/>
    </row>
    <row r="584" spans="29:29">
      <c r="AC584" s="491"/>
    </row>
    <row r="585" spans="29:29">
      <c r="AC585" s="491"/>
    </row>
    <row r="586" spans="29:29">
      <c r="AC586" s="491"/>
    </row>
    <row r="587" spans="29:29">
      <c r="AC587" s="491"/>
    </row>
    <row r="588" spans="29:29">
      <c r="AC588" s="491"/>
    </row>
    <row r="589" spans="29:29">
      <c r="AC589" s="491"/>
    </row>
    <row r="590" spans="29:29">
      <c r="AC590" s="491"/>
    </row>
    <row r="591" spans="29:29">
      <c r="AC591" s="491"/>
    </row>
    <row r="592" spans="29:29">
      <c r="AC592" s="491"/>
    </row>
    <row r="593" spans="29:29">
      <c r="AC593" s="491"/>
    </row>
    <row r="594" spans="29:29">
      <c r="AC594" s="491"/>
    </row>
    <row r="595" spans="29:29">
      <c r="AC595" s="491"/>
    </row>
    <row r="596" spans="29:29">
      <c r="AC596" s="491"/>
    </row>
    <row r="597" spans="29:29">
      <c r="AC597" s="491"/>
    </row>
    <row r="598" spans="29:29">
      <c r="AC598" s="491"/>
    </row>
    <row r="599" spans="29:29">
      <c r="AC599" s="491"/>
    </row>
    <row r="600" spans="29:29">
      <c r="AC600" s="491"/>
    </row>
    <row r="601" spans="29:29">
      <c r="AC601" s="491"/>
    </row>
    <row r="602" spans="29:29">
      <c r="AC602" s="491"/>
    </row>
    <row r="603" spans="29:29">
      <c r="AC603" s="491"/>
    </row>
    <row r="604" spans="29:29">
      <c r="AC604" s="491"/>
    </row>
    <row r="605" spans="29:29">
      <c r="AC605" s="491"/>
    </row>
    <row r="606" spans="29:29">
      <c r="AC606" s="491"/>
    </row>
    <row r="607" spans="29:29">
      <c r="AC607" s="491"/>
    </row>
    <row r="608" spans="29:29">
      <c r="AC608" s="491"/>
    </row>
    <row r="609" spans="29:29">
      <c r="AC609" s="491"/>
    </row>
    <row r="610" spans="29:29">
      <c r="AC610" s="491"/>
    </row>
    <row r="611" spans="29:29">
      <c r="AC611" s="491"/>
    </row>
    <row r="612" spans="29:29">
      <c r="AC612" s="491"/>
    </row>
    <row r="613" spans="29:29">
      <c r="AC613" s="491"/>
    </row>
    <row r="614" spans="29:29">
      <c r="AC614" s="491"/>
    </row>
    <row r="615" spans="29:29">
      <c r="AC615" s="491"/>
    </row>
    <row r="616" spans="29:29">
      <c r="AC616" s="491"/>
    </row>
    <row r="617" spans="29:29">
      <c r="AC617" s="491"/>
    </row>
    <row r="618" spans="29:29">
      <c r="AC618" s="491"/>
    </row>
    <row r="619" spans="29:29">
      <c r="AC619" s="491"/>
    </row>
    <row r="620" spans="29:29">
      <c r="AC620" s="491"/>
    </row>
    <row r="621" spans="29:29">
      <c r="AC621" s="491"/>
    </row>
    <row r="622" spans="29:29">
      <c r="AC622" s="491"/>
    </row>
    <row r="623" spans="29:29">
      <c r="AC623" s="491"/>
    </row>
    <row r="624" spans="29:29">
      <c r="AC624" s="491"/>
    </row>
    <row r="625" spans="29:29">
      <c r="AC625" s="491"/>
    </row>
    <row r="626" spans="29:29">
      <c r="AC626" s="491"/>
    </row>
    <row r="627" spans="29:29">
      <c r="AC627" s="491"/>
    </row>
    <row r="628" spans="29:29">
      <c r="AC628" s="491"/>
    </row>
    <row r="629" spans="29:29">
      <c r="AC629" s="491"/>
    </row>
    <row r="630" spans="29:29">
      <c r="AC630" s="491"/>
    </row>
    <row r="631" spans="29:29">
      <c r="AC631" s="491"/>
    </row>
    <row r="632" spans="29:29">
      <c r="AC632" s="491"/>
    </row>
    <row r="633" spans="29:29">
      <c r="AC633" s="491"/>
    </row>
    <row r="634" spans="29:29">
      <c r="AC634" s="491"/>
    </row>
    <row r="635" spans="29:29">
      <c r="AC635" s="491"/>
    </row>
    <row r="636" spans="29:29">
      <c r="AC636" s="491"/>
    </row>
    <row r="637" spans="29:29">
      <c r="AC637" s="491"/>
    </row>
    <row r="638" spans="29:29">
      <c r="AC638" s="491"/>
    </row>
    <row r="639" spans="29:29">
      <c r="AC639" s="491"/>
    </row>
    <row r="640" spans="29:29">
      <c r="AC640" s="491"/>
    </row>
    <row r="641" spans="29:29">
      <c r="AC641" s="491"/>
    </row>
    <row r="642" spans="29:29">
      <c r="AC642" s="491"/>
    </row>
    <row r="643" spans="29:29">
      <c r="AC643" s="491"/>
    </row>
    <row r="644" spans="29:29">
      <c r="AC644" s="491"/>
    </row>
    <row r="645" spans="29:29">
      <c r="AC645" s="491"/>
    </row>
    <row r="646" spans="29:29">
      <c r="AC646" s="491"/>
    </row>
    <row r="647" spans="29:29">
      <c r="AC647" s="491"/>
    </row>
    <row r="648" spans="29:29">
      <c r="AC648" s="491"/>
    </row>
    <row r="649" spans="29:29">
      <c r="AC649" s="491"/>
    </row>
    <row r="650" spans="29:29">
      <c r="AC650" s="491"/>
    </row>
    <row r="651" spans="29:29">
      <c r="AC651" s="491"/>
    </row>
    <row r="652" spans="29:29">
      <c r="AC652" s="491"/>
    </row>
    <row r="653" spans="29:29">
      <c r="AC653" s="491"/>
    </row>
    <row r="654" spans="29:29">
      <c r="AC654" s="491"/>
    </row>
    <row r="655" spans="29:29">
      <c r="AC655" s="491"/>
    </row>
    <row r="656" spans="29:29">
      <c r="AC656" s="491"/>
    </row>
    <row r="657" spans="29:29">
      <c r="AC657" s="491"/>
    </row>
    <row r="658" spans="29:29">
      <c r="AC658" s="491"/>
    </row>
    <row r="659" spans="29:29">
      <c r="AC659" s="491"/>
    </row>
    <row r="660" spans="29:29">
      <c r="AC660" s="491"/>
    </row>
    <row r="661" spans="29:29">
      <c r="AC661" s="491"/>
    </row>
    <row r="662" spans="29:29">
      <c r="AC662" s="491"/>
    </row>
    <row r="663" spans="29:29">
      <c r="AC663" s="491"/>
    </row>
    <row r="664" spans="29:29">
      <c r="AC664" s="491"/>
    </row>
    <row r="665" spans="29:29">
      <c r="AC665" s="491"/>
    </row>
    <row r="666" spans="29:29">
      <c r="AC666" s="491"/>
    </row>
    <row r="667" spans="29:29">
      <c r="AC667" s="491"/>
    </row>
    <row r="668" spans="29:29">
      <c r="AC668" s="491"/>
    </row>
    <row r="669" spans="29:29">
      <c r="AC669" s="491"/>
    </row>
    <row r="670" spans="29:29">
      <c r="AC670" s="491"/>
    </row>
    <row r="671" spans="29:29">
      <c r="AC671" s="491"/>
    </row>
    <row r="672" spans="29:29">
      <c r="AC672" s="491"/>
    </row>
    <row r="673" spans="29:29">
      <c r="AC673" s="491"/>
    </row>
    <row r="674" spans="29:29">
      <c r="AC674" s="491"/>
    </row>
    <row r="675" spans="29:29">
      <c r="AC675" s="491"/>
    </row>
    <row r="676" spans="29:29">
      <c r="AC676" s="491"/>
    </row>
    <row r="677" spans="29:29">
      <c r="AC677" s="491"/>
    </row>
    <row r="678" spans="29:29">
      <c r="AC678" s="491"/>
    </row>
    <row r="679" spans="29:29">
      <c r="AC679" s="491"/>
    </row>
    <row r="680" spans="29:29">
      <c r="AC680" s="491"/>
    </row>
    <row r="681" spans="29:29">
      <c r="AC681" s="491"/>
    </row>
    <row r="682" spans="29:29">
      <c r="AC682" s="491"/>
    </row>
    <row r="683" spans="29:29">
      <c r="AC683" s="491"/>
    </row>
    <row r="684" spans="29:29">
      <c r="AC684" s="491"/>
    </row>
    <row r="685" spans="29:29">
      <c r="AC685" s="491"/>
    </row>
    <row r="686" spans="29:29">
      <c r="AC686" s="491"/>
    </row>
    <row r="687" spans="29:29">
      <c r="AC687" s="491"/>
    </row>
    <row r="688" spans="29:29">
      <c r="AC688" s="491"/>
    </row>
    <row r="689" spans="29:29">
      <c r="AC689" s="491"/>
    </row>
    <row r="690" spans="29:29">
      <c r="AC690" s="491"/>
    </row>
    <row r="691" spans="29:29">
      <c r="AC691" s="491"/>
    </row>
    <row r="692" spans="29:29">
      <c r="AC692" s="491"/>
    </row>
    <row r="693" spans="29:29">
      <c r="AC693" s="491"/>
    </row>
    <row r="694" spans="29:29">
      <c r="AC694" s="491"/>
    </row>
    <row r="695" spans="29:29">
      <c r="AC695" s="491"/>
    </row>
    <row r="696" spans="29:29">
      <c r="AC696" s="491"/>
    </row>
    <row r="697" spans="29:29">
      <c r="AC697" s="491"/>
    </row>
    <row r="698" spans="29:29">
      <c r="AC698" s="491"/>
    </row>
    <row r="699" spans="29:29">
      <c r="AC699" s="491"/>
    </row>
    <row r="700" spans="29:29">
      <c r="AC700" s="491"/>
    </row>
    <row r="701" spans="29:29">
      <c r="AC701" s="491"/>
    </row>
    <row r="702" spans="29:29">
      <c r="AC702" s="491"/>
    </row>
    <row r="703" spans="29:29">
      <c r="AC703" s="491"/>
    </row>
    <row r="704" spans="29:29">
      <c r="AC704" s="491"/>
    </row>
    <row r="705" spans="29:29">
      <c r="AC705" s="491"/>
    </row>
    <row r="706" spans="29:29">
      <c r="AC706" s="491"/>
    </row>
    <row r="707" spans="29:29">
      <c r="AC707" s="491"/>
    </row>
    <row r="708" spans="29:29">
      <c r="AC708" s="491"/>
    </row>
    <row r="709" spans="29:29">
      <c r="AC709" s="491"/>
    </row>
    <row r="710" spans="29:29">
      <c r="AC710" s="491"/>
    </row>
    <row r="711" spans="29:29">
      <c r="AC711" s="491"/>
    </row>
    <row r="712" spans="29:29">
      <c r="AC712" s="491"/>
    </row>
    <row r="713" spans="29:29">
      <c r="AC713" s="491"/>
    </row>
    <row r="714" spans="29:29">
      <c r="AC714" s="491"/>
    </row>
    <row r="715" spans="29:29">
      <c r="AC715" s="491"/>
    </row>
    <row r="716" spans="29:29">
      <c r="AC716" s="491"/>
    </row>
    <row r="717" spans="29:29">
      <c r="AC717" s="491"/>
    </row>
    <row r="718" spans="29:29">
      <c r="AC718" s="491"/>
    </row>
    <row r="719" spans="29:29">
      <c r="AC719" s="491"/>
    </row>
    <row r="720" spans="29:29">
      <c r="AC720" s="491"/>
    </row>
    <row r="721" spans="29:29">
      <c r="AC721" s="491"/>
    </row>
    <row r="722" spans="29:29">
      <c r="AC722" s="491"/>
    </row>
    <row r="723" spans="29:29">
      <c r="AC723" s="491"/>
    </row>
    <row r="724" spans="29:29">
      <c r="AC724" s="491"/>
    </row>
    <row r="725" spans="29:29">
      <c r="AC725" s="491"/>
    </row>
    <row r="726" spans="29:29">
      <c r="AC726" s="491"/>
    </row>
    <row r="727" spans="29:29">
      <c r="AC727" s="491"/>
    </row>
    <row r="728" spans="29:29">
      <c r="AC728" s="491"/>
    </row>
    <row r="729" spans="29:29">
      <c r="AC729" s="491"/>
    </row>
    <row r="730" spans="29:29">
      <c r="AC730" s="491"/>
    </row>
    <row r="731" spans="29:29">
      <c r="AC731" s="491"/>
    </row>
    <row r="732" spans="29:29">
      <c r="AC732" s="491"/>
    </row>
    <row r="733" spans="29:29">
      <c r="AC733" s="491"/>
    </row>
    <row r="734" spans="29:29">
      <c r="AC734" s="491"/>
    </row>
    <row r="735" spans="29:29">
      <c r="AC735" s="491"/>
    </row>
    <row r="736" spans="29:29">
      <c r="AC736" s="491"/>
    </row>
    <row r="737" spans="29:29">
      <c r="AC737" s="491"/>
    </row>
    <row r="738" spans="29:29">
      <c r="AC738" s="491"/>
    </row>
    <row r="739" spans="29:29">
      <c r="AC739" s="491"/>
    </row>
    <row r="740" spans="29:29">
      <c r="AC740" s="491"/>
    </row>
    <row r="741" spans="29:29">
      <c r="AC741" s="491"/>
    </row>
    <row r="742" spans="29:29">
      <c r="AC742" s="491"/>
    </row>
    <row r="743" spans="29:29">
      <c r="AC743" s="491"/>
    </row>
    <row r="744" spans="29:29">
      <c r="AC744" s="491"/>
    </row>
    <row r="745" spans="29:29">
      <c r="AC745" s="491"/>
    </row>
    <row r="746" spans="29:29">
      <c r="AC746" s="491"/>
    </row>
    <row r="747" spans="29:29">
      <c r="AC747" s="491"/>
    </row>
    <row r="748" spans="29:29">
      <c r="AC748" s="491"/>
    </row>
    <row r="749" spans="29:29">
      <c r="AC749" s="491"/>
    </row>
    <row r="750" spans="29:29">
      <c r="AC750" s="491"/>
    </row>
    <row r="751" spans="29:29">
      <c r="AC751" s="491"/>
    </row>
    <row r="752" spans="29:29">
      <c r="AC752" s="491"/>
    </row>
    <row r="753" spans="29:29">
      <c r="AC753" s="491"/>
    </row>
    <row r="754" spans="29:29">
      <c r="AC754" s="491"/>
    </row>
    <row r="755" spans="29:29">
      <c r="AC755" s="491"/>
    </row>
    <row r="756" spans="29:29">
      <c r="AC756" s="491"/>
    </row>
    <row r="757" spans="29:29">
      <c r="AC757" s="491"/>
    </row>
    <row r="758" spans="29:29">
      <c r="AC758" s="491"/>
    </row>
    <row r="759" spans="29:29">
      <c r="AC759" s="491"/>
    </row>
    <row r="760" spans="29:29">
      <c r="AC760" s="491"/>
    </row>
    <row r="761" spans="29:29">
      <c r="AC761" s="491"/>
    </row>
    <row r="762" spans="29:29">
      <c r="AC762" s="491"/>
    </row>
    <row r="763" spans="29:29">
      <c r="AC763" s="491"/>
    </row>
    <row r="764" spans="29:29">
      <c r="AC764" s="491"/>
    </row>
    <row r="765" spans="29:29">
      <c r="AC765" s="491"/>
    </row>
    <row r="766" spans="29:29">
      <c r="AC766" s="491"/>
    </row>
    <row r="767" spans="29:29">
      <c r="AC767" s="491"/>
    </row>
    <row r="768" spans="29:29">
      <c r="AC768" s="491"/>
    </row>
    <row r="769" spans="29:29">
      <c r="AC769" s="491"/>
    </row>
    <row r="770" spans="29:29">
      <c r="AC770" s="491"/>
    </row>
    <row r="771" spans="29:29">
      <c r="AC771" s="491"/>
    </row>
    <row r="772" spans="29:29">
      <c r="AC772" s="491"/>
    </row>
    <row r="773" spans="29:29">
      <c r="AC773" s="491"/>
    </row>
    <row r="774" spans="29:29">
      <c r="AC774" s="491"/>
    </row>
    <row r="775" spans="29:29">
      <c r="AC775" s="491"/>
    </row>
    <row r="776" spans="29:29">
      <c r="AC776" s="491"/>
    </row>
    <row r="777" spans="29:29">
      <c r="AC777" s="491"/>
    </row>
    <row r="778" spans="29:29">
      <c r="AC778" s="491"/>
    </row>
    <row r="779" spans="29:29">
      <c r="AC779" s="491"/>
    </row>
    <row r="780" spans="29:29">
      <c r="AC780" s="491"/>
    </row>
    <row r="781" spans="29:29">
      <c r="AC781" s="491"/>
    </row>
    <row r="782" spans="29:29">
      <c r="AC782" s="491"/>
    </row>
    <row r="783" spans="29:29">
      <c r="AC783" s="491"/>
    </row>
    <row r="784" spans="29:29">
      <c r="AC784" s="491"/>
    </row>
    <row r="785" spans="29:29">
      <c r="AC785" s="491"/>
    </row>
    <row r="786" spans="29:29">
      <c r="AC786" s="491"/>
    </row>
    <row r="787" spans="29:29">
      <c r="AC787" s="491"/>
    </row>
    <row r="788" spans="29:29">
      <c r="AC788" s="491"/>
    </row>
    <row r="789" spans="29:29">
      <c r="AC789" s="491"/>
    </row>
    <row r="790" spans="29:29">
      <c r="AC790" s="491"/>
    </row>
    <row r="791" spans="29:29">
      <c r="AC791" s="491"/>
    </row>
    <row r="792" spans="29:29">
      <c r="AC792" s="491"/>
    </row>
    <row r="793" spans="29:29">
      <c r="AC793" s="491"/>
    </row>
    <row r="794" spans="29:29">
      <c r="AC794" s="49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7" priority="4">
      <formula>$D$48="简单平均"</formula>
    </cfRule>
  </conditionalFormatting>
  <conditionalFormatting sqref="H48">
    <cfRule type="expression" dxfId="7" priority="3">
      <formula>$D$48="简单平均"</formula>
    </cfRule>
  </conditionalFormatting>
  <conditionalFormatting sqref="J48">
    <cfRule type="expression" dxfId="7"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E54">
    <cfRule type="expression" dxfId="10" priority="14" stopIfTrue="1">
      <formula>$F$54="超过30%"</formula>
    </cfRule>
  </conditionalFormatting>
  <conditionalFormatting sqref="G54">
    <cfRule type="expression" dxfId="10" priority="13" stopIfTrue="1">
      <formula>$H$54="超过30%"</formula>
    </cfRule>
  </conditionalFormatting>
  <conditionalFormatting sqref="I54">
    <cfRule type="expression" dxfId="10" priority="5" stopIfTrue="1">
      <formula>$J$54="超过30%"</formula>
    </cfRule>
  </conditionalFormatting>
  <conditionalFormatting sqref="J52:J54">
    <cfRule type="containsText" dxfId="12" priority="8" stopIfTrue="1" operator="between" text="超过">
      <formula>NOT(ISERROR(SEARCH("超过",J52)))</formula>
    </cfRule>
  </conditionalFormatting>
  <conditionalFormatting sqref="F7:F46 H7:H46 J7:J46">
    <cfRule type="cellIs" dxfId="11" priority="1" operator="notEqual">
      <formula>100</formula>
    </cfRule>
  </conditionalFormatting>
  <conditionalFormatting sqref="F52:F54 H52:H54">
    <cfRule type="containsText" dxfId="12" priority="17" stopIfTrue="1" operator="between" text="超过">
      <formula>NOT(ISERROR(SEARCH("超过",F52)))</formula>
    </cfRule>
  </conditionalFormatting>
  <dataValidations count="24">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'不动产比较法-商业售价'!商业交易情况</formula1>
    </dataValidation>
    <dataValidation type="list" allowBlank="1" showInputMessage="1" showErrorMessage="1" sqref="E9 G9 I9">
      <formula1>'不动产比较法-商业售价'!商业用途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'不动产比较法-商业售价'!商业临街状况</formula1>
    </dataValidation>
    <dataValidation type="list" allowBlank="1" showInputMessage="1" showErrorMessage="1" sqref="C27 E27 G27 I27">
      <formula1>'不动产比较法-商业售价'!商业人流量</formula1>
    </dataValidation>
    <dataValidation type="list" allowBlank="1" showInputMessage="1" showErrorMessage="1" sqref="C28 E28 G28 I28">
      <formula1>'不动产比较法-商业售价'!商业楼层</formula1>
    </dataValidation>
    <dataValidation type="list" allowBlank="1" showInputMessage="1" showErrorMessage="1" sqref="C32 E32 G32 I32">
      <formula1>'不动产比较法-商业售价'!商业类型</formula1>
    </dataValidation>
    <dataValidation type="list" allowBlank="1" showInputMessage="1" showErrorMessage="1" sqref="C34">
      <formula1>'不动产比较法-商业售价'!商业建筑结构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'不动产比较法-商业售价'!商业公共部分装修</formula1>
    </dataValidation>
    <dataValidation type="list" allowBlank="1" showInputMessage="1" showErrorMessage="1" sqref="C37 E37 G37 I37">
      <formula1>'不动产比较法-商业售价'!商业基础设施水平</formula1>
    </dataValidation>
    <dataValidation type="list" allowBlank="1" showInputMessage="1" showErrorMessage="1" sqref="C38 E38 G38 I38">
      <formula1>'不动产比较法-商业售价'!商业业态</formula1>
    </dataValidation>
    <dataValidation type="list" allowBlank="1" showInputMessage="1" showErrorMessage="1" sqref="C39 E39 G39 I39">
      <formula1>'不动产比较法-商业售价'!商业层高</formula1>
    </dataValidation>
    <dataValidation type="list" allowBlank="1" showInputMessage="1" showErrorMessage="1" sqref="C41 E41 G41 I41">
      <formula1>'不动产比较法-商业售价'!商业进深比</formula1>
    </dataValidation>
    <dataValidation type="list" allowBlank="1" showInputMessage="1" showErrorMessage="1" sqref="C42 E42 G42 I42">
      <formula1>'不动产比较法-商业售价'!商业内部装修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81"/>
  <sheetViews>
    <sheetView zoomScale="90" zoomScaleNormal="90" zoomScaleSheetLayoutView="85" workbookViewId="0">
      <selection activeCell="D43" sqref="D43"/>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2472</v>
      </c>
      <c r="D1" s="710" t="s">
        <v>2405</v>
      </c>
      <c r="E1" s="711" t="s">
        <v>588</v>
      </c>
      <c r="F1" s="712" t="e">
        <f ca="1">J58</f>
        <v>#N/A</v>
      </c>
      <c r="G1" s="713" t="e">
        <f>MATCH(C1,'数据-取费表'!A6:A16,0)+5</f>
        <v>#N/A</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101" t="e">
        <f ca="1">C46</f>
        <v>#N/A</v>
      </c>
      <c r="C2" s="715"/>
      <c r="D2" s="716"/>
      <c r="E2" s="717"/>
      <c r="F2" s="717"/>
      <c r="G2" s="718"/>
      <c r="H2" s="719"/>
      <c r="I2" s="719"/>
      <c r="J2" s="719"/>
      <c r="K2" s="861"/>
      <c r="L2" s="719"/>
      <c r="M2" s="719"/>
    </row>
    <row r="3" ht="18" customHeight="1" spans="1:13">
      <c r="A3" s="720" t="s">
        <v>2350</v>
      </c>
      <c r="B3" s="721">
        <f ca="1">IF(ISERROR(B2*10000/F43),0,ROUND(B2*10000/F43,0))</f>
        <v>0</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t="e">
        <f ca="1">C6+C10+C12</f>
        <v>#N/A</v>
      </c>
      <c r="D5" s="731" t="s">
        <v>1918</v>
      </c>
      <c r="E5" s="732"/>
      <c r="F5" s="733"/>
      <c r="G5" s="727"/>
      <c r="H5" s="728">
        <v>1</v>
      </c>
      <c r="I5" s="729" t="s">
        <v>1917</v>
      </c>
      <c r="J5" s="730" t="e">
        <f ca="1">J6+J10+J12</f>
        <v>#N/A</v>
      </c>
      <c r="K5" s="731" t="s">
        <v>1918</v>
      </c>
      <c r="L5" s="732"/>
      <c r="M5" s="733"/>
    </row>
    <row r="6" ht="18" customHeight="1" spans="1:13">
      <c r="A6" s="734" t="s">
        <v>855</v>
      </c>
      <c r="B6" s="735" t="s">
        <v>1919</v>
      </c>
      <c r="C6" s="736" t="e">
        <f ca="1">ROUND(F6*F8*F7*(1-F9)/10000,0)</f>
        <v>#N/A</v>
      </c>
      <c r="D6" s="737" t="s">
        <v>2406</v>
      </c>
      <c r="E6" s="738" t="s">
        <v>1921</v>
      </c>
      <c r="F6" s="739" t="e">
        <f ca="1">INDIRECT("'数据-取费表'!u"&amp;$G$1)</f>
        <v>#N/A</v>
      </c>
      <c r="G6" s="727"/>
      <c r="H6" s="740" t="s">
        <v>855</v>
      </c>
      <c r="I6" s="735" t="s">
        <v>1919</v>
      </c>
      <c r="J6" s="736" t="e">
        <f ca="1">ROUND(M6*M8*M7*(1-M9)/10000,0)</f>
        <v>#N/A</v>
      </c>
      <c r="K6" s="814" t="s">
        <v>2407</v>
      </c>
      <c r="L6" s="738" t="s">
        <v>1921</v>
      </c>
      <c r="M6" s="739" t="e">
        <f ca="1">INDIRECT("'数据-取费表'!z"&amp;$G$1)</f>
        <v>#N/A</v>
      </c>
    </row>
    <row r="7" ht="18" customHeight="1" spans="1:13">
      <c r="A7" s="741"/>
      <c r="B7" s="742"/>
      <c r="C7" s="743"/>
      <c r="D7" s="744"/>
      <c r="E7" s="738" t="s">
        <v>1922</v>
      </c>
      <c r="F7" s="739" t="e">
        <f ca="1">IF(INDIRECT("'数据-取费表'!ah"&amp;$G$1)="",INDIRECT("'数据-取费表'!k"&amp;$G$1),INDIRECT("'数据-取费表'!ah"&amp;$G$1))</f>
        <v>#N/A</v>
      </c>
      <c r="G7" s="727"/>
      <c r="H7" s="745"/>
      <c r="I7" s="742"/>
      <c r="J7" s="743"/>
      <c r="K7" s="744"/>
      <c r="L7" s="738" t="s">
        <v>1922</v>
      </c>
      <c r="M7" s="739" t="e">
        <f ca="1">F7</f>
        <v>#N/A</v>
      </c>
    </row>
    <row r="8" ht="18" customHeight="1" spans="1:13">
      <c r="A8" s="746"/>
      <c r="B8" s="747"/>
      <c r="C8" s="743"/>
      <c r="D8" s="744"/>
      <c r="E8" s="738" t="s">
        <v>1923</v>
      </c>
      <c r="F8" s="739" t="e">
        <f ca="1">INDIRECT("'数据-取费表'!ai"&amp;$G$1)</f>
        <v>#N/A</v>
      </c>
      <c r="G8" s="727"/>
      <c r="H8" s="745"/>
      <c r="I8" s="747"/>
      <c r="J8" s="743"/>
      <c r="K8" s="744"/>
      <c r="L8" s="738" t="s">
        <v>1923</v>
      </c>
      <c r="M8" s="739" t="e">
        <f ca="1">INDIRECT("'数据-取费表'!ai"&amp;$G$1)</f>
        <v>#N/A</v>
      </c>
    </row>
    <row r="9" ht="18" customHeight="1" spans="1:13">
      <c r="A9" s="748"/>
      <c r="B9" s="749"/>
      <c r="C9" s="743"/>
      <c r="D9" s="744"/>
      <c r="E9" s="738" t="s">
        <v>1924</v>
      </c>
      <c r="F9" s="750" t="e">
        <f ca="1">INDIRECT("'数据-取费表'!w"&amp;$G$1)</f>
        <v>#N/A</v>
      </c>
      <c r="G9" s="727"/>
      <c r="H9" s="751"/>
      <c r="I9" s="747"/>
      <c r="J9" s="743"/>
      <c r="K9" s="744"/>
      <c r="L9" s="795" t="s">
        <v>1924</v>
      </c>
      <c r="M9" s="760" t="e">
        <f ca="1">INDIRECT("'数据-取费表'!ab"&amp;$G$1)</f>
        <v>#N/A</v>
      </c>
    </row>
    <row r="10" ht="18" customHeight="1" spans="1:13">
      <c r="A10" s="734" t="s">
        <v>857</v>
      </c>
      <c r="B10" s="752" t="s">
        <v>1925</v>
      </c>
      <c r="C10" s="124" t="e">
        <f ca="1">ROUND(IF(F10="押一",C6/12*F11,IF(F10="押二",C6/12*2*F11,IF(F10="押三",C6/12*3*F11,C11*F11))),0)</f>
        <v>#N/A</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771" t="e">
        <f ca="1">ROUND(C29*F13,0)</f>
        <v>#N/A</v>
      </c>
      <c r="D13" s="772" t="s">
        <v>2409</v>
      </c>
      <c r="E13" s="772" t="s">
        <v>1932</v>
      </c>
      <c r="F13" s="773" t="e">
        <f ca="1">INDIRECT("'数据-取费表'!y"&amp;$G$1)</f>
        <v>#N/A</v>
      </c>
      <c r="G13" s="727"/>
      <c r="H13" s="769">
        <v>2</v>
      </c>
      <c r="I13" s="770" t="s">
        <v>1933</v>
      </c>
      <c r="J13" s="869" t="e">
        <f ca="1">ROUND(J14*J15,0)</f>
        <v>#N/A</v>
      </c>
      <c r="K13" s="804" t="s">
        <v>1931</v>
      </c>
      <c r="L13" s="870"/>
      <c r="M13" s="871"/>
    </row>
    <row r="14" ht="18" customHeight="1" spans="1:13">
      <c r="A14" s="774" t="s">
        <v>879</v>
      </c>
      <c r="B14" s="738" t="s">
        <v>1068</v>
      </c>
      <c r="C14" s="775">
        <f>'数据-取费表'!P16</f>
        <v>85860.48</v>
      </c>
      <c r="D14" s="776" t="s">
        <v>1934</v>
      </c>
      <c r="E14" s="777"/>
      <c r="F14" s="778"/>
      <c r="G14" s="727"/>
      <c r="H14" s="779" t="s">
        <v>855</v>
      </c>
      <c r="I14" s="856" t="s">
        <v>1935</v>
      </c>
      <c r="J14" s="125" t="e">
        <f ca="1">C29</f>
        <v>#N/A</v>
      </c>
      <c r="K14" s="857"/>
      <c r="L14" s="872"/>
      <c r="M14" s="873"/>
    </row>
    <row r="15" s="702" customFormat="1" ht="18" customHeight="1" spans="1:33">
      <c r="A15" s="774" t="s">
        <v>883</v>
      </c>
      <c r="B15" s="738" t="s">
        <v>1070</v>
      </c>
      <c r="C15" s="125">
        <f>ROUND(C14*F15,0)</f>
        <v>2576</v>
      </c>
      <c r="D15" s="780" t="s">
        <v>1936</v>
      </c>
      <c r="E15" s="780" t="s">
        <v>1937</v>
      </c>
      <c r="F15" s="781">
        <f>'数据-取费表'!B33</f>
        <v>0.03</v>
      </c>
      <c r="G15" s="782"/>
      <c r="H15" s="768" t="s">
        <v>857</v>
      </c>
      <c r="I15" s="801" t="s">
        <v>1932</v>
      </c>
      <c r="J15" s="874" t="e">
        <f ca="1">INDIRECT("'数据-取费表'!ad"&amp;$G$1)</f>
        <v>#N/A</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25" t="e">
        <f ca="1">ROUND(INDIRECT("'数据-取费表'!m"&amp;$G$1)*F16,0)</f>
        <v>#N/A</v>
      </c>
      <c r="D16" s="738" t="s">
        <v>1936</v>
      </c>
      <c r="E16" s="738" t="s">
        <v>1937</v>
      </c>
      <c r="F16" s="783" t="e">
        <f ca="1">IF(INDIRECT("'数据-取费表'!c"&amp;$G$1)="住宅",'数据-取费表'!B34,0)</f>
        <v>#N/A</v>
      </c>
      <c r="G16" s="727"/>
      <c r="H16" s="769" t="s">
        <v>1997</v>
      </c>
      <c r="I16" s="770" t="s">
        <v>1938</v>
      </c>
      <c r="J16" s="771" t="e">
        <f ca="1">ROUND(J17+J22+J23+J24,0)</f>
        <v>#N/A</v>
      </c>
      <c r="K16" s="804" t="s">
        <v>1939</v>
      </c>
      <c r="L16" s="805"/>
      <c r="M16" s="733"/>
    </row>
    <row r="17" s="702" customFormat="1" ht="18" customHeight="1" spans="1:33">
      <c r="A17" s="774" t="s">
        <v>2410</v>
      </c>
      <c r="B17" s="738" t="s">
        <v>1940</v>
      </c>
      <c r="C17" s="125" t="e">
        <f>ROUND(F17*'数据-汇总表'!F31/10000,0)</f>
        <v>#VALUE!</v>
      </c>
      <c r="D17" s="738" t="s">
        <v>1941</v>
      </c>
      <c r="E17" s="738" t="s">
        <v>1942</v>
      </c>
      <c r="F17" s="784">
        <f>'数据-取费表'!B35</f>
        <v>305</v>
      </c>
      <c r="G17" s="782"/>
      <c r="H17" s="779" t="s">
        <v>855</v>
      </c>
      <c r="I17" s="738" t="s">
        <v>1943</v>
      </c>
      <c r="J17" s="807" t="e">
        <f ca="1">ROUND(IF(AND(项目基本情况!B11="自然人",项目基本情况!B10="北京市"),J6*M17/(1+'数据-取费表'!C42),J18+J19+J20),0)</f>
        <v>#N/A</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f>ROUND(C14*F18,0)</f>
        <v>1288</v>
      </c>
      <c r="D18" s="738" t="s">
        <v>1936</v>
      </c>
      <c r="E18" s="738" t="s">
        <v>1937</v>
      </c>
      <c r="F18" s="783">
        <f>'数据-取费表'!B36</f>
        <v>0.015</v>
      </c>
      <c r="G18" s="782"/>
      <c r="H18" s="774" t="s">
        <v>879</v>
      </c>
      <c r="I18" s="738" t="s">
        <v>1946</v>
      </c>
      <c r="J18" s="125" t="e">
        <f ca="1">ROUND(J6*M18/(1+'数据-取费表'!C42),1)</f>
        <v>#N/A</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25" t="e">
        <f ca="1">SUM(C14:C18)</f>
        <v>#N/A</v>
      </c>
      <c r="D19" s="785" t="s">
        <v>1949</v>
      </c>
      <c r="E19" s="127"/>
      <c r="F19" s="784"/>
      <c r="G19" s="727"/>
      <c r="H19" s="774" t="s">
        <v>883</v>
      </c>
      <c r="I19" s="738" t="s">
        <v>1950</v>
      </c>
      <c r="J19" s="125" t="e">
        <f ca="1">IF(K19="按租金收入计税",ROUND(J6*M19/(1+'数据-取费表'!C42),1),ROUND(C29*F33*0.7,1))</f>
        <v>#N/A</v>
      </c>
      <c r="K19" s="812" t="s">
        <v>1951</v>
      </c>
      <c r="L19" s="738" t="s">
        <v>1937</v>
      </c>
      <c r="M19" s="783">
        <f>IF(K19="按租金收入计税",'数据-取费表'!B51,'数据-取费表'!B50)</f>
        <v>0.012</v>
      </c>
    </row>
    <row r="20" s="702" customFormat="1" ht="18" customHeight="1" spans="1:33">
      <c r="A20" s="779" t="s">
        <v>857</v>
      </c>
      <c r="B20" s="738" t="s">
        <v>1953</v>
      </c>
      <c r="C20" s="125" t="e">
        <f ca="1">ROUND(C19*F20,0)</f>
        <v>#N/A</v>
      </c>
      <c r="D20" s="786" t="s">
        <v>1954</v>
      </c>
      <c r="E20" s="738" t="s">
        <v>1937</v>
      </c>
      <c r="F20" s="783">
        <f>'数据-取费表'!B37</f>
        <v>0.03</v>
      </c>
      <c r="G20" s="782"/>
      <c r="H20" s="787" t="s">
        <v>886</v>
      </c>
      <c r="I20" s="814" t="s">
        <v>1955</v>
      </c>
      <c r="J20" s="815" t="e">
        <f ca="1">ROUND(M20*M21/10000,0)</f>
        <v>#N/A</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783">
        <f>'剩余法-待开发-住宅自持'!F24</f>
        <v>0.03</v>
      </c>
      <c r="G21" s="782"/>
      <c r="H21" s="789"/>
      <c r="I21" s="818"/>
      <c r="J21" s="819"/>
      <c r="K21" s="820"/>
      <c r="L21" s="738" t="s">
        <v>1962</v>
      </c>
      <c r="M21" s="739" t="e">
        <f ca="1">INDIRECT("'数据-取费表'!r"&amp;$G$1)</f>
        <v>#N/A</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t="e">
        <f ca="1">ROUND(J14*M22,0)</f>
        <v>#N/A</v>
      </c>
      <c r="K22" s="808" t="s">
        <v>1966</v>
      </c>
      <c r="L22" s="738" t="s">
        <v>1937</v>
      </c>
      <c r="M22" s="821" t="e">
        <f ca="1">INDIRECT("'数据-取费表'!Ak"&amp;$G$1)</f>
        <v>#N/A</v>
      </c>
    </row>
    <row r="23" s="702" customFormat="1" ht="18" customHeight="1" spans="1:33">
      <c r="A23" s="774" t="s">
        <v>879</v>
      </c>
      <c r="B23" s="738" t="s">
        <v>1967</v>
      </c>
      <c r="C23" s="125" t="e">
        <f ca="1">ROUND(IF('数据-取费表'!B22&lt;=1,(C19+C20)*F24*F23/2,(C19+C20)*(POWER((1+F24),F23/2)-1)),0)</f>
        <v>#N/A</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t="e">
        <f ca="1">ROUND(J13*M23,0)</f>
        <v>#N/A</v>
      </c>
      <c r="K23" s="808" t="s">
        <v>1970</v>
      </c>
      <c r="L23" s="738" t="s">
        <v>1937</v>
      </c>
      <c r="M23" s="822" t="e">
        <f ca="1">INDIRECT("'数据-取费表'!Al"&amp;$G$1)</f>
        <v>#N/A</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t="e">
        <f ca="1">ROUND(J5*M24,0)</f>
        <v>#N/A</v>
      </c>
      <c r="K24" s="800" t="s">
        <v>1973</v>
      </c>
      <c r="L24" s="801" t="s">
        <v>1937</v>
      </c>
      <c r="M24" s="767" t="e">
        <f ca="1">INDIRECT("'数据-取费表'!Am"&amp;$G$1)</f>
        <v>#N/A</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#N/A</v>
      </c>
      <c r="K25" s="824" t="s">
        <v>1978</v>
      </c>
      <c r="L25" s="825"/>
      <c r="M25" s="826"/>
    </row>
    <row r="26" ht="18" customHeight="1" spans="1:13">
      <c r="A26" s="774" t="s">
        <v>879</v>
      </c>
      <c r="B26" s="738" t="s">
        <v>1979</v>
      </c>
      <c r="C26" s="125" t="e">
        <f ca="1">ROUND((C19+C20)*F26,0)</f>
        <v>#N/A</v>
      </c>
      <c r="D26" s="786" t="s">
        <v>1980</v>
      </c>
      <c r="E26" s="795" t="s">
        <v>1981</v>
      </c>
      <c r="F26" s="750" t="e">
        <f ca="1">INDIRECT("'数据-取费表'!q"&amp;$G$1)</f>
        <v>#N/A</v>
      </c>
      <c r="G26" s="727"/>
      <c r="H26" s="796" t="s">
        <v>2415</v>
      </c>
      <c r="I26" s="827" t="s">
        <v>2416</v>
      </c>
      <c r="J26" s="736" t="e">
        <f ca="1">IF(J5&lt;&gt;0,ROUND(J25*(1-((1+M28)/(1+M26))^M27)/(M26-M28),0),0)</f>
        <v>#N/A</v>
      </c>
      <c r="K26" s="816" t="s">
        <v>1983</v>
      </c>
      <c r="L26" s="738" t="s">
        <v>2417</v>
      </c>
      <c r="M26" s="750" t="e">
        <f ca="1">INDIRECT("'数据-取费表'!I"&amp;$G$1)</f>
        <v>#N/A</v>
      </c>
    </row>
    <row r="27" ht="18" customHeight="1" spans="1:13">
      <c r="A27" s="774" t="s">
        <v>883</v>
      </c>
      <c r="B27" s="738" t="s">
        <v>1985</v>
      </c>
      <c r="C27" s="125" t="e">
        <f ca="1">ROUND(F21*F26,4)</f>
        <v>#N/A</v>
      </c>
      <c r="D27" s="786" t="s">
        <v>1986</v>
      </c>
      <c r="E27" s="780"/>
      <c r="F27" s="781"/>
      <c r="G27" s="727"/>
      <c r="H27" s="797"/>
      <c r="I27" s="828"/>
      <c r="J27" s="743"/>
      <c r="K27" s="829" t="s">
        <v>1987</v>
      </c>
      <c r="L27" s="738" t="s">
        <v>1988</v>
      </c>
      <c r="M27" s="830" t="e">
        <f ca="1">INDIRECT("'数据-取费表'!ag"&amp;$G$1)</f>
        <v>#N/A</v>
      </c>
    </row>
    <row r="28" s="702" customFormat="1" ht="18" customHeight="1" spans="1:33">
      <c r="A28" s="794" t="s">
        <v>913</v>
      </c>
      <c r="B28" s="738" t="s">
        <v>1990</v>
      </c>
      <c r="C28" s="125">
        <f>ROUND(F28/(1+'数据-取费表'!C42),4)</f>
        <v>0.0533</v>
      </c>
      <c r="D28" s="786" t="s">
        <v>2419</v>
      </c>
      <c r="E28" s="738" t="s">
        <v>1937</v>
      </c>
      <c r="F28" s="783">
        <f>'数据-取费表'!B41</f>
        <v>0.056</v>
      </c>
      <c r="G28" s="782"/>
      <c r="H28" s="769"/>
      <c r="I28" s="831"/>
      <c r="J28" s="771"/>
      <c r="K28" s="820"/>
      <c r="L28" s="738" t="s">
        <v>1992</v>
      </c>
      <c r="M28" s="750" t="e">
        <f ca="1">INDIRECT("'数据-取费表'!aa"&amp;$G$1)</f>
        <v>#N/A</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t="e">
        <f ca="1">ROUND((C19+C20+C23+C26)/(1-F21-C24-C27-C28),0)</f>
        <v>#N/A</v>
      </c>
      <c r="D29" s="800"/>
      <c r="E29" s="801"/>
      <c r="F29" s="802"/>
      <c r="G29" s="782"/>
      <c r="H29" s="803" t="s">
        <v>2421</v>
      </c>
      <c r="I29" s="832" t="s">
        <v>2422</v>
      </c>
      <c r="J29" s="833" t="e">
        <f ca="1">ROUND(J26/(1+F40)^F41,0)</f>
        <v>#N/A</v>
      </c>
      <c r="K29" s="834" t="s">
        <v>1996</v>
      </c>
      <c r="L29" s="835"/>
      <c r="M29" s="836" t="e">
        <f ca="1">INDIRECT("'数据-取费表'!k"&amp;$G$1)</f>
        <v>#N/A</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771" t="e">
        <f ca="1">ROUND(C31+C36+C37+C38,0)</f>
        <v>#N/A</v>
      </c>
      <c r="D30" s="804" t="s">
        <v>1939</v>
      </c>
      <c r="E30" s="805"/>
      <c r="F30" s="733"/>
      <c r="G30" s="727"/>
      <c r="H30" s="806"/>
      <c r="I30" s="879"/>
      <c r="J30" s="880"/>
      <c r="K30" s="183"/>
      <c r="L30" s="881"/>
      <c r="M30" s="882"/>
    </row>
    <row r="31" ht="18" customHeight="1" spans="1:13">
      <c r="A31" s="779" t="s">
        <v>855</v>
      </c>
      <c r="B31" s="738" t="s">
        <v>1943</v>
      </c>
      <c r="C31" s="807" t="e">
        <f ca="1">ROUND(IF(AND(项目基本情况!B11="自然人",项目基本情况!B10="北京市"),C6*F31/(1+'数据-取费表'!C42),C32+C33+C34),0)</f>
        <v>#N/A</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t="e">
        <f ca="1">ROUND(C6*F32/(1+'数据-取费表'!C42),1)</f>
        <v>#N/A</v>
      </c>
      <c r="D32" s="808" t="s">
        <v>1947</v>
      </c>
      <c r="E32" s="738" t="s">
        <v>1937</v>
      </c>
      <c r="F32" s="783">
        <f>'数据-取费表'!B41</f>
        <v>0.056</v>
      </c>
      <c r="G32" s="727"/>
      <c r="H32" s="811"/>
      <c r="I32" s="883"/>
      <c r="J32" s="884"/>
      <c r="K32" s="885"/>
      <c r="L32" s="886"/>
      <c r="M32" s="887"/>
    </row>
    <row r="33" ht="18" customHeight="1" spans="1:13">
      <c r="A33" s="774" t="s">
        <v>883</v>
      </c>
      <c r="B33" s="738" t="s">
        <v>1950</v>
      </c>
      <c r="C33" s="125" t="e">
        <f ca="1">IF(D33="按租金收入计税",ROUND(C6*F33/(1+'数据-取费表'!C42),1),IF(D33="按房产原值计税",ROUND(C29*F33*0.7,1),INDIRECT("'数据-取费表'!Aj"&amp;$G$1)))</f>
        <v>#N/A</v>
      </c>
      <c r="D33" s="812" t="s">
        <v>2423</v>
      </c>
      <c r="E33" s="738" t="s">
        <v>1937</v>
      </c>
      <c r="F33" s="783">
        <f>IF(D33="按租金收入计税",'数据-取费表'!B51,'数据-取费表'!B50)</f>
        <v>0.12</v>
      </c>
      <c r="G33" s="727"/>
      <c r="H33" s="813"/>
      <c r="I33" s="813"/>
      <c r="J33" s="813"/>
      <c r="K33" s="888"/>
      <c r="L33" s="813"/>
      <c r="M33" s="813"/>
    </row>
    <row r="34" ht="18" customHeight="1" spans="1:13">
      <c r="A34" s="787" t="s">
        <v>886</v>
      </c>
      <c r="B34" s="814" t="s">
        <v>1955</v>
      </c>
      <c r="C34" s="815" t="e">
        <f ca="1">ROUND(F34*F35/10000,1)</f>
        <v>#N/A</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t="e">
        <f ca="1">INDIRECT("'数据-取费表'!r"&amp;$G$1)</f>
        <v>#N/A</v>
      </c>
      <c r="G35" s="727"/>
      <c r="H35" s="806"/>
      <c r="I35" s="893" t="s">
        <v>2425</v>
      </c>
      <c r="J35" s="894" t="e">
        <f ca="1">ROUND(C13*J36,0)</f>
        <v>#N/A</v>
      </c>
      <c r="K35" s="888"/>
      <c r="L35" s="813"/>
      <c r="M35" s="813"/>
    </row>
    <row r="36" ht="18" customHeight="1" spans="1:13">
      <c r="A36" s="779" t="s">
        <v>857</v>
      </c>
      <c r="B36" s="738" t="s">
        <v>1965</v>
      </c>
      <c r="C36" s="125" t="e">
        <f ca="1">ROUND(C29*F36,1)</f>
        <v>#N/A</v>
      </c>
      <c r="D36" s="808" t="s">
        <v>2001</v>
      </c>
      <c r="E36" s="738" t="s">
        <v>1937</v>
      </c>
      <c r="F36" s="821" t="e">
        <f ca="1">INDIRECT("'数据-取费表'!Ak"&amp;$G$1)</f>
        <v>#N/A</v>
      </c>
      <c r="G36" s="727"/>
      <c r="H36" s="813"/>
      <c r="I36" s="895" t="s">
        <v>2426</v>
      </c>
      <c r="J36" s="896" t="e">
        <f ca="1">INDIRECT("'数据-取费表'!j"&amp;$G$1)</f>
        <v>#N/A</v>
      </c>
      <c r="K36" s="897"/>
      <c r="L36" s="813"/>
      <c r="M36" s="813"/>
    </row>
    <row r="37" ht="18" customHeight="1" spans="1:13">
      <c r="A37" s="779" t="s">
        <v>1061</v>
      </c>
      <c r="B37" s="738" t="s">
        <v>1969</v>
      </c>
      <c r="C37" s="125" t="e">
        <f ca="1">ROUND(C13*F37,1)</f>
        <v>#N/A</v>
      </c>
      <c r="D37" s="808" t="s">
        <v>1970</v>
      </c>
      <c r="E37" s="738" t="s">
        <v>1937</v>
      </c>
      <c r="F37" s="822" t="e">
        <f ca="1">INDIRECT("'数据-取费表'!Al"&amp;$G$1)</f>
        <v>#N/A</v>
      </c>
      <c r="G37" s="727"/>
      <c r="H37" s="813"/>
      <c r="I37" s="898" t="s">
        <v>2427</v>
      </c>
      <c r="J37" s="899"/>
      <c r="K37" s="897"/>
      <c r="L37" s="813"/>
      <c r="M37" s="813"/>
    </row>
    <row r="38" ht="18" customHeight="1" spans="1:13">
      <c r="A38" s="768" t="s">
        <v>2413</v>
      </c>
      <c r="B38" s="801" t="s">
        <v>1953</v>
      </c>
      <c r="C38" s="799" t="e">
        <f ca="1">ROUND(C5*F38,1)</f>
        <v>#N/A</v>
      </c>
      <c r="D38" s="800" t="s">
        <v>1973</v>
      </c>
      <c r="E38" s="801" t="s">
        <v>1937</v>
      </c>
      <c r="F38" s="767" t="e">
        <f ca="1">INDIRECT("'数据-取费表'!Am"&amp;$G$1)</f>
        <v>#N/A</v>
      </c>
      <c r="G38" s="727"/>
      <c r="H38" s="813"/>
      <c r="I38" s="900" t="s">
        <v>2428</v>
      </c>
      <c r="J38" s="901"/>
      <c r="K38" s="902"/>
      <c r="L38" s="813"/>
      <c r="M38" s="813"/>
    </row>
    <row r="39" ht="24.65" customHeight="1" spans="1:13">
      <c r="A39" s="769" t="s">
        <v>2414</v>
      </c>
      <c r="B39" s="823" t="s">
        <v>1977</v>
      </c>
      <c r="C39" s="771" t="e">
        <f ca="1">C5-C30</f>
        <v>#N/A</v>
      </c>
      <c r="D39" s="824" t="s">
        <v>1978</v>
      </c>
      <c r="E39" s="825"/>
      <c r="F39" s="826"/>
      <c r="G39" s="727"/>
      <c r="H39" s="813"/>
      <c r="I39" s="893" t="s">
        <v>2429</v>
      </c>
      <c r="J39" s="903" t="e">
        <f ca="1">ROUND(J35/C39,3)</f>
        <v>#N/A</v>
      </c>
      <c r="K39" s="902"/>
      <c r="L39" s="813"/>
      <c r="M39" s="813"/>
    </row>
    <row r="40" ht="18" customHeight="1" spans="1:13">
      <c r="A40" s="728" t="s">
        <v>2415</v>
      </c>
      <c r="B40" s="827" t="s">
        <v>2430</v>
      </c>
      <c r="C40" s="736" t="e">
        <f ca="1">ROUND(C39*(1-((1+F42)/(1+F40))^F41)/(F40-F42),0)</f>
        <v>#N/A</v>
      </c>
      <c r="D40" s="816" t="s">
        <v>1983</v>
      </c>
      <c r="E40" s="738" t="s">
        <v>2417</v>
      </c>
      <c r="F40" s="750">
        <v>0.06</v>
      </c>
      <c r="G40" s="727"/>
      <c r="H40" s="727"/>
      <c r="I40" s="893" t="s">
        <v>2431</v>
      </c>
      <c r="J40" s="903" t="e">
        <f ca="1">1-J39</f>
        <v>#N/A</v>
      </c>
      <c r="K40" s="902"/>
      <c r="L40" s="727"/>
      <c r="M40" s="727"/>
    </row>
    <row r="41" ht="18" customHeight="1" spans="1:13">
      <c r="A41" s="748"/>
      <c r="B41" s="828"/>
      <c r="C41" s="743"/>
      <c r="D41" s="829" t="s">
        <v>1987</v>
      </c>
      <c r="E41" s="738" t="s">
        <v>1988</v>
      </c>
      <c r="F41" s="1105">
        <v>5</v>
      </c>
      <c r="G41" s="727"/>
      <c r="H41" s="183"/>
      <c r="I41" s="900" t="s">
        <v>2432</v>
      </c>
      <c r="J41" s="904"/>
      <c r="K41" s="897"/>
      <c r="L41" s="183"/>
      <c r="M41" s="183"/>
    </row>
    <row r="42" ht="18" customHeight="1" spans="1:13">
      <c r="A42" s="757"/>
      <c r="B42" s="831"/>
      <c r="C42" s="771"/>
      <c r="D42" s="820"/>
      <c r="E42" s="738" t="s">
        <v>1992</v>
      </c>
      <c r="F42" s="750" t="e">
        <f ca="1">INDIRECT("'数据-取费表'!v"&amp;$G$1)</f>
        <v>#N/A</v>
      </c>
      <c r="G42" s="727"/>
      <c r="H42" s="183"/>
      <c r="I42" s="905" t="s">
        <v>2433</v>
      </c>
      <c r="J42" s="903" t="e">
        <f ca="1">ROUND(C13/C40,3)</f>
        <v>#N/A</v>
      </c>
      <c r="K42" s="897"/>
      <c r="L42" s="183"/>
      <c r="M42" s="183"/>
    </row>
    <row r="43" s="632" customFormat="1" ht="18" customHeight="1" spans="1:17">
      <c r="A43" s="803" t="s">
        <v>2421</v>
      </c>
      <c r="B43" s="832" t="s">
        <v>2434</v>
      </c>
      <c r="C43" s="833" t="e">
        <f ca="1">ROUND(C40*10000/F43,0)</f>
        <v>#N/A</v>
      </c>
      <c r="D43" s="834" t="s">
        <v>2435</v>
      </c>
      <c r="E43" s="835" t="s">
        <v>2436</v>
      </c>
      <c r="F43" s="836" t="e">
        <f ca="1">F7</f>
        <v>#N/A</v>
      </c>
      <c r="G43" s="727"/>
      <c r="H43" s="183"/>
      <c r="I43" s="905" t="s">
        <v>2437</v>
      </c>
      <c r="J43" s="906" t="e">
        <f ca="1">1-J42</f>
        <v>#N/A</v>
      </c>
      <c r="K43" s="897"/>
      <c r="L43" s="183"/>
      <c r="M43" s="183"/>
      <c r="Q43" s="706"/>
    </row>
    <row r="44" s="632" customFormat="1" ht="18" customHeight="1" spans="1:17">
      <c r="A44" s="1106" t="s">
        <v>2447</v>
      </c>
      <c r="B44" s="1107" t="s">
        <v>2448</v>
      </c>
      <c r="C44" s="1108">
        <f>规划图!I108</f>
        <v>0</v>
      </c>
      <c r="D44" s="119"/>
      <c r="E44" s="1109"/>
      <c r="F44" s="1110"/>
      <c r="G44" s="727"/>
      <c r="H44" s="183"/>
      <c r="I44" s="1117"/>
      <c r="J44" s="1118"/>
      <c r="K44" s="897"/>
      <c r="L44" s="183"/>
      <c r="M44" s="183"/>
      <c r="Q44" s="706"/>
    </row>
    <row r="45" s="632" customFormat="1" ht="18" customHeight="1" spans="1:17">
      <c r="A45" s="803" t="s">
        <v>2449</v>
      </c>
      <c r="B45" s="1111" t="s">
        <v>2450</v>
      </c>
      <c r="C45" s="124">
        <f>ROUND(C44/((1+F40)^F41),0)</f>
        <v>0</v>
      </c>
      <c r="D45" s="119"/>
      <c r="E45" s="1109"/>
      <c r="F45" s="1110"/>
      <c r="G45" s="727"/>
      <c r="H45" s="183"/>
      <c r="I45" s="1119" t="s">
        <v>2473</v>
      </c>
      <c r="J45" s="1118"/>
      <c r="K45" s="897"/>
      <c r="L45" s="183"/>
      <c r="M45" s="183"/>
      <c r="Q45" s="706"/>
    </row>
    <row r="46" s="632" customFormat="1" ht="18" customHeight="1" spans="1:17">
      <c r="A46" s="769" t="s">
        <v>2451</v>
      </c>
      <c r="B46" s="1112" t="s">
        <v>2430</v>
      </c>
      <c r="C46" s="124" t="e">
        <f ca="1">C40+C45</f>
        <v>#N/A</v>
      </c>
      <c r="D46" s="119"/>
      <c r="E46" s="1109"/>
      <c r="F46" s="1110"/>
      <c r="G46" s="727"/>
      <c r="H46" s="183"/>
      <c r="I46" s="1117"/>
      <c r="J46" s="1118"/>
      <c r="K46" s="897"/>
      <c r="L46" s="183"/>
      <c r="M46" s="183"/>
      <c r="Q46" s="706"/>
    </row>
    <row r="47" s="632" customFormat="1" ht="18" customHeight="1" spans="1:17">
      <c r="A47" s="1113" t="s">
        <v>2452</v>
      </c>
      <c r="B47" s="827" t="s">
        <v>2453</v>
      </c>
      <c r="C47" s="743" t="e">
        <f ca="1">ROUND(C46*10000/F43,0)</f>
        <v>#N/A</v>
      </c>
      <c r="D47" s="119"/>
      <c r="E47" s="1109"/>
      <c r="F47" s="1110"/>
      <c r="G47" s="727"/>
      <c r="H47" s="183"/>
      <c r="I47" s="1117"/>
      <c r="J47" s="1118"/>
      <c r="K47" s="897"/>
      <c r="L47" s="183"/>
      <c r="M47" s="183"/>
      <c r="Q47" s="706"/>
    </row>
    <row r="48" s="632" customFormat="1" ht="18" customHeight="1" spans="1:17">
      <c r="A48" s="1114"/>
      <c r="B48" s="1115"/>
      <c r="C48" s="1116"/>
      <c r="D48" s="119"/>
      <c r="E48" s="1109"/>
      <c r="F48" s="1110"/>
      <c r="G48" s="727"/>
      <c r="H48" s="183"/>
      <c r="I48" s="1117"/>
      <c r="J48" s="1118"/>
      <c r="K48" s="897"/>
      <c r="L48" s="183"/>
      <c r="M48" s="183"/>
      <c r="Q48" s="706"/>
    </row>
    <row r="49" s="632" customFormat="1" ht="18" customHeight="1" spans="1:17">
      <c r="A49" s="837"/>
      <c r="B49" s="837"/>
      <c r="C49" s="838"/>
      <c r="D49" s="837"/>
      <c r="E49" s="837"/>
      <c r="F49" s="837"/>
      <c r="K49" s="907"/>
      <c r="Q49" s="706"/>
    </row>
    <row r="50" s="632" customFormat="1" ht="18" customHeight="1" spans="1:17">
      <c r="A50" s="837"/>
      <c r="B50" s="837"/>
      <c r="C50" s="838"/>
      <c r="D50" s="837"/>
      <c r="E50" s="837"/>
      <c r="F50" s="837"/>
      <c r="K50" s="907"/>
      <c r="Q50" s="706"/>
    </row>
    <row r="51" s="632" customFormat="1" ht="18" customHeight="1" spans="1:18">
      <c r="A51" s="839" t="s">
        <v>2438</v>
      </c>
      <c r="B51" s="837"/>
      <c r="C51" s="840" t="e">
        <f ca="1">C72-C40</f>
        <v>#N/A</v>
      </c>
      <c r="D51" s="841"/>
      <c r="E51" s="841"/>
      <c r="F51" s="841"/>
      <c r="I51" s="908" t="s">
        <v>2014</v>
      </c>
      <c r="J51" s="909"/>
      <c r="K51" s="910"/>
      <c r="L51" s="911">
        <f ca="1">IF(OR(M52="住宅",D1="土地（套用方法）"),0,IF(L53&gt;J56,L65,J65))</f>
        <v>0</v>
      </c>
      <c r="M51" s="716"/>
      <c r="O51" s="912" t="s">
        <v>2015</v>
      </c>
      <c r="P51" s="913"/>
      <c r="Q51" s="918"/>
      <c r="R51" s="913"/>
    </row>
    <row r="52" s="632" customFormat="1" ht="18" customHeight="1" spans="1:18">
      <c r="A52" s="842">
        <v>1</v>
      </c>
      <c r="B52" s="843" t="s">
        <v>2439</v>
      </c>
      <c r="C52" s="840" t="e">
        <f ca="1">C53+C57+C59</f>
        <v>#N/A</v>
      </c>
      <c r="D52" s="841"/>
      <c r="E52" s="841"/>
      <c r="F52" s="841"/>
      <c r="I52" s="914" t="s">
        <v>2016</v>
      </c>
      <c r="J52" s="915" t="s">
        <v>2076</v>
      </c>
      <c r="K52" s="916" t="s">
        <v>2017</v>
      </c>
      <c r="L52" s="917" t="e">
        <f ca="1">INDIRECT("'数据-取费表'!d"&amp;$G$1)</f>
        <v>#N/A</v>
      </c>
      <c r="M52" s="918" t="str">
        <f>IF(ISNUMBER(FIND("住宅",C1)),"住宅","非住宅")</f>
        <v>非住宅</v>
      </c>
      <c r="O52" s="919" t="s">
        <v>1318</v>
      </c>
      <c r="P52" s="920" t="s">
        <v>2018</v>
      </c>
      <c r="Q52" s="959" t="s">
        <v>2019</v>
      </c>
      <c r="R52" s="920" t="s">
        <v>2020</v>
      </c>
    </row>
    <row r="53" s="632" customFormat="1" ht="18" customHeight="1" spans="1:18">
      <c r="A53" s="844" t="s">
        <v>1124</v>
      </c>
      <c r="B53" s="845" t="s">
        <v>2440</v>
      </c>
      <c r="C53" s="846" t="e">
        <f ca="1">ROUND(F53*F55*F54*(1-F56)/10000,0)</f>
        <v>#N/A</v>
      </c>
      <c r="D53" s="847" t="s">
        <v>2407</v>
      </c>
      <c r="E53" s="848" t="s">
        <v>2441</v>
      </c>
      <c r="F53" s="849"/>
      <c r="G53" s="850"/>
      <c r="I53" s="921" t="s">
        <v>2021</v>
      </c>
      <c r="J53" s="922" t="s">
        <v>2071</v>
      </c>
      <c r="K53" s="923" t="s">
        <v>2022</v>
      </c>
      <c r="L53" s="924" t="e">
        <f ca="1">INDIRECT("'数据-取费表'!f"&amp;$G$1)</f>
        <v>#N/A</v>
      </c>
      <c r="M53" s="716"/>
      <c r="O53" s="925" t="s">
        <v>2023</v>
      </c>
      <c r="P53" s="926" t="s">
        <v>2024</v>
      </c>
      <c r="Q53" s="960" t="e">
        <f ca="1">C40+J29</f>
        <v>#N/A</v>
      </c>
      <c r="R53" s="926" t="s">
        <v>2025</v>
      </c>
    </row>
    <row r="54" s="632" customFormat="1" ht="18" customHeight="1" spans="1:18">
      <c r="A54" s="748"/>
      <c r="B54" s="828"/>
      <c r="C54" s="743"/>
      <c r="D54" s="744"/>
      <c r="E54" s="738" t="s">
        <v>1922</v>
      </c>
      <c r="F54" s="739" t="e">
        <f ca="1">F7</f>
        <v>#N/A</v>
      </c>
      <c r="G54" s="850"/>
      <c r="H54" s="851"/>
      <c r="I54" s="921" t="s">
        <v>2026</v>
      </c>
      <c r="J54" s="927"/>
      <c r="K54" s="928" t="s">
        <v>2027</v>
      </c>
      <c r="L54" s="929"/>
      <c r="M54" s="716"/>
      <c r="O54" s="925" t="s">
        <v>2028</v>
      </c>
      <c r="P54" s="926" t="s">
        <v>2029</v>
      </c>
      <c r="Q54" s="960" t="e">
        <f ca="1">J65</f>
        <v>#N/A</v>
      </c>
      <c r="R54" s="926" t="s">
        <v>2030</v>
      </c>
    </row>
    <row r="55" s="632" customFormat="1" ht="18" customHeight="1" spans="1:18">
      <c r="A55" s="748"/>
      <c r="B55" s="828"/>
      <c r="C55" s="743"/>
      <c r="D55" s="744"/>
      <c r="E55" s="738" t="s">
        <v>1923</v>
      </c>
      <c r="F55" s="739" t="e">
        <f ca="1">F8</f>
        <v>#N/A</v>
      </c>
      <c r="H55" s="851"/>
      <c r="I55" s="921" t="s">
        <v>2031</v>
      </c>
      <c r="J55" s="930">
        <f>SUMPRODUCT((I68:I70=J52)*(J67:L67=J53)*(J68:L70))</f>
        <v>60</v>
      </c>
      <c r="K55" s="928" t="s">
        <v>2032</v>
      </c>
      <c r="L55" s="929"/>
      <c r="M55" s="716"/>
      <c r="O55" s="931" t="s">
        <v>2033</v>
      </c>
      <c r="P55" s="926" t="s">
        <v>2034</v>
      </c>
      <c r="Q55" s="960" t="e">
        <f ca="1">C29</f>
        <v>#N/A</v>
      </c>
      <c r="R55" s="926" t="s">
        <v>2025</v>
      </c>
    </row>
    <row r="56" s="632" customFormat="1" ht="18" customHeight="1" spans="1:18">
      <c r="A56" s="748"/>
      <c r="B56" s="828"/>
      <c r="C56" s="743"/>
      <c r="D56" s="744"/>
      <c r="E56" s="738" t="s">
        <v>1924</v>
      </c>
      <c r="F56" s="852"/>
      <c r="H56" s="851"/>
      <c r="I56" s="932" t="s">
        <v>2035</v>
      </c>
      <c r="J56" s="924">
        <f>IF(J54="",J55,J54+J55-YEAR('数据-取费表'!B2))</f>
        <v>60</v>
      </c>
      <c r="K56" s="921" t="s">
        <v>2036</v>
      </c>
      <c r="L56" s="933" t="e">
        <f ca="1">ROUND(-PV(INDIRECT("'数据-取费表'!h"&amp;$G$1),J56,(C39-C13*J36),0),0)</f>
        <v>#N/A</v>
      </c>
      <c r="M56" s="716"/>
      <c r="O56" s="931" t="s">
        <v>2037</v>
      </c>
      <c r="P56" s="926" t="s">
        <v>2038</v>
      </c>
      <c r="Q56" s="961" t="e">
        <f ca="1">J63</f>
        <v>#N/A</v>
      </c>
      <c r="R56" s="962"/>
    </row>
    <row r="57" s="632" customFormat="1" ht="18" customHeight="1" spans="1:18">
      <c r="A57" s="728" t="s">
        <v>2442</v>
      </c>
      <c r="B57" s="752" t="s">
        <v>1925</v>
      </c>
      <c r="C57" s="124">
        <f ca="1">ROUND(IF(F57="押一",C53/12*F11,IF(F57="押二",C53/12*2*F11,IF(F57="押三",C53/12*3*F11,C58*F11))),0)</f>
        <v>0</v>
      </c>
      <c r="D57" s="753" t="s">
        <v>1926</v>
      </c>
      <c r="E57" s="754" t="s">
        <v>1927</v>
      </c>
      <c r="F57" s="755"/>
      <c r="I57" s="934" t="s">
        <v>2039</v>
      </c>
      <c r="J57" s="935"/>
      <c r="K57" s="934" t="s">
        <v>1188</v>
      </c>
      <c r="L57" s="935"/>
      <c r="M57" s="716"/>
      <c r="O57" s="931" t="s">
        <v>2040</v>
      </c>
      <c r="P57" s="926" t="s">
        <v>2041</v>
      </c>
      <c r="Q57" s="961">
        <f>J57</f>
        <v>0</v>
      </c>
      <c r="R57" s="962"/>
    </row>
    <row r="58" s="632" customFormat="1" ht="39.75" customHeight="1" spans="1:18">
      <c r="A58" s="748"/>
      <c r="B58" s="758" t="s">
        <v>1928</v>
      </c>
      <c r="C58" s="759"/>
      <c r="D58" s="753"/>
      <c r="E58" s="754"/>
      <c r="F58" s="853"/>
      <c r="I58" s="936" t="s">
        <v>2042</v>
      </c>
      <c r="J58" s="937" t="e">
        <f ca="1">IF(M52="住宅",IF(D1="——",MAX(J56,L53),MAX(J56,L53-'数据-取费表'!B20)),IF(D1="——",MIN(J56,L53),MIN(J56,L53-'数据-取费表'!B20)))</f>
        <v>#N/A</v>
      </c>
      <c r="K58" s="938" t="s">
        <v>2443</v>
      </c>
      <c r="L58" s="939"/>
      <c r="M58" s="716"/>
      <c r="O58" s="931" t="s">
        <v>2043</v>
      </c>
      <c r="P58" s="926" t="s">
        <v>2044</v>
      </c>
      <c r="Q58" s="960" t="e">
        <f ca="1">J58</f>
        <v>#N/A</v>
      </c>
      <c r="R58" s="926" t="s">
        <v>2045</v>
      </c>
    </row>
    <row r="59" s="632" customFormat="1" ht="18" customHeight="1" spans="1:18">
      <c r="A59" s="762" t="s">
        <v>1061</v>
      </c>
      <c r="B59" s="763" t="s">
        <v>1929</v>
      </c>
      <c r="C59" s="764"/>
      <c r="D59" s="753"/>
      <c r="E59" s="754"/>
      <c r="F59" s="853"/>
      <c r="I59" s="632"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907"/>
      <c r="M59" s="716"/>
      <c r="O59" s="925" t="s">
        <v>2046</v>
      </c>
      <c r="P59" s="926" t="s">
        <v>2047</v>
      </c>
      <c r="Q59" s="960" t="e">
        <f ca="1">Q53+Q54</f>
        <v>#N/A</v>
      </c>
      <c r="R59" s="962" t="s">
        <v>2048</v>
      </c>
    </row>
    <row r="60" s="632" customFormat="1" ht="18" customHeight="1" spans="1:18">
      <c r="A60" s="854">
        <v>2</v>
      </c>
      <c r="B60" s="855" t="s">
        <v>1933</v>
      </c>
      <c r="C60" s="124" t="e">
        <f ca="1">C13</f>
        <v>#N/A</v>
      </c>
      <c r="D60" s="795"/>
      <c r="E60" s="795"/>
      <c r="F60" s="853"/>
      <c r="I60" s="940" t="s">
        <v>2049</v>
      </c>
      <c r="J60" s="941" t="e">
        <f ca="1">ROUND(IF(J52="钢混",J62/J55,1-(1-2%)*(J55-J62)/J55),3)</f>
        <v>#N/A</v>
      </c>
      <c r="K60" s="942" t="s">
        <v>2050</v>
      </c>
      <c r="L60" s="943"/>
      <c r="M60" s="716"/>
      <c r="O60" s="944" t="s">
        <v>2051</v>
      </c>
      <c r="P60" s="913"/>
      <c r="Q60" s="918"/>
      <c r="R60" s="913"/>
    </row>
    <row r="61" s="632" customFormat="1" ht="42.75" customHeight="1" spans="1:18">
      <c r="A61" s="794"/>
      <c r="B61" s="856" t="s">
        <v>1994</v>
      </c>
      <c r="C61" s="125" t="e">
        <f ca="1">C29</f>
        <v>#N/A</v>
      </c>
      <c r="D61" s="808"/>
      <c r="E61" s="738"/>
      <c r="F61" s="783"/>
      <c r="I61" s="945" t="s">
        <v>2052</v>
      </c>
      <c r="J61" s="946"/>
      <c r="K61" s="921" t="s">
        <v>2053</v>
      </c>
      <c r="L61" s="924" t="e">
        <f ca="1">IF(L53&lt;J56,"——",L53-J56)</f>
        <v>#N/A</v>
      </c>
      <c r="M61" s="716"/>
      <c r="O61" s="919" t="s">
        <v>1318</v>
      </c>
      <c r="P61" s="920" t="s">
        <v>2018</v>
      </c>
      <c r="Q61" s="959" t="s">
        <v>2019</v>
      </c>
      <c r="R61" s="920" t="s">
        <v>2020</v>
      </c>
    </row>
    <row r="62" s="632" customFormat="1" ht="28.5" customHeight="1" spans="1:18">
      <c r="A62" s="854" t="s">
        <v>1997</v>
      </c>
      <c r="B62" s="855" t="s">
        <v>1938</v>
      </c>
      <c r="C62" s="124" t="e">
        <f ca="1">ROUND(C63+C68+C69+C70,0)</f>
        <v>#N/A</v>
      </c>
      <c r="D62" s="857" t="s">
        <v>1939</v>
      </c>
      <c r="E62" s="127"/>
      <c r="F62" s="784"/>
      <c r="I62" s="947" t="s">
        <v>2054</v>
      </c>
      <c r="J62" s="948" t="e">
        <f ca="1">IF(OR(M52="住宅",J56&lt;L53,J61="是"),"——",J56-L53)</f>
        <v>#N/A</v>
      </c>
      <c r="K62" s="921" t="s">
        <v>2055</v>
      </c>
      <c r="L62" s="924" t="e">
        <f ca="1">IF(L53&lt;J56,"——",IF(L60="比较法",L54,IF(L60="基准地价",L55,L56)))</f>
        <v>#N/A</v>
      </c>
      <c r="M62" s="716"/>
      <c r="O62" s="925" t="s">
        <v>2023</v>
      </c>
      <c r="P62" s="926" t="s">
        <v>2024</v>
      </c>
      <c r="Q62" s="960" t="e">
        <f ca="1">C40+J29</f>
        <v>#N/A</v>
      </c>
      <c r="R62" s="926" t="s">
        <v>2025</v>
      </c>
    </row>
    <row r="63" s="632" customFormat="1" ht="28.5" customHeight="1" spans="1:18">
      <c r="A63" s="779" t="s">
        <v>855</v>
      </c>
      <c r="B63" s="738" t="s">
        <v>1943</v>
      </c>
      <c r="C63" s="807" t="e">
        <f ca="1">ROUND(IF(AND(项目基本情况!B11="自然人",项目基本情况!B10="北京市"),C53*F63/(1+'数据-取费表'!C42),C64+C65+C66),0)</f>
        <v>#N/A</v>
      </c>
      <c r="D63" s="776" t="s">
        <v>1944</v>
      </c>
      <c r="E63" s="808" t="s">
        <v>1945</v>
      </c>
      <c r="F63" s="809" t="str">
        <f ca="1">IF(项目基本情况!B11="企业","——",IF('数据-取费表'!B10="住宅",IF(F53*F54*F55/12/(1+'数据-取费表'!F30)&gt;100000,4%,2.5%),IF(F53*F54*F55/12/(1+'数据-取费表'!F30)&gt;100000,12%,7%)))</f>
        <v>——</v>
      </c>
      <c r="I63" s="947" t="s">
        <v>2056</v>
      </c>
      <c r="J63" s="949" t="e">
        <f ca="1">IF(J60&lt;0.4,0.4,J60)</f>
        <v>#N/A</v>
      </c>
      <c r="K63" s="921" t="s">
        <v>2057</v>
      </c>
      <c r="L63" s="924" t="e">
        <f ca="1">ROUND(POWER(1+L57,L52-L53)*(POWER(1+L57,L53)-1)/(POWER(1+L57,L52)-1),4)</f>
        <v>#N/A</v>
      </c>
      <c r="M63" s="716"/>
      <c r="O63" s="925" t="s">
        <v>2028</v>
      </c>
      <c r="P63" s="926" t="s">
        <v>2058</v>
      </c>
      <c r="Q63" s="960" t="e">
        <f ca="1">L65</f>
        <v>#N/A</v>
      </c>
      <c r="R63" s="962" t="s">
        <v>2059</v>
      </c>
    </row>
    <row r="64" s="632" customFormat="1" ht="28.5" customHeight="1" spans="1:18">
      <c r="A64" s="774" t="s">
        <v>879</v>
      </c>
      <c r="B64" s="738" t="s">
        <v>1946</v>
      </c>
      <c r="C64" s="125" t="e">
        <f ca="1">ROUND(C52*F64/1.05,1)</f>
        <v>#N/A</v>
      </c>
      <c r="D64" s="808" t="s">
        <v>1947</v>
      </c>
      <c r="E64" s="738" t="s">
        <v>1937</v>
      </c>
      <c r="F64" s="783">
        <f t="shared" ref="F64:F70" si="0">F32</f>
        <v>0.056</v>
      </c>
      <c r="I64" s="947" t="s">
        <v>2060</v>
      </c>
      <c r="J64" s="948" t="e">
        <f ca="1">IF(OR(M52="住宅",J56&lt;L53,J61="是"),"——",ROUND(C29*J63,0))</f>
        <v>#N/A</v>
      </c>
      <c r="K64" s="921" t="str">
        <f>IF(D1="——","建筑物剩余耐用年限下的土地年期修正系数Kn","建设期及建筑物耐用年限下的土地年期修正系数Kn")</f>
        <v>建设期及建筑物耐用年限下的土地年期修正系数Kn</v>
      </c>
      <c r="L64" s="924" t="e">
        <f ca="1">ROUND(IF(D1="土地（套用方法）",POWER(1+L57,L52-(J56+'数据-取费表'!B20))*(POWER(1+L57,(J56+'数据-取费表'!B20))-1)/(POWER(1+L57,L52)-1),POWER(1+L57,L52-J56)*(POWER(1+L57,J56)-1)/(POWER(1+L57,L52)-1)),4)</f>
        <v>#N/A</v>
      </c>
      <c r="M64" s="716"/>
      <c r="O64" s="931" t="s">
        <v>2033</v>
      </c>
      <c r="P64" s="926" t="s">
        <v>2062</v>
      </c>
      <c r="Q64" s="960">
        <f>IF(L60="比较法",L54,IF(L60="基准地价",L55,0))</f>
        <v>0</v>
      </c>
      <c r="R64" s="926" t="s">
        <v>2025</v>
      </c>
    </row>
    <row r="65" s="632" customFormat="1" ht="18" customHeight="1" spans="1:18">
      <c r="A65" s="774" t="s">
        <v>883</v>
      </c>
      <c r="B65" s="738" t="s">
        <v>1950</v>
      </c>
      <c r="C65" s="125" t="e">
        <f ca="1">IF(D65="按租金收入计税",ROUND(C53*F65/(1+'数据-取费表'!C42),1),IF(D65="按房产原值计税",ROUND(C61*F65*0.7,1),INDIRECT("'数据-取费表'!Aj"&amp;$G$1)))</f>
        <v>#N/A</v>
      </c>
      <c r="D65" s="808" t="str">
        <f>D33</f>
        <v>按租金收入计税</v>
      </c>
      <c r="E65" s="738" t="s">
        <v>1937</v>
      </c>
      <c r="F65" s="783">
        <f t="shared" si="0"/>
        <v>0.12</v>
      </c>
      <c r="I65" s="950" t="s">
        <v>2063</v>
      </c>
      <c r="J65" s="951" t="e">
        <f ca="1">IF(OR(M52="住宅",J56&lt;L53,J61="是"),"0",ROUND(J64/(1+J57)^J58,0))</f>
        <v>#N/A</v>
      </c>
      <c r="K65" s="952" t="s">
        <v>2064</v>
      </c>
      <c r="L65" s="951" t="e">
        <f ca="1">IF(OR(M52="住宅",L53&lt;J56),0,ROUND(L62*(L63/L64-1),0))</f>
        <v>#N/A</v>
      </c>
      <c r="M65" s="716"/>
      <c r="O65" s="931" t="s">
        <v>2037</v>
      </c>
      <c r="P65" s="926" t="s">
        <v>2065</v>
      </c>
      <c r="Q65" s="961">
        <f>L57</f>
        <v>0</v>
      </c>
      <c r="R65" s="962"/>
    </row>
    <row r="66" s="632" customFormat="1" ht="18" customHeight="1" spans="1:18">
      <c r="A66" s="787" t="s">
        <v>886</v>
      </c>
      <c r="B66" s="814" t="s">
        <v>1955</v>
      </c>
      <c r="C66" s="815" t="e">
        <f ca="1">ROUND(F66*F67/10000,1)</f>
        <v>#N/A</v>
      </c>
      <c r="D66" s="816" t="s">
        <v>1956</v>
      </c>
      <c r="E66" s="738" t="s">
        <v>1957</v>
      </c>
      <c r="F66" s="792">
        <f t="shared" si="0"/>
        <v>0</v>
      </c>
      <c r="K66" s="907"/>
      <c r="O66" s="931" t="s">
        <v>2040</v>
      </c>
      <c r="P66" s="926" t="s">
        <v>2066</v>
      </c>
      <c r="Q66" s="960" t="e">
        <f ca="1">L63</f>
        <v>#N/A</v>
      </c>
      <c r="R66" s="962" t="s">
        <v>2067</v>
      </c>
    </row>
    <row r="67" s="632" customFormat="1" ht="15.75" spans="1:18">
      <c r="A67" s="817"/>
      <c r="B67" s="818"/>
      <c r="C67" s="819"/>
      <c r="D67" s="820"/>
      <c r="E67" s="738" t="s">
        <v>1962</v>
      </c>
      <c r="F67" s="739" t="e">
        <f ca="1" t="shared" si="0"/>
        <v>#N/A</v>
      </c>
      <c r="I67" s="953" t="s">
        <v>2068</v>
      </c>
      <c r="J67" s="954" t="s">
        <v>2069</v>
      </c>
      <c r="K67" s="954" t="s">
        <v>2070</v>
      </c>
      <c r="L67" s="954" t="s">
        <v>2071</v>
      </c>
      <c r="M67" s="955" t="s">
        <v>2072</v>
      </c>
      <c r="O67" s="931" t="s">
        <v>2043</v>
      </c>
      <c r="P67" s="926" t="str">
        <f>K64</f>
        <v>建设期及建筑物耐用年限下的土地年期修正系数Kn</v>
      </c>
      <c r="Q67" s="960" t="e">
        <f ca="1">L64</f>
        <v>#N/A</v>
      </c>
      <c r="R67" s="962" t="s">
        <v>2074</v>
      </c>
    </row>
    <row r="68" s="632" customFormat="1" ht="15.75" spans="1:18">
      <c r="A68" s="779" t="s">
        <v>857</v>
      </c>
      <c r="B68" s="738" t="s">
        <v>1965</v>
      </c>
      <c r="C68" s="125" t="e">
        <f ca="1">ROUND(C61*F68,1)</f>
        <v>#N/A</v>
      </c>
      <c r="D68" s="808" t="s">
        <v>2001</v>
      </c>
      <c r="E68" s="738" t="s">
        <v>1937</v>
      </c>
      <c r="F68" s="821" t="e">
        <f ca="1" t="shared" si="0"/>
        <v>#N/A</v>
      </c>
      <c r="I68" s="953" t="s">
        <v>2075</v>
      </c>
      <c r="J68" s="954">
        <v>70</v>
      </c>
      <c r="K68" s="954">
        <v>50</v>
      </c>
      <c r="L68" s="954">
        <v>80</v>
      </c>
      <c r="M68" s="956">
        <v>0.02</v>
      </c>
      <c r="O68" s="925" t="s">
        <v>2046</v>
      </c>
      <c r="P68" s="926" t="s">
        <v>2047</v>
      </c>
      <c r="Q68" s="960" t="e">
        <f ca="1">Q62+Q63</f>
        <v>#N/A</v>
      </c>
      <c r="R68" s="962" t="s">
        <v>2048</v>
      </c>
    </row>
    <row r="69" s="632" customFormat="1" ht="16.5" spans="1:18">
      <c r="A69" s="779" t="s">
        <v>1061</v>
      </c>
      <c r="B69" s="738" t="s">
        <v>1969</v>
      </c>
      <c r="C69" s="125" t="e">
        <f ca="1">ROUND(C60*F69,1)</f>
        <v>#N/A</v>
      </c>
      <c r="D69" s="808" t="s">
        <v>1970</v>
      </c>
      <c r="E69" s="738" t="s">
        <v>1937</v>
      </c>
      <c r="F69" s="822" t="e">
        <f ca="1" t="shared" si="0"/>
        <v>#N/A</v>
      </c>
      <c r="I69" s="953" t="s">
        <v>2076</v>
      </c>
      <c r="J69" s="954">
        <v>50</v>
      </c>
      <c r="K69" s="954">
        <v>35</v>
      </c>
      <c r="L69" s="954">
        <v>60</v>
      </c>
      <c r="M69" s="904">
        <v>0</v>
      </c>
      <c r="O69" s="944" t="s">
        <v>2077</v>
      </c>
      <c r="P69" s="913"/>
      <c r="Q69" s="918"/>
      <c r="R69" s="913"/>
    </row>
    <row r="70" s="632" customFormat="1" ht="15.75" spans="1:18">
      <c r="A70" s="779" t="s">
        <v>2413</v>
      </c>
      <c r="B70" s="738" t="s">
        <v>1953</v>
      </c>
      <c r="C70" s="125" t="e">
        <f ca="1">ROUND(C52*F70,1)</f>
        <v>#N/A</v>
      </c>
      <c r="D70" s="808" t="s">
        <v>1973</v>
      </c>
      <c r="E70" s="738" t="s">
        <v>1937</v>
      </c>
      <c r="F70" s="750" t="e">
        <f ca="1" t="shared" si="0"/>
        <v>#N/A</v>
      </c>
      <c r="I70" s="953" t="s">
        <v>2078</v>
      </c>
      <c r="J70" s="954">
        <v>40</v>
      </c>
      <c r="K70" s="954">
        <v>30</v>
      </c>
      <c r="L70" s="954">
        <v>50</v>
      </c>
      <c r="M70" s="956">
        <v>0.02</v>
      </c>
      <c r="O70" s="919" t="s">
        <v>1318</v>
      </c>
      <c r="P70" s="920" t="s">
        <v>2018</v>
      </c>
      <c r="Q70" s="959" t="s">
        <v>2019</v>
      </c>
      <c r="R70" s="920" t="s">
        <v>2020</v>
      </c>
    </row>
    <row r="71" s="632" customFormat="1" ht="15.75" spans="1:18">
      <c r="A71" s="854" t="s">
        <v>2414</v>
      </c>
      <c r="B71" s="963" t="s">
        <v>1977</v>
      </c>
      <c r="C71" s="124" t="e">
        <f ca="1">C52-C62</f>
        <v>#N/A</v>
      </c>
      <c r="D71" s="776" t="s">
        <v>1978</v>
      </c>
      <c r="E71" s="964"/>
      <c r="F71" s="965"/>
      <c r="K71" s="907"/>
      <c r="O71" s="925" t="s">
        <v>2023</v>
      </c>
      <c r="P71" s="926" t="s">
        <v>2024</v>
      </c>
      <c r="Q71" s="960" t="e">
        <f ca="1">C40+J29</f>
        <v>#N/A</v>
      </c>
      <c r="R71" s="926" t="s">
        <v>2025</v>
      </c>
    </row>
    <row r="72" s="632" customFormat="1" ht="20.25" spans="1:18">
      <c r="A72" s="728" t="s">
        <v>2415</v>
      </c>
      <c r="B72" s="827" t="s">
        <v>2430</v>
      </c>
      <c r="C72" s="736" t="e">
        <f ca="1">ROUND(C71*(1-((1+F74)/(1+F72))^F73)/(F72-F74),0)</f>
        <v>#N/A</v>
      </c>
      <c r="D72" s="816" t="s">
        <v>1983</v>
      </c>
      <c r="E72" s="738" t="s">
        <v>1984</v>
      </c>
      <c r="F72" s="750">
        <f t="shared" ref="F72:F75" si="1">F40</f>
        <v>0.06</v>
      </c>
      <c r="K72" s="907"/>
      <c r="O72" s="925" t="s">
        <v>2028</v>
      </c>
      <c r="P72" s="926" t="s">
        <v>2058</v>
      </c>
      <c r="Q72" s="960" t="e">
        <f ca="1">L65</f>
        <v>#N/A</v>
      </c>
      <c r="R72" s="962" t="s">
        <v>2059</v>
      </c>
    </row>
    <row r="73" s="632" customFormat="1" ht="24" spans="1:18">
      <c r="A73" s="748"/>
      <c r="B73" s="828"/>
      <c r="C73" s="743"/>
      <c r="D73" s="829" t="s">
        <v>1987</v>
      </c>
      <c r="E73" s="738" t="s">
        <v>1988</v>
      </c>
      <c r="F73" s="830">
        <f t="shared" si="1"/>
        <v>5</v>
      </c>
      <c r="G73" s="703"/>
      <c r="H73" s="703"/>
      <c r="I73" s="703"/>
      <c r="J73" s="703"/>
      <c r="K73" s="705"/>
      <c r="L73" s="703"/>
      <c r="M73" s="703"/>
      <c r="O73" s="931" t="s">
        <v>2033</v>
      </c>
      <c r="P73" s="926" t="s">
        <v>2062</v>
      </c>
      <c r="Q73" s="967" t="e">
        <f ca="1">L56</f>
        <v>#N/A</v>
      </c>
      <c r="R73" s="968" t="s">
        <v>2079</v>
      </c>
    </row>
    <row r="74" s="632" customFormat="1" ht="20.25" spans="1:18">
      <c r="A74" s="757"/>
      <c r="B74" s="831"/>
      <c r="C74" s="771"/>
      <c r="D74" s="820"/>
      <c r="E74" s="738" t="s">
        <v>1992</v>
      </c>
      <c r="F74" s="852"/>
      <c r="G74" s="703"/>
      <c r="H74" s="703"/>
      <c r="I74" s="703"/>
      <c r="J74" s="703"/>
      <c r="K74" s="705"/>
      <c r="L74" s="703"/>
      <c r="M74" s="703"/>
      <c r="O74" s="931" t="s">
        <v>2037</v>
      </c>
      <c r="P74" s="966" t="s">
        <v>2080</v>
      </c>
      <c r="Q74" s="960" t="e">
        <f ca="1">ROUND(Q75-Q76*Q77,0)</f>
        <v>#N/A</v>
      </c>
      <c r="R74" s="962"/>
    </row>
    <row r="75" s="632" customFormat="1" ht="15.75" spans="1:18">
      <c r="A75" s="803" t="s">
        <v>2421</v>
      </c>
      <c r="B75" s="832" t="s">
        <v>2434</v>
      </c>
      <c r="C75" s="833" t="e">
        <f ca="1">ROUND(C72*10000/F75,0)</f>
        <v>#N/A</v>
      </c>
      <c r="D75" s="834" t="s">
        <v>2435</v>
      </c>
      <c r="E75" s="835" t="s">
        <v>2436</v>
      </c>
      <c r="F75" s="836" t="e">
        <f ca="1" t="shared" si="1"/>
        <v>#N/A</v>
      </c>
      <c r="G75" s="703"/>
      <c r="H75" s="703"/>
      <c r="I75" s="703"/>
      <c r="J75" s="703"/>
      <c r="K75" s="705"/>
      <c r="L75" s="703"/>
      <c r="M75" s="703"/>
      <c r="O75" s="931" t="s">
        <v>2081</v>
      </c>
      <c r="P75" s="966" t="s">
        <v>2082</v>
      </c>
      <c r="Q75" s="960" t="e">
        <f ca="1">C39</f>
        <v>#N/A</v>
      </c>
      <c r="R75" s="926" t="s">
        <v>2025</v>
      </c>
    </row>
    <row r="76" s="632" customFormat="1" ht="15.75" spans="1:18">
      <c r="A76" s="703"/>
      <c r="B76" s="704"/>
      <c r="C76" s="704"/>
      <c r="D76" s="703"/>
      <c r="E76" s="703"/>
      <c r="F76" s="703"/>
      <c r="G76" s="703"/>
      <c r="H76" s="703"/>
      <c r="I76" s="703"/>
      <c r="J76" s="703"/>
      <c r="K76" s="705"/>
      <c r="L76" s="703"/>
      <c r="M76" s="703"/>
      <c r="O76" s="931" t="s">
        <v>2083</v>
      </c>
      <c r="P76" s="966" t="s">
        <v>2084</v>
      </c>
      <c r="Q76" s="960" t="e">
        <f ca="1">C13</f>
        <v>#N/A</v>
      </c>
      <c r="R76" s="926" t="s">
        <v>2025</v>
      </c>
    </row>
    <row r="77" s="632" customFormat="1" ht="15.75" spans="1:18">
      <c r="A77" s="703"/>
      <c r="B77" s="704"/>
      <c r="C77" s="704"/>
      <c r="D77" s="703"/>
      <c r="E77" s="703"/>
      <c r="F77" s="703"/>
      <c r="G77" s="703"/>
      <c r="H77" s="703"/>
      <c r="I77" s="703"/>
      <c r="J77" s="703"/>
      <c r="K77" s="705"/>
      <c r="L77" s="703"/>
      <c r="M77" s="703"/>
      <c r="O77" s="931" t="s">
        <v>2085</v>
      </c>
      <c r="P77" s="966" t="s">
        <v>2086</v>
      </c>
      <c r="Q77" s="961" t="e">
        <f ca="1">J36</f>
        <v>#N/A</v>
      </c>
      <c r="R77" s="962"/>
    </row>
    <row r="78" s="632" customFormat="1" ht="15.75" spans="1:18">
      <c r="A78" s="703"/>
      <c r="B78" s="704"/>
      <c r="C78" s="704"/>
      <c r="D78" s="703"/>
      <c r="E78" s="703"/>
      <c r="F78" s="703"/>
      <c r="G78" s="703"/>
      <c r="H78" s="703"/>
      <c r="I78" s="703"/>
      <c r="J78" s="703"/>
      <c r="K78" s="705"/>
      <c r="L78" s="703"/>
      <c r="M78" s="703"/>
      <c r="O78" s="931" t="s">
        <v>2040</v>
      </c>
      <c r="P78" s="926" t="s">
        <v>2065</v>
      </c>
      <c r="Q78" s="961">
        <f>L57</f>
        <v>0</v>
      </c>
      <c r="R78" s="962"/>
    </row>
    <row r="79" s="632" customFormat="1" ht="20.25" spans="1:18">
      <c r="A79" s="703"/>
      <c r="B79" s="704"/>
      <c r="C79" s="704"/>
      <c r="D79" s="703"/>
      <c r="E79" s="703"/>
      <c r="F79" s="703"/>
      <c r="G79" s="703"/>
      <c r="H79" s="703"/>
      <c r="I79" s="703"/>
      <c r="J79" s="703"/>
      <c r="K79" s="705"/>
      <c r="L79" s="703"/>
      <c r="M79" s="703"/>
      <c r="O79" s="931" t="s">
        <v>2043</v>
      </c>
      <c r="P79" s="926" t="s">
        <v>2066</v>
      </c>
      <c r="Q79" s="960" t="e">
        <f ca="1">L63</f>
        <v>#N/A</v>
      </c>
      <c r="R79" s="962" t="s">
        <v>2067</v>
      </c>
    </row>
    <row r="80" s="632" customFormat="1" ht="15.75" spans="1:18">
      <c r="A80" s="703"/>
      <c r="B80" s="704"/>
      <c r="C80" s="704"/>
      <c r="D80" s="703"/>
      <c r="E80" s="703"/>
      <c r="F80" s="703"/>
      <c r="G80" s="703"/>
      <c r="H80" s="703"/>
      <c r="I80" s="703"/>
      <c r="J80" s="703"/>
      <c r="K80" s="705"/>
      <c r="L80" s="703"/>
      <c r="M80" s="703"/>
      <c r="O80" s="931" t="s">
        <v>2087</v>
      </c>
      <c r="P80" s="926" t="str">
        <f>K64</f>
        <v>建设期及建筑物耐用年限下的土地年期修正系数Kn</v>
      </c>
      <c r="Q80" s="960" t="e">
        <f ca="1">L64</f>
        <v>#N/A</v>
      </c>
      <c r="R80" s="962" t="s">
        <v>2074</v>
      </c>
    </row>
    <row r="81" s="632" customFormat="1" ht="15.75" spans="1:18">
      <c r="A81" s="703"/>
      <c r="B81" s="704"/>
      <c r="C81" s="704"/>
      <c r="D81" s="703"/>
      <c r="E81" s="703"/>
      <c r="F81" s="703"/>
      <c r="G81" s="703"/>
      <c r="H81" s="703"/>
      <c r="I81" s="703"/>
      <c r="J81" s="703"/>
      <c r="K81" s="705"/>
      <c r="L81" s="703"/>
      <c r="M81" s="703"/>
      <c r="O81" s="925" t="s">
        <v>2046</v>
      </c>
      <c r="P81" s="926" t="s">
        <v>2047</v>
      </c>
      <c r="Q81" s="960" t="e">
        <f ca="1">Q71+Q72</f>
        <v>#N/A</v>
      </c>
      <c r="R81" s="962" t="s">
        <v>2048</v>
      </c>
    </row>
  </sheetData>
  <sheetProtection formatCells="0" formatColumns="0" formatRows="0"/>
  <mergeCells count="3">
    <mergeCell ref="K58:L58"/>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8">
    <cfRule type="expression" dxfId="13" priority="1">
      <formula>$F$57="自定义"</formula>
    </cfRule>
  </conditionalFormatting>
  <conditionalFormatting sqref="I60">
    <cfRule type="expression" dxfId="14" priority="7">
      <formula>$J$56&gt;$L$53</formula>
    </cfRule>
  </conditionalFormatting>
  <conditionalFormatting sqref="K60">
    <cfRule type="expression" dxfId="14" priority="6">
      <formula>$L$53&gt;$J$56</formula>
    </cfRule>
  </conditionalFormatting>
  <conditionalFormatting sqref="I65">
    <cfRule type="expression" dxfId="14" priority="5">
      <formula>$J$56&gt;$L$53</formula>
    </cfRule>
  </conditionalFormatting>
  <conditionalFormatting sqref="K65">
    <cfRule type="expression" dxfId="14" priority="4">
      <formula>$L$53&gt;$J$56</formula>
    </cfRule>
  </conditionalFormatting>
  <dataValidations count="8">
    <dataValidation type="list" allowBlank="1" showInputMessage="1" showErrorMessage="1" sqref="D1">
      <formula1>"土地（套用方法）,——"</formula1>
    </dataValidation>
    <dataValidation type="list" allowBlank="1" showInputMessage="1" showErrorMessage="1" sqref="F10 M10 F57">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判定</formula1>
    </dataValidation>
    <dataValidation type="list" allowBlank="1" showInputMessage="1" showErrorMessage="1" sqref="C1:C3">
      <formula1>项目类型</formula1>
    </dataValidation>
  </dataValidations>
  <pageMargins left="0.7" right="0.7" top="0.75" bottom="0.75" header="0.3" footer="0.3"/>
  <pageSetup paperSize="9" scale="56" orientation="landscape"/>
  <headerFooter/>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81"/>
  <sheetViews>
    <sheetView view="pageBreakPreview" zoomScale="85" zoomScaleNormal="60" topLeftCell="A16" workbookViewId="0">
      <selection activeCell="C44" sqref="C44"/>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2474</v>
      </c>
      <c r="D1" s="710" t="s">
        <v>2405</v>
      </c>
      <c r="E1" s="711" t="s">
        <v>588</v>
      </c>
      <c r="F1" s="712" t="e">
        <f ca="1">J58</f>
        <v>#N/A</v>
      </c>
      <c r="G1" s="713" t="e">
        <f>MATCH(C1,'数据-取费表'!A6:A16,0)+5</f>
        <v>#N/A</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101" t="e">
        <f ca="1">C46</f>
        <v>#N/A</v>
      </c>
      <c r="C2" s="715"/>
      <c r="D2" s="716"/>
      <c r="E2" s="717"/>
      <c r="F2" s="717"/>
      <c r="G2" s="718"/>
      <c r="H2" s="719"/>
      <c r="I2" s="719"/>
      <c r="J2" s="719"/>
      <c r="K2" s="861"/>
      <c r="L2" s="719"/>
      <c r="M2" s="719"/>
    </row>
    <row r="3" ht="18" customHeight="1" spans="1:13">
      <c r="A3" s="720" t="s">
        <v>2350</v>
      </c>
      <c r="B3" s="721">
        <f ca="1">IF(ISERROR(B2*10000/F43),0,ROUND(B2*10000/F43,0))</f>
        <v>0</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t="e">
        <f ca="1">C6+C10+C12</f>
        <v>#N/A</v>
      </c>
      <c r="D5" s="731" t="s">
        <v>1918</v>
      </c>
      <c r="E5" s="732"/>
      <c r="F5" s="733"/>
      <c r="G5" s="727"/>
      <c r="H5" s="728">
        <v>1</v>
      </c>
      <c r="I5" s="729" t="s">
        <v>1917</v>
      </c>
      <c r="J5" s="730" t="e">
        <f ca="1">J6+J10+J12</f>
        <v>#N/A</v>
      </c>
      <c r="K5" s="731" t="s">
        <v>1918</v>
      </c>
      <c r="L5" s="732"/>
      <c r="M5" s="733"/>
    </row>
    <row r="6" ht="18" customHeight="1" spans="1:13">
      <c r="A6" s="734" t="s">
        <v>855</v>
      </c>
      <c r="B6" s="735" t="s">
        <v>1919</v>
      </c>
      <c r="C6" s="736" t="e">
        <f ca="1">ROUND(F6*F8*F7*(1-F9)/10000,0)</f>
        <v>#N/A</v>
      </c>
      <c r="D6" s="737" t="s">
        <v>2406</v>
      </c>
      <c r="E6" s="738" t="s">
        <v>1921</v>
      </c>
      <c r="F6" s="739" t="e">
        <f ca="1">INDIRECT("'数据-取费表'!u"&amp;$G$1)</f>
        <v>#N/A</v>
      </c>
      <c r="G6" s="727"/>
      <c r="H6" s="740" t="s">
        <v>855</v>
      </c>
      <c r="I6" s="735" t="s">
        <v>1919</v>
      </c>
      <c r="J6" s="736" t="e">
        <f ca="1">ROUND(M6*M8*M7*(1-M9)/10000,0)</f>
        <v>#N/A</v>
      </c>
      <c r="K6" s="814" t="s">
        <v>2407</v>
      </c>
      <c r="L6" s="738" t="s">
        <v>1921</v>
      </c>
      <c r="M6" s="739" t="e">
        <f ca="1">INDIRECT("'数据-取费表'!z"&amp;$G$1)</f>
        <v>#N/A</v>
      </c>
    </row>
    <row r="7" ht="18" customHeight="1" spans="1:13">
      <c r="A7" s="741"/>
      <c r="B7" s="742"/>
      <c r="C7" s="743"/>
      <c r="D7" s="744"/>
      <c r="E7" s="738" t="s">
        <v>1922</v>
      </c>
      <c r="F7" s="739" t="e">
        <f ca="1">IF(INDIRECT("'数据-取费表'!ah"&amp;$G$1)="",INDIRECT("'数据-取费表'!k"&amp;$G$1),INDIRECT("'数据-取费表'!ah"&amp;$G$1))</f>
        <v>#N/A</v>
      </c>
      <c r="G7" s="727"/>
      <c r="H7" s="745"/>
      <c r="I7" s="742"/>
      <c r="J7" s="743"/>
      <c r="K7" s="744"/>
      <c r="L7" s="738" t="s">
        <v>1922</v>
      </c>
      <c r="M7" s="739" t="e">
        <f ca="1">F7</f>
        <v>#N/A</v>
      </c>
    </row>
    <row r="8" ht="18" customHeight="1" spans="1:13">
      <c r="A8" s="746"/>
      <c r="B8" s="747"/>
      <c r="C8" s="743"/>
      <c r="D8" s="744"/>
      <c r="E8" s="738" t="s">
        <v>1923</v>
      </c>
      <c r="F8" s="739" t="e">
        <f ca="1">INDIRECT("'数据-取费表'!ai"&amp;$G$1)</f>
        <v>#N/A</v>
      </c>
      <c r="G8" s="727"/>
      <c r="H8" s="745"/>
      <c r="I8" s="747"/>
      <c r="J8" s="743"/>
      <c r="K8" s="744"/>
      <c r="L8" s="738" t="s">
        <v>1923</v>
      </c>
      <c r="M8" s="739" t="e">
        <f ca="1">INDIRECT("'数据-取费表'!ai"&amp;$G$1)</f>
        <v>#N/A</v>
      </c>
    </row>
    <row r="9" ht="18" customHeight="1" spans="1:13">
      <c r="A9" s="748"/>
      <c r="B9" s="749"/>
      <c r="C9" s="743"/>
      <c r="D9" s="744"/>
      <c r="E9" s="738" t="s">
        <v>1924</v>
      </c>
      <c r="F9" s="750" t="e">
        <f ca="1">INDIRECT("'数据-取费表'!w"&amp;$G$1)</f>
        <v>#N/A</v>
      </c>
      <c r="G9" s="727"/>
      <c r="H9" s="751"/>
      <c r="I9" s="747"/>
      <c r="J9" s="743"/>
      <c r="K9" s="744"/>
      <c r="L9" s="795" t="s">
        <v>1924</v>
      </c>
      <c r="M9" s="760" t="e">
        <f ca="1">INDIRECT("'数据-取费表'!ab"&amp;$G$1)</f>
        <v>#N/A</v>
      </c>
    </row>
    <row r="10" ht="18" customHeight="1" spans="1:13">
      <c r="A10" s="734" t="s">
        <v>857</v>
      </c>
      <c r="B10" s="752" t="s">
        <v>1925</v>
      </c>
      <c r="C10" s="124" t="e">
        <f ca="1">ROUND(IF(F10="押一",C6/12*F11,IF(F10="押二",C6/12*2*F11,IF(F10="押三",C6/12*3*F11,C11*F11))),0)</f>
        <v>#N/A</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771" t="e">
        <f ca="1">ROUND(C29*F13,0)</f>
        <v>#N/A</v>
      </c>
      <c r="D13" s="772" t="s">
        <v>2409</v>
      </c>
      <c r="E13" s="772" t="s">
        <v>1932</v>
      </c>
      <c r="F13" s="773" t="e">
        <f ca="1">INDIRECT("'数据-取费表'!y"&amp;$G$1)</f>
        <v>#N/A</v>
      </c>
      <c r="G13" s="727"/>
      <c r="H13" s="769">
        <v>2</v>
      </c>
      <c r="I13" s="770" t="s">
        <v>1933</v>
      </c>
      <c r="J13" s="869" t="e">
        <f ca="1">ROUND(J14*J15,0)</f>
        <v>#N/A</v>
      </c>
      <c r="K13" s="804" t="s">
        <v>1931</v>
      </c>
      <c r="L13" s="870"/>
      <c r="M13" s="871"/>
    </row>
    <row r="14" ht="18" customHeight="1" spans="1:13">
      <c r="A14" s="774" t="s">
        <v>879</v>
      </c>
      <c r="B14" s="738" t="s">
        <v>1068</v>
      </c>
      <c r="C14" s="775">
        <f>'数据-取费表'!P16</f>
        <v>85860.48</v>
      </c>
      <c r="D14" s="776" t="s">
        <v>1934</v>
      </c>
      <c r="E14" s="777"/>
      <c r="F14" s="778"/>
      <c r="G14" s="727"/>
      <c r="H14" s="779" t="s">
        <v>855</v>
      </c>
      <c r="I14" s="856" t="s">
        <v>1935</v>
      </c>
      <c r="J14" s="125" t="e">
        <f ca="1">C29</f>
        <v>#N/A</v>
      </c>
      <c r="K14" s="857"/>
      <c r="L14" s="872"/>
      <c r="M14" s="873"/>
    </row>
    <row r="15" s="702" customFormat="1" ht="18" customHeight="1" spans="1:33">
      <c r="A15" s="774" t="s">
        <v>883</v>
      </c>
      <c r="B15" s="738" t="s">
        <v>1070</v>
      </c>
      <c r="C15" s="125">
        <f>ROUND(C14*F15,0)</f>
        <v>2576</v>
      </c>
      <c r="D15" s="780" t="s">
        <v>1936</v>
      </c>
      <c r="E15" s="780" t="s">
        <v>1937</v>
      </c>
      <c r="F15" s="781">
        <f>'数据-取费表'!B33</f>
        <v>0.03</v>
      </c>
      <c r="G15" s="782"/>
      <c r="H15" s="768" t="s">
        <v>857</v>
      </c>
      <c r="I15" s="801" t="s">
        <v>1932</v>
      </c>
      <c r="J15" s="874" t="e">
        <f ca="1">INDIRECT("'数据-取费表'!ad"&amp;$G$1)</f>
        <v>#N/A</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25" t="e">
        <f ca="1">ROUND(INDIRECT("'数据-取费表'!m"&amp;$G$1)*F16,0)</f>
        <v>#N/A</v>
      </c>
      <c r="D16" s="738" t="s">
        <v>1936</v>
      </c>
      <c r="E16" s="738" t="s">
        <v>1937</v>
      </c>
      <c r="F16" s="783" t="e">
        <f ca="1">IF(INDIRECT("'数据-取费表'!c"&amp;$G$1)="住宅",'数据-取费表'!B34,0)</f>
        <v>#N/A</v>
      </c>
      <c r="G16" s="727"/>
      <c r="H16" s="769" t="s">
        <v>1997</v>
      </c>
      <c r="I16" s="770" t="s">
        <v>1938</v>
      </c>
      <c r="J16" s="771" t="e">
        <f ca="1">ROUND(J17+J22+J23+J24,0)</f>
        <v>#N/A</v>
      </c>
      <c r="K16" s="804" t="s">
        <v>1939</v>
      </c>
      <c r="L16" s="805"/>
      <c r="M16" s="733"/>
    </row>
    <row r="17" s="702" customFormat="1" ht="18" customHeight="1" spans="1:33">
      <c r="A17" s="774" t="s">
        <v>2410</v>
      </c>
      <c r="B17" s="738" t="s">
        <v>1940</v>
      </c>
      <c r="C17" s="125" t="e">
        <f>ROUND(F17*'数据-汇总表'!F31/10000,0)</f>
        <v>#VALUE!</v>
      </c>
      <c r="D17" s="738" t="s">
        <v>1941</v>
      </c>
      <c r="E17" s="738" t="s">
        <v>1942</v>
      </c>
      <c r="F17" s="784">
        <f>'数据-取费表'!B35</f>
        <v>305</v>
      </c>
      <c r="G17" s="782"/>
      <c r="H17" s="779" t="s">
        <v>855</v>
      </c>
      <c r="I17" s="738" t="s">
        <v>1943</v>
      </c>
      <c r="J17" s="807" t="e">
        <f ca="1">ROUND(IF(AND(项目基本情况!B11="自然人",项目基本情况!B10="北京市"),J6*M17/(1+'数据-取费表'!C42),J18+J19+J20),0)</f>
        <v>#N/A</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f>ROUND(C14*F18,0)</f>
        <v>1288</v>
      </c>
      <c r="D18" s="738" t="s">
        <v>1936</v>
      </c>
      <c r="E18" s="738" t="s">
        <v>1937</v>
      </c>
      <c r="F18" s="783">
        <f>'数据-取费表'!B36</f>
        <v>0.015</v>
      </c>
      <c r="G18" s="782"/>
      <c r="H18" s="774" t="s">
        <v>879</v>
      </c>
      <c r="I18" s="738" t="s">
        <v>1946</v>
      </c>
      <c r="J18" s="125" t="e">
        <f ca="1">ROUND(J6*M18/(1+'数据-取费表'!C42),1)</f>
        <v>#N/A</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25" t="e">
        <f ca="1">SUM(C14:C18)</f>
        <v>#N/A</v>
      </c>
      <c r="D19" s="785" t="s">
        <v>1949</v>
      </c>
      <c r="E19" s="127"/>
      <c r="F19" s="784"/>
      <c r="G19" s="727"/>
      <c r="H19" s="774" t="s">
        <v>883</v>
      </c>
      <c r="I19" s="738" t="s">
        <v>1950</v>
      </c>
      <c r="J19" s="125" t="e">
        <f ca="1">IF(K19="按租金收入计税",ROUND(J6*M19/(1+'数据-取费表'!C42),1),ROUND(C29*F33*0.7,1))</f>
        <v>#N/A</v>
      </c>
      <c r="K19" s="812" t="s">
        <v>1951</v>
      </c>
      <c r="L19" s="738" t="s">
        <v>1937</v>
      </c>
      <c r="M19" s="783">
        <f>IF(K19="按租金收入计税",'数据-取费表'!B51,'数据-取费表'!B50)</f>
        <v>0.012</v>
      </c>
    </row>
    <row r="20" s="702" customFormat="1" ht="18" customHeight="1" spans="1:33">
      <c r="A20" s="779" t="s">
        <v>857</v>
      </c>
      <c r="B20" s="738" t="s">
        <v>1953</v>
      </c>
      <c r="C20" s="125" t="e">
        <f ca="1">ROUND(C19*F20,0)</f>
        <v>#N/A</v>
      </c>
      <c r="D20" s="786" t="s">
        <v>1954</v>
      </c>
      <c r="E20" s="738" t="s">
        <v>1937</v>
      </c>
      <c r="F20" s="783">
        <f>'数据-取费表'!B37</f>
        <v>0.03</v>
      </c>
      <c r="G20" s="782"/>
      <c r="H20" s="787" t="s">
        <v>886</v>
      </c>
      <c r="I20" s="814" t="s">
        <v>1955</v>
      </c>
      <c r="J20" s="815" t="e">
        <f ca="1">ROUND(M20*M21/10000,0)</f>
        <v>#N/A</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783">
        <f>'剩余法-待开发-住宅自持'!F24</f>
        <v>0.03</v>
      </c>
      <c r="G21" s="782"/>
      <c r="H21" s="789"/>
      <c r="I21" s="818"/>
      <c r="J21" s="819"/>
      <c r="K21" s="820"/>
      <c r="L21" s="738" t="s">
        <v>1962</v>
      </c>
      <c r="M21" s="739" t="e">
        <f ca="1">INDIRECT("'数据-取费表'!r"&amp;$G$1)</f>
        <v>#N/A</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t="e">
        <f ca="1">ROUND(J14*M22,0)</f>
        <v>#N/A</v>
      </c>
      <c r="K22" s="808" t="s">
        <v>1966</v>
      </c>
      <c r="L22" s="738" t="s">
        <v>1937</v>
      </c>
      <c r="M22" s="821" t="e">
        <f ca="1">INDIRECT("'数据-取费表'!Ak"&amp;$G$1)</f>
        <v>#N/A</v>
      </c>
    </row>
    <row r="23" s="702" customFormat="1" ht="18" customHeight="1" spans="1:33">
      <c r="A23" s="774" t="s">
        <v>879</v>
      </c>
      <c r="B23" s="738" t="s">
        <v>1967</v>
      </c>
      <c r="C23" s="125" t="e">
        <f ca="1">ROUND(IF('数据-取费表'!B22&lt;=1,(C19+C20)*F24*F23/2,(C19+C20)*(POWER((1+F24),F23/2)-1)),0)</f>
        <v>#N/A</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t="e">
        <f ca="1">ROUND(J13*M23,0)</f>
        <v>#N/A</v>
      </c>
      <c r="K23" s="808" t="s">
        <v>1970</v>
      </c>
      <c r="L23" s="738" t="s">
        <v>1937</v>
      </c>
      <c r="M23" s="822" t="e">
        <f ca="1">INDIRECT("'数据-取费表'!Al"&amp;$G$1)</f>
        <v>#N/A</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t="e">
        <f ca="1">ROUND(J5*M24,0)</f>
        <v>#N/A</v>
      </c>
      <c r="K24" s="800" t="s">
        <v>1973</v>
      </c>
      <c r="L24" s="801" t="s">
        <v>1937</v>
      </c>
      <c r="M24" s="767" t="e">
        <f ca="1">INDIRECT("'数据-取费表'!Am"&amp;$G$1)</f>
        <v>#N/A</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#N/A</v>
      </c>
      <c r="K25" s="824" t="s">
        <v>1978</v>
      </c>
      <c r="L25" s="825"/>
      <c r="M25" s="826"/>
    </row>
    <row r="26" ht="18" customHeight="1" spans="1:13">
      <c r="A26" s="774" t="s">
        <v>879</v>
      </c>
      <c r="B26" s="738" t="s">
        <v>1979</v>
      </c>
      <c r="C26" s="125" t="e">
        <f ca="1">ROUND((C19+C20)*F26,0)</f>
        <v>#N/A</v>
      </c>
      <c r="D26" s="786" t="s">
        <v>1980</v>
      </c>
      <c r="E26" s="795" t="s">
        <v>1981</v>
      </c>
      <c r="F26" s="750" t="e">
        <f ca="1">INDIRECT("'数据-取费表'!q"&amp;$G$1)</f>
        <v>#N/A</v>
      </c>
      <c r="G26" s="727"/>
      <c r="H26" s="796" t="s">
        <v>2415</v>
      </c>
      <c r="I26" s="827" t="s">
        <v>2416</v>
      </c>
      <c r="J26" s="736" t="e">
        <f ca="1">IF(J5&lt;&gt;0,ROUND(J25*(1-((1+M28)/(1+M26))^M27)/(M26-M28),0),0)</f>
        <v>#N/A</v>
      </c>
      <c r="K26" s="816" t="s">
        <v>1983</v>
      </c>
      <c r="L26" s="738" t="s">
        <v>2417</v>
      </c>
      <c r="M26" s="750" t="e">
        <f ca="1">INDIRECT("'数据-取费表'!I"&amp;$G$1)</f>
        <v>#N/A</v>
      </c>
    </row>
    <row r="27" ht="18" customHeight="1" spans="1:13">
      <c r="A27" s="774" t="s">
        <v>883</v>
      </c>
      <c r="B27" s="738" t="s">
        <v>1985</v>
      </c>
      <c r="C27" s="125" t="e">
        <f ca="1">ROUND(F21*F26,4)</f>
        <v>#N/A</v>
      </c>
      <c r="D27" s="786" t="s">
        <v>1986</v>
      </c>
      <c r="E27" s="780"/>
      <c r="F27" s="781"/>
      <c r="G27" s="727"/>
      <c r="H27" s="797"/>
      <c r="I27" s="828"/>
      <c r="J27" s="743"/>
      <c r="K27" s="829" t="s">
        <v>1987</v>
      </c>
      <c r="L27" s="738" t="s">
        <v>1988</v>
      </c>
      <c r="M27" s="830" t="e">
        <f ca="1">INDIRECT("'数据-取费表'!ag"&amp;$G$1)</f>
        <v>#N/A</v>
      </c>
    </row>
    <row r="28" s="702" customFormat="1" ht="18" customHeight="1" spans="1:33">
      <c r="A28" s="794" t="s">
        <v>913</v>
      </c>
      <c r="B28" s="738" t="s">
        <v>1990</v>
      </c>
      <c r="C28" s="125">
        <f>ROUND(F28/(1+'数据-取费表'!C42),4)</f>
        <v>0.0533</v>
      </c>
      <c r="D28" s="786" t="s">
        <v>2419</v>
      </c>
      <c r="E28" s="738" t="s">
        <v>1937</v>
      </c>
      <c r="F28" s="783">
        <f>'数据-取费表'!B41</f>
        <v>0.056</v>
      </c>
      <c r="G28" s="782"/>
      <c r="H28" s="769"/>
      <c r="I28" s="831"/>
      <c r="J28" s="771"/>
      <c r="K28" s="820"/>
      <c r="L28" s="738" t="s">
        <v>1992</v>
      </c>
      <c r="M28" s="750" t="e">
        <f ca="1">INDIRECT("'数据-取费表'!aa"&amp;$G$1)</f>
        <v>#N/A</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t="e">
        <f ca="1">ROUND((C19+C20+C23+C26)/(1-F21-C24-C27-C28),0)</f>
        <v>#N/A</v>
      </c>
      <c r="D29" s="800"/>
      <c r="E29" s="801"/>
      <c r="F29" s="802"/>
      <c r="G29" s="782"/>
      <c r="H29" s="803" t="s">
        <v>2421</v>
      </c>
      <c r="I29" s="832" t="s">
        <v>2422</v>
      </c>
      <c r="J29" s="833" t="e">
        <f ca="1">ROUND(J26/(1+F40)^F41,0)</f>
        <v>#N/A</v>
      </c>
      <c r="K29" s="834" t="s">
        <v>1996</v>
      </c>
      <c r="L29" s="835"/>
      <c r="M29" s="836" t="e">
        <f ca="1">INDIRECT("'数据-取费表'!k"&amp;$G$1)</f>
        <v>#N/A</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771" t="e">
        <f ca="1">ROUND(C31+C36+C37+C38,0)</f>
        <v>#N/A</v>
      </c>
      <c r="D30" s="804" t="s">
        <v>1939</v>
      </c>
      <c r="E30" s="805"/>
      <c r="F30" s="733"/>
      <c r="G30" s="727"/>
      <c r="H30" s="806"/>
      <c r="I30" s="879"/>
      <c r="J30" s="880"/>
      <c r="K30" s="183"/>
      <c r="L30" s="881"/>
      <c r="M30" s="882"/>
    </row>
    <row r="31" ht="18" customHeight="1" spans="1:13">
      <c r="A31" s="779" t="s">
        <v>855</v>
      </c>
      <c r="B31" s="738" t="s">
        <v>1943</v>
      </c>
      <c r="C31" s="807" t="e">
        <f ca="1">ROUND(IF(AND(项目基本情况!B11="自然人",项目基本情况!B10="北京市"),C6*F31/(1+'数据-取费表'!C42),C32+C33+C34),0)</f>
        <v>#N/A</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t="e">
        <f ca="1">ROUND(C6*F32/(1+'数据-取费表'!C42),1)</f>
        <v>#N/A</v>
      </c>
      <c r="D32" s="808" t="s">
        <v>1947</v>
      </c>
      <c r="E32" s="738" t="s">
        <v>1937</v>
      </c>
      <c r="F32" s="783">
        <f>'数据-取费表'!B41</f>
        <v>0.056</v>
      </c>
      <c r="G32" s="727"/>
      <c r="H32" s="811"/>
      <c r="I32" s="883"/>
      <c r="J32" s="884"/>
      <c r="K32" s="885"/>
      <c r="L32" s="886"/>
      <c r="M32" s="887"/>
    </row>
    <row r="33" ht="18" customHeight="1" spans="1:13">
      <c r="A33" s="774" t="s">
        <v>883</v>
      </c>
      <c r="B33" s="738" t="s">
        <v>1950</v>
      </c>
      <c r="C33" s="125" t="e">
        <f ca="1">IF(D33="按租金收入计税",ROUND(C6*F33/(1+'数据-取费表'!C42),1),IF(D33="按房产原值计税",ROUND(C29*F33*0.7,1),INDIRECT("'数据-取费表'!Aj"&amp;$G$1)))</f>
        <v>#N/A</v>
      </c>
      <c r="D33" s="812" t="s">
        <v>2423</v>
      </c>
      <c r="E33" s="738" t="s">
        <v>1937</v>
      </c>
      <c r="F33" s="783">
        <f>IF(D33="按租金收入计税",'数据-取费表'!B51,'数据-取费表'!B50)</f>
        <v>0.12</v>
      </c>
      <c r="G33" s="727"/>
      <c r="H33" s="813"/>
      <c r="I33" s="813"/>
      <c r="J33" s="813"/>
      <c r="K33" s="888"/>
      <c r="L33" s="813"/>
      <c r="M33" s="813"/>
    </row>
    <row r="34" ht="18" customHeight="1" spans="1:13">
      <c r="A34" s="787" t="s">
        <v>886</v>
      </c>
      <c r="B34" s="814" t="s">
        <v>1955</v>
      </c>
      <c r="C34" s="815" t="e">
        <f ca="1">ROUND(F34*F35/10000,1)</f>
        <v>#N/A</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t="e">
        <f ca="1">INDIRECT("'数据-取费表'!r"&amp;$G$1)</f>
        <v>#N/A</v>
      </c>
      <c r="G35" s="727"/>
      <c r="H35" s="806"/>
      <c r="I35" s="893" t="s">
        <v>2425</v>
      </c>
      <c r="J35" s="894" t="e">
        <f ca="1">ROUND(C13*J36,0)</f>
        <v>#N/A</v>
      </c>
      <c r="K35" s="888"/>
      <c r="L35" s="813"/>
      <c r="M35" s="813"/>
    </row>
    <row r="36" ht="18" customHeight="1" spans="1:13">
      <c r="A36" s="779" t="s">
        <v>857</v>
      </c>
      <c r="B36" s="738" t="s">
        <v>1965</v>
      </c>
      <c r="C36" s="125" t="e">
        <f ca="1">ROUND(C29*F36,1)</f>
        <v>#N/A</v>
      </c>
      <c r="D36" s="808" t="s">
        <v>2001</v>
      </c>
      <c r="E36" s="738" t="s">
        <v>1937</v>
      </c>
      <c r="F36" s="821" t="e">
        <f ca="1">INDIRECT("'数据-取费表'!Ak"&amp;$G$1)</f>
        <v>#N/A</v>
      </c>
      <c r="G36" s="727"/>
      <c r="H36" s="813"/>
      <c r="I36" s="895" t="s">
        <v>2426</v>
      </c>
      <c r="J36" s="896" t="e">
        <f ca="1">INDIRECT("'数据-取费表'!j"&amp;$G$1)</f>
        <v>#N/A</v>
      </c>
      <c r="K36" s="897"/>
      <c r="L36" s="813"/>
      <c r="M36" s="813"/>
    </row>
    <row r="37" ht="18" customHeight="1" spans="1:13">
      <c r="A37" s="779" t="s">
        <v>1061</v>
      </c>
      <c r="B37" s="738" t="s">
        <v>1969</v>
      </c>
      <c r="C37" s="125" t="e">
        <f ca="1">ROUND(C13*F37,1)</f>
        <v>#N/A</v>
      </c>
      <c r="D37" s="808" t="s">
        <v>1970</v>
      </c>
      <c r="E37" s="738" t="s">
        <v>1937</v>
      </c>
      <c r="F37" s="822" t="e">
        <f ca="1">INDIRECT("'数据-取费表'!Al"&amp;$G$1)</f>
        <v>#N/A</v>
      </c>
      <c r="G37" s="727"/>
      <c r="H37" s="813"/>
      <c r="I37" s="898" t="s">
        <v>2427</v>
      </c>
      <c r="J37" s="899"/>
      <c r="K37" s="897"/>
      <c r="L37" s="813"/>
      <c r="M37" s="813"/>
    </row>
    <row r="38" ht="18" customHeight="1" spans="1:13">
      <c r="A38" s="768" t="s">
        <v>2413</v>
      </c>
      <c r="B38" s="801" t="s">
        <v>1953</v>
      </c>
      <c r="C38" s="799" t="e">
        <f ca="1">ROUND(C5*F38,1)</f>
        <v>#N/A</v>
      </c>
      <c r="D38" s="800" t="s">
        <v>1973</v>
      </c>
      <c r="E38" s="801" t="s">
        <v>1937</v>
      </c>
      <c r="F38" s="767" t="e">
        <f ca="1">INDIRECT("'数据-取费表'!Am"&amp;$G$1)</f>
        <v>#N/A</v>
      </c>
      <c r="G38" s="727"/>
      <c r="H38" s="813"/>
      <c r="I38" s="900" t="s">
        <v>2428</v>
      </c>
      <c r="J38" s="901"/>
      <c r="K38" s="902"/>
      <c r="L38" s="813"/>
      <c r="M38" s="813"/>
    </row>
    <row r="39" ht="24.65" customHeight="1" spans="1:13">
      <c r="A39" s="769" t="s">
        <v>2414</v>
      </c>
      <c r="B39" s="823" t="s">
        <v>1977</v>
      </c>
      <c r="C39" s="771" t="e">
        <f ca="1">C5-C30</f>
        <v>#N/A</v>
      </c>
      <c r="D39" s="824" t="s">
        <v>1978</v>
      </c>
      <c r="E39" s="825"/>
      <c r="F39" s="826"/>
      <c r="G39" s="727"/>
      <c r="H39" s="813"/>
      <c r="I39" s="893" t="s">
        <v>2429</v>
      </c>
      <c r="J39" s="903" t="e">
        <f ca="1">ROUND(J35/C39,3)</f>
        <v>#N/A</v>
      </c>
      <c r="K39" s="902"/>
      <c r="L39" s="813"/>
      <c r="M39" s="813"/>
    </row>
    <row r="40" ht="18" customHeight="1" spans="1:13">
      <c r="A40" s="728" t="s">
        <v>2415</v>
      </c>
      <c r="B40" s="827" t="s">
        <v>2430</v>
      </c>
      <c r="C40" s="736" t="e">
        <f ca="1">ROUND(C39*(1-((1+F42)/(1+F40))^F41)/(F40-F42),0)</f>
        <v>#N/A</v>
      </c>
      <c r="D40" s="816" t="s">
        <v>1983</v>
      </c>
      <c r="E40" s="738" t="s">
        <v>2417</v>
      </c>
      <c r="F40" s="750">
        <v>0.06</v>
      </c>
      <c r="G40" s="727"/>
      <c r="H40" s="727"/>
      <c r="I40" s="893" t="s">
        <v>2431</v>
      </c>
      <c r="J40" s="903" t="e">
        <f ca="1">1-J39</f>
        <v>#N/A</v>
      </c>
      <c r="K40" s="902"/>
      <c r="L40" s="727"/>
      <c r="M40" s="727"/>
    </row>
    <row r="41" ht="18" customHeight="1" spans="1:13">
      <c r="A41" s="748"/>
      <c r="B41" s="828"/>
      <c r="C41" s="743"/>
      <c r="D41" s="829" t="s">
        <v>1987</v>
      </c>
      <c r="E41" s="738" t="s">
        <v>1988</v>
      </c>
      <c r="F41" s="1105">
        <v>5</v>
      </c>
      <c r="G41" s="727"/>
      <c r="H41" s="183"/>
      <c r="I41" s="900" t="s">
        <v>2432</v>
      </c>
      <c r="J41" s="904"/>
      <c r="K41" s="897"/>
      <c r="L41" s="183"/>
      <c r="M41" s="183"/>
    </row>
    <row r="42" ht="18" customHeight="1" spans="1:13">
      <c r="A42" s="757"/>
      <c r="B42" s="831"/>
      <c r="C42" s="771"/>
      <c r="D42" s="820"/>
      <c r="E42" s="738" t="s">
        <v>1992</v>
      </c>
      <c r="F42" s="750" t="e">
        <f ca="1">INDIRECT("'数据-取费表'!v"&amp;$G$1)</f>
        <v>#N/A</v>
      </c>
      <c r="G42" s="727"/>
      <c r="H42" s="183"/>
      <c r="I42" s="905" t="s">
        <v>2433</v>
      </c>
      <c r="J42" s="903" t="e">
        <f ca="1">ROUND(C13/C40,3)</f>
        <v>#N/A</v>
      </c>
      <c r="K42" s="897"/>
      <c r="L42" s="183"/>
      <c r="M42" s="183"/>
    </row>
    <row r="43" s="632" customFormat="1" ht="18" customHeight="1" spans="1:17">
      <c r="A43" s="803" t="s">
        <v>2421</v>
      </c>
      <c r="B43" s="832" t="s">
        <v>2434</v>
      </c>
      <c r="C43" s="833" t="e">
        <f ca="1">ROUND(C40*10000/F43,0)</f>
        <v>#N/A</v>
      </c>
      <c r="D43" s="834" t="s">
        <v>2435</v>
      </c>
      <c r="E43" s="835" t="s">
        <v>2436</v>
      </c>
      <c r="F43" s="836" t="e">
        <f ca="1">F7</f>
        <v>#N/A</v>
      </c>
      <c r="G43" s="727"/>
      <c r="H43" s="183"/>
      <c r="I43" s="905" t="s">
        <v>2437</v>
      </c>
      <c r="J43" s="906" t="e">
        <f ca="1">1-J42</f>
        <v>#N/A</v>
      </c>
      <c r="K43" s="897"/>
      <c r="L43" s="183"/>
      <c r="M43" s="183"/>
      <c r="Q43" s="706"/>
    </row>
    <row r="44" s="632" customFormat="1" ht="18" customHeight="1" spans="1:17">
      <c r="A44" s="1106" t="s">
        <v>2447</v>
      </c>
      <c r="B44" s="1107" t="s">
        <v>2448</v>
      </c>
      <c r="C44" s="1108">
        <f>规划图!I107</f>
        <v>0</v>
      </c>
      <c r="D44" s="119"/>
      <c r="E44" s="1109"/>
      <c r="F44" s="1110"/>
      <c r="G44" s="727"/>
      <c r="H44" s="183"/>
      <c r="I44" s="1117"/>
      <c r="J44" s="1118"/>
      <c r="K44" s="897"/>
      <c r="L44" s="183"/>
      <c r="M44" s="183"/>
      <c r="Q44" s="706"/>
    </row>
    <row r="45" s="632" customFormat="1" ht="18" customHeight="1" spans="1:17">
      <c r="A45" s="803" t="s">
        <v>2449</v>
      </c>
      <c r="B45" s="1111" t="s">
        <v>2450</v>
      </c>
      <c r="C45" s="124">
        <f>ROUND(C44/((1+F40)^F41),0)</f>
        <v>0</v>
      </c>
      <c r="D45" s="119"/>
      <c r="E45" s="1109"/>
      <c r="F45" s="1110"/>
      <c r="G45" s="727"/>
      <c r="H45" s="183"/>
      <c r="I45" s="1117"/>
      <c r="J45" s="1118"/>
      <c r="K45" s="897"/>
      <c r="L45" s="183"/>
      <c r="M45" s="183"/>
      <c r="Q45" s="706"/>
    </row>
    <row r="46" s="632" customFormat="1" ht="18" customHeight="1" spans="1:17">
      <c r="A46" s="769" t="s">
        <v>2451</v>
      </c>
      <c r="B46" s="1112" t="s">
        <v>2430</v>
      </c>
      <c r="C46" s="124" t="e">
        <f ca="1">C40+C45</f>
        <v>#N/A</v>
      </c>
      <c r="D46" s="119"/>
      <c r="E46" s="1109"/>
      <c r="F46" s="1110"/>
      <c r="G46" s="727"/>
      <c r="H46" s="183"/>
      <c r="I46" s="1117"/>
      <c r="J46" s="1118"/>
      <c r="K46" s="897"/>
      <c r="L46" s="183"/>
      <c r="M46" s="183"/>
      <c r="Q46" s="706"/>
    </row>
    <row r="47" s="632" customFormat="1" ht="18" customHeight="1" spans="1:17">
      <c r="A47" s="1113" t="s">
        <v>2452</v>
      </c>
      <c r="B47" s="827" t="s">
        <v>2453</v>
      </c>
      <c r="C47" s="743" t="e">
        <f ca="1">ROUND(C46*10000/F43,0)</f>
        <v>#N/A</v>
      </c>
      <c r="D47" s="119"/>
      <c r="E47" s="1109"/>
      <c r="F47" s="1110"/>
      <c r="G47" s="727"/>
      <c r="H47" s="183"/>
      <c r="I47" s="1117"/>
      <c r="J47" s="1118"/>
      <c r="K47" s="897"/>
      <c r="L47" s="183"/>
      <c r="M47" s="183"/>
      <c r="Q47" s="706"/>
    </row>
    <row r="48" s="632" customFormat="1" ht="18" customHeight="1" spans="1:17">
      <c r="A48" s="1114"/>
      <c r="B48" s="1115"/>
      <c r="C48" s="1116"/>
      <c r="D48" s="119"/>
      <c r="E48" s="1109"/>
      <c r="F48" s="1110"/>
      <c r="G48" s="727"/>
      <c r="H48" s="183"/>
      <c r="I48" s="1117"/>
      <c r="J48" s="1118"/>
      <c r="K48" s="897"/>
      <c r="L48" s="183"/>
      <c r="M48" s="183"/>
      <c r="Q48" s="706"/>
    </row>
    <row r="49" s="632" customFormat="1" ht="18" customHeight="1" spans="1:17">
      <c r="A49" s="837"/>
      <c r="B49" s="837"/>
      <c r="C49" s="838"/>
      <c r="D49" s="837"/>
      <c r="E49" s="837"/>
      <c r="F49" s="837"/>
      <c r="K49" s="907"/>
      <c r="Q49" s="706"/>
    </row>
    <row r="50" s="632" customFormat="1" ht="18" customHeight="1" spans="1:17">
      <c r="A50" s="837"/>
      <c r="B50" s="837"/>
      <c r="C50" s="838"/>
      <c r="D50" s="837"/>
      <c r="E50" s="837"/>
      <c r="F50" s="837"/>
      <c r="K50" s="907"/>
      <c r="Q50" s="706"/>
    </row>
    <row r="51" s="632" customFormat="1" ht="18" customHeight="1" spans="1:18">
      <c r="A51" s="839" t="s">
        <v>2438</v>
      </c>
      <c r="B51" s="837"/>
      <c r="C51" s="840" t="e">
        <f ca="1">C72-C40</f>
        <v>#N/A</v>
      </c>
      <c r="D51" s="841"/>
      <c r="E51" s="841"/>
      <c r="F51" s="841"/>
      <c r="I51" s="908" t="s">
        <v>2014</v>
      </c>
      <c r="J51" s="909"/>
      <c r="K51" s="910"/>
      <c r="L51" s="911">
        <f ca="1">IF(OR(M52="住宅",D1="土地（套用方法）"),0,IF(L53&gt;J56,L65,J65))</f>
        <v>0</v>
      </c>
      <c r="M51" s="716"/>
      <c r="O51" s="912" t="s">
        <v>2015</v>
      </c>
      <c r="P51" s="913"/>
      <c r="Q51" s="918"/>
      <c r="R51" s="913"/>
    </row>
    <row r="52" s="632" customFormat="1" ht="18" customHeight="1" spans="1:18">
      <c r="A52" s="842">
        <v>1</v>
      </c>
      <c r="B52" s="843" t="s">
        <v>2439</v>
      </c>
      <c r="C52" s="840" t="e">
        <f ca="1">C53+C57+C59</f>
        <v>#N/A</v>
      </c>
      <c r="D52" s="841"/>
      <c r="E52" s="841"/>
      <c r="F52" s="841"/>
      <c r="I52" s="914" t="s">
        <v>2016</v>
      </c>
      <c r="J52" s="915" t="s">
        <v>2076</v>
      </c>
      <c r="K52" s="916" t="s">
        <v>2017</v>
      </c>
      <c r="L52" s="917" t="e">
        <f ca="1">INDIRECT("'数据-取费表'!d"&amp;$G$1)</f>
        <v>#N/A</v>
      </c>
      <c r="M52" s="918" t="str">
        <f>IF(ISNUMBER(FIND("住宅",C1)),"住宅","非住宅")</f>
        <v>非住宅</v>
      </c>
      <c r="O52" s="919" t="s">
        <v>1318</v>
      </c>
      <c r="P52" s="920" t="s">
        <v>2018</v>
      </c>
      <c r="Q52" s="959" t="s">
        <v>2019</v>
      </c>
      <c r="R52" s="920" t="s">
        <v>2020</v>
      </c>
    </row>
    <row r="53" s="632" customFormat="1" ht="18" customHeight="1" spans="1:18">
      <c r="A53" s="844" t="s">
        <v>1124</v>
      </c>
      <c r="B53" s="845" t="s">
        <v>2440</v>
      </c>
      <c r="C53" s="846" t="e">
        <f ca="1">ROUND(F53*F55*F54*(1-F56)/10000,0)</f>
        <v>#N/A</v>
      </c>
      <c r="D53" s="847" t="s">
        <v>2407</v>
      </c>
      <c r="E53" s="848" t="s">
        <v>2441</v>
      </c>
      <c r="F53" s="849"/>
      <c r="G53" s="850"/>
      <c r="I53" s="921" t="s">
        <v>2021</v>
      </c>
      <c r="J53" s="922" t="s">
        <v>2071</v>
      </c>
      <c r="K53" s="923" t="s">
        <v>2022</v>
      </c>
      <c r="L53" s="924" t="e">
        <f ca="1">INDIRECT("'数据-取费表'!f"&amp;$G$1)</f>
        <v>#N/A</v>
      </c>
      <c r="M53" s="716"/>
      <c r="O53" s="925" t="s">
        <v>2023</v>
      </c>
      <c r="P53" s="926" t="s">
        <v>2024</v>
      </c>
      <c r="Q53" s="960" t="e">
        <f ca="1">C40+J29</f>
        <v>#N/A</v>
      </c>
      <c r="R53" s="926" t="s">
        <v>2025</v>
      </c>
    </row>
    <row r="54" s="632" customFormat="1" ht="18" customHeight="1" spans="1:18">
      <c r="A54" s="748"/>
      <c r="B54" s="828"/>
      <c r="C54" s="743"/>
      <c r="D54" s="744"/>
      <c r="E54" s="738" t="s">
        <v>1922</v>
      </c>
      <c r="F54" s="739" t="e">
        <f ca="1">F7</f>
        <v>#N/A</v>
      </c>
      <c r="G54" s="850"/>
      <c r="H54" s="851"/>
      <c r="I54" s="921" t="s">
        <v>2026</v>
      </c>
      <c r="J54" s="927"/>
      <c r="K54" s="928" t="s">
        <v>2027</v>
      </c>
      <c r="L54" s="929"/>
      <c r="M54" s="716"/>
      <c r="O54" s="925" t="s">
        <v>2028</v>
      </c>
      <c r="P54" s="926" t="s">
        <v>2029</v>
      </c>
      <c r="Q54" s="960" t="e">
        <f ca="1">J65</f>
        <v>#N/A</v>
      </c>
      <c r="R54" s="926" t="s">
        <v>2030</v>
      </c>
    </row>
    <row r="55" s="632" customFormat="1" ht="18" customHeight="1" spans="1:18">
      <c r="A55" s="748"/>
      <c r="B55" s="828"/>
      <c r="C55" s="743"/>
      <c r="D55" s="744"/>
      <c r="E55" s="738" t="s">
        <v>1923</v>
      </c>
      <c r="F55" s="739" t="e">
        <f ca="1">F8</f>
        <v>#N/A</v>
      </c>
      <c r="H55" s="851"/>
      <c r="I55" s="921" t="s">
        <v>2031</v>
      </c>
      <c r="J55" s="930">
        <f>SUMPRODUCT((I68:I70=J52)*(J67:L67=J53)*(J68:L70))</f>
        <v>60</v>
      </c>
      <c r="K55" s="928" t="s">
        <v>2032</v>
      </c>
      <c r="L55" s="929"/>
      <c r="M55" s="716"/>
      <c r="O55" s="931" t="s">
        <v>2033</v>
      </c>
      <c r="P55" s="926" t="s">
        <v>2034</v>
      </c>
      <c r="Q55" s="960" t="e">
        <f ca="1">C29</f>
        <v>#N/A</v>
      </c>
      <c r="R55" s="926" t="s">
        <v>2025</v>
      </c>
    </row>
    <row r="56" s="632" customFormat="1" ht="18" customHeight="1" spans="1:18">
      <c r="A56" s="748"/>
      <c r="B56" s="828"/>
      <c r="C56" s="743"/>
      <c r="D56" s="744"/>
      <c r="E56" s="738" t="s">
        <v>1924</v>
      </c>
      <c r="F56" s="852"/>
      <c r="H56" s="851"/>
      <c r="I56" s="932" t="s">
        <v>2035</v>
      </c>
      <c r="J56" s="924">
        <f>IF(J54="",J55,J54+J55-YEAR('数据-取费表'!B2))</f>
        <v>60</v>
      </c>
      <c r="K56" s="921" t="s">
        <v>2036</v>
      </c>
      <c r="L56" s="933" t="e">
        <f ca="1">ROUND(-PV(INDIRECT("'数据-取费表'!h"&amp;$G$1),J56,(C39-C13*J36),0),0)</f>
        <v>#N/A</v>
      </c>
      <c r="M56" s="716"/>
      <c r="O56" s="931" t="s">
        <v>2037</v>
      </c>
      <c r="P56" s="926" t="s">
        <v>2038</v>
      </c>
      <c r="Q56" s="961" t="e">
        <f ca="1">J63</f>
        <v>#N/A</v>
      </c>
      <c r="R56" s="962"/>
    </row>
    <row r="57" s="632" customFormat="1" ht="18" customHeight="1" spans="1:18">
      <c r="A57" s="728" t="s">
        <v>2442</v>
      </c>
      <c r="B57" s="752" t="s">
        <v>1925</v>
      </c>
      <c r="C57" s="124">
        <f ca="1">ROUND(IF(F57="押一",C53/12*F11,IF(F57="押二",C53/12*2*F11,IF(F57="押三",C53/12*3*F11,C58*F11))),0)</f>
        <v>0</v>
      </c>
      <c r="D57" s="753" t="s">
        <v>1926</v>
      </c>
      <c r="E57" s="754" t="s">
        <v>1927</v>
      </c>
      <c r="F57" s="755"/>
      <c r="I57" s="934" t="s">
        <v>2039</v>
      </c>
      <c r="J57" s="935"/>
      <c r="K57" s="934" t="s">
        <v>1188</v>
      </c>
      <c r="L57" s="935"/>
      <c r="M57" s="716"/>
      <c r="O57" s="931" t="s">
        <v>2040</v>
      </c>
      <c r="P57" s="926" t="s">
        <v>2041</v>
      </c>
      <c r="Q57" s="961">
        <f>J57</f>
        <v>0</v>
      </c>
      <c r="R57" s="962"/>
    </row>
    <row r="58" s="632" customFormat="1" ht="39.75" customHeight="1" spans="1:18">
      <c r="A58" s="748"/>
      <c r="B58" s="758" t="s">
        <v>1928</v>
      </c>
      <c r="C58" s="759"/>
      <c r="D58" s="753"/>
      <c r="E58" s="754"/>
      <c r="F58" s="853"/>
      <c r="I58" s="936" t="s">
        <v>2042</v>
      </c>
      <c r="J58" s="937" t="e">
        <f ca="1">IF(M52="住宅",IF(D1="——",MAX(J56,L53),MAX(J56,L53-'数据-取费表'!B20)),IF(D1="——",MIN(J56,L53),MIN(J56,L53-'数据-取费表'!B20)))</f>
        <v>#N/A</v>
      </c>
      <c r="K58" s="938" t="s">
        <v>2443</v>
      </c>
      <c r="L58" s="939"/>
      <c r="M58" s="716"/>
      <c r="O58" s="931" t="s">
        <v>2043</v>
      </c>
      <c r="P58" s="926" t="s">
        <v>2044</v>
      </c>
      <c r="Q58" s="960" t="e">
        <f ca="1">J58</f>
        <v>#N/A</v>
      </c>
      <c r="R58" s="926" t="s">
        <v>2045</v>
      </c>
    </row>
    <row r="59" s="632" customFormat="1" ht="18" customHeight="1" spans="1:18">
      <c r="A59" s="762" t="s">
        <v>1061</v>
      </c>
      <c r="B59" s="763" t="s">
        <v>1929</v>
      </c>
      <c r="C59" s="764"/>
      <c r="D59" s="753"/>
      <c r="E59" s="754"/>
      <c r="F59" s="853"/>
      <c r="I59" s="632"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907"/>
      <c r="M59" s="716"/>
      <c r="O59" s="925" t="s">
        <v>2046</v>
      </c>
      <c r="P59" s="926" t="s">
        <v>2047</v>
      </c>
      <c r="Q59" s="960" t="e">
        <f ca="1">Q53+Q54</f>
        <v>#N/A</v>
      </c>
      <c r="R59" s="962" t="s">
        <v>2048</v>
      </c>
    </row>
    <row r="60" s="632" customFormat="1" ht="18" customHeight="1" spans="1:18">
      <c r="A60" s="854">
        <v>2</v>
      </c>
      <c r="B60" s="855" t="s">
        <v>1933</v>
      </c>
      <c r="C60" s="124" t="e">
        <f ca="1">C13</f>
        <v>#N/A</v>
      </c>
      <c r="D60" s="795"/>
      <c r="E60" s="795"/>
      <c r="F60" s="853"/>
      <c r="I60" s="940" t="s">
        <v>2049</v>
      </c>
      <c r="J60" s="941" t="e">
        <f ca="1">ROUND(IF(J52="钢混",J62/J55,1-(1-2%)*(J55-J62)/J55),3)</f>
        <v>#N/A</v>
      </c>
      <c r="K60" s="942" t="s">
        <v>2050</v>
      </c>
      <c r="L60" s="943"/>
      <c r="M60" s="716"/>
      <c r="O60" s="944" t="s">
        <v>2051</v>
      </c>
      <c r="P60" s="913"/>
      <c r="Q60" s="918"/>
      <c r="R60" s="913"/>
    </row>
    <row r="61" s="632" customFormat="1" ht="42.75" customHeight="1" spans="1:18">
      <c r="A61" s="794"/>
      <c r="B61" s="856" t="s">
        <v>1994</v>
      </c>
      <c r="C61" s="125" t="e">
        <f ca="1">C29</f>
        <v>#N/A</v>
      </c>
      <c r="D61" s="808"/>
      <c r="E61" s="738"/>
      <c r="F61" s="783"/>
      <c r="I61" s="945" t="s">
        <v>2052</v>
      </c>
      <c r="J61" s="946"/>
      <c r="K61" s="921" t="s">
        <v>2053</v>
      </c>
      <c r="L61" s="924" t="e">
        <f ca="1">IF(L53&lt;J56,"——",L53-J56)</f>
        <v>#N/A</v>
      </c>
      <c r="M61" s="716"/>
      <c r="O61" s="919" t="s">
        <v>1318</v>
      </c>
      <c r="P61" s="920" t="s">
        <v>2018</v>
      </c>
      <c r="Q61" s="959" t="s">
        <v>2019</v>
      </c>
      <c r="R61" s="920" t="s">
        <v>2020</v>
      </c>
    </row>
    <row r="62" s="632" customFormat="1" ht="28.5" customHeight="1" spans="1:18">
      <c r="A62" s="854" t="s">
        <v>1997</v>
      </c>
      <c r="B62" s="855" t="s">
        <v>1938</v>
      </c>
      <c r="C62" s="124" t="e">
        <f ca="1">ROUND(C63+C68+C69+C70,0)</f>
        <v>#N/A</v>
      </c>
      <c r="D62" s="857" t="s">
        <v>1939</v>
      </c>
      <c r="E62" s="127"/>
      <c r="F62" s="784"/>
      <c r="I62" s="947" t="s">
        <v>2054</v>
      </c>
      <c r="J62" s="948" t="e">
        <f ca="1">IF(OR(M52="住宅",J56&lt;L53,J61="是"),"——",J56-L53)</f>
        <v>#N/A</v>
      </c>
      <c r="K62" s="921" t="s">
        <v>2055</v>
      </c>
      <c r="L62" s="924" t="e">
        <f ca="1">IF(L53&lt;J56,"——",IF(L60="比较法",L54,IF(L60="基准地价",L55,L56)))</f>
        <v>#N/A</v>
      </c>
      <c r="M62" s="716"/>
      <c r="O62" s="925" t="s">
        <v>2023</v>
      </c>
      <c r="P62" s="926" t="s">
        <v>2024</v>
      </c>
      <c r="Q62" s="960" t="e">
        <f ca="1">C40+J29</f>
        <v>#N/A</v>
      </c>
      <c r="R62" s="926" t="s">
        <v>2025</v>
      </c>
    </row>
    <row r="63" s="632" customFormat="1" ht="28.5" customHeight="1" spans="1:18">
      <c r="A63" s="779" t="s">
        <v>855</v>
      </c>
      <c r="B63" s="738" t="s">
        <v>1943</v>
      </c>
      <c r="C63" s="807" t="e">
        <f ca="1">ROUND(IF(AND(项目基本情况!B11="自然人",项目基本情况!B10="北京市"),C53*F63/(1+'数据-取费表'!C42),C64+C65+C66),0)</f>
        <v>#N/A</v>
      </c>
      <c r="D63" s="776" t="s">
        <v>1944</v>
      </c>
      <c r="E63" s="808" t="s">
        <v>1945</v>
      </c>
      <c r="F63" s="809" t="str">
        <f ca="1">IF(项目基本情况!B11="企业","——",IF('数据-取费表'!B10="住宅",IF(F53*F54*F55/12/(1+'数据-取费表'!F30)&gt;100000,4%,2.5%),IF(F53*F54*F55/12/(1+'数据-取费表'!F30)&gt;100000,12%,7%)))</f>
        <v>——</v>
      </c>
      <c r="I63" s="947" t="s">
        <v>2056</v>
      </c>
      <c r="J63" s="949" t="e">
        <f ca="1">IF(J60&lt;0.4,0.4,J60)</f>
        <v>#N/A</v>
      </c>
      <c r="K63" s="921" t="s">
        <v>2057</v>
      </c>
      <c r="L63" s="924" t="e">
        <f ca="1">ROUND(POWER(1+L57,L52-L53)*(POWER(1+L57,L53)-1)/(POWER(1+L57,L52)-1),4)</f>
        <v>#N/A</v>
      </c>
      <c r="M63" s="716"/>
      <c r="O63" s="925" t="s">
        <v>2028</v>
      </c>
      <c r="P63" s="926" t="s">
        <v>2058</v>
      </c>
      <c r="Q63" s="960" t="e">
        <f ca="1">L65</f>
        <v>#N/A</v>
      </c>
      <c r="R63" s="962" t="s">
        <v>2059</v>
      </c>
    </row>
    <row r="64" s="632" customFormat="1" ht="28.5" customHeight="1" spans="1:18">
      <c r="A64" s="774" t="s">
        <v>879</v>
      </c>
      <c r="B64" s="738" t="s">
        <v>1946</v>
      </c>
      <c r="C64" s="125" t="e">
        <f ca="1">ROUND(C52*F64/1.05,1)</f>
        <v>#N/A</v>
      </c>
      <c r="D64" s="808" t="s">
        <v>1947</v>
      </c>
      <c r="E64" s="738" t="s">
        <v>1937</v>
      </c>
      <c r="F64" s="783">
        <f t="shared" ref="F64:F70" si="0">F32</f>
        <v>0.056</v>
      </c>
      <c r="I64" s="947" t="s">
        <v>2060</v>
      </c>
      <c r="J64" s="948" t="e">
        <f ca="1">IF(OR(M52="住宅",J56&lt;L53,J61="是"),"——",ROUND(C29*J63,0))</f>
        <v>#N/A</v>
      </c>
      <c r="K64" s="921" t="str">
        <f>IF(D1="——","建筑物剩余耐用年限下的土地年期修正系数Kn","建设期及建筑物耐用年限下的土地年期修正系数Kn")</f>
        <v>建设期及建筑物耐用年限下的土地年期修正系数Kn</v>
      </c>
      <c r="L64" s="924" t="e">
        <f ca="1">ROUND(IF(D1="土地（套用方法）",POWER(1+L57,L52-(J56+'数据-取费表'!B20))*(POWER(1+L57,(J56+'数据-取费表'!B20))-1)/(POWER(1+L57,L52)-1),POWER(1+L57,L52-J56)*(POWER(1+L57,J56)-1)/(POWER(1+L57,L52)-1)),4)</f>
        <v>#N/A</v>
      </c>
      <c r="M64" s="716"/>
      <c r="O64" s="931" t="s">
        <v>2033</v>
      </c>
      <c r="P64" s="926" t="s">
        <v>2062</v>
      </c>
      <c r="Q64" s="960">
        <f>IF(L60="比较法",L54,IF(L60="基准地价",L55,0))</f>
        <v>0</v>
      </c>
      <c r="R64" s="926" t="s">
        <v>2025</v>
      </c>
    </row>
    <row r="65" s="632" customFormat="1" ht="18" customHeight="1" spans="1:18">
      <c r="A65" s="774" t="s">
        <v>883</v>
      </c>
      <c r="B65" s="738" t="s">
        <v>1950</v>
      </c>
      <c r="C65" s="125" t="e">
        <f ca="1">IF(D65="按租金收入计税",ROUND(C53*F65/(1+'数据-取费表'!C42),1),IF(D65="按房产原值计税",ROUND(C61*F65*0.7,1),INDIRECT("'数据-取费表'!Aj"&amp;$G$1)))</f>
        <v>#N/A</v>
      </c>
      <c r="D65" s="808" t="str">
        <f>D33</f>
        <v>按租金收入计税</v>
      </c>
      <c r="E65" s="738" t="s">
        <v>1937</v>
      </c>
      <c r="F65" s="783">
        <f t="shared" si="0"/>
        <v>0.12</v>
      </c>
      <c r="I65" s="950" t="s">
        <v>2063</v>
      </c>
      <c r="J65" s="951" t="e">
        <f ca="1">IF(OR(M52="住宅",J56&lt;L53,J61="是"),"0",ROUND(J64/(1+J57)^J58,0))</f>
        <v>#N/A</v>
      </c>
      <c r="K65" s="952" t="s">
        <v>2064</v>
      </c>
      <c r="L65" s="951" t="e">
        <f ca="1">IF(OR(M52="住宅",L53&lt;J56),0,ROUND(L62*(L63/L64-1),0))</f>
        <v>#N/A</v>
      </c>
      <c r="M65" s="716"/>
      <c r="O65" s="931" t="s">
        <v>2037</v>
      </c>
      <c r="P65" s="926" t="s">
        <v>2065</v>
      </c>
      <c r="Q65" s="961">
        <f>L57</f>
        <v>0</v>
      </c>
      <c r="R65" s="962"/>
    </row>
    <row r="66" s="632" customFormat="1" ht="18" customHeight="1" spans="1:18">
      <c r="A66" s="787" t="s">
        <v>886</v>
      </c>
      <c r="B66" s="814" t="s">
        <v>1955</v>
      </c>
      <c r="C66" s="815" t="e">
        <f ca="1">ROUND(F66*F67/10000,1)</f>
        <v>#N/A</v>
      </c>
      <c r="D66" s="816" t="s">
        <v>1956</v>
      </c>
      <c r="E66" s="738" t="s">
        <v>1957</v>
      </c>
      <c r="F66" s="792">
        <f t="shared" si="0"/>
        <v>0</v>
      </c>
      <c r="K66" s="907"/>
      <c r="O66" s="931" t="s">
        <v>2040</v>
      </c>
      <c r="P66" s="926" t="s">
        <v>2066</v>
      </c>
      <c r="Q66" s="960" t="e">
        <f ca="1">L63</f>
        <v>#N/A</v>
      </c>
      <c r="R66" s="962" t="s">
        <v>2067</v>
      </c>
    </row>
    <row r="67" s="632" customFormat="1" ht="15.75" spans="1:18">
      <c r="A67" s="817"/>
      <c r="B67" s="818"/>
      <c r="C67" s="819"/>
      <c r="D67" s="820"/>
      <c r="E67" s="738" t="s">
        <v>1962</v>
      </c>
      <c r="F67" s="739" t="e">
        <f ca="1" t="shared" si="0"/>
        <v>#N/A</v>
      </c>
      <c r="I67" s="953" t="s">
        <v>2068</v>
      </c>
      <c r="J67" s="954" t="s">
        <v>2069</v>
      </c>
      <c r="K67" s="954" t="s">
        <v>2070</v>
      </c>
      <c r="L67" s="954" t="s">
        <v>2071</v>
      </c>
      <c r="M67" s="955" t="s">
        <v>2072</v>
      </c>
      <c r="O67" s="931" t="s">
        <v>2043</v>
      </c>
      <c r="P67" s="926" t="str">
        <f>K64</f>
        <v>建设期及建筑物耐用年限下的土地年期修正系数Kn</v>
      </c>
      <c r="Q67" s="960" t="e">
        <f ca="1">L64</f>
        <v>#N/A</v>
      </c>
      <c r="R67" s="962" t="s">
        <v>2074</v>
      </c>
    </row>
    <row r="68" s="632" customFormat="1" ht="15.75" spans="1:18">
      <c r="A68" s="779" t="s">
        <v>857</v>
      </c>
      <c r="B68" s="738" t="s">
        <v>1965</v>
      </c>
      <c r="C68" s="125" t="e">
        <f ca="1">ROUND(C61*F68,1)</f>
        <v>#N/A</v>
      </c>
      <c r="D68" s="808" t="s">
        <v>2001</v>
      </c>
      <c r="E68" s="738" t="s">
        <v>1937</v>
      </c>
      <c r="F68" s="821" t="e">
        <f ca="1" t="shared" si="0"/>
        <v>#N/A</v>
      </c>
      <c r="I68" s="953" t="s">
        <v>2075</v>
      </c>
      <c r="J68" s="954">
        <v>70</v>
      </c>
      <c r="K68" s="954">
        <v>50</v>
      </c>
      <c r="L68" s="954">
        <v>80</v>
      </c>
      <c r="M68" s="956">
        <v>0.02</v>
      </c>
      <c r="O68" s="925" t="s">
        <v>2046</v>
      </c>
      <c r="P68" s="926" t="s">
        <v>2047</v>
      </c>
      <c r="Q68" s="960" t="e">
        <f ca="1">Q62+Q63</f>
        <v>#N/A</v>
      </c>
      <c r="R68" s="962" t="s">
        <v>2048</v>
      </c>
    </row>
    <row r="69" s="632" customFormat="1" ht="16.5" spans="1:18">
      <c r="A69" s="779" t="s">
        <v>1061</v>
      </c>
      <c r="B69" s="738" t="s">
        <v>1969</v>
      </c>
      <c r="C69" s="125" t="e">
        <f ca="1">ROUND(C60*F69,1)</f>
        <v>#N/A</v>
      </c>
      <c r="D69" s="808" t="s">
        <v>1970</v>
      </c>
      <c r="E69" s="738" t="s">
        <v>1937</v>
      </c>
      <c r="F69" s="822" t="e">
        <f ca="1" t="shared" si="0"/>
        <v>#N/A</v>
      </c>
      <c r="I69" s="953" t="s">
        <v>2076</v>
      </c>
      <c r="J69" s="954">
        <v>50</v>
      </c>
      <c r="K69" s="954">
        <v>35</v>
      </c>
      <c r="L69" s="954">
        <v>60</v>
      </c>
      <c r="M69" s="904">
        <v>0</v>
      </c>
      <c r="O69" s="944" t="s">
        <v>2077</v>
      </c>
      <c r="P69" s="913"/>
      <c r="Q69" s="918"/>
      <c r="R69" s="913"/>
    </row>
    <row r="70" s="632" customFormat="1" ht="15.75" spans="1:18">
      <c r="A70" s="779" t="s">
        <v>2413</v>
      </c>
      <c r="B70" s="738" t="s">
        <v>1953</v>
      </c>
      <c r="C70" s="125" t="e">
        <f ca="1">ROUND(C52*F70,1)</f>
        <v>#N/A</v>
      </c>
      <c r="D70" s="808" t="s">
        <v>1973</v>
      </c>
      <c r="E70" s="738" t="s">
        <v>1937</v>
      </c>
      <c r="F70" s="750" t="e">
        <f ca="1" t="shared" si="0"/>
        <v>#N/A</v>
      </c>
      <c r="I70" s="953" t="s">
        <v>2078</v>
      </c>
      <c r="J70" s="954">
        <v>40</v>
      </c>
      <c r="K70" s="954">
        <v>30</v>
      </c>
      <c r="L70" s="954">
        <v>50</v>
      </c>
      <c r="M70" s="956">
        <v>0.02</v>
      </c>
      <c r="O70" s="919" t="s">
        <v>1318</v>
      </c>
      <c r="P70" s="920" t="s">
        <v>2018</v>
      </c>
      <c r="Q70" s="959" t="s">
        <v>2019</v>
      </c>
      <c r="R70" s="920" t="s">
        <v>2020</v>
      </c>
    </row>
    <row r="71" s="632" customFormat="1" ht="15.75" spans="1:18">
      <c r="A71" s="854" t="s">
        <v>2414</v>
      </c>
      <c r="B71" s="963" t="s">
        <v>1977</v>
      </c>
      <c r="C71" s="124" t="e">
        <f ca="1">C52-C62</f>
        <v>#N/A</v>
      </c>
      <c r="D71" s="776" t="s">
        <v>1978</v>
      </c>
      <c r="E71" s="964"/>
      <c r="F71" s="965"/>
      <c r="K71" s="907"/>
      <c r="O71" s="925" t="s">
        <v>2023</v>
      </c>
      <c r="P71" s="926" t="s">
        <v>2024</v>
      </c>
      <c r="Q71" s="960" t="e">
        <f ca="1">C40+J29</f>
        <v>#N/A</v>
      </c>
      <c r="R71" s="926" t="s">
        <v>2025</v>
      </c>
    </row>
    <row r="72" s="632" customFormat="1" ht="20.25" spans="1:18">
      <c r="A72" s="728" t="s">
        <v>2415</v>
      </c>
      <c r="B72" s="827" t="s">
        <v>2430</v>
      </c>
      <c r="C72" s="736" t="e">
        <f ca="1">ROUND(C71*(1-((1+F74)/(1+F72))^F73)/(F72-F74),0)</f>
        <v>#N/A</v>
      </c>
      <c r="D72" s="816" t="s">
        <v>1983</v>
      </c>
      <c r="E72" s="738" t="s">
        <v>1984</v>
      </c>
      <c r="F72" s="750">
        <f t="shared" ref="F72:F75" si="1">F40</f>
        <v>0.06</v>
      </c>
      <c r="K72" s="907"/>
      <c r="O72" s="925" t="s">
        <v>2028</v>
      </c>
      <c r="P72" s="926" t="s">
        <v>2058</v>
      </c>
      <c r="Q72" s="960" t="e">
        <f ca="1">L65</f>
        <v>#N/A</v>
      </c>
      <c r="R72" s="962" t="s">
        <v>2059</v>
      </c>
    </row>
    <row r="73" s="632" customFormat="1" ht="24" spans="1:18">
      <c r="A73" s="748"/>
      <c r="B73" s="828"/>
      <c r="C73" s="743"/>
      <c r="D73" s="829" t="s">
        <v>1987</v>
      </c>
      <c r="E73" s="738" t="s">
        <v>1988</v>
      </c>
      <c r="F73" s="830">
        <f t="shared" si="1"/>
        <v>5</v>
      </c>
      <c r="G73" s="703"/>
      <c r="H73" s="703"/>
      <c r="I73" s="703"/>
      <c r="J73" s="703"/>
      <c r="K73" s="705"/>
      <c r="L73" s="703"/>
      <c r="M73" s="703"/>
      <c r="O73" s="931" t="s">
        <v>2033</v>
      </c>
      <c r="P73" s="926" t="s">
        <v>2062</v>
      </c>
      <c r="Q73" s="967" t="e">
        <f ca="1">L56</f>
        <v>#N/A</v>
      </c>
      <c r="R73" s="968" t="s">
        <v>2079</v>
      </c>
    </row>
    <row r="74" s="632" customFormat="1" ht="20.25" spans="1:18">
      <c r="A74" s="757"/>
      <c r="B74" s="831"/>
      <c r="C74" s="771"/>
      <c r="D74" s="820"/>
      <c r="E74" s="738" t="s">
        <v>1992</v>
      </c>
      <c r="F74" s="852"/>
      <c r="G74" s="703"/>
      <c r="H74" s="703"/>
      <c r="I74" s="703"/>
      <c r="J74" s="703"/>
      <c r="K74" s="705"/>
      <c r="L74" s="703"/>
      <c r="M74" s="703"/>
      <c r="O74" s="931" t="s">
        <v>2037</v>
      </c>
      <c r="P74" s="966" t="s">
        <v>2080</v>
      </c>
      <c r="Q74" s="960" t="e">
        <f ca="1">ROUND(Q75-Q76*Q77,0)</f>
        <v>#N/A</v>
      </c>
      <c r="R74" s="962"/>
    </row>
    <row r="75" s="632" customFormat="1" ht="15.75" spans="1:18">
      <c r="A75" s="803" t="s">
        <v>2421</v>
      </c>
      <c r="B75" s="832" t="s">
        <v>2434</v>
      </c>
      <c r="C75" s="833" t="e">
        <f ca="1">ROUND(C72*10000/F75,0)</f>
        <v>#N/A</v>
      </c>
      <c r="D75" s="834" t="s">
        <v>2435</v>
      </c>
      <c r="E75" s="835" t="s">
        <v>2436</v>
      </c>
      <c r="F75" s="836" t="e">
        <f ca="1" t="shared" si="1"/>
        <v>#N/A</v>
      </c>
      <c r="G75" s="703"/>
      <c r="H75" s="703"/>
      <c r="I75" s="703"/>
      <c r="J75" s="703"/>
      <c r="K75" s="705"/>
      <c r="L75" s="703"/>
      <c r="M75" s="703"/>
      <c r="O75" s="931" t="s">
        <v>2081</v>
      </c>
      <c r="P75" s="966" t="s">
        <v>2082</v>
      </c>
      <c r="Q75" s="960" t="e">
        <f ca="1">C39</f>
        <v>#N/A</v>
      </c>
      <c r="R75" s="926" t="s">
        <v>2025</v>
      </c>
    </row>
    <row r="76" s="632" customFormat="1" ht="15.75" spans="1:18">
      <c r="A76" s="703"/>
      <c r="B76" s="704"/>
      <c r="C76" s="704"/>
      <c r="D76" s="703"/>
      <c r="E76" s="703"/>
      <c r="F76" s="703"/>
      <c r="G76" s="703"/>
      <c r="H76" s="703"/>
      <c r="I76" s="703"/>
      <c r="J76" s="703"/>
      <c r="K76" s="705"/>
      <c r="L76" s="703"/>
      <c r="M76" s="703"/>
      <c r="O76" s="931" t="s">
        <v>2083</v>
      </c>
      <c r="P76" s="966" t="s">
        <v>2084</v>
      </c>
      <c r="Q76" s="960" t="e">
        <f ca="1">C13</f>
        <v>#N/A</v>
      </c>
      <c r="R76" s="926" t="s">
        <v>2025</v>
      </c>
    </row>
    <row r="77" s="632" customFormat="1" ht="15.75" spans="1:18">
      <c r="A77" s="703"/>
      <c r="B77" s="704"/>
      <c r="C77" s="704"/>
      <c r="D77" s="703"/>
      <c r="E77" s="703"/>
      <c r="F77" s="703"/>
      <c r="G77" s="703"/>
      <c r="H77" s="703"/>
      <c r="I77" s="703"/>
      <c r="J77" s="703"/>
      <c r="K77" s="705"/>
      <c r="L77" s="703"/>
      <c r="M77" s="703"/>
      <c r="O77" s="931" t="s">
        <v>2085</v>
      </c>
      <c r="P77" s="966" t="s">
        <v>2086</v>
      </c>
      <c r="Q77" s="961" t="e">
        <f ca="1">J36</f>
        <v>#N/A</v>
      </c>
      <c r="R77" s="962"/>
    </row>
    <row r="78" s="632" customFormat="1" ht="15.75" spans="1:18">
      <c r="A78" s="703"/>
      <c r="B78" s="704"/>
      <c r="C78" s="704"/>
      <c r="D78" s="703"/>
      <c r="E78" s="703"/>
      <c r="F78" s="703"/>
      <c r="G78" s="703"/>
      <c r="H78" s="703"/>
      <c r="I78" s="703"/>
      <c r="J78" s="703"/>
      <c r="K78" s="705"/>
      <c r="L78" s="703"/>
      <c r="M78" s="703"/>
      <c r="O78" s="931" t="s">
        <v>2040</v>
      </c>
      <c r="P78" s="926" t="s">
        <v>2065</v>
      </c>
      <c r="Q78" s="961">
        <f>L57</f>
        <v>0</v>
      </c>
      <c r="R78" s="962"/>
    </row>
    <row r="79" s="632" customFormat="1" ht="20.25" spans="1:18">
      <c r="A79" s="703"/>
      <c r="B79" s="704"/>
      <c r="C79" s="704"/>
      <c r="D79" s="703"/>
      <c r="E79" s="703"/>
      <c r="F79" s="703"/>
      <c r="G79" s="703"/>
      <c r="H79" s="703"/>
      <c r="I79" s="703"/>
      <c r="J79" s="703"/>
      <c r="K79" s="705"/>
      <c r="L79" s="703"/>
      <c r="M79" s="703"/>
      <c r="O79" s="931" t="s">
        <v>2043</v>
      </c>
      <c r="P79" s="926" t="s">
        <v>2066</v>
      </c>
      <c r="Q79" s="960" t="e">
        <f ca="1">L63</f>
        <v>#N/A</v>
      </c>
      <c r="R79" s="962" t="s">
        <v>2067</v>
      </c>
    </row>
    <row r="80" s="632" customFormat="1" ht="15.75" spans="1:18">
      <c r="A80" s="703"/>
      <c r="B80" s="704"/>
      <c r="C80" s="704"/>
      <c r="D80" s="703"/>
      <c r="E80" s="703"/>
      <c r="F80" s="703"/>
      <c r="G80" s="703"/>
      <c r="H80" s="703"/>
      <c r="I80" s="703"/>
      <c r="J80" s="703"/>
      <c r="K80" s="705"/>
      <c r="L80" s="703"/>
      <c r="M80" s="703"/>
      <c r="O80" s="931" t="s">
        <v>2087</v>
      </c>
      <c r="P80" s="926" t="str">
        <f>K64</f>
        <v>建设期及建筑物耐用年限下的土地年期修正系数Kn</v>
      </c>
      <c r="Q80" s="960" t="e">
        <f ca="1">L64</f>
        <v>#N/A</v>
      </c>
      <c r="R80" s="962" t="s">
        <v>2074</v>
      </c>
    </row>
    <row r="81" s="632" customFormat="1" ht="15.75" spans="1:18">
      <c r="A81" s="703"/>
      <c r="B81" s="704"/>
      <c r="C81" s="704"/>
      <c r="D81" s="703"/>
      <c r="E81" s="703"/>
      <c r="F81" s="703"/>
      <c r="G81" s="703"/>
      <c r="H81" s="703"/>
      <c r="I81" s="703"/>
      <c r="J81" s="703"/>
      <c r="K81" s="705"/>
      <c r="L81" s="703"/>
      <c r="M81" s="703"/>
      <c r="O81" s="925" t="s">
        <v>2046</v>
      </c>
      <c r="P81" s="926" t="s">
        <v>2047</v>
      </c>
      <c r="Q81" s="960" t="e">
        <f ca="1">Q71+Q72</f>
        <v>#N/A</v>
      </c>
      <c r="R81" s="962" t="s">
        <v>2048</v>
      </c>
    </row>
  </sheetData>
  <sheetProtection formatCells="0" formatColumns="0" formatRows="0"/>
  <mergeCells count="3">
    <mergeCell ref="K58:L58"/>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8">
    <cfRule type="expression" dxfId="13" priority="1">
      <formula>$F$57="自定义"</formula>
    </cfRule>
  </conditionalFormatting>
  <conditionalFormatting sqref="I60">
    <cfRule type="expression" dxfId="14" priority="7">
      <formula>$J$56&gt;$L$53</formula>
    </cfRule>
  </conditionalFormatting>
  <conditionalFormatting sqref="K60">
    <cfRule type="expression" dxfId="14" priority="6">
      <formula>$L$53&gt;$J$56</formula>
    </cfRule>
  </conditionalFormatting>
  <conditionalFormatting sqref="I65">
    <cfRule type="expression" dxfId="14" priority="5">
      <formula>$J$56&gt;$L$53</formula>
    </cfRule>
  </conditionalFormatting>
  <conditionalFormatting sqref="K65">
    <cfRule type="expression" dxfId="14" priority="4">
      <formula>$L$53&gt;$J$56</formula>
    </cfRule>
  </conditionalFormatting>
  <dataValidations count="8">
    <dataValidation type="list" allowBlank="1" showInputMessage="1" showErrorMessage="1" sqref="D1">
      <formula1>"土地（套用方法）,——"</formula1>
    </dataValidation>
    <dataValidation type="list" allowBlank="1" showInputMessage="1" showErrorMessage="1" sqref="F10 M10 F57">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判定</formula1>
    </dataValidation>
    <dataValidation type="list" allowBlank="1" showInputMessage="1" showErrorMessage="1" sqref="C1:C3">
      <formula1>项目类型</formula1>
    </dataValidation>
  </dataValidations>
  <pageMargins left="0.7" right="0.7" top="0.75" bottom="0.75" header="0.3" footer="0.3"/>
  <pageSetup paperSize="9" scale="58" orientation="landscape"/>
  <headerFooter/>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81"/>
  <sheetViews>
    <sheetView zoomScale="90" zoomScaleNormal="90" zoomScaleSheetLayoutView="85" topLeftCell="A7" workbookViewId="0">
      <selection activeCell="I35" sqref="I35"/>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551</v>
      </c>
      <c r="D1" s="710" t="s">
        <v>2405</v>
      </c>
      <c r="E1" s="711" t="s">
        <v>588</v>
      </c>
      <c r="F1" s="712">
        <f ca="1">J58</f>
        <v>38</v>
      </c>
      <c r="G1" s="713">
        <f>MATCH(C1,'数据-取费表'!A6:A16,0)+5</f>
        <v>9</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101">
        <f ca="1">C40+J29+L46</f>
        <v>22963.34</v>
      </c>
      <c r="C2" s="715"/>
      <c r="D2" s="716"/>
      <c r="E2" s="717"/>
      <c r="F2" s="717"/>
      <c r="G2" s="718"/>
      <c r="H2" s="719"/>
      <c r="I2" s="719"/>
      <c r="J2" s="719"/>
      <c r="K2" s="861"/>
      <c r="L2" s="719"/>
      <c r="M2" s="719"/>
    </row>
    <row r="3" ht="18" customHeight="1" spans="1:13">
      <c r="A3" s="720" t="s">
        <v>2350</v>
      </c>
      <c r="B3" s="721">
        <f ca="1">IF(ISERROR(B2*10000/F43),0,ROUND(B2*10000/F43,0))</f>
        <v>11403</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f ca="1">C6+C10+C12</f>
        <v>1987.03</v>
      </c>
      <c r="D5" s="731" t="s">
        <v>1918</v>
      </c>
      <c r="E5" s="732"/>
      <c r="F5" s="733"/>
      <c r="G5" s="727"/>
      <c r="H5" s="728">
        <v>1</v>
      </c>
      <c r="I5" s="729" t="s">
        <v>1917</v>
      </c>
      <c r="J5" s="730">
        <f ca="1">J6+J10+J12</f>
        <v>0</v>
      </c>
      <c r="K5" s="731" t="s">
        <v>1918</v>
      </c>
      <c r="L5" s="732"/>
      <c r="M5" s="733"/>
    </row>
    <row r="6" ht="18" customHeight="1" spans="1:13">
      <c r="A6" s="734" t="s">
        <v>855</v>
      </c>
      <c r="B6" s="735" t="s">
        <v>1919</v>
      </c>
      <c r="C6" s="736">
        <f ca="1">ROUND(F6*F8*F7*(1-F9)/10000,2)</f>
        <v>1984.55</v>
      </c>
      <c r="D6" s="737" t="s">
        <v>2406</v>
      </c>
      <c r="E6" s="738" t="s">
        <v>1921</v>
      </c>
      <c r="F6" s="739">
        <f ca="1">INDIRECT("'数据-取费表'!u"&amp;$G$1)</f>
        <v>3</v>
      </c>
      <c r="G6" s="727"/>
      <c r="H6" s="740" t="s">
        <v>855</v>
      </c>
      <c r="I6" s="735" t="s">
        <v>1919</v>
      </c>
      <c r="J6" s="736">
        <f ca="1">ROUND(M6*M8*M7*(1-M9)/10000,0)</f>
        <v>0</v>
      </c>
      <c r="K6" s="814" t="s">
        <v>2407</v>
      </c>
      <c r="L6" s="738" t="s">
        <v>1921</v>
      </c>
      <c r="M6" s="739">
        <f ca="1">INDIRECT("'数据-取费表'!z"&amp;$G$1)</f>
        <v>0</v>
      </c>
    </row>
    <row r="7" ht="18" customHeight="1" spans="1:13">
      <c r="A7" s="741"/>
      <c r="B7" s="742"/>
      <c r="C7" s="743"/>
      <c r="D7" s="744"/>
      <c r="E7" s="738" t="s">
        <v>1922</v>
      </c>
      <c r="F7" s="739">
        <f ca="1">IF(INDIRECT("'数据-取费表'!ah"&amp;$G$1)="",INDIRECT("'数据-取费表'!k"&amp;$G$1),INDIRECT("'数据-取费表'!ah"&amp;$G$1))</f>
        <v>20137.5</v>
      </c>
      <c r="G7" s="727"/>
      <c r="H7" s="745"/>
      <c r="I7" s="742"/>
      <c r="J7" s="743"/>
      <c r="K7" s="744"/>
      <c r="L7" s="738" t="s">
        <v>1922</v>
      </c>
      <c r="M7" s="739">
        <f ca="1">F7</f>
        <v>20137.5</v>
      </c>
    </row>
    <row r="8" ht="18" customHeight="1" spans="1:13">
      <c r="A8" s="746"/>
      <c r="B8" s="747"/>
      <c r="C8" s="743"/>
      <c r="D8" s="744"/>
      <c r="E8" s="738" t="s">
        <v>1923</v>
      </c>
      <c r="F8" s="739">
        <f ca="1">INDIRECT("'数据-取费表'!ai"&amp;$G$1)</f>
        <v>365</v>
      </c>
      <c r="G8" s="727"/>
      <c r="H8" s="745"/>
      <c r="I8" s="747"/>
      <c r="J8" s="743"/>
      <c r="K8" s="744"/>
      <c r="L8" s="738" t="s">
        <v>1923</v>
      </c>
      <c r="M8" s="739">
        <f ca="1">INDIRECT("'数据-取费表'!ai"&amp;$G$1)</f>
        <v>365</v>
      </c>
    </row>
    <row r="9" ht="18" customHeight="1" spans="1:13">
      <c r="A9" s="748"/>
      <c r="B9" s="749"/>
      <c r="C9" s="743"/>
      <c r="D9" s="744"/>
      <c r="E9" s="738" t="s">
        <v>1924</v>
      </c>
      <c r="F9" s="750">
        <f ca="1">INDIRECT("'数据-取费表'!w"&amp;$G$1)</f>
        <v>0.1</v>
      </c>
      <c r="G9" s="727"/>
      <c r="H9" s="751"/>
      <c r="I9" s="747"/>
      <c r="J9" s="743"/>
      <c r="K9" s="744"/>
      <c r="L9" s="795" t="s">
        <v>1924</v>
      </c>
      <c r="M9" s="760">
        <f ca="1">INDIRECT("'数据-取费表'!ab"&amp;$G$1)</f>
        <v>0</v>
      </c>
    </row>
    <row r="10" ht="18" customHeight="1" spans="1:13">
      <c r="A10" s="734" t="s">
        <v>857</v>
      </c>
      <c r="B10" s="752" t="s">
        <v>1925</v>
      </c>
      <c r="C10" s="124">
        <f ca="1">ROUND(IF(F10="押一",C6/12*F11,IF(F10="押二",C6/12*2*F11,IF(F10="押三",C6/12*3*F11,C11*F11))),2)</f>
        <v>2.48</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771">
        <f ca="1">ROUND(C29*F13,2)</f>
        <v>16505.56</v>
      </c>
      <c r="D13" s="772" t="s">
        <v>2409</v>
      </c>
      <c r="E13" s="772" t="s">
        <v>1932</v>
      </c>
      <c r="F13" s="773">
        <v>1</v>
      </c>
      <c r="G13" s="727"/>
      <c r="H13" s="769">
        <v>2</v>
      </c>
      <c r="I13" s="770" t="s">
        <v>1933</v>
      </c>
      <c r="J13" s="869">
        <f ca="1">ROUND(J14*J15,0)</f>
        <v>0</v>
      </c>
      <c r="K13" s="804" t="s">
        <v>1931</v>
      </c>
      <c r="L13" s="870"/>
      <c r="M13" s="871"/>
    </row>
    <row r="14" ht="18" customHeight="1" spans="1:13">
      <c r="A14" s="774" t="s">
        <v>879</v>
      </c>
      <c r="B14" s="738" t="s">
        <v>1068</v>
      </c>
      <c r="C14" s="775">
        <f>'数据-取费表'!P9</f>
        <v>11075.63</v>
      </c>
      <c r="D14" s="776" t="s">
        <v>1934</v>
      </c>
      <c r="E14" s="777"/>
      <c r="F14" s="778"/>
      <c r="G14" s="727"/>
      <c r="H14" s="779" t="s">
        <v>855</v>
      </c>
      <c r="I14" s="856" t="s">
        <v>1935</v>
      </c>
      <c r="J14" s="125">
        <f ca="1">C29</f>
        <v>16505.56</v>
      </c>
      <c r="K14" s="857"/>
      <c r="L14" s="872"/>
      <c r="M14" s="873"/>
    </row>
    <row r="15" s="702" customFormat="1" ht="18" customHeight="1" spans="1:33">
      <c r="A15" s="774" t="s">
        <v>883</v>
      </c>
      <c r="B15" s="738" t="s">
        <v>1070</v>
      </c>
      <c r="C15" s="125">
        <f>ROUND(C14*F15,2)</f>
        <v>332.27</v>
      </c>
      <c r="D15" s="780" t="s">
        <v>1936</v>
      </c>
      <c r="E15" s="780" t="s">
        <v>1937</v>
      </c>
      <c r="F15" s="781">
        <f>'数据-取费表'!B33</f>
        <v>0.03</v>
      </c>
      <c r="G15" s="782"/>
      <c r="H15" s="768" t="s">
        <v>857</v>
      </c>
      <c r="I15" s="801" t="s">
        <v>1932</v>
      </c>
      <c r="J15" s="874">
        <f ca="1">INDIRECT("'数据-取费表'!ad"&amp;$G$1)</f>
        <v>0</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25">
        <f ca="1">ROUND(INDIRECT("'数据-取费表'!m"&amp;$G$1)*F16,2)</f>
        <v>0</v>
      </c>
      <c r="D16" s="738" t="s">
        <v>1936</v>
      </c>
      <c r="E16" s="738" t="s">
        <v>1937</v>
      </c>
      <c r="F16" s="783">
        <f ca="1">IF(INDIRECT("'数据-取费表'!c"&amp;$G$1)="住宅",'数据-取费表'!B34,0)</f>
        <v>0</v>
      </c>
      <c r="G16" s="727"/>
      <c r="H16" s="769" t="s">
        <v>1997</v>
      </c>
      <c r="I16" s="770" t="s">
        <v>1938</v>
      </c>
      <c r="J16" s="771" t="e">
        <f ca="1">ROUND(J17+J22+J23+J24,0)</f>
        <v>#VALUE!</v>
      </c>
      <c r="K16" s="804" t="s">
        <v>1939</v>
      </c>
      <c r="L16" s="805"/>
      <c r="M16" s="733"/>
    </row>
    <row r="17" s="702" customFormat="1" ht="18" customHeight="1" spans="1:33">
      <c r="A17" s="774" t="s">
        <v>2410</v>
      </c>
      <c r="B17" s="738" t="s">
        <v>1940</v>
      </c>
      <c r="C17" s="125">
        <f>ROUND(F17*地块信息表!M24/10000,2)</f>
        <v>614.19</v>
      </c>
      <c r="D17" s="738" t="s">
        <v>1941</v>
      </c>
      <c r="E17" s="738" t="s">
        <v>1942</v>
      </c>
      <c r="F17" s="784">
        <f>'数据-取费表'!B35</f>
        <v>305</v>
      </c>
      <c r="G17" s="782"/>
      <c r="H17" s="779" t="s">
        <v>855</v>
      </c>
      <c r="I17" s="738" t="s">
        <v>1943</v>
      </c>
      <c r="J17" s="807" t="e">
        <f ca="1">ROUND(IF(AND(项目基本情况!B11="自然人",项目基本情况!B10="北京市"),J6*M17/(1+'数据-取费表'!C42),J18+J19+J20),0)</f>
        <v>#VALUE!</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f>ROUND(C14*F18,2)</f>
        <v>166.13</v>
      </c>
      <c r="D18" s="738" t="s">
        <v>1936</v>
      </c>
      <c r="E18" s="738" t="s">
        <v>1937</v>
      </c>
      <c r="F18" s="783">
        <f>'数据-取费表'!B36</f>
        <v>0.015</v>
      </c>
      <c r="G18" s="782"/>
      <c r="H18" s="774" t="s">
        <v>879</v>
      </c>
      <c r="I18" s="738" t="s">
        <v>1946</v>
      </c>
      <c r="J18" s="125">
        <f ca="1">ROUND(J6*M18/(1+'数据-取费表'!C42),1)</f>
        <v>0</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102">
        <f ca="1">SUM(C14:C18)</f>
        <v>12188.22</v>
      </c>
      <c r="D19" s="785" t="s">
        <v>1949</v>
      </c>
      <c r="E19" s="127"/>
      <c r="F19" s="784"/>
      <c r="G19" s="727"/>
      <c r="H19" s="774" t="s">
        <v>883</v>
      </c>
      <c r="I19" s="738" t="s">
        <v>1950</v>
      </c>
      <c r="J19" s="125">
        <f ca="1">IF(K19="按租金收入计税",ROUND(J6*M19/(1+'数据-取费表'!C42),1),ROUND(C29*F33*0.7,1))</f>
        <v>1386.5</v>
      </c>
      <c r="K19" s="812" t="s">
        <v>1951</v>
      </c>
      <c r="L19" s="738" t="s">
        <v>1937</v>
      </c>
      <c r="M19" s="783">
        <f>IF(K19="按租金收入计税",'数据-取费表'!B51,'数据-取费表'!B50)</f>
        <v>0.012</v>
      </c>
    </row>
    <row r="20" s="702" customFormat="1" ht="18" customHeight="1" spans="1:33">
      <c r="A20" s="779" t="s">
        <v>857</v>
      </c>
      <c r="B20" s="738" t="s">
        <v>1953</v>
      </c>
      <c r="C20" s="125">
        <f ca="1">ROUND(C19*F20,2)</f>
        <v>365.65</v>
      </c>
      <c r="D20" s="786" t="s">
        <v>1954</v>
      </c>
      <c r="E20" s="738" t="s">
        <v>1937</v>
      </c>
      <c r="F20" s="783">
        <f>'数据-取费表'!B37</f>
        <v>0.03</v>
      </c>
      <c r="G20" s="782"/>
      <c r="H20" s="787" t="s">
        <v>886</v>
      </c>
      <c r="I20" s="814" t="s">
        <v>1955</v>
      </c>
      <c r="J20" s="815" t="e">
        <f ca="1">ROUND(M20*M21/10000,0)</f>
        <v>#VALUE!</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783">
        <f>'剩余法-待开发-住宅自持'!F24</f>
        <v>0.03</v>
      </c>
      <c r="G21" s="782"/>
      <c r="H21" s="789"/>
      <c r="I21" s="818"/>
      <c r="J21" s="819"/>
      <c r="K21" s="820"/>
      <c r="L21" s="738" t="s">
        <v>1962</v>
      </c>
      <c r="M21" s="739" t="e">
        <f ca="1">INDIRECT("'数据-取费表'!r"&amp;$G$1)</f>
        <v>#VALUE!</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f ca="1">ROUND(J14*M22,0)</f>
        <v>165</v>
      </c>
      <c r="K22" s="808" t="s">
        <v>1966</v>
      </c>
      <c r="L22" s="738" t="s">
        <v>1937</v>
      </c>
      <c r="M22" s="821">
        <f ca="1">INDIRECT("'数据-取费表'!Ak"&amp;$G$1)</f>
        <v>0.01</v>
      </c>
    </row>
    <row r="23" s="702" customFormat="1" ht="18" customHeight="1" spans="1:33">
      <c r="A23" s="774" t="s">
        <v>879</v>
      </c>
      <c r="B23" s="738" t="s">
        <v>1967</v>
      </c>
      <c r="C23" s="125">
        <f ca="1">ROUND(IF('数据-取费表'!B22&lt;=1,(C19+C20)*F24*F23/2,(C19+C20)*(POWER((1+F24),F23/2)-1)),2)</f>
        <v>596.31</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f ca="1">ROUND(J13*M23,0)</f>
        <v>0</v>
      </c>
      <c r="K23" s="808" t="s">
        <v>1970</v>
      </c>
      <c r="L23" s="738" t="s">
        <v>1937</v>
      </c>
      <c r="M23" s="822">
        <f ca="1">INDIRECT("'数据-取费表'!Al"&amp;$G$1)</f>
        <v>0.001</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f ca="1">ROUND(J5*M24,0)</f>
        <v>0</v>
      </c>
      <c r="K24" s="800" t="s">
        <v>1973</v>
      </c>
      <c r="L24" s="801" t="s">
        <v>1937</v>
      </c>
      <c r="M24" s="767">
        <f ca="1">INDIRECT("'数据-取费表'!Am"&amp;$G$1)</f>
        <v>0.01</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#VALUE!</v>
      </c>
      <c r="K25" s="824" t="s">
        <v>1978</v>
      </c>
      <c r="L25" s="825"/>
      <c r="M25" s="826"/>
    </row>
    <row r="26" ht="18" customHeight="1" spans="1:13">
      <c r="A26" s="774" t="s">
        <v>879</v>
      </c>
      <c r="B26" s="738" t="s">
        <v>1979</v>
      </c>
      <c r="C26" s="125">
        <f ca="1">ROUND((C19+C20)*F26,2)</f>
        <v>1883.08</v>
      </c>
      <c r="D26" s="786" t="s">
        <v>1980</v>
      </c>
      <c r="E26" s="795" t="s">
        <v>1981</v>
      </c>
      <c r="F26" s="750">
        <f>'数据-取费表'!Q9</f>
        <v>0.15</v>
      </c>
      <c r="G26" s="727"/>
      <c r="H26" s="796" t="s">
        <v>2415</v>
      </c>
      <c r="I26" s="827" t="s">
        <v>2416</v>
      </c>
      <c r="J26" s="736">
        <f ca="1">IF(J5&lt;&gt;0,ROUND(J25*(1-((1+M28)/(1+M26))^M27)/(M26-M28),0),0)</f>
        <v>0</v>
      </c>
      <c r="K26" s="816" t="s">
        <v>1983</v>
      </c>
      <c r="L26" s="738" t="s">
        <v>2417</v>
      </c>
      <c r="M26" s="750">
        <f ca="1">INDIRECT("'数据-取费表'!I"&amp;$G$1)</f>
        <v>0.055</v>
      </c>
    </row>
    <row r="27" ht="18" customHeight="1" spans="1:13">
      <c r="A27" s="774" t="s">
        <v>883</v>
      </c>
      <c r="B27" s="738" t="s">
        <v>1985</v>
      </c>
      <c r="C27" s="125">
        <f>ROUND(F21*F26,4)</f>
        <v>0.0045</v>
      </c>
      <c r="D27" s="786" t="s">
        <v>1986</v>
      </c>
      <c r="E27" s="780"/>
      <c r="F27" s="781"/>
      <c r="G27" s="727"/>
      <c r="H27" s="797"/>
      <c r="I27" s="828"/>
      <c r="J27" s="743"/>
      <c r="K27" s="829" t="s">
        <v>1987</v>
      </c>
      <c r="L27" s="738" t="s">
        <v>1988</v>
      </c>
      <c r="M27" s="830">
        <f ca="1">INDIRECT("'数据-取费表'!ag"&amp;$G$1)</f>
        <v>0</v>
      </c>
    </row>
    <row r="28" s="702" customFormat="1" ht="18" customHeight="1" spans="1:33">
      <c r="A28" s="794" t="s">
        <v>913</v>
      </c>
      <c r="B28" s="738" t="s">
        <v>1990</v>
      </c>
      <c r="C28" s="125">
        <f>ROUND(F28/(1+'数据-取费表'!C42),4)</f>
        <v>0.0533</v>
      </c>
      <c r="D28" s="786" t="s">
        <v>2419</v>
      </c>
      <c r="E28" s="738" t="s">
        <v>1937</v>
      </c>
      <c r="F28" s="783">
        <f>'数据-取费表'!B41</f>
        <v>0.056</v>
      </c>
      <c r="G28" s="782"/>
      <c r="H28" s="769"/>
      <c r="I28" s="831"/>
      <c r="J28" s="771"/>
      <c r="K28" s="820"/>
      <c r="L28" s="738" t="s">
        <v>1992</v>
      </c>
      <c r="M28" s="750">
        <f ca="1">INDIRECT("'数据-取费表'!aa"&amp;$G$1)</f>
        <v>0</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f ca="1">ROUND((C19+C20+C23+C26)/(1-F21-C24-C27-C28),2)</f>
        <v>16505.56</v>
      </c>
      <c r="D29" s="800"/>
      <c r="E29" s="801"/>
      <c r="F29" s="802"/>
      <c r="G29" s="782"/>
      <c r="H29" s="803" t="s">
        <v>2421</v>
      </c>
      <c r="I29" s="832" t="s">
        <v>2422</v>
      </c>
      <c r="J29" s="833">
        <f ca="1">ROUND(J26/(1+F40)^F41,0)</f>
        <v>0</v>
      </c>
      <c r="K29" s="834" t="s">
        <v>1996</v>
      </c>
      <c r="L29" s="835"/>
      <c r="M29" s="836">
        <f ca="1">INDIRECT("'数据-取费表'!k"&amp;$G$1)</f>
        <v>20137.5</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1103">
        <f ca="1">ROUND(C31+C36+C37+C38,2)</f>
        <v>534.09</v>
      </c>
      <c r="D30" s="804" t="s">
        <v>1939</v>
      </c>
      <c r="E30" s="805"/>
      <c r="F30" s="733"/>
      <c r="G30" s="727"/>
      <c r="H30" s="806"/>
      <c r="I30" s="879"/>
      <c r="J30" s="880"/>
      <c r="K30" s="183"/>
      <c r="L30" s="881"/>
      <c r="M30" s="882"/>
    </row>
    <row r="31" ht="18" customHeight="1" spans="1:13">
      <c r="A31" s="779" t="s">
        <v>855</v>
      </c>
      <c r="B31" s="738" t="s">
        <v>1943</v>
      </c>
      <c r="C31" s="1104">
        <f ca="1">ROUND(IF(AND(项目基本情况!B11="自然人",项目基本情况!B10="北京市"),C6*F31/(1+'数据-取费表'!C42),C32+C33+C34),2)</f>
        <v>332.65</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f ca="1">ROUND(C6*F32/(1+'数据-取费表'!C42),2)</f>
        <v>105.84</v>
      </c>
      <c r="D32" s="808" t="s">
        <v>1947</v>
      </c>
      <c r="E32" s="738" t="s">
        <v>1937</v>
      </c>
      <c r="F32" s="783">
        <f>'数据-取费表'!B41</f>
        <v>0.056</v>
      </c>
      <c r="G32" s="727"/>
      <c r="H32" s="811"/>
      <c r="I32" s="883"/>
      <c r="J32" s="884"/>
      <c r="K32" s="885"/>
      <c r="L32" s="886"/>
      <c r="M32" s="887"/>
    </row>
    <row r="33" ht="18" customHeight="1" spans="1:13">
      <c r="A33" s="774" t="s">
        <v>883</v>
      </c>
      <c r="B33" s="738" t="s">
        <v>1950</v>
      </c>
      <c r="C33" s="125">
        <f ca="1">IF(D33="按租金收入计税",ROUND(C6*F33/(1+'数据-取费表'!C42),2),IF(D33="按房产原值计税",ROUND(C29*F33*0.7,2),INDIRECT("'数据-取费表'!Aj"&amp;$G$1)))</f>
        <v>226.81</v>
      </c>
      <c r="D33" s="812" t="s">
        <v>2423</v>
      </c>
      <c r="E33" s="738" t="s">
        <v>1937</v>
      </c>
      <c r="F33" s="783">
        <f>IF(D33="按租金收入计税",'数据-取费表'!B51,'数据-取费表'!B50)</f>
        <v>0.12</v>
      </c>
      <c r="G33" s="727"/>
      <c r="H33" s="813"/>
      <c r="I33" s="813"/>
      <c r="J33" s="813"/>
      <c r="K33" s="888"/>
      <c r="L33" s="813"/>
      <c r="M33" s="813"/>
    </row>
    <row r="34" ht="18" customHeight="1" spans="1:13">
      <c r="A34" s="787" t="s">
        <v>886</v>
      </c>
      <c r="B34" s="814" t="s">
        <v>1955</v>
      </c>
      <c r="C34" s="815">
        <f>ROUND(F34*F35/10000,1)</f>
        <v>0</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f>地块信息表!M24</f>
        <v>20137.5</v>
      </c>
      <c r="G35" s="727"/>
      <c r="H35" s="806"/>
      <c r="I35" s="893" t="s">
        <v>2425</v>
      </c>
      <c r="J35" s="894">
        <f ca="1">ROUND(C13*J36,0)</f>
        <v>1320</v>
      </c>
      <c r="K35" s="888"/>
      <c r="L35" s="813"/>
      <c r="M35" s="813"/>
    </row>
    <row r="36" ht="18" customHeight="1" spans="1:13">
      <c r="A36" s="779" t="s">
        <v>857</v>
      </c>
      <c r="B36" s="738" t="s">
        <v>1965</v>
      </c>
      <c r="C36" s="125">
        <f ca="1">ROUND(C29*F36,2)</f>
        <v>165.06</v>
      </c>
      <c r="D36" s="808" t="s">
        <v>2001</v>
      </c>
      <c r="E36" s="738" t="s">
        <v>1937</v>
      </c>
      <c r="F36" s="821">
        <f ca="1">INDIRECT("'数据-取费表'!Ak"&amp;$G$1)</f>
        <v>0.01</v>
      </c>
      <c r="G36" s="727"/>
      <c r="H36" s="813"/>
      <c r="I36" s="895" t="s">
        <v>2426</v>
      </c>
      <c r="J36" s="896">
        <f ca="1">INDIRECT("'数据-取费表'!j"&amp;$G$1)</f>
        <v>0.08</v>
      </c>
      <c r="K36" s="897"/>
      <c r="L36" s="813"/>
      <c r="M36" s="813"/>
    </row>
    <row r="37" ht="18" customHeight="1" spans="1:13">
      <c r="A37" s="779" t="s">
        <v>1061</v>
      </c>
      <c r="B37" s="738" t="s">
        <v>1969</v>
      </c>
      <c r="C37" s="125">
        <f ca="1">ROUND(C13*F37,2)</f>
        <v>16.51</v>
      </c>
      <c r="D37" s="808" t="s">
        <v>1970</v>
      </c>
      <c r="E37" s="738" t="s">
        <v>1937</v>
      </c>
      <c r="F37" s="822">
        <f ca="1">INDIRECT("'数据-取费表'!Al"&amp;$G$1)</f>
        <v>0.001</v>
      </c>
      <c r="G37" s="727"/>
      <c r="H37" s="813"/>
      <c r="I37" s="898" t="s">
        <v>2427</v>
      </c>
      <c r="J37" s="899"/>
      <c r="K37" s="897"/>
      <c r="L37" s="813"/>
      <c r="M37" s="813"/>
    </row>
    <row r="38" ht="18" customHeight="1" spans="1:13">
      <c r="A38" s="768" t="s">
        <v>2413</v>
      </c>
      <c r="B38" s="801" t="s">
        <v>1953</v>
      </c>
      <c r="C38" s="799">
        <f ca="1">ROUND(C5*F38,2)</f>
        <v>19.87</v>
      </c>
      <c r="D38" s="800" t="s">
        <v>1973</v>
      </c>
      <c r="E38" s="801" t="s">
        <v>1937</v>
      </c>
      <c r="F38" s="767">
        <f ca="1">INDIRECT("'数据-取费表'!Am"&amp;$G$1)</f>
        <v>0.01</v>
      </c>
      <c r="G38" s="727"/>
      <c r="H38" s="813"/>
      <c r="I38" s="900" t="s">
        <v>2428</v>
      </c>
      <c r="J38" s="901"/>
      <c r="K38" s="902"/>
      <c r="L38" s="813"/>
      <c r="M38" s="813"/>
    </row>
    <row r="39" ht="24.65" customHeight="1" spans="1:13">
      <c r="A39" s="769" t="s">
        <v>2414</v>
      </c>
      <c r="B39" s="823" t="s">
        <v>1977</v>
      </c>
      <c r="C39" s="771">
        <f ca="1">C5-C30</f>
        <v>1452.94</v>
      </c>
      <c r="D39" s="824" t="s">
        <v>1978</v>
      </c>
      <c r="E39" s="825"/>
      <c r="F39" s="826"/>
      <c r="G39" s="727"/>
      <c r="H39" s="813"/>
      <c r="I39" s="893" t="s">
        <v>2429</v>
      </c>
      <c r="J39" s="903">
        <f ca="1">ROUND(J35/C39,3)</f>
        <v>0.909</v>
      </c>
      <c r="K39" s="902"/>
      <c r="L39" s="813"/>
      <c r="M39" s="813"/>
    </row>
    <row r="40" ht="18" customHeight="1" spans="1:13">
      <c r="A40" s="728" t="s">
        <v>2415</v>
      </c>
      <c r="B40" s="827" t="s">
        <v>2430</v>
      </c>
      <c r="C40" s="736">
        <f ca="1">ROUND(C39*(1-((1+F42)/(1+F40))^F41)/(F40-F42),2)</f>
        <v>22963.34</v>
      </c>
      <c r="D40" s="816" t="s">
        <v>1983</v>
      </c>
      <c r="E40" s="738" t="s">
        <v>2417</v>
      </c>
      <c r="F40" s="750">
        <v>0.055</v>
      </c>
      <c r="G40" s="727"/>
      <c r="H40" s="727"/>
      <c r="I40" s="893" t="s">
        <v>2431</v>
      </c>
      <c r="J40" s="903">
        <f ca="1">1-J39</f>
        <v>0.091</v>
      </c>
      <c r="K40" s="902"/>
      <c r="L40" s="727"/>
      <c r="M40" s="727"/>
    </row>
    <row r="41" ht="18" customHeight="1" spans="1:13">
      <c r="A41" s="748"/>
      <c r="B41" s="828"/>
      <c r="C41" s="743"/>
      <c r="D41" s="829"/>
      <c r="E41" s="738" t="s">
        <v>1988</v>
      </c>
      <c r="F41" s="1105">
        <v>38</v>
      </c>
      <c r="G41" s="727"/>
      <c r="H41" s="183"/>
      <c r="I41" s="900" t="s">
        <v>2432</v>
      </c>
      <c r="J41" s="904"/>
      <c r="K41" s="897"/>
      <c r="L41" s="183"/>
      <c r="M41" s="183"/>
    </row>
    <row r="42" ht="18" customHeight="1" spans="1:13">
      <c r="A42" s="757"/>
      <c r="B42" s="831"/>
      <c r="C42" s="771"/>
      <c r="D42" s="820"/>
      <c r="E42" s="738" t="s">
        <v>1992</v>
      </c>
      <c r="F42" s="750">
        <f ca="1">INDIRECT("'数据-取费表'!v"&amp;$G$1)</f>
        <v>0</v>
      </c>
      <c r="G42" s="727"/>
      <c r="H42" s="183"/>
      <c r="I42" s="905" t="s">
        <v>2433</v>
      </c>
      <c r="J42" s="903">
        <f ca="1">ROUND(C13/C40,3)</f>
        <v>0.719</v>
      </c>
      <c r="K42" s="897"/>
      <c r="L42" s="183"/>
      <c r="M42" s="183"/>
    </row>
    <row r="43" s="632" customFormat="1" ht="18" customHeight="1" spans="1:17">
      <c r="A43" s="803" t="s">
        <v>2421</v>
      </c>
      <c r="B43" s="832" t="s">
        <v>2434</v>
      </c>
      <c r="C43" s="833">
        <f ca="1">ROUND(C40*10000/F43,0)</f>
        <v>11403</v>
      </c>
      <c r="D43" s="834" t="s">
        <v>2435</v>
      </c>
      <c r="E43" s="835" t="s">
        <v>2436</v>
      </c>
      <c r="F43" s="836">
        <f ca="1">F7</f>
        <v>20137.5</v>
      </c>
      <c r="G43" s="727"/>
      <c r="H43" s="183"/>
      <c r="I43" s="905" t="s">
        <v>2437</v>
      </c>
      <c r="J43" s="906">
        <f ca="1">1-J42</f>
        <v>0.281</v>
      </c>
      <c r="K43" s="897"/>
      <c r="L43" s="183"/>
      <c r="M43" s="183"/>
      <c r="Q43" s="706"/>
    </row>
    <row r="44" s="632" customFormat="1" ht="18" customHeight="1" spans="1:17">
      <c r="A44" s="1106" t="s">
        <v>2447</v>
      </c>
      <c r="B44" s="1107" t="s">
        <v>2448</v>
      </c>
      <c r="C44" s="1108"/>
      <c r="D44" s="119"/>
      <c r="E44" s="1109"/>
      <c r="F44" s="1110"/>
      <c r="G44" s="727"/>
      <c r="H44" s="183"/>
      <c r="I44" s="1117"/>
      <c r="J44" s="1118"/>
      <c r="K44" s="897"/>
      <c r="L44" s="183"/>
      <c r="M44" s="183"/>
      <c r="Q44" s="706"/>
    </row>
    <row r="45" s="632" customFormat="1" ht="18" customHeight="1" spans="1:17">
      <c r="A45" s="803" t="s">
        <v>2449</v>
      </c>
      <c r="B45" s="1111" t="s">
        <v>2450</v>
      </c>
      <c r="C45" s="124">
        <f>ROUND(C44/((1+F40)^F41),0)</f>
        <v>0</v>
      </c>
      <c r="D45" s="119"/>
      <c r="E45" s="1109"/>
      <c r="F45" s="1110"/>
      <c r="G45" s="727"/>
      <c r="H45" s="183"/>
      <c r="I45" s="1119" t="s">
        <v>2473</v>
      </c>
      <c r="J45" s="1118"/>
      <c r="K45" s="897"/>
      <c r="L45" s="183"/>
      <c r="M45" s="183"/>
      <c r="Q45" s="706"/>
    </row>
    <row r="46" s="632" customFormat="1" ht="18" customHeight="1" spans="1:17">
      <c r="A46" s="769" t="s">
        <v>2451</v>
      </c>
      <c r="B46" s="1112" t="s">
        <v>2430</v>
      </c>
      <c r="C46" s="124">
        <f ca="1">C40+C45</f>
        <v>22963.34</v>
      </c>
      <c r="D46" s="119"/>
      <c r="E46" s="1109"/>
      <c r="F46" s="1110"/>
      <c r="G46" s="727"/>
      <c r="H46" s="183"/>
      <c r="I46" s="1117"/>
      <c r="J46" s="1118"/>
      <c r="K46" s="897"/>
      <c r="L46" s="183"/>
      <c r="M46" s="183"/>
      <c r="Q46" s="706"/>
    </row>
    <row r="47" s="632" customFormat="1" ht="18" customHeight="1" spans="1:17">
      <c r="A47" s="1113" t="s">
        <v>2452</v>
      </c>
      <c r="B47" s="827" t="s">
        <v>2453</v>
      </c>
      <c r="C47" s="743">
        <f ca="1">ROUND(C46*10000/F43,0)</f>
        <v>11403</v>
      </c>
      <c r="D47" s="119"/>
      <c r="E47" s="1109"/>
      <c r="F47" s="1110"/>
      <c r="G47" s="727"/>
      <c r="H47" s="183"/>
      <c r="I47" s="1117"/>
      <c r="J47" s="1118"/>
      <c r="K47" s="897"/>
      <c r="L47" s="183"/>
      <c r="M47" s="183"/>
      <c r="Q47" s="706"/>
    </row>
    <row r="48" s="632" customFormat="1" ht="18" customHeight="1" spans="1:17">
      <c r="A48" s="1114"/>
      <c r="B48" s="1115"/>
      <c r="C48" s="1116"/>
      <c r="D48" s="119"/>
      <c r="E48" s="1109"/>
      <c r="F48" s="1110"/>
      <c r="G48" s="727"/>
      <c r="H48" s="183"/>
      <c r="I48" s="1117"/>
      <c r="J48" s="1118"/>
      <c r="K48" s="897"/>
      <c r="L48" s="183"/>
      <c r="M48" s="183"/>
      <c r="Q48" s="706"/>
    </row>
    <row r="49" s="632" customFormat="1" ht="18" customHeight="1" spans="1:17">
      <c r="A49" s="837"/>
      <c r="B49" s="837"/>
      <c r="C49" s="838"/>
      <c r="D49" s="837"/>
      <c r="E49" s="837"/>
      <c r="F49" s="837"/>
      <c r="K49" s="907"/>
      <c r="Q49" s="706"/>
    </row>
    <row r="50" s="632" customFormat="1" ht="18" customHeight="1" spans="1:17">
      <c r="A50" s="837"/>
      <c r="B50" s="837"/>
      <c r="C50" s="838"/>
      <c r="D50" s="837"/>
      <c r="E50" s="837"/>
      <c r="F50" s="837"/>
      <c r="K50" s="907"/>
      <c r="Q50" s="706"/>
    </row>
    <row r="51" s="632" customFormat="1" ht="18" customHeight="1" spans="1:18">
      <c r="A51" s="839" t="s">
        <v>2438</v>
      </c>
      <c r="B51" s="837"/>
      <c r="C51" s="840">
        <f ca="1">C72-C40</f>
        <v>-25839.34</v>
      </c>
      <c r="D51" s="841"/>
      <c r="E51" s="841"/>
      <c r="F51" s="841"/>
      <c r="I51" s="908" t="s">
        <v>2014</v>
      </c>
      <c r="J51" s="909"/>
      <c r="K51" s="910"/>
      <c r="L51" s="911">
        <f ca="1">IF(OR(M52="住宅",D1="土地（套用方法）"),0,IF(L53&gt;J56,L65,J65))</f>
        <v>0</v>
      </c>
      <c r="M51" s="716"/>
      <c r="O51" s="912" t="s">
        <v>2015</v>
      </c>
      <c r="P51" s="913"/>
      <c r="Q51" s="918"/>
      <c r="R51" s="913"/>
    </row>
    <row r="52" s="632" customFormat="1" ht="18" customHeight="1" spans="1:18">
      <c r="A52" s="842">
        <v>1</v>
      </c>
      <c r="B52" s="843" t="s">
        <v>2439</v>
      </c>
      <c r="C52" s="840">
        <f ca="1">C53+C57+C59</f>
        <v>0</v>
      </c>
      <c r="D52" s="841"/>
      <c r="E52" s="841"/>
      <c r="F52" s="841"/>
      <c r="I52" s="914" t="s">
        <v>2016</v>
      </c>
      <c r="J52" s="915" t="s">
        <v>2076</v>
      </c>
      <c r="K52" s="916" t="s">
        <v>2017</v>
      </c>
      <c r="L52" s="917">
        <f ca="1">INDIRECT("'数据-取费表'!d"&amp;$G$1)</f>
        <v>40</v>
      </c>
      <c r="M52" s="918" t="str">
        <f>IF(ISNUMBER(FIND("住宅",C1)),"住宅","非住宅")</f>
        <v>非住宅</v>
      </c>
      <c r="O52" s="919" t="s">
        <v>1318</v>
      </c>
      <c r="P52" s="920" t="s">
        <v>2018</v>
      </c>
      <c r="Q52" s="959" t="s">
        <v>2019</v>
      </c>
      <c r="R52" s="920" t="s">
        <v>2020</v>
      </c>
    </row>
    <row r="53" s="632" customFormat="1" ht="18" customHeight="1" spans="1:18">
      <c r="A53" s="844" t="s">
        <v>1124</v>
      </c>
      <c r="B53" s="845" t="s">
        <v>2440</v>
      </c>
      <c r="C53" s="846">
        <f ca="1">ROUND(F53*F55*F54*(1-F56)/10000,0)</f>
        <v>0</v>
      </c>
      <c r="D53" s="847" t="s">
        <v>2407</v>
      </c>
      <c r="E53" s="848" t="s">
        <v>2441</v>
      </c>
      <c r="F53" s="849"/>
      <c r="G53" s="850"/>
      <c r="I53" s="921" t="s">
        <v>2021</v>
      </c>
      <c r="J53" s="922" t="s">
        <v>2071</v>
      </c>
      <c r="K53" s="923" t="s">
        <v>2022</v>
      </c>
      <c r="L53" s="924">
        <f ca="1">INDIRECT("'数据-取费表'!f"&amp;$G$1)</f>
        <v>40</v>
      </c>
      <c r="M53" s="716"/>
      <c r="O53" s="925" t="s">
        <v>2023</v>
      </c>
      <c r="P53" s="926" t="s">
        <v>2024</v>
      </c>
      <c r="Q53" s="960">
        <f ca="1">C40+J29</f>
        <v>22963.34</v>
      </c>
      <c r="R53" s="926" t="s">
        <v>2025</v>
      </c>
    </row>
    <row r="54" s="632" customFormat="1" ht="18" customHeight="1" spans="1:18">
      <c r="A54" s="748"/>
      <c r="B54" s="828"/>
      <c r="C54" s="743"/>
      <c r="D54" s="744"/>
      <c r="E54" s="738" t="s">
        <v>1922</v>
      </c>
      <c r="F54" s="739">
        <f ca="1">F7</f>
        <v>20137.5</v>
      </c>
      <c r="G54" s="850"/>
      <c r="H54" s="851"/>
      <c r="I54" s="921" t="s">
        <v>2026</v>
      </c>
      <c r="J54" s="927">
        <v>2025</v>
      </c>
      <c r="K54" s="928" t="s">
        <v>2027</v>
      </c>
      <c r="L54" s="929"/>
      <c r="M54" s="716"/>
      <c r="O54" s="925" t="s">
        <v>2028</v>
      </c>
      <c r="P54" s="926" t="s">
        <v>2029</v>
      </c>
      <c r="Q54" s="960">
        <f ca="1">J65</f>
        <v>354</v>
      </c>
      <c r="R54" s="926" t="s">
        <v>2030</v>
      </c>
    </row>
    <row r="55" s="632" customFormat="1" ht="18" customHeight="1" spans="1:18">
      <c r="A55" s="748"/>
      <c r="B55" s="828"/>
      <c r="C55" s="743"/>
      <c r="D55" s="744"/>
      <c r="E55" s="738" t="s">
        <v>1923</v>
      </c>
      <c r="F55" s="739">
        <f ca="1">F8</f>
        <v>365</v>
      </c>
      <c r="H55" s="851"/>
      <c r="I55" s="921" t="s">
        <v>2031</v>
      </c>
      <c r="J55" s="930">
        <f>SUMPRODUCT((I68:I70=J52)*(J67:L67=J53)*(J68:L70))</f>
        <v>60</v>
      </c>
      <c r="K55" s="928" t="s">
        <v>2032</v>
      </c>
      <c r="L55" s="929"/>
      <c r="M55" s="716"/>
      <c r="O55" s="931" t="s">
        <v>2033</v>
      </c>
      <c r="P55" s="926" t="s">
        <v>2034</v>
      </c>
      <c r="Q55" s="960">
        <f ca="1">C29</f>
        <v>16505.56</v>
      </c>
      <c r="R55" s="926" t="s">
        <v>2025</v>
      </c>
    </row>
    <row r="56" s="632" customFormat="1" ht="18" customHeight="1" spans="1:18">
      <c r="A56" s="748"/>
      <c r="B56" s="828"/>
      <c r="C56" s="743"/>
      <c r="D56" s="744"/>
      <c r="E56" s="738" t="s">
        <v>1924</v>
      </c>
      <c r="F56" s="852"/>
      <c r="H56" s="851"/>
      <c r="I56" s="932" t="s">
        <v>2035</v>
      </c>
      <c r="J56" s="924">
        <f>IF(J54="",J55,J54+J55-YEAR('数据-取费表'!B2))</f>
        <v>62</v>
      </c>
      <c r="K56" s="921" t="s">
        <v>2036</v>
      </c>
      <c r="L56" s="933">
        <f ca="1">ROUND(-PV(INDIRECT("'数据-取费表'!h"&amp;$G$1),J56,(C39-C13*J36),0),0)</f>
        <v>2521</v>
      </c>
      <c r="M56" s="716"/>
      <c r="O56" s="931" t="s">
        <v>2037</v>
      </c>
      <c r="P56" s="926" t="s">
        <v>2038</v>
      </c>
      <c r="Q56" s="961">
        <f ca="1">J63</f>
        <v>0.4</v>
      </c>
      <c r="R56" s="962"/>
    </row>
    <row r="57" s="632" customFormat="1" ht="18" customHeight="1" spans="1:18">
      <c r="A57" s="728" t="s">
        <v>2442</v>
      </c>
      <c r="B57" s="752" t="s">
        <v>1925</v>
      </c>
      <c r="C57" s="124">
        <f ca="1">ROUND(IF(F57="押一",C53/12*F11,IF(F57="押二",C53/12*2*F11,IF(F57="押三",C53/12*3*F11,C58*F11))),0)</f>
        <v>0</v>
      </c>
      <c r="D57" s="753" t="s">
        <v>1926</v>
      </c>
      <c r="E57" s="754" t="s">
        <v>1927</v>
      </c>
      <c r="F57" s="755"/>
      <c r="I57" s="934" t="s">
        <v>2039</v>
      </c>
      <c r="J57" s="935">
        <f>'数据-取费表'!J9</f>
        <v>0.08</v>
      </c>
      <c r="K57" s="934" t="s">
        <v>1188</v>
      </c>
      <c r="L57" s="935">
        <f>'数据-取费表'!H9</f>
        <v>0.05</v>
      </c>
      <c r="M57" s="716"/>
      <c r="O57" s="931" t="s">
        <v>2040</v>
      </c>
      <c r="P57" s="926" t="s">
        <v>2041</v>
      </c>
      <c r="Q57" s="961">
        <f>J57</f>
        <v>0.08</v>
      </c>
      <c r="R57" s="962"/>
    </row>
    <row r="58" s="632" customFormat="1" ht="39.75" customHeight="1" spans="1:18">
      <c r="A58" s="748"/>
      <c r="B58" s="758" t="s">
        <v>1928</v>
      </c>
      <c r="C58" s="759"/>
      <c r="D58" s="753"/>
      <c r="E58" s="754"/>
      <c r="F58" s="853"/>
      <c r="I58" s="936" t="s">
        <v>2042</v>
      </c>
      <c r="J58" s="1120">
        <f ca="1">IF(M52="住宅",IF(D1="——",MAX(J56,L53),MAX(J56,L53-'数据-取费表'!B20)),IF(D1="——",MIN(J56,L53),MIN(J56,L53-'数据-取费表'!B20)))</f>
        <v>38</v>
      </c>
      <c r="K58" s="938" t="s">
        <v>2443</v>
      </c>
      <c r="L58" s="939"/>
      <c r="M58" s="716"/>
      <c r="O58" s="931" t="s">
        <v>2043</v>
      </c>
      <c r="P58" s="926" t="s">
        <v>2044</v>
      </c>
      <c r="Q58" s="960">
        <f ca="1">J58</f>
        <v>38</v>
      </c>
      <c r="R58" s="926" t="s">
        <v>2045</v>
      </c>
    </row>
    <row r="59" s="632" customFormat="1" ht="18" customHeight="1" spans="1:18">
      <c r="A59" s="762" t="s">
        <v>1061</v>
      </c>
      <c r="B59" s="763" t="s">
        <v>1929</v>
      </c>
      <c r="C59" s="764"/>
      <c r="D59" s="753"/>
      <c r="E59" s="754"/>
      <c r="F59" s="853"/>
      <c r="I59" s="1121"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9" s="907"/>
      <c r="M59" s="716"/>
      <c r="O59" s="925" t="s">
        <v>2046</v>
      </c>
      <c r="P59" s="926" t="s">
        <v>2047</v>
      </c>
      <c r="Q59" s="960">
        <f ca="1">Q53+Q54</f>
        <v>23317.34</v>
      </c>
      <c r="R59" s="962" t="s">
        <v>2048</v>
      </c>
    </row>
    <row r="60" s="632" customFormat="1" ht="18" customHeight="1" spans="1:18">
      <c r="A60" s="854">
        <v>2</v>
      </c>
      <c r="B60" s="855" t="s">
        <v>1933</v>
      </c>
      <c r="C60" s="124">
        <f ca="1">C13</f>
        <v>16505.56</v>
      </c>
      <c r="D60" s="795"/>
      <c r="E60" s="795"/>
      <c r="F60" s="853"/>
      <c r="I60" s="940" t="s">
        <v>2049</v>
      </c>
      <c r="J60" s="941">
        <f ca="1">ROUND(IF(J52="钢混",J62/J55,1-(1-2%)*(J55-J62)/J55),3)</f>
        <v>0.367</v>
      </c>
      <c r="K60" s="942" t="s">
        <v>2050</v>
      </c>
      <c r="L60" s="943"/>
      <c r="M60" s="716"/>
      <c r="O60" s="944" t="s">
        <v>2051</v>
      </c>
      <c r="P60" s="913"/>
      <c r="Q60" s="918"/>
      <c r="R60" s="913"/>
    </row>
    <row r="61" s="632" customFormat="1" ht="42.75" customHeight="1" spans="1:18">
      <c r="A61" s="794"/>
      <c r="B61" s="856" t="s">
        <v>1994</v>
      </c>
      <c r="C61" s="125">
        <f ca="1">C29</f>
        <v>16505.56</v>
      </c>
      <c r="D61" s="808"/>
      <c r="E61" s="738"/>
      <c r="F61" s="783"/>
      <c r="I61" s="945" t="s">
        <v>2052</v>
      </c>
      <c r="J61" s="946" t="s">
        <v>475</v>
      </c>
      <c r="K61" s="921" t="s">
        <v>2053</v>
      </c>
      <c r="L61" s="924" t="str">
        <f ca="1">IF(L53&lt;J56,"——",L53-J56)</f>
        <v>——</v>
      </c>
      <c r="M61" s="716"/>
      <c r="O61" s="919" t="s">
        <v>1318</v>
      </c>
      <c r="P61" s="920" t="s">
        <v>2018</v>
      </c>
      <c r="Q61" s="959" t="s">
        <v>2019</v>
      </c>
      <c r="R61" s="920" t="s">
        <v>2020</v>
      </c>
    </row>
    <row r="62" s="632" customFormat="1" ht="28.5" customHeight="1" spans="1:18">
      <c r="A62" s="854" t="s">
        <v>1997</v>
      </c>
      <c r="B62" s="855" t="s">
        <v>1938</v>
      </c>
      <c r="C62" s="124">
        <f ca="1">ROUND(C63+C68+C69+C70,0)</f>
        <v>182</v>
      </c>
      <c r="D62" s="857" t="s">
        <v>1939</v>
      </c>
      <c r="E62" s="127"/>
      <c r="F62" s="784"/>
      <c r="I62" s="947" t="s">
        <v>2054</v>
      </c>
      <c r="J62" s="948">
        <f ca="1">IF(OR(M52="住宅",J56&lt;L53,J61="是"),"——",J56-L53)</f>
        <v>22</v>
      </c>
      <c r="K62" s="921" t="s">
        <v>2055</v>
      </c>
      <c r="L62" s="924" t="str">
        <f ca="1">IF(L53&lt;J56,"——",IF(L60="比较法",L54,IF(L60="基准地价",L55,L56)))</f>
        <v>——</v>
      </c>
      <c r="M62" s="716"/>
      <c r="O62" s="925" t="s">
        <v>2023</v>
      </c>
      <c r="P62" s="926" t="s">
        <v>2024</v>
      </c>
      <c r="Q62" s="960">
        <f ca="1">C40+J29</f>
        <v>22963.34</v>
      </c>
      <c r="R62" s="926" t="s">
        <v>2025</v>
      </c>
    </row>
    <row r="63" s="632" customFormat="1" ht="28.5" customHeight="1" spans="1:18">
      <c r="A63" s="779" t="s">
        <v>855</v>
      </c>
      <c r="B63" s="738" t="s">
        <v>1943</v>
      </c>
      <c r="C63" s="807">
        <f ca="1">ROUND(IF(AND(项目基本情况!B11="自然人",项目基本情况!B10="北京市"),C53*F63/(1+'数据-取费表'!C42),C64+C65+C66),0)</f>
        <v>0</v>
      </c>
      <c r="D63" s="776" t="s">
        <v>1944</v>
      </c>
      <c r="E63" s="808" t="s">
        <v>1945</v>
      </c>
      <c r="F63" s="809" t="str">
        <f ca="1">IF(项目基本情况!B11="企业","——",IF('数据-取费表'!B10="住宅",IF(F53*F54*F55/12/(1+'数据-取费表'!F30)&gt;100000,4%,2.5%),IF(F53*F54*F55/12/(1+'数据-取费表'!F30)&gt;100000,12%,7%)))</f>
        <v>——</v>
      </c>
      <c r="I63" s="947" t="s">
        <v>2056</v>
      </c>
      <c r="J63" s="949">
        <f ca="1">IF(J60&lt;0.4,0.4,J60)</f>
        <v>0.4</v>
      </c>
      <c r="K63" s="921" t="s">
        <v>2057</v>
      </c>
      <c r="L63" s="924">
        <f ca="1">ROUND(POWER(1+L57,L52-L53)*(POWER(1+L57,L53)-1)/(POWER(1+L57,L52)-1),4)</f>
        <v>1</v>
      </c>
      <c r="M63" s="716"/>
      <c r="O63" s="925" t="s">
        <v>2028</v>
      </c>
      <c r="P63" s="926" t="s">
        <v>2058</v>
      </c>
      <c r="Q63" s="960">
        <f ca="1">L65</f>
        <v>0</v>
      </c>
      <c r="R63" s="962" t="s">
        <v>2059</v>
      </c>
    </row>
    <row r="64" s="632" customFormat="1" ht="28.5" customHeight="1" spans="1:18">
      <c r="A64" s="774" t="s">
        <v>879</v>
      </c>
      <c r="B64" s="738" t="s">
        <v>1946</v>
      </c>
      <c r="C64" s="125">
        <f ca="1">ROUND(C52*F64/1.05,1)</f>
        <v>0</v>
      </c>
      <c r="D64" s="808" t="s">
        <v>1947</v>
      </c>
      <c r="E64" s="738" t="s">
        <v>1937</v>
      </c>
      <c r="F64" s="783">
        <f t="shared" ref="F64:F70" si="0">F32</f>
        <v>0.056</v>
      </c>
      <c r="I64" s="947" t="s">
        <v>2060</v>
      </c>
      <c r="J64" s="948">
        <f ca="1">IF(OR(M52="住宅",J56&lt;L53,J61="是"),"——",ROUND(C29*J63,0))</f>
        <v>6602</v>
      </c>
      <c r="K64" s="921" t="str">
        <f>IF(D1="——","建筑物剩余耐用年限下的土地年期修正系数Kn","建设期及建筑物耐用年限下的土地年期修正系数Kn")</f>
        <v>建设期及建筑物耐用年限下的土地年期修正系数Kn</v>
      </c>
      <c r="L64" s="924">
        <f ca="1">ROUND(IF(D1="土地（套用方法）",POWER(1+L57,L52-(J56+'数据-取费表'!B20))*(POWER(1+L57,(J56+'数据-取费表'!B20))-1)/(POWER(1+L57,L52)-1),POWER(1+L57,L52-J56)*(POWER(1+L57,J56)-1)/(POWER(1+L57,L52)-1)),4)</f>
        <v>1.1142</v>
      </c>
      <c r="M64" s="716"/>
      <c r="O64" s="931" t="s">
        <v>2033</v>
      </c>
      <c r="P64" s="926" t="s">
        <v>2062</v>
      </c>
      <c r="Q64" s="960">
        <f>IF(L60="比较法",L54,IF(L60="基准地价",L55,0))</f>
        <v>0</v>
      </c>
      <c r="R64" s="926" t="s">
        <v>2025</v>
      </c>
    </row>
    <row r="65" s="632" customFormat="1" ht="18" customHeight="1" spans="1:18">
      <c r="A65" s="774" t="s">
        <v>883</v>
      </c>
      <c r="B65" s="738" t="s">
        <v>1950</v>
      </c>
      <c r="C65" s="125">
        <f ca="1">IF(D65="按租金收入计税",ROUND(C53*F65/(1+'数据-取费表'!C42),1),IF(D65="按房产原值计税",ROUND(C61*F65*0.7,1),INDIRECT("'数据-取费表'!Aj"&amp;$G$1)))</f>
        <v>0</v>
      </c>
      <c r="D65" s="808" t="str">
        <f>D33</f>
        <v>按租金收入计税</v>
      </c>
      <c r="E65" s="738" t="s">
        <v>1937</v>
      </c>
      <c r="F65" s="783">
        <f t="shared" si="0"/>
        <v>0.12</v>
      </c>
      <c r="I65" s="950" t="s">
        <v>2063</v>
      </c>
      <c r="J65" s="951">
        <f ca="1">IF(OR(M52="住宅",J56&lt;L53,J61="是"),"0",ROUND(J64/(1+J57)^J58,0))</f>
        <v>354</v>
      </c>
      <c r="K65" s="952" t="s">
        <v>2064</v>
      </c>
      <c r="L65" s="951">
        <f ca="1">IF(OR(M52="住宅",L53&lt;J56),0,ROUND(L62*(L63/L64-1),0))</f>
        <v>0</v>
      </c>
      <c r="M65" s="716"/>
      <c r="O65" s="931" t="s">
        <v>2037</v>
      </c>
      <c r="P65" s="926" t="s">
        <v>2065</v>
      </c>
      <c r="Q65" s="961">
        <f>L57</f>
        <v>0.05</v>
      </c>
      <c r="R65" s="962"/>
    </row>
    <row r="66" s="632" customFormat="1" ht="18" customHeight="1" spans="1:18">
      <c r="A66" s="787" t="s">
        <v>886</v>
      </c>
      <c r="B66" s="814" t="s">
        <v>1955</v>
      </c>
      <c r="C66" s="815">
        <f>ROUND(F66*F67/10000,1)</f>
        <v>0</v>
      </c>
      <c r="D66" s="816" t="s">
        <v>1956</v>
      </c>
      <c r="E66" s="738" t="s">
        <v>1957</v>
      </c>
      <c r="F66" s="792">
        <f t="shared" si="0"/>
        <v>0</v>
      </c>
      <c r="K66" s="907"/>
      <c r="O66" s="931" t="s">
        <v>2040</v>
      </c>
      <c r="P66" s="926" t="s">
        <v>2066</v>
      </c>
      <c r="Q66" s="960">
        <f ca="1">L63</f>
        <v>1</v>
      </c>
      <c r="R66" s="962" t="s">
        <v>2067</v>
      </c>
    </row>
    <row r="67" s="632" customFormat="1" ht="15.75" spans="1:18">
      <c r="A67" s="817"/>
      <c r="B67" s="818"/>
      <c r="C67" s="819"/>
      <c r="D67" s="820"/>
      <c r="E67" s="738" t="s">
        <v>1962</v>
      </c>
      <c r="F67" s="739">
        <f t="shared" si="0"/>
        <v>20137.5</v>
      </c>
      <c r="I67" s="953" t="s">
        <v>2068</v>
      </c>
      <c r="J67" s="954" t="s">
        <v>2069</v>
      </c>
      <c r="K67" s="954" t="s">
        <v>2070</v>
      </c>
      <c r="L67" s="954" t="s">
        <v>2071</v>
      </c>
      <c r="M67" s="955" t="s">
        <v>2072</v>
      </c>
      <c r="O67" s="931" t="s">
        <v>2043</v>
      </c>
      <c r="P67" s="926" t="str">
        <f>K64</f>
        <v>建设期及建筑物耐用年限下的土地年期修正系数Kn</v>
      </c>
      <c r="Q67" s="960">
        <f ca="1">L64</f>
        <v>1.1142</v>
      </c>
      <c r="R67" s="962" t="s">
        <v>2074</v>
      </c>
    </row>
    <row r="68" s="632" customFormat="1" ht="15.75" spans="1:18">
      <c r="A68" s="779" t="s">
        <v>857</v>
      </c>
      <c r="B68" s="738" t="s">
        <v>1965</v>
      </c>
      <c r="C68" s="125">
        <f ca="1">ROUND(C61*F68,1)</f>
        <v>165.1</v>
      </c>
      <c r="D68" s="808" t="s">
        <v>2001</v>
      </c>
      <c r="E68" s="738" t="s">
        <v>1937</v>
      </c>
      <c r="F68" s="821">
        <f ca="1" t="shared" si="0"/>
        <v>0.01</v>
      </c>
      <c r="I68" s="953" t="s">
        <v>2075</v>
      </c>
      <c r="J68" s="954">
        <v>70</v>
      </c>
      <c r="K68" s="954">
        <v>50</v>
      </c>
      <c r="L68" s="954">
        <v>80</v>
      </c>
      <c r="M68" s="956">
        <v>0.02</v>
      </c>
      <c r="O68" s="925" t="s">
        <v>2046</v>
      </c>
      <c r="P68" s="926" t="s">
        <v>2047</v>
      </c>
      <c r="Q68" s="960">
        <f ca="1">Q62+Q63</f>
        <v>22963.34</v>
      </c>
      <c r="R68" s="962" t="s">
        <v>2048</v>
      </c>
    </row>
    <row r="69" s="632" customFormat="1" ht="16.5" spans="1:18">
      <c r="A69" s="779" t="s">
        <v>1061</v>
      </c>
      <c r="B69" s="738" t="s">
        <v>1969</v>
      </c>
      <c r="C69" s="125">
        <f ca="1">ROUND(C60*F69,1)</f>
        <v>16.5</v>
      </c>
      <c r="D69" s="808" t="s">
        <v>1970</v>
      </c>
      <c r="E69" s="738" t="s">
        <v>1937</v>
      </c>
      <c r="F69" s="822">
        <f ca="1" t="shared" si="0"/>
        <v>0.001</v>
      </c>
      <c r="I69" s="953" t="s">
        <v>2076</v>
      </c>
      <c r="J69" s="954">
        <v>50</v>
      </c>
      <c r="K69" s="954">
        <v>35</v>
      </c>
      <c r="L69" s="954">
        <v>60</v>
      </c>
      <c r="M69" s="904">
        <v>0</v>
      </c>
      <c r="O69" s="944" t="s">
        <v>2077</v>
      </c>
      <c r="P69" s="913"/>
      <c r="Q69" s="918"/>
      <c r="R69" s="913"/>
    </row>
    <row r="70" s="632" customFormat="1" ht="15.75" spans="1:18">
      <c r="A70" s="779" t="s">
        <v>2413</v>
      </c>
      <c r="B70" s="738" t="s">
        <v>1953</v>
      </c>
      <c r="C70" s="125">
        <f ca="1">ROUND(C52*F70,1)</f>
        <v>0</v>
      </c>
      <c r="D70" s="808" t="s">
        <v>1973</v>
      </c>
      <c r="E70" s="738" t="s">
        <v>1937</v>
      </c>
      <c r="F70" s="750">
        <f ca="1" t="shared" si="0"/>
        <v>0.01</v>
      </c>
      <c r="I70" s="953" t="s">
        <v>2078</v>
      </c>
      <c r="J70" s="954">
        <v>40</v>
      </c>
      <c r="K70" s="954">
        <v>30</v>
      </c>
      <c r="L70" s="954">
        <v>50</v>
      </c>
      <c r="M70" s="956">
        <v>0.02</v>
      </c>
      <c r="O70" s="919" t="s">
        <v>1318</v>
      </c>
      <c r="P70" s="920" t="s">
        <v>2018</v>
      </c>
      <c r="Q70" s="959" t="s">
        <v>2019</v>
      </c>
      <c r="R70" s="920" t="s">
        <v>2020</v>
      </c>
    </row>
    <row r="71" s="632" customFormat="1" ht="15.75" spans="1:18">
      <c r="A71" s="854" t="s">
        <v>2414</v>
      </c>
      <c r="B71" s="963" t="s">
        <v>1977</v>
      </c>
      <c r="C71" s="124">
        <f ca="1">C52-C62</f>
        <v>-182</v>
      </c>
      <c r="D71" s="776" t="s">
        <v>1978</v>
      </c>
      <c r="E71" s="964"/>
      <c r="F71" s="965"/>
      <c r="K71" s="907"/>
      <c r="O71" s="925" t="s">
        <v>2023</v>
      </c>
      <c r="P71" s="926" t="s">
        <v>2024</v>
      </c>
      <c r="Q71" s="960">
        <f ca="1">C40+J29</f>
        <v>22963.34</v>
      </c>
      <c r="R71" s="926" t="s">
        <v>2025</v>
      </c>
    </row>
    <row r="72" s="632" customFormat="1" ht="20.25" spans="1:18">
      <c r="A72" s="728" t="s">
        <v>2415</v>
      </c>
      <c r="B72" s="827" t="s">
        <v>2430</v>
      </c>
      <c r="C72" s="736">
        <f ca="1">ROUND(C71*(1-((1+F74)/(1+F72))^F73)/(F72-F74),0)</f>
        <v>-2876</v>
      </c>
      <c r="D72" s="816" t="s">
        <v>1983</v>
      </c>
      <c r="E72" s="738" t="s">
        <v>1984</v>
      </c>
      <c r="F72" s="750">
        <f t="shared" ref="F72:F75" si="1">F40</f>
        <v>0.055</v>
      </c>
      <c r="K72" s="907"/>
      <c r="O72" s="925" t="s">
        <v>2028</v>
      </c>
      <c r="P72" s="926" t="s">
        <v>2058</v>
      </c>
      <c r="Q72" s="960">
        <f ca="1">L65</f>
        <v>0</v>
      </c>
      <c r="R72" s="962" t="s">
        <v>2059</v>
      </c>
    </row>
    <row r="73" s="632" customFormat="1" ht="24" spans="1:18">
      <c r="A73" s="748"/>
      <c r="B73" s="828"/>
      <c r="C73" s="743"/>
      <c r="D73" s="829" t="s">
        <v>1987</v>
      </c>
      <c r="E73" s="738" t="s">
        <v>1988</v>
      </c>
      <c r="F73" s="830">
        <f t="shared" si="1"/>
        <v>38</v>
      </c>
      <c r="G73" s="703"/>
      <c r="H73" s="703"/>
      <c r="I73" s="703"/>
      <c r="J73" s="703"/>
      <c r="K73" s="705"/>
      <c r="L73" s="703"/>
      <c r="M73" s="703"/>
      <c r="O73" s="931" t="s">
        <v>2033</v>
      </c>
      <c r="P73" s="926" t="s">
        <v>2062</v>
      </c>
      <c r="Q73" s="967">
        <f ca="1">L56</f>
        <v>2521</v>
      </c>
      <c r="R73" s="968" t="s">
        <v>2079</v>
      </c>
    </row>
    <row r="74" s="632" customFormat="1" ht="20.25" spans="1:18">
      <c r="A74" s="757"/>
      <c r="B74" s="831"/>
      <c r="C74" s="771"/>
      <c r="D74" s="820"/>
      <c r="E74" s="738" t="s">
        <v>1992</v>
      </c>
      <c r="F74" s="852"/>
      <c r="G74" s="703"/>
      <c r="H74" s="703"/>
      <c r="I74" s="703"/>
      <c r="J74" s="703"/>
      <c r="K74" s="705"/>
      <c r="L74" s="703"/>
      <c r="M74" s="703"/>
      <c r="O74" s="931" t="s">
        <v>2037</v>
      </c>
      <c r="P74" s="966" t="s">
        <v>2080</v>
      </c>
      <c r="Q74" s="960">
        <f ca="1">ROUND(Q75-Q76*Q77,0)</f>
        <v>132</v>
      </c>
      <c r="R74" s="962"/>
    </row>
    <row r="75" s="632" customFormat="1" ht="15.75" spans="1:18">
      <c r="A75" s="803" t="s">
        <v>2421</v>
      </c>
      <c r="B75" s="832" t="s">
        <v>2434</v>
      </c>
      <c r="C75" s="833">
        <f ca="1">ROUND(C72*10000/F75,0)</f>
        <v>-1428</v>
      </c>
      <c r="D75" s="834" t="s">
        <v>2435</v>
      </c>
      <c r="E75" s="835" t="s">
        <v>2436</v>
      </c>
      <c r="F75" s="836">
        <f ca="1" t="shared" si="1"/>
        <v>20137.5</v>
      </c>
      <c r="G75" s="703"/>
      <c r="H75" s="703"/>
      <c r="I75" s="703"/>
      <c r="J75" s="703"/>
      <c r="K75" s="705"/>
      <c r="L75" s="703"/>
      <c r="M75" s="703"/>
      <c r="O75" s="931" t="s">
        <v>2081</v>
      </c>
      <c r="P75" s="966" t="s">
        <v>2082</v>
      </c>
      <c r="Q75" s="960">
        <f ca="1">C39</f>
        <v>1452.94</v>
      </c>
      <c r="R75" s="926" t="s">
        <v>2025</v>
      </c>
    </row>
    <row r="76" s="632" customFormat="1" ht="15.75" spans="1:18">
      <c r="A76" s="703"/>
      <c r="B76" s="704"/>
      <c r="C76" s="704"/>
      <c r="D76" s="703"/>
      <c r="E76" s="703"/>
      <c r="F76" s="703"/>
      <c r="G76" s="703"/>
      <c r="H76" s="703"/>
      <c r="I76" s="703"/>
      <c r="J76" s="703"/>
      <c r="K76" s="705"/>
      <c r="L76" s="703"/>
      <c r="M76" s="703"/>
      <c r="O76" s="931" t="s">
        <v>2083</v>
      </c>
      <c r="P76" s="966" t="s">
        <v>2084</v>
      </c>
      <c r="Q76" s="960">
        <f ca="1">C13</f>
        <v>16505.56</v>
      </c>
      <c r="R76" s="926" t="s">
        <v>2025</v>
      </c>
    </row>
    <row r="77" s="632" customFormat="1" ht="15.75" spans="1:18">
      <c r="A77" s="703"/>
      <c r="B77" s="704"/>
      <c r="C77" s="704"/>
      <c r="D77" s="703"/>
      <c r="E77" s="703"/>
      <c r="F77" s="703"/>
      <c r="G77" s="703"/>
      <c r="H77" s="703"/>
      <c r="I77" s="703"/>
      <c r="J77" s="703"/>
      <c r="K77" s="705"/>
      <c r="L77" s="703"/>
      <c r="M77" s="703"/>
      <c r="O77" s="931" t="s">
        <v>2085</v>
      </c>
      <c r="P77" s="966" t="s">
        <v>2086</v>
      </c>
      <c r="Q77" s="961">
        <f ca="1">J36</f>
        <v>0.08</v>
      </c>
      <c r="R77" s="962"/>
    </row>
    <row r="78" s="632" customFormat="1" ht="15.75" spans="1:18">
      <c r="A78" s="703"/>
      <c r="B78" s="704"/>
      <c r="C78" s="704"/>
      <c r="D78" s="703"/>
      <c r="E78" s="703"/>
      <c r="F78" s="703"/>
      <c r="G78" s="703"/>
      <c r="H78" s="703"/>
      <c r="I78" s="703"/>
      <c r="J78" s="703"/>
      <c r="K78" s="705"/>
      <c r="L78" s="703"/>
      <c r="M78" s="703"/>
      <c r="O78" s="931" t="s">
        <v>2040</v>
      </c>
      <c r="P78" s="926" t="s">
        <v>2065</v>
      </c>
      <c r="Q78" s="961">
        <f>L57</f>
        <v>0.05</v>
      </c>
      <c r="R78" s="962"/>
    </row>
    <row r="79" s="632" customFormat="1" ht="20.25" spans="1:18">
      <c r="A79" s="703"/>
      <c r="B79" s="704"/>
      <c r="C79" s="704"/>
      <c r="D79" s="703"/>
      <c r="E79" s="703"/>
      <c r="F79" s="703"/>
      <c r="G79" s="703"/>
      <c r="H79" s="703"/>
      <c r="I79" s="703"/>
      <c r="J79" s="703"/>
      <c r="K79" s="705"/>
      <c r="L79" s="703"/>
      <c r="M79" s="703"/>
      <c r="O79" s="931" t="s">
        <v>2043</v>
      </c>
      <c r="P79" s="926" t="s">
        <v>2066</v>
      </c>
      <c r="Q79" s="960">
        <f ca="1">L63</f>
        <v>1</v>
      </c>
      <c r="R79" s="962" t="s">
        <v>2067</v>
      </c>
    </row>
    <row r="80" s="632" customFormat="1" ht="15.75" spans="1:18">
      <c r="A80" s="703"/>
      <c r="B80" s="704"/>
      <c r="C80" s="704"/>
      <c r="D80" s="703"/>
      <c r="E80" s="703"/>
      <c r="F80" s="703"/>
      <c r="G80" s="703"/>
      <c r="H80" s="703"/>
      <c r="I80" s="703"/>
      <c r="J80" s="703"/>
      <c r="K80" s="705"/>
      <c r="L80" s="703"/>
      <c r="M80" s="703"/>
      <c r="O80" s="931" t="s">
        <v>2087</v>
      </c>
      <c r="P80" s="926" t="str">
        <f>K64</f>
        <v>建设期及建筑物耐用年限下的土地年期修正系数Kn</v>
      </c>
      <c r="Q80" s="960">
        <f ca="1">L64</f>
        <v>1.1142</v>
      </c>
      <c r="R80" s="962" t="s">
        <v>2074</v>
      </c>
    </row>
    <row r="81" s="632" customFormat="1" ht="15.75" spans="1:18">
      <c r="A81" s="703"/>
      <c r="B81" s="704"/>
      <c r="C81" s="704"/>
      <c r="D81" s="703"/>
      <c r="E81" s="703"/>
      <c r="F81" s="703"/>
      <c r="G81" s="703"/>
      <c r="H81" s="703"/>
      <c r="I81" s="703"/>
      <c r="J81" s="703"/>
      <c r="K81" s="705"/>
      <c r="L81" s="703"/>
      <c r="M81" s="703"/>
      <c r="O81" s="925" t="s">
        <v>2046</v>
      </c>
      <c r="P81" s="926" t="s">
        <v>2047</v>
      </c>
      <c r="Q81" s="960">
        <f ca="1">Q71+Q72</f>
        <v>22963.34</v>
      </c>
      <c r="R81" s="962" t="s">
        <v>2048</v>
      </c>
    </row>
  </sheetData>
  <sheetProtection formatCells="0" formatColumns="0" formatRows="0"/>
  <mergeCells count="3">
    <mergeCell ref="K58:L58"/>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8">
    <cfRule type="expression" dxfId="13" priority="1">
      <formula>$F$57="自定义"</formula>
    </cfRule>
  </conditionalFormatting>
  <conditionalFormatting sqref="I60">
    <cfRule type="expression" dxfId="14" priority="7">
      <formula>$J$56&gt;$L$53</formula>
    </cfRule>
  </conditionalFormatting>
  <conditionalFormatting sqref="K60">
    <cfRule type="expression" dxfId="14" priority="6">
      <formula>$L$53&gt;$J$56</formula>
    </cfRule>
  </conditionalFormatting>
  <conditionalFormatting sqref="I65">
    <cfRule type="expression" dxfId="14" priority="5">
      <formula>$J$56&gt;$L$53</formula>
    </cfRule>
  </conditionalFormatting>
  <conditionalFormatting sqref="K65">
    <cfRule type="expression" dxfId="14" priority="4">
      <formula>$L$53&gt;$J$56</formula>
    </cfRule>
  </conditionalFormatting>
  <dataValidations count="8">
    <dataValidation type="list" allowBlank="1" showInputMessage="1" showErrorMessage="1" sqref="D1">
      <formula1>"土地（套用方法）,——"</formula1>
    </dataValidation>
    <dataValidation type="list" allowBlank="1" showInputMessage="1" showErrorMessage="1" sqref="F10 M10 F57">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判定</formula1>
    </dataValidation>
    <dataValidation type="list" allowBlank="1" showInputMessage="1" showErrorMessage="1" sqref="C1:C3">
      <formula1>项目类型</formula1>
    </dataValidation>
  </dataValidations>
  <pageMargins left="0.7" right="0.7" top="0.75" bottom="0.75" header="0.3" footer="0.3"/>
  <pageSetup paperSize="9" scale="56" orientation="landscape"/>
  <headerFooter/>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C5:J6"/>
  <sheetViews>
    <sheetView topLeftCell="A10" workbookViewId="0">
      <selection activeCell="D27" sqref="D27"/>
    </sheetView>
  </sheetViews>
  <sheetFormatPr defaultColWidth="9" defaultRowHeight="13.5" outlineLevelRow="5"/>
  <cols>
    <col min="7" max="7" width="10.6333333333333" customWidth="1"/>
    <col min="8" max="8" width="13.9083333333333" customWidth="1"/>
    <col min="9" max="9" width="15.2666666666667" customWidth="1"/>
  </cols>
  <sheetData>
    <row r="5" spans="3:10">
      <c r="C5" s="1098"/>
      <c r="D5" s="1098" t="s">
        <v>2473</v>
      </c>
      <c r="E5" s="1098" t="s">
        <v>2475</v>
      </c>
      <c r="F5" s="1098" t="s">
        <v>2476</v>
      </c>
      <c r="G5" s="1098" t="s">
        <v>640</v>
      </c>
      <c r="H5" s="1098" t="s">
        <v>2477</v>
      </c>
      <c r="I5" s="1098" t="s">
        <v>389</v>
      </c>
      <c r="J5" s="1098" t="s">
        <v>2478</v>
      </c>
    </row>
    <row r="6" spans="3:10">
      <c r="C6" s="1098" t="s">
        <v>378</v>
      </c>
      <c r="D6" s="1098">
        <v>15000</v>
      </c>
      <c r="E6" s="1099">
        <v>0</v>
      </c>
      <c r="F6" s="1098">
        <v>20000</v>
      </c>
      <c r="G6" s="1100">
        <v>0.0475</v>
      </c>
      <c r="H6" s="1098">
        <f>ROUND(F6/(1+G6)^5,0)</f>
        <v>15858</v>
      </c>
      <c r="I6" s="1098">
        <f>地块信息表!M24</f>
        <v>20137.5</v>
      </c>
      <c r="J6" s="1098">
        <f>ROUND(F6*I6/10000,0)</f>
        <v>40275</v>
      </c>
    </row>
  </sheetData>
  <pageMargins left="0.75" right="0.75" top="1" bottom="1" header="0.5" footer="0.5"/>
  <headerFooter/>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E490"/>
  <sheetViews>
    <sheetView view="pageBreakPreview" zoomScale="80" zoomScaleNormal="80" workbookViewId="0">
      <selection activeCell="C13" sqref="C13"/>
    </sheetView>
  </sheetViews>
  <sheetFormatPr defaultColWidth="6.63333333333333" defaultRowHeight="12.75"/>
  <cols>
    <col min="1" max="1" width="9.725" style="980" customWidth="1"/>
    <col min="2" max="2" width="25.725" style="981" customWidth="1"/>
    <col min="3" max="3" width="10.3666666666667" style="982" customWidth="1"/>
    <col min="4" max="4" width="12" style="981" customWidth="1"/>
    <col min="5" max="5" width="9.45" style="980" customWidth="1"/>
    <col min="6" max="6" width="10.0916666666667" style="981" customWidth="1"/>
    <col min="7" max="7" width="11.6333333333333" style="981" customWidth="1"/>
    <col min="8" max="8" width="10" style="981" customWidth="1"/>
    <col min="9" max="11" width="9.45" style="981" customWidth="1"/>
    <col min="12" max="12" width="9" style="971" customWidth="1"/>
    <col min="13" max="13" width="10.45" style="971" customWidth="1"/>
    <col min="14" max="26" width="9" style="971" customWidth="1"/>
    <col min="27" max="254" width="9" style="981" customWidth="1"/>
    <col min="255" max="16384" width="6.63333333333333" style="981"/>
  </cols>
  <sheetData>
    <row r="1" s="157" customFormat="1" ht="20.25" spans="1:26">
      <c r="A1" s="983" t="s">
        <v>1055</v>
      </c>
      <c r="B1" s="984" t="s">
        <v>2479</v>
      </c>
      <c r="C1" s="985"/>
      <c r="D1" s="985"/>
      <c r="E1" s="985"/>
      <c r="F1" s="985"/>
      <c r="G1" s="985"/>
      <c r="H1" s="985"/>
      <c r="I1" s="985"/>
      <c r="J1" s="985"/>
      <c r="K1" s="991" t="e">
        <f>MATCH(B1,'数据-取费表'!A6:A16,0)+5</f>
        <v>#N/A</v>
      </c>
      <c r="L1" s="72"/>
      <c r="M1" s="72"/>
      <c r="N1" s="72"/>
      <c r="O1" s="72"/>
      <c r="P1" s="72"/>
      <c r="Q1" s="72"/>
      <c r="R1" s="72"/>
      <c r="S1" s="72"/>
      <c r="T1" s="72"/>
      <c r="U1" s="72"/>
      <c r="V1" s="72"/>
      <c r="W1" s="72"/>
      <c r="X1" s="72"/>
      <c r="Y1" s="72"/>
      <c r="Z1" s="72"/>
    </row>
    <row r="2" s="157" customFormat="1" ht="18" customHeight="1" spans="1:26">
      <c r="A2" s="986" t="s">
        <v>919</v>
      </c>
      <c r="B2" s="987" t="e">
        <f ca="1">C36</f>
        <v>#N/A</v>
      </c>
      <c r="C2" s="985"/>
      <c r="D2" s="985"/>
      <c r="E2" s="985"/>
      <c r="F2" s="985"/>
      <c r="G2" s="985"/>
      <c r="H2" s="985"/>
      <c r="I2" s="985"/>
      <c r="J2" s="985"/>
      <c r="K2" s="985"/>
      <c r="L2" s="72"/>
      <c r="M2" s="72"/>
      <c r="N2" s="72"/>
      <c r="O2" s="72"/>
      <c r="P2" s="72"/>
      <c r="Q2" s="72"/>
      <c r="R2" s="72"/>
      <c r="S2" s="72"/>
      <c r="T2" s="72"/>
      <c r="U2" s="72"/>
      <c r="V2" s="72"/>
      <c r="W2" s="72"/>
      <c r="X2" s="72"/>
      <c r="Y2" s="72"/>
      <c r="Z2" s="72"/>
    </row>
    <row r="3" s="157" customFormat="1" ht="18" customHeight="1" spans="1:26">
      <c r="A3" s="988" t="s">
        <v>920</v>
      </c>
      <c r="B3" s="989" t="e">
        <f ca="1">ROUND(B2*10000/IF(B1="",'数据-汇总表'!E3,INDIRECT("'数据-取费表'!K"&amp;$K$1)),0)</f>
        <v>#N/A</v>
      </c>
      <c r="C3" s="985"/>
      <c r="D3" s="985"/>
      <c r="E3" s="985"/>
      <c r="F3" s="985"/>
      <c r="G3" s="985"/>
      <c r="H3" s="985"/>
      <c r="I3" s="985"/>
      <c r="J3" s="985"/>
      <c r="K3" s="985"/>
      <c r="L3" s="72"/>
      <c r="M3" s="72"/>
      <c r="N3" s="72"/>
      <c r="O3" s="72"/>
      <c r="P3" s="72"/>
      <c r="Q3" s="72"/>
      <c r="R3" s="72"/>
      <c r="S3" s="72"/>
      <c r="T3" s="72"/>
      <c r="U3" s="72"/>
      <c r="V3" s="72"/>
      <c r="W3" s="72"/>
      <c r="X3" s="72"/>
      <c r="Y3" s="72"/>
      <c r="Z3" s="72"/>
    </row>
    <row r="4" s="157" customFormat="1" ht="18" customHeight="1" spans="1:26">
      <c r="A4" s="647" t="s">
        <v>1056</v>
      </c>
      <c r="B4" s="648" t="e">
        <f ca="1">ROUND(B2*10000/IF(B1="",'数据-汇总表'!D3,INDIRECT("'数据-取费表'!R"&amp;$K$1)),0)</f>
        <v>#N/A</v>
      </c>
      <c r="C4" s="990"/>
      <c r="D4" s="991"/>
      <c r="E4" s="991"/>
      <c r="F4" s="991"/>
      <c r="G4" s="991"/>
      <c r="H4" s="991"/>
      <c r="I4" s="991"/>
      <c r="J4" s="991"/>
      <c r="K4" s="991"/>
      <c r="L4" s="72"/>
      <c r="M4" s="72"/>
      <c r="N4" s="72"/>
      <c r="O4" s="72"/>
      <c r="P4" s="72"/>
      <c r="Q4" s="72"/>
      <c r="R4" s="72"/>
      <c r="S4" s="72"/>
      <c r="T4" s="72"/>
      <c r="U4" s="72"/>
      <c r="V4" s="72"/>
      <c r="W4" s="72"/>
      <c r="X4" s="72"/>
      <c r="Y4" s="72"/>
      <c r="Z4" s="72"/>
    </row>
    <row r="5" s="157" customFormat="1" ht="18" customHeight="1" spans="1:26">
      <c r="A5" s="650"/>
      <c r="B5" s="651" t="e">
        <f ca="1">ROUND(B2/(IF(B1="",'数据-汇总表'!D3,INDIRECT("'数据-取费表'!R"&amp;$K$1))/666.67),0)</f>
        <v>#N/A</v>
      </c>
      <c r="C5" s="652" t="s">
        <v>922</v>
      </c>
      <c r="D5" s="991"/>
      <c r="E5" s="991"/>
      <c r="F5" s="991"/>
      <c r="G5" s="991"/>
      <c r="H5" s="991"/>
      <c r="I5" s="991"/>
      <c r="J5" s="991"/>
      <c r="K5" s="991"/>
      <c r="L5" s="72"/>
      <c r="M5" s="72"/>
      <c r="N5" s="72"/>
      <c r="O5" s="72"/>
      <c r="P5" s="72"/>
      <c r="Q5" s="72"/>
      <c r="R5" s="72"/>
      <c r="S5" s="72"/>
      <c r="T5" s="72"/>
      <c r="U5" s="72"/>
      <c r="V5" s="72"/>
      <c r="W5" s="72"/>
      <c r="X5" s="72"/>
      <c r="Y5" s="72"/>
      <c r="Z5" s="72"/>
    </row>
    <row r="6" s="969" customFormat="1" ht="16.5" customHeight="1" spans="1:26">
      <c r="A6" s="992" t="s">
        <v>2089</v>
      </c>
      <c r="B6" s="993"/>
      <c r="C6" s="994" t="e">
        <f ca="1">SUM(C10:K10)</f>
        <v>#N/A</v>
      </c>
      <c r="D6" s="993"/>
      <c r="E6" s="993"/>
      <c r="F6" s="993"/>
      <c r="G6" s="993"/>
      <c r="H6" s="993"/>
      <c r="I6" s="993"/>
      <c r="J6" s="993"/>
      <c r="K6" s="1077"/>
      <c r="L6" s="1078"/>
      <c r="M6" s="1078"/>
      <c r="N6" s="1078"/>
      <c r="O6" s="1078"/>
      <c r="P6" s="1078"/>
      <c r="Q6" s="1078"/>
      <c r="R6" s="1078"/>
      <c r="S6" s="1078"/>
      <c r="T6" s="1078"/>
      <c r="U6" s="1078"/>
      <c r="V6" s="1078"/>
      <c r="W6" s="1078"/>
      <c r="X6" s="1078"/>
      <c r="Y6" s="1078"/>
      <c r="Z6" s="1078"/>
    </row>
    <row r="7" s="970" customFormat="1" ht="24" spans="1:31">
      <c r="A7" s="995" t="s">
        <v>1058</v>
      </c>
      <c r="B7" s="996" t="s">
        <v>1059</v>
      </c>
      <c r="C7" s="997" t="s">
        <v>2479</v>
      </c>
      <c r="D7" s="997"/>
      <c r="E7" s="997"/>
      <c r="F7" s="997"/>
      <c r="G7" s="997"/>
      <c r="H7" s="997"/>
      <c r="I7" s="997"/>
      <c r="J7" s="997"/>
      <c r="K7" s="1079"/>
      <c r="AA7" s="1097"/>
      <c r="AB7" s="1097"/>
      <c r="AC7" s="1097"/>
      <c r="AD7" s="1097"/>
      <c r="AE7" s="1097"/>
    </row>
    <row r="8" s="971" customFormat="1" ht="13.5" customHeight="1" spans="1:31">
      <c r="A8" s="998" t="s">
        <v>855</v>
      </c>
      <c r="B8" s="785" t="s">
        <v>1060</v>
      </c>
      <c r="C8" s="999" t="e">
        <f ca="1">'不动产收益法--工业'!C43</f>
        <v>#N/A</v>
      </c>
      <c r="D8" s="1000"/>
      <c r="E8" s="999"/>
      <c r="F8" s="999"/>
      <c r="G8" s="999"/>
      <c r="H8" s="999"/>
      <c r="I8" s="999"/>
      <c r="J8" s="999"/>
      <c r="K8" s="1080"/>
      <c r="AA8" s="981"/>
      <c r="AB8" s="981"/>
      <c r="AC8" s="981"/>
      <c r="AD8" s="981"/>
      <c r="AE8" s="981"/>
    </row>
    <row r="9" s="971" customFormat="1" ht="13.5" customHeight="1" spans="1:31">
      <c r="A9" s="998" t="s">
        <v>857</v>
      </c>
      <c r="B9" s="785" t="s">
        <v>470</v>
      </c>
      <c r="C9" s="1001" t="e">
        <f>地块信息表!#REF!</f>
        <v>#REF!</v>
      </c>
      <c r="D9" s="1001"/>
      <c r="E9" s="1001">
        <f>SUMIF('数据-汇总表'!$C19:$C33,'剩余法-待开发-工业'!E7,'数据-汇总表'!$E19:$E33)</f>
        <v>0</v>
      </c>
      <c r="F9" s="1001">
        <f>SUMIF('数据-汇总表'!$C19:$C33,'剩余法-待开发-工业'!F7,'数据-汇总表'!$E19:$E33)</f>
        <v>0</v>
      </c>
      <c r="G9" s="1001">
        <f>SUMIF('数据-汇总表'!$C19:$C33,'剩余法-待开发-工业'!G7,'数据-汇总表'!$E19:$E33)</f>
        <v>0</v>
      </c>
      <c r="H9" s="1001">
        <f>SUMIF('数据-汇总表'!$C19:$C33,'剩余法-待开发-工业'!H7,'数据-汇总表'!$E19:$E33)</f>
        <v>0</v>
      </c>
      <c r="I9" s="1001">
        <f>SUMIF('数据-汇总表'!$C19:$C33,'剩余法-待开发-工业'!I7,'数据-汇总表'!$E19:$E33)</f>
        <v>0</v>
      </c>
      <c r="J9" s="1001">
        <f>SUMIF('数据-汇总表'!$C19:$C33,'剩余法-待开发-工业'!J7,'数据-汇总表'!$E19:$E33)</f>
        <v>0</v>
      </c>
      <c r="K9" s="1081">
        <f>SUMIF('数据-汇总表'!$C19:$C33,'剩余法-待开发-工业'!K7,'数据-汇总表'!$E19:$E33)</f>
        <v>0</v>
      </c>
      <c r="AA9" s="981"/>
      <c r="AB9" s="981"/>
      <c r="AC9" s="981"/>
      <c r="AD9" s="981"/>
      <c r="AE9" s="981"/>
    </row>
    <row r="10" s="971" customFormat="1" ht="13.5" customHeight="1" spans="1:31">
      <c r="A10" s="1002" t="s">
        <v>1061</v>
      </c>
      <c r="B10" s="1003" t="s">
        <v>1062</v>
      </c>
      <c r="C10" s="1004" t="e">
        <f ca="1">'不动产收益法--工业'!C40</f>
        <v>#N/A</v>
      </c>
      <c r="D10" s="1004"/>
      <c r="E10" s="1004"/>
      <c r="F10" s="1005"/>
      <c r="G10" s="1005"/>
      <c r="H10" s="1005"/>
      <c r="I10" s="1005"/>
      <c r="J10" s="1005"/>
      <c r="K10" s="1082"/>
      <c r="AA10" s="981"/>
      <c r="AB10" s="981"/>
      <c r="AC10" s="981"/>
      <c r="AD10" s="981"/>
      <c r="AE10" s="981"/>
    </row>
    <row r="11" s="969" customFormat="1" ht="16.5" customHeight="1" spans="1:26">
      <c r="A11" s="1006" t="s">
        <v>2090</v>
      </c>
      <c r="B11" s="993"/>
      <c r="C11" s="993"/>
      <c r="D11" s="993"/>
      <c r="E11" s="993"/>
      <c r="F11" s="993"/>
      <c r="G11" s="993"/>
      <c r="H11" s="993"/>
      <c r="I11" s="993"/>
      <c r="J11" s="993"/>
      <c r="K11" s="1077"/>
      <c r="L11" s="1078"/>
      <c r="M11" s="1078"/>
      <c r="N11" s="1078"/>
      <c r="O11" s="1078"/>
      <c r="P11" s="1078"/>
      <c r="Q11" s="1078"/>
      <c r="R11" s="1078"/>
      <c r="S11" s="1078"/>
      <c r="T11" s="1078"/>
      <c r="U11" s="1078"/>
      <c r="V11" s="1078"/>
      <c r="W11" s="1078"/>
      <c r="X11" s="1078"/>
      <c r="Y11" s="1078"/>
      <c r="Z11" s="1078"/>
    </row>
    <row r="12" s="837" customFormat="1" ht="13.5" customHeight="1" spans="1:26">
      <c r="A12" s="1007" t="s">
        <v>1058</v>
      </c>
      <c r="B12" s="1008" t="s">
        <v>1059</v>
      </c>
      <c r="C12" s="1009" t="s">
        <v>1064</v>
      </c>
      <c r="D12" s="1010" t="s">
        <v>1065</v>
      </c>
      <c r="E12" s="1010" t="s">
        <v>1066</v>
      </c>
      <c r="F12" s="1010" t="s">
        <v>1067</v>
      </c>
      <c r="G12" s="1008"/>
      <c r="H12" s="1011"/>
      <c r="I12" s="1011"/>
      <c r="J12" s="1011"/>
      <c r="K12" s="1083"/>
      <c r="L12" s="1084"/>
      <c r="M12" s="1084"/>
      <c r="N12" s="1084"/>
      <c r="O12" s="1084"/>
      <c r="P12" s="1084"/>
      <c r="Q12" s="1084"/>
      <c r="R12" s="1084"/>
      <c r="S12" s="1084"/>
      <c r="T12" s="1084"/>
      <c r="U12" s="1084"/>
      <c r="V12" s="1084"/>
      <c r="W12" s="1084"/>
      <c r="X12" s="1084"/>
      <c r="Y12" s="1084"/>
      <c r="Z12" s="1084"/>
    </row>
    <row r="13" s="972" customFormat="1" ht="13.5" customHeight="1" spans="1:26">
      <c r="A13" s="1012" t="s">
        <v>879</v>
      </c>
      <c r="B13" s="1013" t="s">
        <v>1068</v>
      </c>
      <c r="C13" s="1014">
        <f>'数据-取费表'!P10</f>
        <v>0</v>
      </c>
      <c r="D13" s="1015"/>
      <c r="E13" s="80"/>
      <c r="F13" s="1016"/>
      <c r="G13" s="1008"/>
      <c r="H13" s="1011"/>
      <c r="I13" s="1011"/>
      <c r="J13" s="1011"/>
      <c r="K13" s="1083"/>
      <c r="L13" s="973"/>
      <c r="M13" s="973"/>
      <c r="N13" s="973"/>
      <c r="O13" s="973"/>
      <c r="P13" s="973"/>
      <c r="Q13" s="973"/>
      <c r="R13" s="973"/>
      <c r="S13" s="973"/>
      <c r="T13" s="973"/>
      <c r="U13" s="973"/>
      <c r="V13" s="973"/>
      <c r="W13" s="973"/>
      <c r="X13" s="973"/>
      <c r="Y13" s="973"/>
      <c r="Z13" s="973"/>
    </row>
    <row r="14" s="972" customFormat="1" ht="13.5" customHeight="1" spans="1:26">
      <c r="A14" s="1012" t="s">
        <v>1069</v>
      </c>
      <c r="B14" s="1013" t="s">
        <v>1070</v>
      </c>
      <c r="C14" s="125">
        <f>ROUND(C13*F14,0)</f>
        <v>0</v>
      </c>
      <c r="D14" s="1015"/>
      <c r="E14" s="80"/>
      <c r="F14" s="1017">
        <f>'数据-取费表'!B33</f>
        <v>0.03</v>
      </c>
      <c r="G14" s="1008" t="s">
        <v>1071</v>
      </c>
      <c r="H14" s="1011"/>
      <c r="I14" s="1011"/>
      <c r="J14" s="1011"/>
      <c r="K14" s="1083"/>
      <c r="L14" s="973"/>
      <c r="M14" s="973"/>
      <c r="N14" s="973"/>
      <c r="O14" s="973"/>
      <c r="P14" s="973"/>
      <c r="Q14" s="973"/>
      <c r="R14" s="973"/>
      <c r="S14" s="973"/>
      <c r="T14" s="973"/>
      <c r="U14" s="973"/>
      <c r="V14" s="973"/>
      <c r="W14" s="973"/>
      <c r="X14" s="973"/>
      <c r="Y14" s="973"/>
      <c r="Z14" s="973"/>
    </row>
    <row r="15" s="972" customFormat="1" ht="13.5" customHeight="1" spans="1:26">
      <c r="A15" s="1012" t="s">
        <v>1072</v>
      </c>
      <c r="B15" s="1013" t="s">
        <v>1073</v>
      </c>
      <c r="C15" s="125" t="e">
        <f ca="1">ROUND(IF(B1="",SUMIF('数据-取费表'!C:C,"住宅",'数据-取费表'!P:P)*F15,IF(INDIRECT("'数据-取费表'!c"&amp;$K$1)="住宅",INDIRECT("'数据-取费表'!P"&amp;$K$1)*F15,0)),0)</f>
        <v>#N/A</v>
      </c>
      <c r="D15" s="1015"/>
      <c r="E15" s="80"/>
      <c r="F15" s="1017">
        <f>'数据-取费表'!B34</f>
        <v>0.05</v>
      </c>
      <c r="G15" s="1008" t="s">
        <v>2091</v>
      </c>
      <c r="H15" s="1011"/>
      <c r="I15" s="1011"/>
      <c r="J15" s="1011"/>
      <c r="K15" s="1083"/>
      <c r="L15" s="973"/>
      <c r="M15" s="973"/>
      <c r="N15" s="973"/>
      <c r="O15" s="973"/>
      <c r="P15" s="973"/>
      <c r="Q15" s="973"/>
      <c r="R15" s="973"/>
      <c r="S15" s="973"/>
      <c r="T15" s="973"/>
      <c r="U15" s="973"/>
      <c r="V15" s="973"/>
      <c r="W15" s="973"/>
      <c r="X15" s="973"/>
      <c r="Y15" s="973"/>
      <c r="Z15" s="973"/>
    </row>
    <row r="16" s="973" customFormat="1" ht="13.5" customHeight="1" spans="1:31">
      <c r="A16" s="1012" t="s">
        <v>1074</v>
      </c>
      <c r="B16" s="1013" t="s">
        <v>1075</v>
      </c>
      <c r="C16" s="125" t="e">
        <f>ROUND(D16*E16/10000,0)</f>
        <v>#REF!</v>
      </c>
      <c r="D16" s="1015" t="e">
        <f>地块信息表!#REF!</f>
        <v>#REF!</v>
      </c>
      <c r="E16" s="125">
        <f>'数据-取费表'!B35</f>
        <v>305</v>
      </c>
      <c r="F16" s="1017"/>
      <c r="G16" s="1008"/>
      <c r="H16" s="1011"/>
      <c r="I16" s="1011"/>
      <c r="J16" s="1011"/>
      <c r="K16" s="1083"/>
      <c r="AA16" s="972"/>
      <c r="AB16" s="972"/>
      <c r="AC16" s="972"/>
      <c r="AD16" s="972"/>
      <c r="AE16" s="972"/>
    </row>
    <row r="17" s="972" customFormat="1" ht="13.5" customHeight="1" spans="1:26">
      <c r="A17" s="1012" t="s">
        <v>1076</v>
      </c>
      <c r="B17" s="1013" t="s">
        <v>1077</v>
      </c>
      <c r="C17" s="1018">
        <f>ROUND(C13*F17,0)</f>
        <v>0</v>
      </c>
      <c r="D17" s="1019"/>
      <c r="E17" s="1018"/>
      <c r="F17" s="1020">
        <f>'数据-取费表'!B36</f>
        <v>0.015</v>
      </c>
      <c r="G17" s="785" t="s">
        <v>2092</v>
      </c>
      <c r="H17" s="1021"/>
      <c r="I17" s="1021"/>
      <c r="J17" s="1021"/>
      <c r="K17" s="1085"/>
      <c r="L17" s="973"/>
      <c r="M17" s="973"/>
      <c r="N17" s="973"/>
      <c r="O17" s="973"/>
      <c r="P17" s="973"/>
      <c r="Q17" s="973"/>
      <c r="R17" s="973"/>
      <c r="S17" s="973"/>
      <c r="T17" s="973"/>
      <c r="U17" s="973"/>
      <c r="V17" s="973"/>
      <c r="W17" s="973"/>
      <c r="X17" s="973"/>
      <c r="Y17" s="973"/>
      <c r="Z17" s="973"/>
    </row>
    <row r="18" s="972" customFormat="1" ht="13.5" customHeight="1" spans="1:26">
      <c r="A18" s="1022" t="s">
        <v>1078</v>
      </c>
      <c r="B18" s="1023" t="s">
        <v>1079</v>
      </c>
      <c r="C18" s="1024" t="e">
        <f ca="1">SUM(C13:C17)</f>
        <v>#N/A</v>
      </c>
      <c r="D18" s="1025"/>
      <c r="E18" s="1026"/>
      <c r="F18" s="1026"/>
      <c r="G18" s="1027" t="s">
        <v>2093</v>
      </c>
      <c r="H18" s="1028"/>
      <c r="I18" s="1028"/>
      <c r="J18" s="1028"/>
      <c r="K18" s="1086"/>
      <c r="L18" s="973"/>
      <c r="M18" s="973"/>
      <c r="N18" s="973"/>
      <c r="O18" s="973"/>
      <c r="P18" s="973"/>
      <c r="Q18" s="973"/>
      <c r="R18" s="973"/>
      <c r="S18" s="973"/>
      <c r="T18" s="973"/>
      <c r="U18" s="973"/>
      <c r="V18" s="973"/>
      <c r="W18" s="973"/>
      <c r="X18" s="973"/>
      <c r="Y18" s="973"/>
      <c r="Z18" s="973"/>
    </row>
    <row r="19" s="972" customFormat="1" ht="13.5" customHeight="1" spans="1:26">
      <c r="A19" s="1022" t="s">
        <v>1081</v>
      </c>
      <c r="B19" s="1023" t="s">
        <v>2094</v>
      </c>
      <c r="C19" s="1010" t="e">
        <f>ROUND(D19*E19/10000,0)</f>
        <v>#REF!</v>
      </c>
      <c r="D19" s="1029" t="e">
        <f>D16</f>
        <v>#REF!</v>
      </c>
      <c r="E19" s="1010">
        <f>'数据-取费表'!B32</f>
        <v>0</v>
      </c>
      <c r="F19" s="1026"/>
      <c r="G19" s="1008" t="s">
        <v>2095</v>
      </c>
      <c r="H19" s="1011"/>
      <c r="I19" s="1028"/>
      <c r="J19" s="1028"/>
      <c r="K19" s="1086"/>
      <c r="L19" s="973"/>
      <c r="M19" s="973"/>
      <c r="N19" s="973"/>
      <c r="O19" s="973"/>
      <c r="P19" s="973"/>
      <c r="Q19" s="973"/>
      <c r="R19" s="973"/>
      <c r="S19" s="973"/>
      <c r="T19" s="973"/>
      <c r="U19" s="973"/>
      <c r="V19" s="973"/>
      <c r="W19" s="973"/>
      <c r="X19" s="973"/>
      <c r="Y19" s="973"/>
      <c r="Z19" s="973"/>
    </row>
    <row r="20" s="972" customFormat="1" ht="13.5" customHeight="1" spans="1:26">
      <c r="A20" s="1022" t="s">
        <v>1084</v>
      </c>
      <c r="B20" s="1023" t="s">
        <v>2096</v>
      </c>
      <c r="C20" s="1010" t="e">
        <f ca="1">C21+C22-IF(B1="",'数据-取费表'!B29,IF(G20="已全部缴纳",C21+C22,H20))</f>
        <v>#N/A</v>
      </c>
      <c r="D20" s="1029"/>
      <c r="E20" s="1010"/>
      <c r="F20" s="1030"/>
      <c r="G20" s="1031" t="s">
        <v>2097</v>
      </c>
      <c r="H20" s="1032"/>
      <c r="I20" s="1087" t="s">
        <v>1112</v>
      </c>
      <c r="J20" s="1028"/>
      <c r="K20" s="1086"/>
      <c r="L20" s="973"/>
      <c r="M20" s="973"/>
      <c r="N20" s="973"/>
      <c r="O20" s="973"/>
      <c r="P20" s="973"/>
      <c r="Q20" s="973"/>
      <c r="R20" s="973"/>
      <c r="S20" s="973"/>
      <c r="T20" s="973"/>
      <c r="U20" s="973"/>
      <c r="V20" s="973"/>
      <c r="W20" s="973"/>
      <c r="X20" s="973"/>
      <c r="Y20" s="973"/>
      <c r="Z20" s="973"/>
    </row>
    <row r="21" s="972" customFormat="1" ht="13.5" customHeight="1" spans="1:26">
      <c r="A21" s="1012" t="s">
        <v>879</v>
      </c>
      <c r="B21" s="1013" t="s">
        <v>2098</v>
      </c>
      <c r="C21" s="125" t="e">
        <f ca="1">ROUND(D21*E21/10000,0)</f>
        <v>#N/A</v>
      </c>
      <c r="D21" s="1015" t="e">
        <f ca="1">IF(B1="",'数据-汇总表'!E5,IF(INDIRECT("'数据-取费表'!c"&amp;$K$1)="住宅",INDIRECT("'数据-取费表'!k"&amp;$K$1),0))</f>
        <v>#N/A</v>
      </c>
      <c r="E21" s="125">
        <f>'数据-取费表'!B27</f>
        <v>180</v>
      </c>
      <c r="F21" s="1017"/>
      <c r="G21" s="857"/>
      <c r="H21" s="1033"/>
      <c r="I21" s="1033"/>
      <c r="J21" s="1033"/>
      <c r="K21" s="1088"/>
      <c r="L21" s="973"/>
      <c r="M21" s="973"/>
      <c r="N21" s="973"/>
      <c r="O21" s="973"/>
      <c r="P21" s="973"/>
      <c r="Q21" s="973"/>
      <c r="R21" s="973"/>
      <c r="S21" s="973"/>
      <c r="T21" s="973"/>
      <c r="U21" s="973"/>
      <c r="V21" s="973"/>
      <c r="W21" s="973"/>
      <c r="X21" s="973"/>
      <c r="Y21" s="973"/>
      <c r="Z21" s="973"/>
    </row>
    <row r="22" s="972" customFormat="1" ht="13.5" customHeight="1" spans="1:26">
      <c r="A22" s="1012" t="s">
        <v>883</v>
      </c>
      <c r="B22" s="1013" t="s">
        <v>2099</v>
      </c>
      <c r="C22" s="125" t="e">
        <f>ROUND(D22*E22/10000,0)</f>
        <v>#REF!</v>
      </c>
      <c r="D22" s="1015" t="e">
        <f>D19</f>
        <v>#REF!</v>
      </c>
      <c r="E22" s="125">
        <f>'数据-取费表'!B28</f>
        <v>160</v>
      </c>
      <c r="F22" s="1017"/>
      <c r="G22" s="857"/>
      <c r="H22" s="1033"/>
      <c r="I22" s="1033"/>
      <c r="J22" s="1033"/>
      <c r="K22" s="1088"/>
      <c r="L22" s="973"/>
      <c r="M22" s="973"/>
      <c r="N22" s="973"/>
      <c r="O22" s="973"/>
      <c r="P22" s="973"/>
      <c r="Q22" s="973"/>
      <c r="R22" s="973"/>
      <c r="S22" s="973"/>
      <c r="T22" s="973"/>
      <c r="U22" s="973"/>
      <c r="V22" s="973"/>
      <c r="W22" s="973"/>
      <c r="X22" s="973"/>
      <c r="Y22" s="973"/>
      <c r="Z22" s="973"/>
    </row>
    <row r="23" s="972" customFormat="1" ht="13.5" customHeight="1" spans="1:26">
      <c r="A23" s="1022" t="s">
        <v>2100</v>
      </c>
      <c r="B23" s="1034" t="s">
        <v>2101</v>
      </c>
      <c r="C23" s="1024" t="e">
        <f ca="1">ROUND((C18+C19+C20)*F23,0)</f>
        <v>#N/A</v>
      </c>
      <c r="D23" s="1026"/>
      <c r="E23" s="1026"/>
      <c r="F23" s="1035">
        <f>'数据-取费表'!B37</f>
        <v>0.03</v>
      </c>
      <c r="G23" s="1008" t="s">
        <v>2102</v>
      </c>
      <c r="H23" s="1011"/>
      <c r="I23" s="1011"/>
      <c r="J23" s="1011"/>
      <c r="K23" s="1083"/>
      <c r="L23" s="1089"/>
      <c r="M23" s="1089"/>
      <c r="N23" s="1089"/>
      <c r="O23" s="973"/>
      <c r="P23" s="973"/>
      <c r="Q23" s="973"/>
      <c r="R23" s="973"/>
      <c r="S23" s="973"/>
      <c r="T23" s="973"/>
      <c r="U23" s="973"/>
      <c r="V23" s="973"/>
      <c r="W23" s="973"/>
      <c r="X23" s="973"/>
      <c r="Y23" s="973"/>
      <c r="Z23" s="973"/>
    </row>
    <row r="24" s="972" customFormat="1" ht="13.5" customHeight="1" spans="1:26">
      <c r="A24" s="1022" t="s">
        <v>1089</v>
      </c>
      <c r="B24" s="1034" t="s">
        <v>2103</v>
      </c>
      <c r="C24" s="1024" t="e">
        <f ca="1">ROUND(C6*F24,0)</f>
        <v>#N/A</v>
      </c>
      <c r="D24" s="1019"/>
      <c r="E24" s="1036"/>
      <c r="F24" s="1035">
        <f>'数据-取费表'!B38</f>
        <v>0.03</v>
      </c>
      <c r="G24" s="1037" t="s">
        <v>2104</v>
      </c>
      <c r="H24" s="1021"/>
      <c r="I24" s="1021"/>
      <c r="J24" s="1021"/>
      <c r="K24" s="1085"/>
      <c r="L24" s="1089"/>
      <c r="M24" s="1089"/>
      <c r="N24" s="1089"/>
      <c r="O24" s="973"/>
      <c r="P24" s="973"/>
      <c r="Q24" s="973"/>
      <c r="R24" s="973"/>
      <c r="S24" s="973"/>
      <c r="T24" s="973"/>
      <c r="U24" s="973"/>
      <c r="V24" s="973"/>
      <c r="W24" s="973"/>
      <c r="X24" s="973"/>
      <c r="Y24" s="973"/>
      <c r="Z24" s="973"/>
    </row>
    <row r="25" s="974" customFormat="1" ht="13.5" customHeight="1" spans="1:26">
      <c r="A25" s="1022" t="s">
        <v>1091</v>
      </c>
      <c r="B25" s="1034" t="s">
        <v>2105</v>
      </c>
      <c r="C25" s="1038">
        <f>F25</f>
        <v>0.0305</v>
      </c>
      <c r="D25" s="1039" t="s">
        <v>2106</v>
      </c>
      <c r="E25" s="1040"/>
      <c r="F25" s="1035">
        <f>'数据-取费表'!B48+'数据-取费表'!B49</f>
        <v>0.0305</v>
      </c>
      <c r="G25" s="1041" t="s">
        <v>2107</v>
      </c>
      <c r="H25" s="1011"/>
      <c r="I25" s="1011"/>
      <c r="J25" s="1011"/>
      <c r="K25" s="1083"/>
      <c r="L25" s="1090"/>
      <c r="M25" s="1090"/>
      <c r="N25" s="1090"/>
      <c r="O25" s="1090"/>
      <c r="P25" s="1090"/>
      <c r="Q25" s="1090"/>
      <c r="R25" s="1090"/>
      <c r="S25" s="1090"/>
      <c r="T25" s="1090"/>
      <c r="U25" s="1090"/>
      <c r="V25" s="1090"/>
      <c r="W25" s="1090"/>
      <c r="X25" s="1090"/>
      <c r="Y25" s="1090"/>
      <c r="Z25" s="1090"/>
    </row>
    <row r="26" s="975" customFormat="1" ht="13.5" customHeight="1" spans="1:26">
      <c r="A26" s="1022" t="s">
        <v>2108</v>
      </c>
      <c r="B26" s="1042" t="s">
        <v>2109</v>
      </c>
      <c r="C26" s="1043" t="e">
        <f ca="1">C28</f>
        <v>#N/A</v>
      </c>
      <c r="D26" s="1044">
        <f ca="1">C27</f>
        <v>0.1002</v>
      </c>
      <c r="E26" s="1040" t="s">
        <v>2106</v>
      </c>
      <c r="F26" s="1045">
        <f ca="1">'数据-取费表'!B40</f>
        <v>0.0475</v>
      </c>
      <c r="G26" s="790" t="str">
        <f>IF('数据-取费表'!B22&lt;=1,"单利计息。","复利计息。")&amp;"后续开发成本、管理费用及销售费用产生的利息。"</f>
        <v>复利计息。后续开发成本、管理费用及销售费用产生的利息。</v>
      </c>
      <c r="H26" s="1028"/>
      <c r="I26" s="1028"/>
      <c r="J26" s="1028"/>
      <c r="K26" s="1086"/>
      <c r="L26" s="1089"/>
      <c r="M26" s="1089"/>
      <c r="N26" s="1089"/>
      <c r="O26" s="1089"/>
      <c r="P26" s="1089"/>
      <c r="Q26" s="1089"/>
      <c r="R26" s="1089"/>
      <c r="S26" s="1089"/>
      <c r="T26" s="1089"/>
      <c r="U26" s="1089"/>
      <c r="V26" s="1089"/>
      <c r="W26" s="1089"/>
      <c r="X26" s="1089"/>
      <c r="Y26" s="1089"/>
      <c r="Z26" s="1089"/>
    </row>
    <row r="27" s="976" customFormat="1" ht="13.5" customHeight="1" spans="1:26">
      <c r="A27" s="998" t="s">
        <v>879</v>
      </c>
      <c r="B27" s="1046" t="s">
        <v>2110</v>
      </c>
      <c r="C27" s="1047">
        <f ca="1">ROUND(IF('数据-取费表'!B22&lt;=1,(1+C25)*F26*'数据-取费表'!B24,(1+C25)*(POWER((1+F26),'数据-取费表'!B24)-1)),4)</f>
        <v>0.1002</v>
      </c>
      <c r="D27" s="1048"/>
      <c r="E27" s="1036"/>
      <c r="F27" s="1049"/>
      <c r="G27" s="790" t="str">
        <f>IF('数据-取费表'!B22&lt;=1,"（1+取得税费率/(1+5%)）×年利率×建设期","（1+取得税费率）/(1+5%)×((1+年利率)^建设期-1)")</f>
        <v>（1+取得税费率）/(1+5%)×((1+年利率)^建设期-1)</v>
      </c>
      <c r="H27" s="1021"/>
      <c r="I27" s="1021"/>
      <c r="J27" s="1021"/>
      <c r="K27" s="1085"/>
      <c r="L27" s="1091"/>
      <c r="M27" s="1091"/>
      <c r="N27" s="1091"/>
      <c r="O27" s="1091"/>
      <c r="P27" s="1091"/>
      <c r="Q27" s="1091"/>
      <c r="R27" s="1091"/>
      <c r="S27" s="1091"/>
      <c r="T27" s="1091"/>
      <c r="U27" s="1091"/>
      <c r="V27" s="1091"/>
      <c r="W27" s="1091"/>
      <c r="X27" s="1091"/>
      <c r="Y27" s="1091"/>
      <c r="Z27" s="1091"/>
    </row>
    <row r="28" s="976" customFormat="1" ht="13.5" customHeight="1" spans="1:26">
      <c r="A28" s="998" t="s">
        <v>883</v>
      </c>
      <c r="B28" s="1046" t="s">
        <v>2111</v>
      </c>
      <c r="C28" s="1050" t="e">
        <f ca="1">ROUND(IF('数据-取费表'!B22&lt;=1,(C18+C19+C20+C23+C24)*F26*'数据-取费表'!B24/2,(C18+C19+C20+C23+C24)*(POWER((1+F26),'数据-取费表'!B24/2)-1)),0)</f>
        <v>#N/A</v>
      </c>
      <c r="D28" s="1048"/>
      <c r="E28" s="1036"/>
      <c r="F28" s="1049"/>
      <c r="G28" s="790" t="str">
        <f>IF('数据-取费表'!B22&lt;=1,"（1）-（4）项×年利率×建设期÷2","（1）-（4）项×((1+年利率)^(建设期÷2)-1)")</f>
        <v>（1）-（4）项×((1+年利率)^(建设期÷2)-1)</v>
      </c>
      <c r="H28" s="1021"/>
      <c r="I28" s="1021"/>
      <c r="J28" s="1021"/>
      <c r="K28" s="1085"/>
      <c r="L28" s="1091"/>
      <c r="M28" s="1091"/>
      <c r="N28" s="1091"/>
      <c r="O28" s="1091"/>
      <c r="P28" s="1091"/>
      <c r="Q28" s="1091"/>
      <c r="R28" s="1091"/>
      <c r="S28" s="1091"/>
      <c r="T28" s="1091"/>
      <c r="U28" s="1091"/>
      <c r="V28" s="1091"/>
      <c r="W28" s="1091"/>
      <c r="X28" s="1091"/>
      <c r="Y28" s="1091"/>
      <c r="Z28" s="1091"/>
    </row>
    <row r="29" s="976" customFormat="1" ht="13.5" customHeight="1" spans="1:26">
      <c r="A29" s="1051" t="s">
        <v>2112</v>
      </c>
      <c r="B29" s="1023" t="s">
        <v>2113</v>
      </c>
      <c r="C29" s="1024" t="e">
        <f ca="1">ROUND(C6*F29/(1+'数据-取费表'!C42),0)</f>
        <v>#N/A</v>
      </c>
      <c r="D29" s="1026"/>
      <c r="E29" s="1026"/>
      <c r="F29" s="1052">
        <f>'数据-取费表'!B41</f>
        <v>0.056</v>
      </c>
      <c r="G29" s="1037" t="s">
        <v>2114</v>
      </c>
      <c r="H29" s="1011"/>
      <c r="I29" s="1011"/>
      <c r="J29" s="1011"/>
      <c r="K29" s="1083"/>
      <c r="L29" s="1091"/>
      <c r="M29" s="1091"/>
      <c r="N29" s="1091"/>
      <c r="O29" s="1091"/>
      <c r="P29" s="1091"/>
      <c r="Q29" s="1091"/>
      <c r="R29" s="1091"/>
      <c r="S29" s="1091"/>
      <c r="T29" s="1091"/>
      <c r="U29" s="1091"/>
      <c r="V29" s="1091"/>
      <c r="W29" s="1091"/>
      <c r="X29" s="1091"/>
      <c r="Y29" s="1091"/>
      <c r="Z29" s="1091"/>
    </row>
    <row r="30" s="977" customFormat="1" ht="13.5" customHeight="1" spans="1:26">
      <c r="A30" s="1053" t="s">
        <v>2115</v>
      </c>
      <c r="B30" s="1054" t="s">
        <v>2116</v>
      </c>
      <c r="C30" s="1043" t="e">
        <f ca="1">C31</f>
        <v>#N/A</v>
      </c>
      <c r="D30" s="1055">
        <f ca="1">C32</f>
        <v>0.1307</v>
      </c>
      <c r="E30" s="1040" t="s">
        <v>2106</v>
      </c>
      <c r="F30" s="1045"/>
      <c r="G30" s="1041" t="s">
        <v>2117</v>
      </c>
      <c r="H30" s="1011"/>
      <c r="I30" s="1011"/>
      <c r="J30" s="1011"/>
      <c r="K30" s="1083"/>
      <c r="L30" s="1092"/>
      <c r="M30" s="1092"/>
      <c r="N30" s="1092"/>
      <c r="O30" s="1092"/>
      <c r="P30" s="1092"/>
      <c r="Q30" s="1092"/>
      <c r="R30" s="1092"/>
      <c r="S30" s="1092"/>
      <c r="T30" s="1092"/>
      <c r="U30" s="1092"/>
      <c r="V30" s="1092"/>
      <c r="W30" s="1092"/>
      <c r="X30" s="1092"/>
      <c r="Y30" s="1092"/>
      <c r="Z30" s="1092"/>
    </row>
    <row r="31" s="976" customFormat="1" ht="13.5" customHeight="1" spans="1:26">
      <c r="A31" s="998" t="s">
        <v>879</v>
      </c>
      <c r="B31" s="1046"/>
      <c r="C31" s="1014" t="e">
        <f ca="1">C18+C19+C20+C23+C24+C26+C29</f>
        <v>#N/A</v>
      </c>
      <c r="D31" s="1048"/>
      <c r="E31" s="1036"/>
      <c r="F31" s="1049"/>
      <c r="G31" s="785"/>
      <c r="H31" s="1021"/>
      <c r="I31" s="1021"/>
      <c r="J31" s="1021"/>
      <c r="K31" s="1085"/>
      <c r="L31" s="1091"/>
      <c r="M31" s="1091"/>
      <c r="N31" s="1091"/>
      <c r="O31" s="1091"/>
      <c r="P31" s="1091"/>
      <c r="Q31" s="1091"/>
      <c r="R31" s="1091"/>
      <c r="S31" s="1091"/>
      <c r="T31" s="1091"/>
      <c r="U31" s="1091"/>
      <c r="V31" s="1091"/>
      <c r="W31" s="1091"/>
      <c r="X31" s="1091"/>
      <c r="Y31" s="1091"/>
      <c r="Z31" s="1091"/>
    </row>
    <row r="32" s="976" customFormat="1" ht="13.5" customHeight="1" spans="1:26">
      <c r="A32" s="998" t="s">
        <v>883</v>
      </c>
      <c r="B32" s="1046"/>
      <c r="C32" s="125">
        <f ca="1">ROUND(C25+D26,4)</f>
        <v>0.1307</v>
      </c>
      <c r="D32" s="1048"/>
      <c r="E32" s="1036"/>
      <c r="F32" s="1049"/>
      <c r="G32" s="785"/>
      <c r="H32" s="1021"/>
      <c r="I32" s="1021"/>
      <c r="J32" s="1021"/>
      <c r="K32" s="1085"/>
      <c r="L32" s="1091"/>
      <c r="M32" s="1091"/>
      <c r="N32" s="1091"/>
      <c r="O32" s="1091"/>
      <c r="P32" s="1091"/>
      <c r="Q32" s="1091"/>
      <c r="R32" s="1091"/>
      <c r="S32" s="1091"/>
      <c r="T32" s="1091"/>
      <c r="U32" s="1091"/>
      <c r="V32" s="1091"/>
      <c r="W32" s="1091"/>
      <c r="X32" s="1091"/>
      <c r="Y32" s="1091"/>
      <c r="Z32" s="1091"/>
    </row>
    <row r="33" s="978" customFormat="1" ht="13.5" customHeight="1" spans="1:26">
      <c r="A33" s="1056" t="s">
        <v>2118</v>
      </c>
      <c r="B33" s="1057" t="s">
        <v>1087</v>
      </c>
      <c r="C33" s="1058" t="e">
        <f ca="1">C35</f>
        <v>#N/A</v>
      </c>
      <c r="D33" s="1044" t="e">
        <f ca="1">C34</f>
        <v>#N/A</v>
      </c>
      <c r="E33" s="1040" t="s">
        <v>2106</v>
      </c>
      <c r="F33" s="1059" t="e">
        <f ca="1">IF(B1="",'数据-取费表'!Q16,INDIRECT("'数据-取费表'!q"&amp;$K$1))</f>
        <v>#N/A</v>
      </c>
      <c r="G33" s="1027"/>
      <c r="H33" s="1028"/>
      <c r="I33" s="1028"/>
      <c r="J33" s="1028"/>
      <c r="K33" s="1086"/>
      <c r="L33" s="1093"/>
      <c r="M33" s="1093"/>
      <c r="N33" s="1093"/>
      <c r="O33" s="1093"/>
      <c r="P33" s="1093"/>
      <c r="Q33" s="1093"/>
      <c r="R33" s="1093"/>
      <c r="S33" s="1093"/>
      <c r="T33" s="1093"/>
      <c r="U33" s="1093"/>
      <c r="V33" s="1093"/>
      <c r="W33" s="1093"/>
      <c r="X33" s="1093"/>
      <c r="Y33" s="1093"/>
      <c r="Z33" s="1093"/>
    </row>
    <row r="34" s="979" customFormat="1" ht="13.5" customHeight="1" spans="1:26">
      <c r="A34" s="1060" t="s">
        <v>879</v>
      </c>
      <c r="B34" s="1061" t="s">
        <v>2119</v>
      </c>
      <c r="C34" s="1048" t="e">
        <f ca="1">ROUND((1+C25)*F33,4)</f>
        <v>#N/A</v>
      </c>
      <c r="D34" s="1048"/>
      <c r="E34" s="1036"/>
      <c r="F34" s="1062"/>
      <c r="G34" s="785" t="s">
        <v>2120</v>
      </c>
      <c r="H34" s="1021"/>
      <c r="I34" s="1021"/>
      <c r="J34" s="1021"/>
      <c r="K34" s="1085"/>
      <c r="L34" s="1094"/>
      <c r="M34" s="1094"/>
      <c r="N34" s="1094"/>
      <c r="O34" s="1094"/>
      <c r="P34" s="1094"/>
      <c r="Q34" s="1094"/>
      <c r="R34" s="1094"/>
      <c r="S34" s="1094"/>
      <c r="T34" s="1094"/>
      <c r="U34" s="1094"/>
      <c r="V34" s="1094"/>
      <c r="W34" s="1094"/>
      <c r="X34" s="1094"/>
      <c r="Y34" s="1094"/>
      <c r="Z34" s="1094"/>
    </row>
    <row r="35" s="979" customFormat="1" ht="13.5" customHeight="1" spans="1:26">
      <c r="A35" s="1063" t="s">
        <v>883</v>
      </c>
      <c r="B35" s="1064" t="s">
        <v>2121</v>
      </c>
      <c r="C35" s="1065" t="e">
        <f ca="1">ROUND((C18+C19+C20+C23+C24)*F33,0)</f>
        <v>#N/A</v>
      </c>
      <c r="D35" s="1066"/>
      <c r="E35" s="1067"/>
      <c r="F35" s="1068"/>
      <c r="G35" s="1003"/>
      <c r="H35" s="1069"/>
      <c r="I35" s="1069"/>
      <c r="J35" s="1069"/>
      <c r="K35" s="1095"/>
      <c r="L35" s="1094"/>
      <c r="M35" s="1094"/>
      <c r="N35" s="1094"/>
      <c r="O35" s="1094"/>
      <c r="P35" s="1094"/>
      <c r="Q35" s="1094"/>
      <c r="R35" s="1094"/>
      <c r="S35" s="1094"/>
      <c r="T35" s="1094"/>
      <c r="U35" s="1094"/>
      <c r="V35" s="1094"/>
      <c r="W35" s="1094"/>
      <c r="X35" s="1094"/>
      <c r="Y35" s="1094"/>
      <c r="Z35" s="1094"/>
    </row>
    <row r="36" s="837" customFormat="1" ht="13.5" customHeight="1" spans="1:26">
      <c r="A36" s="350" t="s">
        <v>2122</v>
      </c>
      <c r="B36" s="1070"/>
      <c r="C36" s="1071" t="e">
        <f ca="1">ROUND((C6-C30-C33)/(1+D30+D33),0)</f>
        <v>#N/A</v>
      </c>
      <c r="D36" s="1070"/>
      <c r="E36" s="1070"/>
      <c r="F36" s="1070"/>
      <c r="G36" s="1072" t="s">
        <v>2123</v>
      </c>
      <c r="H36" s="1070"/>
      <c r="I36" s="1070"/>
      <c r="J36" s="1070"/>
      <c r="K36" s="1096"/>
      <c r="L36" s="1084"/>
      <c r="M36" s="1084"/>
      <c r="N36" s="1084"/>
      <c r="O36" s="1084"/>
      <c r="P36" s="1084"/>
      <c r="Q36" s="1084"/>
      <c r="R36" s="1084"/>
      <c r="S36" s="1084"/>
      <c r="T36" s="1084"/>
      <c r="U36" s="1084"/>
      <c r="V36" s="1084"/>
      <c r="W36" s="1084"/>
      <c r="X36" s="1084"/>
      <c r="Y36" s="1084"/>
      <c r="Z36" s="1084"/>
    </row>
    <row r="37" s="971" customFormat="1" spans="1:5">
      <c r="A37" s="1073"/>
      <c r="C37" s="1074"/>
      <c r="E37" s="1073"/>
    </row>
    <row r="38" s="971" customFormat="1" customHeight="1" spans="1:5">
      <c r="A38" s="1073"/>
      <c r="C38" s="1074"/>
      <c r="E38" s="1073"/>
    </row>
    <row r="39" s="971" customFormat="1" spans="1:5">
      <c r="A39" s="1073"/>
      <c r="B39" s="1075"/>
      <c r="C39" s="1076" t="s">
        <v>2342</v>
      </c>
      <c r="D39" s="971" t="e">
        <f ca="1">ROUND(C36*10000/D16,0)</f>
        <v>#N/A</v>
      </c>
      <c r="E39" s="1073"/>
    </row>
    <row r="40" s="971" customFormat="1" spans="1:5">
      <c r="A40" s="1073"/>
      <c r="C40" s="1076" t="s">
        <v>2343</v>
      </c>
      <c r="D40" s="971" t="e">
        <f ca="1">ROUND(C36*10000/地块信息表!#REF!,0)</f>
        <v>#N/A</v>
      </c>
      <c r="E40" s="1073"/>
    </row>
    <row r="41" s="971" customFormat="1" spans="1:5">
      <c r="A41" s="1073"/>
      <c r="C41" s="1076" t="s">
        <v>2344</v>
      </c>
      <c r="D41" s="971" t="e">
        <f ca="1">D40/15</f>
        <v>#N/A</v>
      </c>
      <c r="E41" s="1073"/>
    </row>
    <row r="42" s="971" customFormat="1" spans="1:5">
      <c r="A42" s="1073"/>
      <c r="C42" s="1074"/>
      <c r="E42" s="1073"/>
    </row>
    <row r="43" s="971" customFormat="1" spans="1:5">
      <c r="A43" s="1073"/>
      <c r="C43" s="1074"/>
      <c r="E43" s="1073"/>
    </row>
    <row r="44" s="971" customFormat="1" spans="1:5">
      <c r="A44" s="1073"/>
      <c r="C44" s="1074"/>
      <c r="E44" s="1073"/>
    </row>
    <row r="45" s="971" customFormat="1" spans="1:5">
      <c r="A45" s="1073"/>
      <c r="C45" s="1074"/>
      <c r="E45" s="1073"/>
    </row>
    <row r="46" s="971" customFormat="1" spans="1:5">
      <c r="A46" s="1073"/>
      <c r="C46" s="1074"/>
      <c r="E46" s="1073"/>
    </row>
    <row r="47" s="971" customFormat="1" spans="1:5">
      <c r="A47" s="1073"/>
      <c r="C47" s="1074"/>
      <c r="E47" s="1073"/>
    </row>
    <row r="48" s="971" customFormat="1" spans="1:5">
      <c r="A48" s="1073"/>
      <c r="C48" s="1074"/>
      <c r="E48" s="1073"/>
    </row>
    <row r="49" s="971" customFormat="1" spans="1:5">
      <c r="A49" s="1073"/>
      <c r="C49" s="1074"/>
      <c r="E49" s="1073"/>
    </row>
    <row r="50" s="971" customFormat="1" spans="1:5">
      <c r="A50" s="1073"/>
      <c r="C50" s="1074"/>
      <c r="E50" s="1073"/>
    </row>
    <row r="51" s="971" customFormat="1" spans="1:5">
      <c r="A51" s="1073"/>
      <c r="C51" s="1074"/>
      <c r="E51" s="1073"/>
    </row>
    <row r="52" s="971" customFormat="1" spans="1:5">
      <c r="A52" s="1073"/>
      <c r="C52" s="1074"/>
      <c r="E52" s="1073"/>
    </row>
    <row r="53" s="971" customFormat="1" spans="1:5">
      <c r="A53" s="1073"/>
      <c r="C53" s="1074"/>
      <c r="E53" s="1073"/>
    </row>
    <row r="54" s="971" customFormat="1" spans="1:5">
      <c r="A54" s="1073"/>
      <c r="C54" s="1074"/>
      <c r="E54" s="1073"/>
    </row>
    <row r="55" s="971" customFormat="1" spans="1:5">
      <c r="A55" s="1073"/>
      <c r="C55" s="1074"/>
      <c r="E55" s="1073"/>
    </row>
    <row r="56" s="971" customFormat="1" spans="1:5">
      <c r="A56" s="1073"/>
      <c r="C56" s="1074"/>
      <c r="E56" s="1073"/>
    </row>
    <row r="57" s="971" customFormat="1" spans="1:5">
      <c r="A57" s="1073"/>
      <c r="C57" s="1074"/>
      <c r="E57" s="1073"/>
    </row>
    <row r="58" s="971" customFormat="1" spans="1:5">
      <c r="A58" s="1073"/>
      <c r="C58" s="1074"/>
      <c r="E58" s="1073"/>
    </row>
    <row r="59" s="971" customFormat="1" spans="1:5">
      <c r="A59" s="1073"/>
      <c r="C59" s="1074"/>
      <c r="E59" s="1073"/>
    </row>
    <row r="60" s="971" customFormat="1" spans="1:5">
      <c r="A60" s="1073"/>
      <c r="C60" s="1074"/>
      <c r="E60" s="1073"/>
    </row>
    <row r="61" s="971" customFormat="1" spans="1:5">
      <c r="A61" s="1073"/>
      <c r="C61" s="1074"/>
      <c r="E61" s="1073"/>
    </row>
    <row r="62" s="971" customFormat="1" spans="1:5">
      <c r="A62" s="1073"/>
      <c r="C62" s="1074"/>
      <c r="E62" s="1073"/>
    </row>
    <row r="63" s="971" customFormat="1" spans="1:5">
      <c r="A63" s="1073"/>
      <c r="C63" s="1074"/>
      <c r="E63" s="1073"/>
    </row>
    <row r="64" s="971" customFormat="1" spans="1:5">
      <c r="A64" s="1073"/>
      <c r="C64" s="1074"/>
      <c r="E64" s="1073"/>
    </row>
    <row r="65" s="971" customFormat="1" spans="1:5">
      <c r="A65" s="1073"/>
      <c r="C65" s="1074"/>
      <c r="E65" s="1073"/>
    </row>
    <row r="66" s="971" customFormat="1" spans="1:5">
      <c r="A66" s="1073"/>
      <c r="C66" s="1074"/>
      <c r="E66" s="1073"/>
    </row>
    <row r="67" s="971" customFormat="1" spans="1:5">
      <c r="A67" s="1073"/>
      <c r="C67" s="1074"/>
      <c r="E67" s="1073"/>
    </row>
    <row r="68" s="971" customFormat="1" spans="1:5">
      <c r="A68" s="1073"/>
      <c r="C68" s="1074"/>
      <c r="E68" s="1073"/>
    </row>
    <row r="69" s="971" customFormat="1" spans="1:5">
      <c r="A69" s="1073"/>
      <c r="C69" s="1074"/>
      <c r="E69" s="1073"/>
    </row>
    <row r="70" s="971" customFormat="1" spans="1:5">
      <c r="A70" s="1073"/>
      <c r="C70" s="1074"/>
      <c r="E70" s="1073"/>
    </row>
    <row r="71" s="971" customFormat="1" spans="1:5">
      <c r="A71" s="1073"/>
      <c r="C71" s="1074"/>
      <c r="E71" s="1073"/>
    </row>
    <row r="72" s="971" customFormat="1" spans="1:5">
      <c r="A72" s="1073"/>
      <c r="C72" s="1074"/>
      <c r="E72" s="1073"/>
    </row>
    <row r="73" s="971" customFormat="1" spans="1:5">
      <c r="A73" s="1073"/>
      <c r="C73" s="1074"/>
      <c r="E73" s="1073"/>
    </row>
    <row r="74" s="971" customFormat="1" spans="1:5">
      <c r="A74" s="1073"/>
      <c r="C74" s="1074"/>
      <c r="E74" s="1073"/>
    </row>
    <row r="75" s="971" customFormat="1" spans="1:5">
      <c r="A75" s="1073"/>
      <c r="C75" s="1074"/>
      <c r="E75" s="1073"/>
    </row>
    <row r="76" s="971" customFormat="1" spans="1:5">
      <c r="A76" s="1073"/>
      <c r="C76" s="1074"/>
      <c r="E76" s="1073"/>
    </row>
    <row r="77" s="971" customFormat="1" spans="1:5">
      <c r="A77" s="1073"/>
      <c r="C77" s="1074"/>
      <c r="E77" s="1073"/>
    </row>
    <row r="78" s="971" customFormat="1" spans="1:5">
      <c r="A78" s="1073"/>
      <c r="C78" s="1074"/>
      <c r="E78" s="1073"/>
    </row>
    <row r="79" s="971" customFormat="1" spans="1:5">
      <c r="A79" s="1073"/>
      <c r="C79" s="1074"/>
      <c r="E79" s="1073"/>
    </row>
    <row r="80" s="971" customFormat="1" spans="1:5">
      <c r="A80" s="1073"/>
      <c r="C80" s="1074"/>
      <c r="E80" s="1073"/>
    </row>
    <row r="81" s="971" customFormat="1" spans="1:5">
      <c r="A81" s="1073"/>
      <c r="C81" s="1074"/>
      <c r="E81" s="1073"/>
    </row>
    <row r="82" s="971" customFormat="1" spans="1:5">
      <c r="A82" s="1073"/>
      <c r="C82" s="1074"/>
      <c r="E82" s="1073"/>
    </row>
    <row r="83" s="971" customFormat="1" spans="1:5">
      <c r="A83" s="1073"/>
      <c r="C83" s="1074"/>
      <c r="E83" s="1073"/>
    </row>
    <row r="84" s="971" customFormat="1" spans="1:5">
      <c r="A84" s="1073"/>
      <c r="C84" s="1074"/>
      <c r="E84" s="1073"/>
    </row>
    <row r="85" s="971" customFormat="1" spans="1:5">
      <c r="A85" s="1073"/>
      <c r="C85" s="1074"/>
      <c r="E85" s="1073"/>
    </row>
    <row r="86" s="971" customFormat="1" spans="1:5">
      <c r="A86" s="1073"/>
      <c r="C86" s="1074"/>
      <c r="E86" s="1073"/>
    </row>
    <row r="87" s="971" customFormat="1" spans="1:5">
      <c r="A87" s="1073"/>
      <c r="C87" s="1074"/>
      <c r="E87" s="1073"/>
    </row>
    <row r="88" s="971" customFormat="1" spans="1:5">
      <c r="A88" s="1073"/>
      <c r="C88" s="1074"/>
      <c r="E88" s="1073"/>
    </row>
    <row r="89" s="971" customFormat="1" spans="1:5">
      <c r="A89" s="1073"/>
      <c r="C89" s="1074"/>
      <c r="E89" s="1073"/>
    </row>
    <row r="90" s="971" customFormat="1" spans="1:5">
      <c r="A90" s="1073"/>
      <c r="C90" s="1074"/>
      <c r="E90" s="1073"/>
    </row>
    <row r="91" s="971" customFormat="1" spans="1:5">
      <c r="A91" s="1073"/>
      <c r="C91" s="1074"/>
      <c r="E91" s="1073"/>
    </row>
    <row r="92" s="971" customFormat="1" spans="1:5">
      <c r="A92" s="1073"/>
      <c r="C92" s="1074"/>
      <c r="E92" s="1073"/>
    </row>
    <row r="93" s="971" customFormat="1" spans="1:5">
      <c r="A93" s="1073"/>
      <c r="C93" s="1074"/>
      <c r="E93" s="1073"/>
    </row>
    <row r="94" s="971" customFormat="1" spans="1:5">
      <c r="A94" s="1073"/>
      <c r="C94" s="1074"/>
      <c r="E94" s="1073"/>
    </row>
    <row r="95" s="971" customFormat="1" spans="1:5">
      <c r="A95" s="1073"/>
      <c r="C95" s="1074"/>
      <c r="E95" s="1073"/>
    </row>
    <row r="96" s="971" customFormat="1" spans="1:5">
      <c r="A96" s="1073"/>
      <c r="C96" s="1074"/>
      <c r="E96" s="1073"/>
    </row>
    <row r="97" s="971" customFormat="1" spans="1:5">
      <c r="A97" s="1073"/>
      <c r="C97" s="1074"/>
      <c r="E97" s="1073"/>
    </row>
    <row r="98" s="971" customFormat="1" spans="1:5">
      <c r="A98" s="1073"/>
      <c r="C98" s="1074"/>
      <c r="E98" s="1073"/>
    </row>
    <row r="99" s="971" customFormat="1" spans="1:5">
      <c r="A99" s="1073"/>
      <c r="C99" s="1074"/>
      <c r="E99" s="1073"/>
    </row>
    <row r="100" s="971" customFormat="1" spans="1:5">
      <c r="A100" s="1073"/>
      <c r="C100" s="1074"/>
      <c r="E100" s="1073"/>
    </row>
    <row r="101" s="971" customFormat="1" spans="1:5">
      <c r="A101" s="1073"/>
      <c r="C101" s="1074"/>
      <c r="E101" s="1073"/>
    </row>
    <row r="102" s="971" customFormat="1" spans="1:5">
      <c r="A102" s="1073"/>
      <c r="C102" s="1074"/>
      <c r="E102" s="1073"/>
    </row>
    <row r="103" s="971" customFormat="1" spans="1:5">
      <c r="A103" s="1073"/>
      <c r="C103" s="1074"/>
      <c r="E103" s="1073"/>
    </row>
    <row r="104" s="971" customFormat="1" spans="1:5">
      <c r="A104" s="1073"/>
      <c r="C104" s="1074"/>
      <c r="E104" s="1073"/>
    </row>
    <row r="105" s="971" customFormat="1" spans="1:5">
      <c r="A105" s="1073"/>
      <c r="C105" s="1074"/>
      <c r="E105" s="1073"/>
    </row>
    <row r="106" s="971" customFormat="1" spans="1:5">
      <c r="A106" s="1073"/>
      <c r="C106" s="1074"/>
      <c r="E106" s="1073"/>
    </row>
    <row r="107" s="971" customFormat="1" spans="1:5">
      <c r="A107" s="1073"/>
      <c r="C107" s="1074"/>
      <c r="E107" s="1073"/>
    </row>
    <row r="108" s="971" customFormat="1" spans="1:5">
      <c r="A108" s="1073"/>
      <c r="C108" s="1074"/>
      <c r="E108" s="1073"/>
    </row>
    <row r="109" s="971" customFormat="1" spans="1:5">
      <c r="A109" s="1073"/>
      <c r="C109" s="1074"/>
      <c r="E109" s="1073"/>
    </row>
    <row r="110" s="971" customFormat="1" spans="1:5">
      <c r="A110" s="1073"/>
      <c r="C110" s="1074"/>
      <c r="E110" s="1073"/>
    </row>
    <row r="111" s="971" customFormat="1" spans="1:5">
      <c r="A111" s="1073"/>
      <c r="C111" s="1074"/>
      <c r="E111" s="1073"/>
    </row>
    <row r="112" s="971" customFormat="1" spans="1:5">
      <c r="A112" s="1073"/>
      <c r="C112" s="1074"/>
      <c r="E112" s="1073"/>
    </row>
    <row r="113" s="971" customFormat="1" spans="1:5">
      <c r="A113" s="1073"/>
      <c r="C113" s="1074"/>
      <c r="E113" s="1073"/>
    </row>
    <row r="114" s="971" customFormat="1" spans="1:5">
      <c r="A114" s="1073"/>
      <c r="C114" s="1074"/>
      <c r="E114" s="1073"/>
    </row>
    <row r="115" s="971" customFormat="1" spans="1:5">
      <c r="A115" s="1073"/>
      <c r="C115" s="1074"/>
      <c r="E115" s="1073"/>
    </row>
    <row r="116" s="971" customFormat="1" spans="1:5">
      <c r="A116" s="1073"/>
      <c r="C116" s="1074"/>
      <c r="E116" s="1073"/>
    </row>
    <row r="117" s="971" customFormat="1" spans="1:5">
      <c r="A117" s="1073"/>
      <c r="C117" s="1074"/>
      <c r="E117" s="1073"/>
    </row>
    <row r="118" s="971" customFormat="1" spans="1:5">
      <c r="A118" s="1073"/>
      <c r="C118" s="1074"/>
      <c r="E118" s="1073"/>
    </row>
    <row r="119" s="971" customFormat="1" spans="1:5">
      <c r="A119" s="1073"/>
      <c r="C119" s="1074"/>
      <c r="E119" s="1073"/>
    </row>
    <row r="120" s="971" customFormat="1" spans="1:5">
      <c r="A120" s="1073"/>
      <c r="C120" s="1074"/>
      <c r="E120" s="1073"/>
    </row>
    <row r="121" s="971" customFormat="1" spans="1:5">
      <c r="A121" s="1073"/>
      <c r="C121" s="1074"/>
      <c r="E121" s="1073"/>
    </row>
    <row r="122" s="971" customFormat="1" spans="1:5">
      <c r="A122" s="1073"/>
      <c r="C122" s="1074"/>
      <c r="E122" s="1073"/>
    </row>
    <row r="123" s="971" customFormat="1" spans="1:5">
      <c r="A123" s="1073"/>
      <c r="C123" s="1074"/>
      <c r="E123" s="1073"/>
    </row>
    <row r="124" s="971" customFormat="1" spans="1:5">
      <c r="A124" s="1073"/>
      <c r="C124" s="1074"/>
      <c r="E124" s="1073"/>
    </row>
    <row r="125" s="971" customFormat="1" spans="1:5">
      <c r="A125" s="1073"/>
      <c r="C125" s="1074"/>
      <c r="E125" s="1073"/>
    </row>
    <row r="126" s="971" customFormat="1" spans="1:5">
      <c r="A126" s="1073"/>
      <c r="C126" s="1074"/>
      <c r="E126" s="1073"/>
    </row>
    <row r="127" s="971" customFormat="1" spans="1:5">
      <c r="A127" s="1073"/>
      <c r="C127" s="1074"/>
      <c r="E127" s="1073"/>
    </row>
    <row r="128" s="971" customFormat="1" spans="1:5">
      <c r="A128" s="1073"/>
      <c r="C128" s="1074"/>
      <c r="E128" s="1073"/>
    </row>
    <row r="129" s="971" customFormat="1" spans="1:5">
      <c r="A129" s="1073"/>
      <c r="C129" s="1074"/>
      <c r="E129" s="1073"/>
    </row>
    <row r="130" s="971" customFormat="1" spans="1:5">
      <c r="A130" s="1073"/>
      <c r="C130" s="1074"/>
      <c r="E130" s="1073"/>
    </row>
    <row r="131" s="971" customFormat="1" spans="1:5">
      <c r="A131" s="1073"/>
      <c r="C131" s="1074"/>
      <c r="E131" s="1073"/>
    </row>
    <row r="132" s="971" customFormat="1" spans="1:5">
      <c r="A132" s="1073"/>
      <c r="C132" s="1074"/>
      <c r="E132" s="1073"/>
    </row>
    <row r="133" s="971" customFormat="1" spans="1:5">
      <c r="A133" s="1073"/>
      <c r="C133" s="1074"/>
      <c r="E133" s="1073"/>
    </row>
    <row r="134" s="971" customFormat="1" spans="1:5">
      <c r="A134" s="1073"/>
      <c r="C134" s="1074"/>
      <c r="E134" s="1073"/>
    </row>
    <row r="135" s="971" customFormat="1" spans="1:5">
      <c r="A135" s="1073"/>
      <c r="C135" s="1074"/>
      <c r="E135" s="1073"/>
    </row>
    <row r="136" s="971" customFormat="1" spans="1:5">
      <c r="A136" s="1073"/>
      <c r="C136" s="1074"/>
      <c r="E136" s="1073"/>
    </row>
    <row r="137" s="971" customFormat="1" spans="1:5">
      <c r="A137" s="1073"/>
      <c r="C137" s="1074"/>
      <c r="E137" s="1073"/>
    </row>
    <row r="138" s="971" customFormat="1" spans="1:5">
      <c r="A138" s="1073"/>
      <c r="C138" s="1074"/>
      <c r="E138" s="1073"/>
    </row>
    <row r="139" s="971" customFormat="1" spans="1:5">
      <c r="A139" s="1073"/>
      <c r="C139" s="1074"/>
      <c r="E139" s="1073"/>
    </row>
    <row r="140" s="971" customFormat="1" spans="1:5">
      <c r="A140" s="1073"/>
      <c r="C140" s="1074"/>
      <c r="E140" s="1073"/>
    </row>
    <row r="141" s="971" customFormat="1" spans="1:5">
      <c r="A141" s="1073"/>
      <c r="C141" s="1074"/>
      <c r="E141" s="1073"/>
    </row>
    <row r="142" s="971" customFormat="1" spans="1:5">
      <c r="A142" s="1073"/>
      <c r="C142" s="1074"/>
      <c r="E142" s="1073"/>
    </row>
    <row r="143" s="971" customFormat="1" spans="1:5">
      <c r="A143" s="1073"/>
      <c r="C143" s="1074"/>
      <c r="E143" s="1073"/>
    </row>
    <row r="144" s="971" customFormat="1" spans="1:5">
      <c r="A144" s="1073"/>
      <c r="C144" s="1074"/>
      <c r="E144" s="1073"/>
    </row>
    <row r="145" s="971" customFormat="1" spans="1:5">
      <c r="A145" s="1073"/>
      <c r="C145" s="1074"/>
      <c r="E145" s="1073"/>
    </row>
    <row r="146" s="971" customFormat="1" spans="1:5">
      <c r="A146" s="1073"/>
      <c r="C146" s="1074"/>
      <c r="E146" s="1073"/>
    </row>
    <row r="147" s="971" customFormat="1" spans="1:5">
      <c r="A147" s="1073"/>
      <c r="C147" s="1074"/>
      <c r="E147" s="1073"/>
    </row>
    <row r="148" s="971" customFormat="1" spans="1:5">
      <c r="A148" s="1073"/>
      <c r="C148" s="1074"/>
      <c r="E148" s="1073"/>
    </row>
    <row r="149" s="971" customFormat="1" spans="1:5">
      <c r="A149" s="1073"/>
      <c r="C149" s="1074"/>
      <c r="E149" s="1073"/>
    </row>
    <row r="150" s="971" customFormat="1" spans="1:5">
      <c r="A150" s="1073"/>
      <c r="C150" s="1074"/>
      <c r="E150" s="1073"/>
    </row>
    <row r="151" s="971" customFormat="1" spans="1:5">
      <c r="A151" s="1073"/>
      <c r="C151" s="1074"/>
      <c r="E151" s="1073"/>
    </row>
    <row r="152" s="971" customFormat="1" spans="1:5">
      <c r="A152" s="1073"/>
      <c r="C152" s="1074"/>
      <c r="E152" s="1073"/>
    </row>
    <row r="153" s="971" customFormat="1" spans="1:5">
      <c r="A153" s="1073"/>
      <c r="C153" s="1074"/>
      <c r="E153" s="1073"/>
    </row>
    <row r="154" s="971" customFormat="1" spans="1:5">
      <c r="A154" s="1073"/>
      <c r="C154" s="1074"/>
      <c r="E154" s="1073"/>
    </row>
    <row r="155" s="971" customFormat="1" spans="1:5">
      <c r="A155" s="1073"/>
      <c r="C155" s="1074"/>
      <c r="E155" s="1073"/>
    </row>
    <row r="156" s="971" customFormat="1" spans="1:5">
      <c r="A156" s="1073"/>
      <c r="C156" s="1074"/>
      <c r="E156" s="1073"/>
    </row>
    <row r="157" s="971" customFormat="1" spans="1:5">
      <c r="A157" s="1073"/>
      <c r="C157" s="1074"/>
      <c r="E157" s="1073"/>
    </row>
    <row r="158" s="971" customFormat="1" spans="1:5">
      <c r="A158" s="1073"/>
      <c r="C158" s="1074"/>
      <c r="E158" s="1073"/>
    </row>
    <row r="159" s="971" customFormat="1" spans="1:5">
      <c r="A159" s="1073"/>
      <c r="C159" s="1074"/>
      <c r="E159" s="1073"/>
    </row>
    <row r="160" s="971" customFormat="1" spans="1:5">
      <c r="A160" s="1073"/>
      <c r="C160" s="1074"/>
      <c r="E160" s="1073"/>
    </row>
    <row r="161" s="971" customFormat="1" spans="1:5">
      <c r="A161" s="1073"/>
      <c r="C161" s="1074"/>
      <c r="E161" s="1073"/>
    </row>
    <row r="162" s="971" customFormat="1" spans="1:5">
      <c r="A162" s="1073"/>
      <c r="C162" s="1074"/>
      <c r="E162" s="1073"/>
    </row>
    <row r="163" s="971" customFormat="1" spans="1:5">
      <c r="A163" s="1073"/>
      <c r="C163" s="1074"/>
      <c r="E163" s="1073"/>
    </row>
    <row r="164" s="971" customFormat="1" spans="1:5">
      <c r="A164" s="1073"/>
      <c r="C164" s="1074"/>
      <c r="E164" s="1073"/>
    </row>
    <row r="165" s="971" customFormat="1" spans="1:5">
      <c r="A165" s="1073"/>
      <c r="C165" s="1074"/>
      <c r="E165" s="1073"/>
    </row>
    <row r="166" s="971" customFormat="1" spans="1:5">
      <c r="A166" s="1073"/>
      <c r="C166" s="1074"/>
      <c r="E166" s="1073"/>
    </row>
    <row r="167" s="971" customFormat="1" spans="1:5">
      <c r="A167" s="1073"/>
      <c r="C167" s="1074"/>
      <c r="E167" s="1073"/>
    </row>
    <row r="168" s="971" customFormat="1" spans="1:5">
      <c r="A168" s="1073"/>
      <c r="C168" s="1074"/>
      <c r="E168" s="1073"/>
    </row>
    <row r="169" s="971" customFormat="1" spans="1:5">
      <c r="A169" s="1073"/>
      <c r="C169" s="1074"/>
      <c r="E169" s="1073"/>
    </row>
    <row r="170" s="971" customFormat="1" spans="1:5">
      <c r="A170" s="1073"/>
      <c r="C170" s="1074"/>
      <c r="E170" s="1073"/>
    </row>
    <row r="171" s="971" customFormat="1" spans="1:5">
      <c r="A171" s="1073"/>
      <c r="C171" s="1074"/>
      <c r="E171" s="1073"/>
    </row>
    <row r="172" s="971" customFormat="1" spans="1:5">
      <c r="A172" s="1073"/>
      <c r="C172" s="1074"/>
      <c r="E172" s="1073"/>
    </row>
    <row r="173" s="971" customFormat="1" spans="1:5">
      <c r="A173" s="1073"/>
      <c r="C173" s="1074"/>
      <c r="E173" s="1073"/>
    </row>
    <row r="174" s="971" customFormat="1" spans="1:5">
      <c r="A174" s="1073"/>
      <c r="C174" s="1074"/>
      <c r="E174" s="1073"/>
    </row>
    <row r="175" s="971" customFormat="1" spans="1:5">
      <c r="A175" s="1073"/>
      <c r="C175" s="1074"/>
      <c r="E175" s="1073"/>
    </row>
    <row r="176" s="971" customFormat="1" spans="1:5">
      <c r="A176" s="1073"/>
      <c r="C176" s="1074"/>
      <c r="E176" s="1073"/>
    </row>
    <row r="177" s="971" customFormat="1" spans="1:5">
      <c r="A177" s="1073"/>
      <c r="C177" s="1074"/>
      <c r="E177" s="1073"/>
    </row>
    <row r="178" s="971" customFormat="1" spans="1:5">
      <c r="A178" s="1073"/>
      <c r="C178" s="1074"/>
      <c r="E178" s="1073"/>
    </row>
    <row r="179" s="971" customFormat="1" spans="1:5">
      <c r="A179" s="1073"/>
      <c r="C179" s="1074"/>
      <c r="E179" s="1073"/>
    </row>
    <row r="180" s="971" customFormat="1" spans="1:5">
      <c r="A180" s="1073"/>
      <c r="C180" s="1074"/>
      <c r="E180" s="1073"/>
    </row>
    <row r="181" s="971" customFormat="1" spans="1:5">
      <c r="A181" s="1073"/>
      <c r="C181" s="1074"/>
      <c r="E181" s="1073"/>
    </row>
    <row r="182" s="971" customFormat="1" spans="1:5">
      <c r="A182" s="1073"/>
      <c r="C182" s="1074"/>
      <c r="E182" s="1073"/>
    </row>
    <row r="183" s="971" customFormat="1" spans="1:5">
      <c r="A183" s="1073"/>
      <c r="C183" s="1074"/>
      <c r="E183" s="1073"/>
    </row>
    <row r="184" s="971" customFormat="1" spans="1:5">
      <c r="A184" s="1073"/>
      <c r="C184" s="1074"/>
      <c r="E184" s="1073"/>
    </row>
    <row r="185" s="971" customFormat="1" spans="1:5">
      <c r="A185" s="1073"/>
      <c r="C185" s="1074"/>
      <c r="E185" s="1073"/>
    </row>
    <row r="186" s="971" customFormat="1" spans="1:5">
      <c r="A186" s="1073"/>
      <c r="C186" s="1074"/>
      <c r="E186" s="1073"/>
    </row>
    <row r="187" s="971" customFormat="1" spans="1:5">
      <c r="A187" s="1073"/>
      <c r="C187" s="1074"/>
      <c r="E187" s="1073"/>
    </row>
    <row r="188" s="971" customFormat="1" spans="1:5">
      <c r="A188" s="1073"/>
      <c r="C188" s="1074"/>
      <c r="E188" s="1073"/>
    </row>
    <row r="189" s="971" customFormat="1" spans="1:5">
      <c r="A189" s="1073"/>
      <c r="C189" s="1074"/>
      <c r="E189" s="1073"/>
    </row>
    <row r="190" s="971" customFormat="1" spans="1:5">
      <c r="A190" s="1073"/>
      <c r="C190" s="1074"/>
      <c r="E190" s="1073"/>
    </row>
    <row r="191" s="971" customFormat="1" spans="1:5">
      <c r="A191" s="1073"/>
      <c r="C191" s="1074"/>
      <c r="E191" s="1073"/>
    </row>
    <row r="192" s="971" customFormat="1" spans="1:5">
      <c r="A192" s="1073"/>
      <c r="C192" s="1074"/>
      <c r="E192" s="1073"/>
    </row>
    <row r="193" s="971" customFormat="1" spans="1:5">
      <c r="A193" s="1073"/>
      <c r="C193" s="1074"/>
      <c r="E193" s="1073"/>
    </row>
    <row r="194" s="971" customFormat="1" spans="1:5">
      <c r="A194" s="1073"/>
      <c r="C194" s="1074"/>
      <c r="E194" s="1073"/>
    </row>
    <row r="195" s="971" customFormat="1" spans="1:5">
      <c r="A195" s="1073"/>
      <c r="C195" s="1074"/>
      <c r="E195" s="1073"/>
    </row>
    <row r="196" s="971" customFormat="1" spans="1:5">
      <c r="A196" s="1073"/>
      <c r="C196" s="1074"/>
      <c r="E196" s="1073"/>
    </row>
    <row r="197" s="971" customFormat="1" spans="1:5">
      <c r="A197" s="1073"/>
      <c r="C197" s="1074"/>
      <c r="E197" s="1073"/>
    </row>
    <row r="198" s="971" customFormat="1" spans="1:5">
      <c r="A198" s="1073"/>
      <c r="C198" s="1074"/>
      <c r="E198" s="1073"/>
    </row>
    <row r="199" s="971" customFormat="1" spans="1:5">
      <c r="A199" s="1073"/>
      <c r="C199" s="1074"/>
      <c r="E199" s="1073"/>
    </row>
    <row r="200" s="971" customFormat="1" spans="1:5">
      <c r="A200" s="1073"/>
      <c r="C200" s="1074"/>
      <c r="E200" s="1073"/>
    </row>
    <row r="201" s="971" customFormat="1" spans="1:5">
      <c r="A201" s="1073"/>
      <c r="C201" s="1074"/>
      <c r="E201" s="1073"/>
    </row>
    <row r="202" s="971" customFormat="1" spans="1:5">
      <c r="A202" s="1073"/>
      <c r="C202" s="1074"/>
      <c r="E202" s="1073"/>
    </row>
    <row r="203" s="971" customFormat="1" spans="1:5">
      <c r="A203" s="1073"/>
      <c r="C203" s="1074"/>
      <c r="E203" s="1073"/>
    </row>
    <row r="204" s="971" customFormat="1" spans="1:5">
      <c r="A204" s="1073"/>
      <c r="C204" s="1074"/>
      <c r="E204" s="1073"/>
    </row>
    <row r="205" s="971" customFormat="1" spans="1:5">
      <c r="A205" s="1073"/>
      <c r="C205" s="1074"/>
      <c r="E205" s="1073"/>
    </row>
    <row r="206" s="971" customFormat="1" spans="1:5">
      <c r="A206" s="1073"/>
      <c r="C206" s="1074"/>
      <c r="E206" s="1073"/>
    </row>
    <row r="207" s="971" customFormat="1" spans="1:5">
      <c r="A207" s="1073"/>
      <c r="C207" s="1074"/>
      <c r="E207" s="1073"/>
    </row>
    <row r="208" s="971" customFormat="1" spans="1:5">
      <c r="A208" s="1073"/>
      <c r="C208" s="1074"/>
      <c r="E208" s="1073"/>
    </row>
    <row r="209" s="971" customFormat="1" spans="1:5">
      <c r="A209" s="1073"/>
      <c r="C209" s="1074"/>
      <c r="E209" s="1073"/>
    </row>
    <row r="210" s="971" customFormat="1" spans="1:5">
      <c r="A210" s="1073"/>
      <c r="C210" s="1074"/>
      <c r="E210" s="1073"/>
    </row>
    <row r="211" s="971" customFormat="1" spans="1:5">
      <c r="A211" s="1073"/>
      <c r="C211" s="1074"/>
      <c r="E211" s="1073"/>
    </row>
    <row r="212" s="971" customFormat="1" spans="1:5">
      <c r="A212" s="1073"/>
      <c r="C212" s="1074"/>
      <c r="E212" s="1073"/>
    </row>
    <row r="213" s="971" customFormat="1" spans="1:5">
      <c r="A213" s="1073"/>
      <c r="C213" s="1074"/>
      <c r="E213" s="1073"/>
    </row>
    <row r="214" s="971" customFormat="1" spans="1:5">
      <c r="A214" s="1073"/>
      <c r="C214" s="1074"/>
      <c r="E214" s="1073"/>
    </row>
    <row r="215" s="971" customFormat="1" spans="1:5">
      <c r="A215" s="1073"/>
      <c r="C215" s="1074"/>
      <c r="E215" s="1073"/>
    </row>
    <row r="216" s="971" customFormat="1" spans="1:5">
      <c r="A216" s="1073"/>
      <c r="C216" s="1074"/>
      <c r="E216" s="1073"/>
    </row>
    <row r="217" s="971" customFormat="1" spans="1:5">
      <c r="A217" s="1073"/>
      <c r="C217" s="1074"/>
      <c r="E217" s="1073"/>
    </row>
    <row r="218" s="971" customFormat="1" spans="1:5">
      <c r="A218" s="1073"/>
      <c r="C218" s="1074"/>
      <c r="E218" s="1073"/>
    </row>
    <row r="219" s="971" customFormat="1" spans="1:5">
      <c r="A219" s="1073"/>
      <c r="C219" s="1074"/>
      <c r="E219" s="1073"/>
    </row>
    <row r="220" s="971" customFormat="1" spans="1:5">
      <c r="A220" s="1073"/>
      <c r="C220" s="1074"/>
      <c r="E220" s="1073"/>
    </row>
    <row r="221" s="971" customFormat="1" spans="1:5">
      <c r="A221" s="1073"/>
      <c r="C221" s="1074"/>
      <c r="E221" s="1073"/>
    </row>
    <row r="222" s="971" customFormat="1" spans="1:5">
      <c r="A222" s="1073"/>
      <c r="C222" s="1074"/>
      <c r="E222" s="1073"/>
    </row>
    <row r="223" s="971" customFormat="1" spans="1:5">
      <c r="A223" s="1073"/>
      <c r="C223" s="1074"/>
      <c r="E223" s="1073"/>
    </row>
    <row r="224" s="971" customFormat="1" spans="1:5">
      <c r="A224" s="1073"/>
      <c r="C224" s="1074"/>
      <c r="E224" s="1073"/>
    </row>
    <row r="225" s="971" customFormat="1" spans="1:5">
      <c r="A225" s="1073"/>
      <c r="C225" s="1074"/>
      <c r="E225" s="1073"/>
    </row>
    <row r="226" s="971" customFormat="1" spans="1:5">
      <c r="A226" s="1073"/>
      <c r="C226" s="1074"/>
      <c r="E226" s="1073"/>
    </row>
    <row r="227" s="971" customFormat="1" spans="1:5">
      <c r="A227" s="1073"/>
      <c r="C227" s="1074"/>
      <c r="E227" s="1073"/>
    </row>
    <row r="228" s="971" customFormat="1" spans="1:5">
      <c r="A228" s="1073"/>
      <c r="C228" s="1074"/>
      <c r="E228" s="1073"/>
    </row>
    <row r="229" s="971" customFormat="1" spans="1:5">
      <c r="A229" s="1073"/>
      <c r="C229" s="1074"/>
      <c r="E229" s="1073"/>
    </row>
    <row r="230" s="971" customFormat="1" spans="1:5">
      <c r="A230" s="1073"/>
      <c r="C230" s="1074"/>
      <c r="E230" s="1073"/>
    </row>
    <row r="231" s="971" customFormat="1" spans="1:5">
      <c r="A231" s="1073"/>
      <c r="C231" s="1074"/>
      <c r="E231" s="1073"/>
    </row>
    <row r="232" s="971" customFormat="1" spans="1:5">
      <c r="A232" s="1073"/>
      <c r="C232" s="1074"/>
      <c r="E232" s="1073"/>
    </row>
    <row r="233" s="971" customFormat="1" spans="1:5">
      <c r="A233" s="1073"/>
      <c r="C233" s="1074"/>
      <c r="E233" s="1073"/>
    </row>
    <row r="234" s="971" customFormat="1" spans="1:5">
      <c r="A234" s="1073"/>
      <c r="C234" s="1074"/>
      <c r="E234" s="1073"/>
    </row>
    <row r="235" s="971" customFormat="1" spans="1:5">
      <c r="A235" s="1073"/>
      <c r="C235" s="1074"/>
      <c r="E235" s="1073"/>
    </row>
    <row r="236" s="971" customFormat="1" spans="1:5">
      <c r="A236" s="1073"/>
      <c r="C236" s="1074"/>
      <c r="E236" s="1073"/>
    </row>
    <row r="237" s="971" customFormat="1" spans="1:5">
      <c r="A237" s="1073"/>
      <c r="C237" s="1074"/>
      <c r="E237" s="1073"/>
    </row>
    <row r="238" s="971" customFormat="1" spans="1:5">
      <c r="A238" s="1073"/>
      <c r="C238" s="1074"/>
      <c r="E238" s="1073"/>
    </row>
    <row r="239" s="971" customFormat="1" spans="1:5">
      <c r="A239" s="1073"/>
      <c r="C239" s="1074"/>
      <c r="E239" s="1073"/>
    </row>
    <row r="240" s="971" customFormat="1" spans="1:5">
      <c r="A240" s="1073"/>
      <c r="C240" s="1074"/>
      <c r="E240" s="1073"/>
    </row>
    <row r="241" s="971" customFormat="1" spans="1:5">
      <c r="A241" s="1073"/>
      <c r="C241" s="1074"/>
      <c r="E241" s="1073"/>
    </row>
    <row r="242" s="971" customFormat="1" spans="1:5">
      <c r="A242" s="1073"/>
      <c r="C242" s="1074"/>
      <c r="E242" s="1073"/>
    </row>
    <row r="243" s="971" customFormat="1" spans="1:5">
      <c r="A243" s="1073"/>
      <c r="C243" s="1074"/>
      <c r="E243" s="1073"/>
    </row>
    <row r="244" s="971" customFormat="1" spans="1:5">
      <c r="A244" s="1073"/>
      <c r="C244" s="1074"/>
      <c r="E244" s="1073"/>
    </row>
    <row r="245" s="971" customFormat="1" spans="1:5">
      <c r="A245" s="1073"/>
      <c r="C245" s="1074"/>
      <c r="E245" s="1073"/>
    </row>
    <row r="246" s="971" customFormat="1" spans="1:5">
      <c r="A246" s="1073"/>
      <c r="C246" s="1074"/>
      <c r="E246" s="1073"/>
    </row>
    <row r="247" s="971" customFormat="1" spans="1:5">
      <c r="A247" s="1073"/>
      <c r="C247" s="1074"/>
      <c r="E247" s="1073"/>
    </row>
    <row r="248" s="971" customFormat="1" spans="1:5">
      <c r="A248" s="1073"/>
      <c r="C248" s="1074"/>
      <c r="E248" s="1073"/>
    </row>
    <row r="249" s="971" customFormat="1" spans="1:5">
      <c r="A249" s="1073"/>
      <c r="C249" s="1074"/>
      <c r="E249" s="1073"/>
    </row>
    <row r="250" s="971" customFormat="1" spans="1:5">
      <c r="A250" s="1073"/>
      <c r="C250" s="1074"/>
      <c r="E250" s="1073"/>
    </row>
    <row r="251" s="971" customFormat="1" spans="1:5">
      <c r="A251" s="1073"/>
      <c r="C251" s="1074"/>
      <c r="E251" s="1073"/>
    </row>
    <row r="252" s="971" customFormat="1" spans="1:5">
      <c r="A252" s="1073"/>
      <c r="C252" s="1074"/>
      <c r="E252" s="1073"/>
    </row>
    <row r="253" s="971" customFormat="1" spans="1:5">
      <c r="A253" s="1073"/>
      <c r="C253" s="1074"/>
      <c r="E253" s="1073"/>
    </row>
    <row r="254" s="971" customFormat="1" spans="1:5">
      <c r="A254" s="1073"/>
      <c r="C254" s="1074"/>
      <c r="E254" s="1073"/>
    </row>
    <row r="255" s="971" customFormat="1" spans="1:5">
      <c r="A255" s="1073"/>
      <c r="C255" s="1074"/>
      <c r="E255" s="1073"/>
    </row>
    <row r="256" s="971" customFormat="1" spans="1:5">
      <c r="A256" s="1073"/>
      <c r="C256" s="1074"/>
      <c r="E256" s="1073"/>
    </row>
    <row r="257" s="971" customFormat="1" spans="1:5">
      <c r="A257" s="1073"/>
      <c r="C257" s="1074"/>
      <c r="E257" s="1073"/>
    </row>
    <row r="258" s="971" customFormat="1" spans="1:5">
      <c r="A258" s="1073"/>
      <c r="C258" s="1074"/>
      <c r="E258" s="1073"/>
    </row>
    <row r="259" s="971" customFormat="1" spans="1:5">
      <c r="A259" s="1073"/>
      <c r="C259" s="1074"/>
      <c r="E259" s="1073"/>
    </row>
    <row r="260" s="971" customFormat="1" spans="1:5">
      <c r="A260" s="1073"/>
      <c r="C260" s="1074"/>
      <c r="E260" s="1073"/>
    </row>
    <row r="261" s="971" customFormat="1" spans="1:5">
      <c r="A261" s="1073"/>
      <c r="C261" s="1074"/>
      <c r="E261" s="1073"/>
    </row>
    <row r="262" s="971" customFormat="1" spans="1:5">
      <c r="A262" s="1073"/>
      <c r="C262" s="1074"/>
      <c r="E262" s="1073"/>
    </row>
    <row r="263" s="971" customFormat="1" spans="1:5">
      <c r="A263" s="1073"/>
      <c r="C263" s="1074"/>
      <c r="E263" s="1073"/>
    </row>
    <row r="264" s="971" customFormat="1" spans="1:5">
      <c r="A264" s="1073"/>
      <c r="C264" s="1074"/>
      <c r="E264" s="1073"/>
    </row>
    <row r="265" s="971" customFormat="1" spans="1:5">
      <c r="A265" s="1073"/>
      <c r="C265" s="1074"/>
      <c r="E265" s="1073"/>
    </row>
    <row r="266" s="971" customFormat="1" spans="1:5">
      <c r="A266" s="1073"/>
      <c r="C266" s="1074"/>
      <c r="E266" s="1073"/>
    </row>
    <row r="267" s="971" customFormat="1" spans="1:5">
      <c r="A267" s="1073"/>
      <c r="C267" s="1074"/>
      <c r="E267" s="1073"/>
    </row>
    <row r="268" s="971" customFormat="1" spans="1:5">
      <c r="A268" s="1073"/>
      <c r="C268" s="1074"/>
      <c r="E268" s="1073"/>
    </row>
    <row r="269" s="971" customFormat="1" spans="1:5">
      <c r="A269" s="1073"/>
      <c r="C269" s="1074"/>
      <c r="E269" s="1073"/>
    </row>
    <row r="270" s="971" customFormat="1" spans="1:5">
      <c r="A270" s="1073"/>
      <c r="C270" s="1074"/>
      <c r="E270" s="1073"/>
    </row>
    <row r="271" s="971" customFormat="1" spans="1:5">
      <c r="A271" s="1073"/>
      <c r="C271" s="1074"/>
      <c r="E271" s="1073"/>
    </row>
    <row r="272" s="971" customFormat="1" spans="1:5">
      <c r="A272" s="1073"/>
      <c r="C272" s="1074"/>
      <c r="E272" s="1073"/>
    </row>
    <row r="273" s="971" customFormat="1" spans="1:5">
      <c r="A273" s="1073"/>
      <c r="C273" s="1074"/>
      <c r="E273" s="1073"/>
    </row>
    <row r="274" s="971" customFormat="1" spans="1:5">
      <c r="A274" s="1073"/>
      <c r="C274" s="1074"/>
      <c r="E274" s="1073"/>
    </row>
    <row r="275" s="971" customFormat="1" spans="1:5">
      <c r="A275" s="1073"/>
      <c r="C275" s="1074"/>
      <c r="E275" s="1073"/>
    </row>
    <row r="276" s="971" customFormat="1" spans="1:5">
      <c r="A276" s="1073"/>
      <c r="C276" s="1074"/>
      <c r="E276" s="1073"/>
    </row>
    <row r="277" s="971" customFormat="1" spans="1:5">
      <c r="A277" s="1073"/>
      <c r="C277" s="1074"/>
      <c r="E277" s="1073"/>
    </row>
    <row r="278" s="971" customFormat="1" spans="1:5">
      <c r="A278" s="1073"/>
      <c r="C278" s="1074"/>
      <c r="E278" s="1073"/>
    </row>
    <row r="279" s="971" customFormat="1" spans="1:5">
      <c r="A279" s="1073"/>
      <c r="C279" s="1074"/>
      <c r="E279" s="1073"/>
    </row>
    <row r="280" s="971" customFormat="1" spans="1:5">
      <c r="A280" s="1073"/>
      <c r="C280" s="1074"/>
      <c r="E280" s="1073"/>
    </row>
    <row r="281" s="971" customFormat="1" spans="1:5">
      <c r="A281" s="1073"/>
      <c r="C281" s="1074"/>
      <c r="E281" s="1073"/>
    </row>
    <row r="282" s="971" customFormat="1" spans="1:5">
      <c r="A282" s="1073"/>
      <c r="C282" s="1074"/>
      <c r="E282" s="1073"/>
    </row>
    <row r="283" s="971" customFormat="1" spans="1:5">
      <c r="A283" s="1073"/>
      <c r="C283" s="1074"/>
      <c r="E283" s="1073"/>
    </row>
    <row r="284" s="971" customFormat="1" spans="1:5">
      <c r="A284" s="1073"/>
      <c r="C284" s="1074"/>
      <c r="E284" s="1073"/>
    </row>
    <row r="285" s="971" customFormat="1" spans="1:5">
      <c r="A285" s="1073"/>
      <c r="C285" s="1074"/>
      <c r="E285" s="1073"/>
    </row>
    <row r="286" s="971" customFormat="1" spans="1:5">
      <c r="A286" s="1073"/>
      <c r="C286" s="1074"/>
      <c r="E286" s="1073"/>
    </row>
    <row r="287" s="971" customFormat="1" spans="1:5">
      <c r="A287" s="1073"/>
      <c r="C287" s="1074"/>
      <c r="E287" s="1073"/>
    </row>
    <row r="288" s="971" customFormat="1" spans="1:5">
      <c r="A288" s="1073"/>
      <c r="C288" s="1074"/>
      <c r="E288" s="1073"/>
    </row>
    <row r="289" s="971" customFormat="1" spans="1:5">
      <c r="A289" s="1073"/>
      <c r="C289" s="1074"/>
      <c r="E289" s="1073"/>
    </row>
    <row r="290" s="971" customFormat="1" spans="1:5">
      <c r="A290" s="1073"/>
      <c r="C290" s="1074"/>
      <c r="E290" s="1073"/>
    </row>
    <row r="291" s="971" customFormat="1" spans="1:5">
      <c r="A291" s="1073"/>
      <c r="C291" s="1074"/>
      <c r="E291" s="1073"/>
    </row>
    <row r="292" s="971" customFormat="1" spans="1:5">
      <c r="A292" s="1073"/>
      <c r="C292" s="1074"/>
      <c r="E292" s="1073"/>
    </row>
    <row r="293" s="971" customFormat="1" spans="1:5">
      <c r="A293" s="1073"/>
      <c r="C293" s="1074"/>
      <c r="E293" s="1073"/>
    </row>
    <row r="294" s="971" customFormat="1" spans="1:5">
      <c r="A294" s="1073"/>
      <c r="C294" s="1074"/>
      <c r="E294" s="1073"/>
    </row>
    <row r="295" s="971" customFormat="1" spans="1:5">
      <c r="A295" s="1073"/>
      <c r="C295" s="1074"/>
      <c r="E295" s="1073"/>
    </row>
    <row r="296" s="971" customFormat="1" spans="1:5">
      <c r="A296" s="1073"/>
      <c r="C296" s="1074"/>
      <c r="E296" s="1073"/>
    </row>
    <row r="297" s="971" customFormat="1" spans="1:5">
      <c r="A297" s="1073"/>
      <c r="C297" s="1074"/>
      <c r="E297" s="1073"/>
    </row>
    <row r="298" s="971" customFormat="1" spans="1:5">
      <c r="A298" s="1073"/>
      <c r="C298" s="1074"/>
      <c r="E298" s="1073"/>
    </row>
    <row r="299" s="971" customFormat="1" spans="1:5">
      <c r="A299" s="1073"/>
      <c r="C299" s="1074"/>
      <c r="E299" s="1073"/>
    </row>
    <row r="300" s="971" customFormat="1" spans="1:5">
      <c r="A300" s="1073"/>
      <c r="C300" s="1074"/>
      <c r="E300" s="1073"/>
    </row>
    <row r="301" s="971" customFormat="1" spans="1:5">
      <c r="A301" s="1073"/>
      <c r="C301" s="1074"/>
      <c r="E301" s="1073"/>
    </row>
    <row r="302" s="971" customFormat="1" spans="1:5">
      <c r="A302" s="1073"/>
      <c r="C302" s="1074"/>
      <c r="E302" s="1073"/>
    </row>
    <row r="303" s="971" customFormat="1" spans="1:5">
      <c r="A303" s="1073"/>
      <c r="C303" s="1074"/>
      <c r="E303" s="1073"/>
    </row>
    <row r="304" s="971" customFormat="1" spans="1:5">
      <c r="A304" s="1073"/>
      <c r="C304" s="1074"/>
      <c r="E304" s="1073"/>
    </row>
    <row r="305" s="971" customFormat="1" spans="1:5">
      <c r="A305" s="1073"/>
      <c r="C305" s="1074"/>
      <c r="E305" s="1073"/>
    </row>
    <row r="306" s="971" customFormat="1" spans="1:5">
      <c r="A306" s="1073"/>
      <c r="C306" s="1074"/>
      <c r="E306" s="1073"/>
    </row>
    <row r="307" s="971" customFormat="1" spans="1:5">
      <c r="A307" s="1073"/>
      <c r="C307" s="1074"/>
      <c r="E307" s="1073"/>
    </row>
    <row r="308" s="971" customFormat="1" spans="1:5">
      <c r="A308" s="1073"/>
      <c r="C308" s="1074"/>
      <c r="E308" s="1073"/>
    </row>
    <row r="309" s="971" customFormat="1" spans="1:5">
      <c r="A309" s="1073"/>
      <c r="C309" s="1074"/>
      <c r="E309" s="1073"/>
    </row>
    <row r="310" s="971" customFormat="1" spans="1:5">
      <c r="A310" s="1073"/>
      <c r="C310" s="1074"/>
      <c r="E310" s="1073"/>
    </row>
    <row r="311" s="971" customFormat="1" spans="1:5">
      <c r="A311" s="1073"/>
      <c r="C311" s="1074"/>
      <c r="E311" s="1073"/>
    </row>
    <row r="312" s="971" customFormat="1" spans="1:5">
      <c r="A312" s="1073"/>
      <c r="C312" s="1074"/>
      <c r="E312" s="1073"/>
    </row>
    <row r="313" s="971" customFormat="1" spans="1:5">
      <c r="A313" s="1073"/>
      <c r="C313" s="1074"/>
      <c r="E313" s="1073"/>
    </row>
    <row r="314" s="971" customFormat="1" spans="1:5">
      <c r="A314" s="1073"/>
      <c r="C314" s="1074"/>
      <c r="E314" s="1073"/>
    </row>
    <row r="315" s="971" customFormat="1" spans="1:5">
      <c r="A315" s="1073"/>
      <c r="C315" s="1074"/>
      <c r="E315" s="1073"/>
    </row>
    <row r="316" s="971" customFormat="1" spans="1:5">
      <c r="A316" s="1073"/>
      <c r="C316" s="1074"/>
      <c r="E316" s="1073"/>
    </row>
    <row r="317" s="971" customFormat="1" spans="1:5">
      <c r="A317" s="1073"/>
      <c r="C317" s="1074"/>
      <c r="E317" s="1073"/>
    </row>
    <row r="318" s="971" customFormat="1" spans="1:5">
      <c r="A318" s="1073"/>
      <c r="C318" s="1074"/>
      <c r="E318" s="1073"/>
    </row>
    <row r="319" s="971" customFormat="1" spans="1:5">
      <c r="A319" s="1073"/>
      <c r="C319" s="1074"/>
      <c r="E319" s="1073"/>
    </row>
    <row r="320" s="971" customFormat="1" spans="1:5">
      <c r="A320" s="1073"/>
      <c r="C320" s="1074"/>
      <c r="E320" s="1073"/>
    </row>
    <row r="321" s="971" customFormat="1" spans="1:5">
      <c r="A321" s="1073"/>
      <c r="C321" s="1074"/>
      <c r="E321" s="1073"/>
    </row>
    <row r="322" s="971" customFormat="1" spans="1:5">
      <c r="A322" s="1073"/>
      <c r="C322" s="1074"/>
      <c r="E322" s="1073"/>
    </row>
    <row r="323" s="971" customFormat="1" spans="1:5">
      <c r="A323" s="1073"/>
      <c r="C323" s="1074"/>
      <c r="E323" s="1073"/>
    </row>
    <row r="324" s="971" customFormat="1" spans="1:5">
      <c r="A324" s="1073"/>
      <c r="C324" s="1074"/>
      <c r="E324" s="1073"/>
    </row>
    <row r="325" s="971" customFormat="1" spans="1:5">
      <c r="A325" s="1073"/>
      <c r="C325" s="1074"/>
      <c r="E325" s="1073"/>
    </row>
    <row r="326" s="971" customFormat="1" spans="1:5">
      <c r="A326" s="1073"/>
      <c r="C326" s="1074"/>
      <c r="E326" s="1073"/>
    </row>
    <row r="327" s="971" customFormat="1" spans="1:5">
      <c r="A327" s="1073"/>
      <c r="C327" s="1074"/>
      <c r="E327" s="1073"/>
    </row>
    <row r="328" s="971" customFormat="1" spans="1:5">
      <c r="A328" s="1073"/>
      <c r="C328" s="1074"/>
      <c r="E328" s="1073"/>
    </row>
    <row r="329" s="971" customFormat="1" spans="1:5">
      <c r="A329" s="1073"/>
      <c r="C329" s="1074"/>
      <c r="E329" s="1073"/>
    </row>
    <row r="330" s="971" customFormat="1" spans="1:5">
      <c r="A330" s="1073"/>
      <c r="C330" s="1074"/>
      <c r="E330" s="1073"/>
    </row>
    <row r="331" s="971" customFormat="1" spans="1:5">
      <c r="A331" s="1073"/>
      <c r="C331" s="1074"/>
      <c r="E331" s="1073"/>
    </row>
    <row r="332" s="971" customFormat="1" spans="1:5">
      <c r="A332" s="1073"/>
      <c r="C332" s="1074"/>
      <c r="E332" s="1073"/>
    </row>
    <row r="333" s="971" customFormat="1" spans="1:5">
      <c r="A333" s="1073"/>
      <c r="C333" s="1074"/>
      <c r="E333" s="1073"/>
    </row>
    <row r="334" s="971" customFormat="1" spans="1:5">
      <c r="A334" s="1073"/>
      <c r="C334" s="1074"/>
      <c r="E334" s="1073"/>
    </row>
    <row r="335" s="971" customFormat="1" spans="1:5">
      <c r="A335" s="1073"/>
      <c r="C335" s="1074"/>
      <c r="E335" s="1073"/>
    </row>
    <row r="336" s="971" customFormat="1" spans="1:5">
      <c r="A336" s="1073"/>
      <c r="C336" s="1074"/>
      <c r="E336" s="1073"/>
    </row>
    <row r="337" s="971" customFormat="1" spans="1:5">
      <c r="A337" s="1073"/>
      <c r="C337" s="1074"/>
      <c r="E337" s="1073"/>
    </row>
    <row r="338" s="971" customFormat="1" spans="1:5">
      <c r="A338" s="1073"/>
      <c r="C338" s="1074"/>
      <c r="E338" s="1073"/>
    </row>
    <row r="339" s="971" customFormat="1" spans="1:5">
      <c r="A339" s="1073"/>
      <c r="C339" s="1074"/>
      <c r="E339" s="1073"/>
    </row>
    <row r="340" s="971" customFormat="1" spans="1:5">
      <c r="A340" s="1073"/>
      <c r="C340" s="1074"/>
      <c r="E340" s="1073"/>
    </row>
    <row r="341" s="971" customFormat="1" spans="1:5">
      <c r="A341" s="1073"/>
      <c r="C341" s="1074"/>
      <c r="E341" s="1073"/>
    </row>
    <row r="342" s="971" customFormat="1" spans="1:5">
      <c r="A342" s="1073"/>
      <c r="C342" s="1074"/>
      <c r="E342" s="1073"/>
    </row>
    <row r="343" s="971" customFormat="1" spans="1:5">
      <c r="A343" s="1073"/>
      <c r="C343" s="1074"/>
      <c r="E343" s="1073"/>
    </row>
    <row r="344" s="971" customFormat="1" spans="1:5">
      <c r="A344" s="1073"/>
      <c r="C344" s="1074"/>
      <c r="E344" s="1073"/>
    </row>
    <row r="345" s="971" customFormat="1" spans="1:5">
      <c r="A345" s="1073"/>
      <c r="C345" s="1074"/>
      <c r="E345" s="1073"/>
    </row>
    <row r="346" s="971" customFormat="1" spans="1:5">
      <c r="A346" s="1073"/>
      <c r="C346" s="1074"/>
      <c r="E346" s="1073"/>
    </row>
    <row r="347" s="971" customFormat="1" spans="1:5">
      <c r="A347" s="1073"/>
      <c r="C347" s="1074"/>
      <c r="E347" s="1073"/>
    </row>
    <row r="348" s="971" customFormat="1" spans="1:5">
      <c r="A348" s="1073"/>
      <c r="C348" s="1074"/>
      <c r="E348" s="1073"/>
    </row>
    <row r="349" s="971" customFormat="1" spans="1:5">
      <c r="A349" s="1073"/>
      <c r="C349" s="1074"/>
      <c r="E349" s="1073"/>
    </row>
    <row r="350" s="971" customFormat="1" spans="1:5">
      <c r="A350" s="1073"/>
      <c r="C350" s="1074"/>
      <c r="E350" s="1073"/>
    </row>
    <row r="351" s="971" customFormat="1" spans="1:5">
      <c r="A351" s="1073"/>
      <c r="C351" s="1074"/>
      <c r="E351" s="1073"/>
    </row>
    <row r="352" s="971" customFormat="1" spans="1:5">
      <c r="A352" s="1073"/>
      <c r="C352" s="1074"/>
      <c r="E352" s="1073"/>
    </row>
    <row r="353" s="971" customFormat="1" spans="1:5">
      <c r="A353" s="1073"/>
      <c r="C353" s="1074"/>
      <c r="E353" s="1073"/>
    </row>
    <row r="354" s="971" customFormat="1" spans="1:5">
      <c r="A354" s="1073"/>
      <c r="C354" s="1074"/>
      <c r="E354" s="1073"/>
    </row>
    <row r="355" s="971" customFormat="1" spans="1:5">
      <c r="A355" s="1073"/>
      <c r="C355" s="1074"/>
      <c r="E355" s="1073"/>
    </row>
    <row r="356" s="971" customFormat="1" spans="1:5">
      <c r="A356" s="1073"/>
      <c r="C356" s="1074"/>
      <c r="E356" s="1073"/>
    </row>
    <row r="357" s="971" customFormat="1" spans="1:5">
      <c r="A357" s="1073"/>
      <c r="C357" s="1074"/>
      <c r="E357" s="1073"/>
    </row>
    <row r="358" s="971" customFormat="1" spans="1:5">
      <c r="A358" s="1073"/>
      <c r="C358" s="1074"/>
      <c r="E358" s="1073"/>
    </row>
    <row r="359" s="971" customFormat="1" spans="1:5">
      <c r="A359" s="1073"/>
      <c r="C359" s="1074"/>
      <c r="E359" s="1073"/>
    </row>
    <row r="360" s="971" customFormat="1" spans="1:5">
      <c r="A360" s="1073"/>
      <c r="C360" s="1074"/>
      <c r="E360" s="1073"/>
    </row>
    <row r="361" s="971" customFormat="1" spans="1:5">
      <c r="A361" s="1073"/>
      <c r="C361" s="1074"/>
      <c r="E361" s="1073"/>
    </row>
    <row r="362" s="971" customFormat="1" spans="1:5">
      <c r="A362" s="1073"/>
      <c r="C362" s="1074"/>
      <c r="E362" s="1073"/>
    </row>
    <row r="363" s="971" customFormat="1" spans="1:5">
      <c r="A363" s="1073"/>
      <c r="C363" s="1074"/>
      <c r="E363" s="1073"/>
    </row>
    <row r="364" s="971" customFormat="1" spans="1:5">
      <c r="A364" s="1073"/>
      <c r="C364" s="1074"/>
      <c r="E364" s="1073"/>
    </row>
    <row r="365" s="971" customFormat="1" spans="1:5">
      <c r="A365" s="1073"/>
      <c r="C365" s="1074"/>
      <c r="E365" s="1073"/>
    </row>
    <row r="366" s="971" customFormat="1" spans="1:5">
      <c r="A366" s="1073"/>
      <c r="C366" s="1074"/>
      <c r="E366" s="1073"/>
    </row>
    <row r="367" s="971" customFormat="1" spans="1:5">
      <c r="A367" s="1073"/>
      <c r="C367" s="1074"/>
      <c r="E367" s="1073"/>
    </row>
    <row r="368" s="971" customFormat="1" spans="1:5">
      <c r="A368" s="1073"/>
      <c r="C368" s="1074"/>
      <c r="E368" s="1073"/>
    </row>
    <row r="369" s="971" customFormat="1" spans="1:5">
      <c r="A369" s="1073"/>
      <c r="C369" s="1074"/>
      <c r="E369" s="1073"/>
    </row>
    <row r="370" s="971" customFormat="1" spans="1:5">
      <c r="A370" s="1073"/>
      <c r="C370" s="1074"/>
      <c r="E370" s="1073"/>
    </row>
    <row r="371" s="971" customFormat="1" spans="1:5">
      <c r="A371" s="1073"/>
      <c r="C371" s="1074"/>
      <c r="E371" s="1073"/>
    </row>
    <row r="372" s="971" customFormat="1" spans="1:5">
      <c r="A372" s="1073"/>
      <c r="C372" s="1074"/>
      <c r="E372" s="1073"/>
    </row>
    <row r="373" s="971" customFormat="1" spans="1:5">
      <c r="A373" s="1073"/>
      <c r="C373" s="1074"/>
      <c r="E373" s="1073"/>
    </row>
    <row r="374" s="971" customFormat="1" spans="1:5">
      <c r="A374" s="1073"/>
      <c r="C374" s="1074"/>
      <c r="E374" s="1073"/>
    </row>
    <row r="375" s="971" customFormat="1" spans="1:5">
      <c r="A375" s="1073"/>
      <c r="C375" s="1074"/>
      <c r="E375" s="1073"/>
    </row>
    <row r="376" s="971" customFormat="1" spans="1:5">
      <c r="A376" s="1073"/>
      <c r="C376" s="1074"/>
      <c r="E376" s="1073"/>
    </row>
    <row r="377" s="971" customFormat="1" spans="1:5">
      <c r="A377" s="1073"/>
      <c r="C377" s="1074"/>
      <c r="E377" s="1073"/>
    </row>
    <row r="378" s="971" customFormat="1" spans="1:5">
      <c r="A378" s="1073"/>
      <c r="C378" s="1074"/>
      <c r="E378" s="1073"/>
    </row>
    <row r="379" s="971" customFormat="1" spans="1:5">
      <c r="A379" s="1073"/>
      <c r="C379" s="1074"/>
      <c r="E379" s="1073"/>
    </row>
    <row r="380" s="971" customFormat="1" spans="1:5">
      <c r="A380" s="1073"/>
      <c r="C380" s="1074"/>
      <c r="E380" s="1073"/>
    </row>
    <row r="381" s="971" customFormat="1" spans="1:5">
      <c r="A381" s="1073"/>
      <c r="C381" s="1074"/>
      <c r="E381" s="1073"/>
    </row>
    <row r="382" s="971" customFormat="1" spans="1:5">
      <c r="A382" s="1073"/>
      <c r="C382" s="1074"/>
      <c r="E382" s="1073"/>
    </row>
    <row r="383" s="971" customFormat="1" spans="1:5">
      <c r="A383" s="1073"/>
      <c r="C383" s="1074"/>
      <c r="E383" s="1073"/>
    </row>
    <row r="384" s="971" customFormat="1" spans="1:5">
      <c r="A384" s="1073"/>
      <c r="C384" s="1074"/>
      <c r="E384" s="1073"/>
    </row>
    <row r="385" s="971" customFormat="1" spans="1:5">
      <c r="A385" s="1073"/>
      <c r="C385" s="1074"/>
      <c r="E385" s="1073"/>
    </row>
    <row r="386" s="971" customFormat="1" spans="1:5">
      <c r="A386" s="1073"/>
      <c r="C386" s="1074"/>
      <c r="E386" s="1073"/>
    </row>
    <row r="387" s="971" customFormat="1" spans="1:5">
      <c r="A387" s="1073"/>
      <c r="C387" s="1074"/>
      <c r="E387" s="1073"/>
    </row>
    <row r="388" s="971" customFormat="1" spans="1:5">
      <c r="A388" s="1073"/>
      <c r="C388" s="1074"/>
      <c r="E388" s="1073"/>
    </row>
    <row r="389" s="971" customFormat="1" spans="1:5">
      <c r="A389" s="1073"/>
      <c r="C389" s="1074"/>
      <c r="E389" s="1073"/>
    </row>
    <row r="390" s="971" customFormat="1" spans="1:5">
      <c r="A390" s="1073"/>
      <c r="C390" s="1074"/>
      <c r="E390" s="1073"/>
    </row>
    <row r="391" s="971" customFormat="1" spans="1:5">
      <c r="A391" s="1073"/>
      <c r="C391" s="1074"/>
      <c r="E391" s="1073"/>
    </row>
    <row r="392" s="971" customFormat="1" spans="1:5">
      <c r="A392" s="1073"/>
      <c r="C392" s="1074"/>
      <c r="E392" s="1073"/>
    </row>
    <row r="393" s="971" customFormat="1" spans="1:5">
      <c r="A393" s="1073"/>
      <c r="C393" s="1074"/>
      <c r="E393" s="1073"/>
    </row>
    <row r="394" s="971" customFormat="1" spans="1:5">
      <c r="A394" s="1073"/>
      <c r="C394" s="1074"/>
      <c r="E394" s="1073"/>
    </row>
    <row r="395" s="971" customFormat="1" spans="1:5">
      <c r="A395" s="1073"/>
      <c r="C395" s="1074"/>
      <c r="E395" s="1073"/>
    </row>
    <row r="396" s="971" customFormat="1" spans="1:5">
      <c r="A396" s="1073"/>
      <c r="C396" s="1074"/>
      <c r="E396" s="1073"/>
    </row>
    <row r="397" s="971" customFormat="1" spans="1:5">
      <c r="A397" s="1073"/>
      <c r="C397" s="1074"/>
      <c r="E397" s="1073"/>
    </row>
    <row r="398" s="971" customFormat="1" spans="1:5">
      <c r="A398" s="1073"/>
      <c r="C398" s="1074"/>
      <c r="E398" s="1073"/>
    </row>
    <row r="399" s="971" customFormat="1" spans="1:5">
      <c r="A399" s="1073"/>
      <c r="C399" s="1074"/>
      <c r="E399" s="1073"/>
    </row>
    <row r="400" s="971" customFormat="1" spans="1:5">
      <c r="A400" s="1073"/>
      <c r="C400" s="1074"/>
      <c r="E400" s="1073"/>
    </row>
    <row r="401" s="971" customFormat="1" spans="1:5">
      <c r="A401" s="1073"/>
      <c r="C401" s="1074"/>
      <c r="E401" s="1073"/>
    </row>
    <row r="402" s="971" customFormat="1" spans="1:5">
      <c r="A402" s="1073"/>
      <c r="C402" s="1074"/>
      <c r="E402" s="1073"/>
    </row>
    <row r="403" s="971" customFormat="1" spans="1:5">
      <c r="A403" s="1073"/>
      <c r="C403" s="1074"/>
      <c r="E403" s="1073"/>
    </row>
    <row r="404" s="971" customFormat="1" spans="1:5">
      <c r="A404" s="1073"/>
      <c r="C404" s="1074"/>
      <c r="E404" s="1073"/>
    </row>
    <row r="405" s="971" customFormat="1" spans="1:5">
      <c r="A405" s="1073"/>
      <c r="C405" s="1074"/>
      <c r="E405" s="1073"/>
    </row>
    <row r="406" s="971" customFormat="1" spans="1:5">
      <c r="A406" s="1073"/>
      <c r="C406" s="1074"/>
      <c r="E406" s="1073"/>
    </row>
    <row r="407" s="971" customFormat="1" spans="1:5">
      <c r="A407" s="1073"/>
      <c r="C407" s="1074"/>
      <c r="E407" s="1073"/>
    </row>
    <row r="408" s="971" customFormat="1" spans="1:5">
      <c r="A408" s="1073"/>
      <c r="C408" s="1074"/>
      <c r="E408" s="1073"/>
    </row>
    <row r="409" s="971" customFormat="1" spans="1:5">
      <c r="A409" s="1073"/>
      <c r="C409" s="1074"/>
      <c r="E409" s="1073"/>
    </row>
    <row r="410" s="971" customFormat="1" spans="1:5">
      <c r="A410" s="1073"/>
      <c r="C410" s="1074"/>
      <c r="E410" s="1073"/>
    </row>
    <row r="411" s="971" customFormat="1" spans="1:5">
      <c r="A411" s="1073"/>
      <c r="C411" s="1074"/>
      <c r="E411" s="1073"/>
    </row>
    <row r="412" s="971" customFormat="1" spans="1:5">
      <c r="A412" s="1073"/>
      <c r="C412" s="1074"/>
      <c r="E412" s="1073"/>
    </row>
    <row r="413" s="971" customFormat="1" spans="1:5">
      <c r="A413" s="1073"/>
      <c r="C413" s="1074"/>
      <c r="E413" s="1073"/>
    </row>
    <row r="414" s="971" customFormat="1" spans="1:5">
      <c r="A414" s="1073"/>
      <c r="C414" s="1074"/>
      <c r="E414" s="1073"/>
    </row>
    <row r="415" s="971" customFormat="1" spans="1:5">
      <c r="A415" s="1073"/>
      <c r="C415" s="1074"/>
      <c r="E415" s="1073"/>
    </row>
    <row r="416" s="971" customFormat="1" spans="1:5">
      <c r="A416" s="1073"/>
      <c r="C416" s="1074"/>
      <c r="E416" s="1073"/>
    </row>
    <row r="417" s="971" customFormat="1" spans="1:5">
      <c r="A417" s="1073"/>
      <c r="C417" s="1074"/>
      <c r="E417" s="1073"/>
    </row>
    <row r="418" s="971" customFormat="1" spans="1:5">
      <c r="A418" s="1073"/>
      <c r="C418" s="1074"/>
      <c r="E418" s="1073"/>
    </row>
    <row r="419" s="971" customFormat="1" spans="1:5">
      <c r="A419" s="1073"/>
      <c r="C419" s="1074"/>
      <c r="E419" s="1073"/>
    </row>
    <row r="420" s="971" customFormat="1" spans="1:5">
      <c r="A420" s="1073"/>
      <c r="C420" s="1074"/>
      <c r="E420" s="1073"/>
    </row>
    <row r="421" s="971" customFormat="1" spans="1:5">
      <c r="A421" s="1073"/>
      <c r="C421" s="1074"/>
      <c r="E421" s="1073"/>
    </row>
    <row r="422" s="971" customFormat="1" spans="1:5">
      <c r="A422" s="1073"/>
      <c r="C422" s="1074"/>
      <c r="E422" s="1073"/>
    </row>
    <row r="423" s="971" customFormat="1" spans="1:5">
      <c r="A423" s="1073"/>
      <c r="C423" s="1074"/>
      <c r="E423" s="1073"/>
    </row>
    <row r="424" s="971" customFormat="1" spans="1:5">
      <c r="A424" s="1073"/>
      <c r="C424" s="1074"/>
      <c r="E424" s="1073"/>
    </row>
    <row r="425" s="971" customFormat="1" spans="1:5">
      <c r="A425" s="1073"/>
      <c r="C425" s="1074"/>
      <c r="E425" s="1073"/>
    </row>
    <row r="426" s="971" customFormat="1" spans="1:5">
      <c r="A426" s="1073"/>
      <c r="C426" s="1074"/>
      <c r="E426" s="1073"/>
    </row>
    <row r="427" s="971" customFormat="1" spans="1:5">
      <c r="A427" s="1073"/>
      <c r="C427" s="1074"/>
      <c r="E427" s="1073"/>
    </row>
    <row r="428" s="971" customFormat="1" spans="1:5">
      <c r="A428" s="1073"/>
      <c r="C428" s="1074"/>
      <c r="E428" s="1073"/>
    </row>
    <row r="429" s="971" customFormat="1" spans="1:5">
      <c r="A429" s="1073"/>
      <c r="C429" s="1074"/>
      <c r="E429" s="1073"/>
    </row>
    <row r="430" s="971" customFormat="1" spans="1:5">
      <c r="A430" s="1073"/>
      <c r="C430" s="1074"/>
      <c r="E430" s="1073"/>
    </row>
    <row r="431" s="971" customFormat="1" spans="1:5">
      <c r="A431" s="1073"/>
      <c r="C431" s="1074"/>
      <c r="E431" s="1073"/>
    </row>
    <row r="432" s="971" customFormat="1" spans="1:5">
      <c r="A432" s="1073"/>
      <c r="C432" s="1074"/>
      <c r="E432" s="1073"/>
    </row>
    <row r="433" s="971" customFormat="1" spans="1:5">
      <c r="A433" s="1073"/>
      <c r="C433" s="1074"/>
      <c r="E433" s="1073"/>
    </row>
    <row r="434" s="971" customFormat="1" spans="1:5">
      <c r="A434" s="1073"/>
      <c r="C434" s="1074"/>
      <c r="E434" s="1073"/>
    </row>
    <row r="435" s="971" customFormat="1" spans="1:5">
      <c r="A435" s="1073"/>
      <c r="C435" s="1074"/>
      <c r="E435" s="1073"/>
    </row>
    <row r="436" s="971" customFormat="1" spans="1:5">
      <c r="A436" s="1073"/>
      <c r="C436" s="1074"/>
      <c r="E436" s="1073"/>
    </row>
    <row r="437" s="971" customFormat="1" spans="1:5">
      <c r="A437" s="1073"/>
      <c r="C437" s="1074"/>
      <c r="E437" s="1073"/>
    </row>
    <row r="438" s="971" customFormat="1" spans="1:5">
      <c r="A438" s="1073"/>
      <c r="C438" s="1074"/>
      <c r="E438" s="1073"/>
    </row>
    <row r="439" s="971" customFormat="1" spans="1:5">
      <c r="A439" s="1073"/>
      <c r="C439" s="1074"/>
      <c r="E439" s="1073"/>
    </row>
    <row r="440" s="971" customFormat="1" spans="1:5">
      <c r="A440" s="1073"/>
      <c r="C440" s="1074"/>
      <c r="E440" s="1073"/>
    </row>
    <row r="441" s="971" customFormat="1" spans="1:5">
      <c r="A441" s="1073"/>
      <c r="C441" s="1074"/>
      <c r="E441" s="1073"/>
    </row>
    <row r="442" s="971" customFormat="1" spans="1:5">
      <c r="A442" s="1073"/>
      <c r="C442" s="1074"/>
      <c r="E442" s="1073"/>
    </row>
    <row r="443" s="971" customFormat="1" spans="1:5">
      <c r="A443" s="1073"/>
      <c r="C443" s="1074"/>
      <c r="E443" s="1073"/>
    </row>
    <row r="444" s="971" customFormat="1" spans="1:5">
      <c r="A444" s="1073"/>
      <c r="C444" s="1074"/>
      <c r="E444" s="1073"/>
    </row>
    <row r="445" s="971" customFormat="1" spans="1:5">
      <c r="A445" s="1073"/>
      <c r="C445" s="1074"/>
      <c r="E445" s="1073"/>
    </row>
    <row r="446" s="971" customFormat="1" spans="1:5">
      <c r="A446" s="1073"/>
      <c r="C446" s="1074"/>
      <c r="E446" s="1073"/>
    </row>
    <row r="447" s="971" customFormat="1" spans="1:5">
      <c r="A447" s="1073"/>
      <c r="C447" s="1074"/>
      <c r="E447" s="1073"/>
    </row>
    <row r="448" s="971" customFormat="1" spans="1:5">
      <c r="A448" s="1073"/>
      <c r="C448" s="1074"/>
      <c r="E448" s="1073"/>
    </row>
    <row r="449" s="971" customFormat="1" spans="1:5">
      <c r="A449" s="1073"/>
      <c r="C449" s="1074"/>
      <c r="E449" s="1073"/>
    </row>
    <row r="450" s="971" customFormat="1" spans="1:5">
      <c r="A450" s="1073"/>
      <c r="C450" s="1074"/>
      <c r="E450" s="1073"/>
    </row>
    <row r="451" s="971" customFormat="1" spans="1:5">
      <c r="A451" s="1073"/>
      <c r="C451" s="1074"/>
      <c r="E451" s="1073"/>
    </row>
    <row r="452" s="971" customFormat="1" spans="1:5">
      <c r="A452" s="1073"/>
      <c r="C452" s="1074"/>
      <c r="E452" s="1073"/>
    </row>
    <row r="453" s="971" customFormat="1" spans="1:5">
      <c r="A453" s="1073"/>
      <c r="C453" s="1074"/>
      <c r="E453" s="1073"/>
    </row>
    <row r="454" s="971" customFormat="1" spans="1:5">
      <c r="A454" s="1073"/>
      <c r="C454" s="1074"/>
      <c r="E454" s="1073"/>
    </row>
    <row r="455" s="971" customFormat="1" spans="1:5">
      <c r="A455" s="1073"/>
      <c r="C455" s="1074"/>
      <c r="E455" s="1073"/>
    </row>
    <row r="456" s="971" customFormat="1" spans="1:5">
      <c r="A456" s="1073"/>
      <c r="C456" s="1074"/>
      <c r="E456" s="1073"/>
    </row>
    <row r="457" s="971" customFormat="1" spans="1:5">
      <c r="A457" s="1073"/>
      <c r="C457" s="1074"/>
      <c r="E457" s="1073"/>
    </row>
    <row r="458" s="971" customFormat="1" spans="1:5">
      <c r="A458" s="1073"/>
      <c r="C458" s="1074"/>
      <c r="E458" s="1073"/>
    </row>
    <row r="459" s="971" customFormat="1" spans="1:5">
      <c r="A459" s="1073"/>
      <c r="C459" s="1074"/>
      <c r="E459" s="1073"/>
    </row>
    <row r="460" s="971" customFormat="1" spans="1:5">
      <c r="A460" s="1073"/>
      <c r="C460" s="1074"/>
      <c r="E460" s="1073"/>
    </row>
    <row r="461" s="971" customFormat="1" spans="1:5">
      <c r="A461" s="1073"/>
      <c r="C461" s="1074"/>
      <c r="E461" s="1073"/>
    </row>
    <row r="462" s="971" customFormat="1" spans="1:5">
      <c r="A462" s="1073"/>
      <c r="C462" s="1074"/>
      <c r="E462" s="1073"/>
    </row>
    <row r="463" s="971" customFormat="1" spans="1:5">
      <c r="A463" s="1073"/>
      <c r="C463" s="1074"/>
      <c r="E463" s="1073"/>
    </row>
    <row r="464" s="971" customFormat="1" spans="1:5">
      <c r="A464" s="1073"/>
      <c r="C464" s="1074"/>
      <c r="E464" s="1073"/>
    </row>
    <row r="465" s="971" customFormat="1" spans="1:5">
      <c r="A465" s="1073"/>
      <c r="C465" s="1074"/>
      <c r="E465" s="1073"/>
    </row>
    <row r="466" s="971" customFormat="1" spans="1:5">
      <c r="A466" s="1073"/>
      <c r="C466" s="1074"/>
      <c r="E466" s="1073"/>
    </row>
    <row r="467" s="971" customFormat="1" spans="1:5">
      <c r="A467" s="1073"/>
      <c r="C467" s="1074"/>
      <c r="E467" s="1073"/>
    </row>
    <row r="468" s="971" customFormat="1" spans="1:5">
      <c r="A468" s="1073"/>
      <c r="C468" s="1074"/>
      <c r="E468" s="1073"/>
    </row>
    <row r="469" s="971" customFormat="1" spans="1:5">
      <c r="A469" s="1073"/>
      <c r="C469" s="1074"/>
      <c r="E469" s="1073"/>
    </row>
    <row r="470" s="971" customFormat="1" spans="1:5">
      <c r="A470" s="1073"/>
      <c r="C470" s="1074"/>
      <c r="E470" s="1073"/>
    </row>
    <row r="471" s="971" customFormat="1" spans="1:5">
      <c r="A471" s="1073"/>
      <c r="C471" s="1074"/>
      <c r="E471" s="1073"/>
    </row>
    <row r="472" s="971" customFormat="1" spans="1:5">
      <c r="A472" s="1073"/>
      <c r="C472" s="1074"/>
      <c r="E472" s="1073"/>
    </row>
    <row r="473" s="971" customFormat="1" spans="1:5">
      <c r="A473" s="1073"/>
      <c r="C473" s="1074"/>
      <c r="E473" s="1073"/>
    </row>
    <row r="474" s="971" customFormat="1" spans="1:5">
      <c r="A474" s="1073"/>
      <c r="C474" s="1074"/>
      <c r="E474" s="1073"/>
    </row>
    <row r="475" s="971" customFormat="1" spans="1:5">
      <c r="A475" s="1073"/>
      <c r="C475" s="1074"/>
      <c r="E475" s="1073"/>
    </row>
    <row r="476" s="971" customFormat="1" spans="1:5">
      <c r="A476" s="1073"/>
      <c r="C476" s="1074"/>
      <c r="E476" s="1073"/>
    </row>
    <row r="477" s="971" customFormat="1" spans="1:5">
      <c r="A477" s="1073"/>
      <c r="C477" s="1074"/>
      <c r="E477" s="1073"/>
    </row>
    <row r="478" s="971" customFormat="1" spans="1:5">
      <c r="A478" s="1073"/>
      <c r="C478" s="1074"/>
      <c r="E478" s="1073"/>
    </row>
    <row r="479" s="971" customFormat="1" spans="1:5">
      <c r="A479" s="1073"/>
      <c r="C479" s="1074"/>
      <c r="E479" s="1073"/>
    </row>
    <row r="480" s="971" customFormat="1" spans="1:5">
      <c r="A480" s="1073"/>
      <c r="C480" s="1074"/>
      <c r="E480" s="1073"/>
    </row>
    <row r="481" s="971" customFormat="1" spans="1:5">
      <c r="A481" s="1073"/>
      <c r="C481" s="1074"/>
      <c r="E481" s="1073"/>
    </row>
    <row r="482" s="971" customFormat="1" spans="1:5">
      <c r="A482" s="1073"/>
      <c r="C482" s="1074"/>
      <c r="E482" s="1073"/>
    </row>
    <row r="483" s="971" customFormat="1" spans="1:5">
      <c r="A483" s="1073"/>
      <c r="C483" s="1074"/>
      <c r="E483" s="1073"/>
    </row>
    <row r="484" s="971" customFormat="1" spans="1:5">
      <c r="A484" s="1073"/>
      <c r="C484" s="1074"/>
      <c r="E484" s="1073"/>
    </row>
    <row r="485" s="971" customFormat="1" spans="1:5">
      <c r="A485" s="1073"/>
      <c r="C485" s="1074"/>
      <c r="E485" s="1073"/>
    </row>
    <row r="486" s="971" customFormat="1" spans="1:5">
      <c r="A486" s="1073"/>
      <c r="C486" s="1074"/>
      <c r="E486" s="1073"/>
    </row>
    <row r="487" s="971" customFormat="1" spans="1:5">
      <c r="A487" s="1073"/>
      <c r="C487" s="1074"/>
      <c r="E487" s="1073"/>
    </row>
    <row r="488" s="971" customFormat="1" spans="1:5">
      <c r="A488" s="1073"/>
      <c r="C488" s="1074"/>
      <c r="E488" s="1073"/>
    </row>
    <row r="489" s="971" customFormat="1" spans="1:5">
      <c r="A489" s="1073"/>
      <c r="C489" s="1074"/>
      <c r="E489" s="1073"/>
    </row>
    <row r="490" s="971" customFormat="1" spans="1:5">
      <c r="A490" s="1073"/>
      <c r="C490" s="1074"/>
      <c r="E490" s="1073"/>
    </row>
  </sheetData>
  <sheetProtection formatCells="0" formatColumns="0" formatRows="0"/>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headerFooter/>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76"/>
  <sheetViews>
    <sheetView view="pageBreakPreview" zoomScale="85" zoomScaleNormal="60" workbookViewId="0">
      <selection activeCell="C28" sqref="C28"/>
    </sheetView>
  </sheetViews>
  <sheetFormatPr defaultColWidth="9" defaultRowHeight="15"/>
  <cols>
    <col min="1" max="1" width="9" style="703" customWidth="1"/>
    <col min="2" max="2" width="20.6333333333333" style="704" customWidth="1"/>
    <col min="3" max="3" width="11.9083333333333" style="704" customWidth="1"/>
    <col min="4" max="4" width="40.45" style="703" customWidth="1"/>
    <col min="5" max="5" width="15.725" style="703" customWidth="1"/>
    <col min="6" max="6" width="10.6333333333333" style="703" customWidth="1"/>
    <col min="7" max="7" width="4.90833333333333" style="703" customWidth="1"/>
    <col min="8" max="8" width="8.45" style="703" customWidth="1"/>
    <col min="9" max="9" width="21.2666666666667" style="703" customWidth="1"/>
    <col min="10" max="10" width="12.2666666666667" style="703" customWidth="1"/>
    <col min="11" max="11" width="40.0916666666667" style="705" customWidth="1"/>
    <col min="12" max="12" width="18.3666666666667" style="703" customWidth="1"/>
    <col min="13" max="13" width="13" style="703" customWidth="1"/>
    <col min="14" max="14" width="9.45" style="632" customWidth="1"/>
    <col min="15" max="15" width="5.90833333333333" style="632" customWidth="1"/>
    <col min="16" max="16" width="27.6333333333333" style="632" customWidth="1"/>
    <col min="17" max="17" width="13.725" style="706" customWidth="1"/>
    <col min="18" max="18" width="23.45" style="632" customWidth="1"/>
    <col min="19" max="19" width="1.45" style="632" customWidth="1"/>
    <col min="20" max="33" width="9" style="632"/>
    <col min="34" max="16384" width="9" style="703"/>
  </cols>
  <sheetData>
    <row r="1" s="701" customFormat="1" ht="20.25" spans="1:33">
      <c r="A1" s="707" t="s">
        <v>2404</v>
      </c>
      <c r="B1" s="708"/>
      <c r="C1" s="709" t="s">
        <v>2479</v>
      </c>
      <c r="D1" s="710" t="s">
        <v>2405</v>
      </c>
      <c r="E1" s="711" t="s">
        <v>588</v>
      </c>
      <c r="F1" s="712" t="e">
        <f ca="1">J53</f>
        <v>#N/A</v>
      </c>
      <c r="G1" s="713" t="e">
        <f>MATCH(C1,'数据-取费表'!A6:A16,0)+5</f>
        <v>#N/A</v>
      </c>
      <c r="H1" s="714"/>
      <c r="I1" s="858"/>
      <c r="J1" s="858"/>
      <c r="K1" s="859"/>
      <c r="L1" s="858"/>
      <c r="M1" s="858"/>
      <c r="N1" s="860"/>
      <c r="O1" s="860"/>
      <c r="P1" s="860"/>
      <c r="Q1" s="957"/>
      <c r="R1" s="860"/>
      <c r="S1" s="860"/>
      <c r="T1" s="860"/>
      <c r="U1" s="860"/>
      <c r="V1" s="860"/>
      <c r="W1" s="860"/>
      <c r="X1" s="860"/>
      <c r="Y1" s="860"/>
      <c r="Z1" s="860"/>
      <c r="AA1" s="860"/>
      <c r="AB1" s="860"/>
      <c r="AC1" s="860"/>
      <c r="AD1" s="860"/>
      <c r="AE1" s="860"/>
      <c r="AF1" s="860"/>
      <c r="AG1" s="860"/>
    </row>
    <row r="2" ht="18" customHeight="1" spans="1:13">
      <c r="A2" s="204" t="s">
        <v>919</v>
      </c>
      <c r="B2" s="123" t="e">
        <f ca="1">C40+J29+L46</f>
        <v>#N/A</v>
      </c>
      <c r="C2" s="715"/>
      <c r="D2" s="716"/>
      <c r="E2" s="717"/>
      <c r="F2" s="717"/>
      <c r="G2" s="718"/>
      <c r="H2" s="719"/>
      <c r="I2" s="719"/>
      <c r="J2" s="719"/>
      <c r="K2" s="861"/>
      <c r="L2" s="719"/>
      <c r="M2" s="719"/>
    </row>
    <row r="3" ht="18" customHeight="1" spans="1:13">
      <c r="A3" s="720" t="s">
        <v>2350</v>
      </c>
      <c r="B3" s="721">
        <f ca="1">IF(ISERROR(B2*10000/F43),0,ROUND(B2*10000/F43,0))</f>
        <v>0</v>
      </c>
      <c r="C3" s="715"/>
      <c r="D3" s="716"/>
      <c r="E3" s="717"/>
      <c r="F3" s="717"/>
      <c r="G3" s="718"/>
      <c r="H3" s="722" t="s">
        <v>1911</v>
      </c>
      <c r="I3" s="862"/>
      <c r="J3" s="862"/>
      <c r="K3" s="863"/>
      <c r="L3" s="862"/>
      <c r="M3" s="862"/>
    </row>
    <row r="4" ht="18" customHeight="1" spans="1:13">
      <c r="A4" s="723" t="s">
        <v>1912</v>
      </c>
      <c r="B4" s="724" t="s">
        <v>1913</v>
      </c>
      <c r="C4" s="724" t="s">
        <v>1914</v>
      </c>
      <c r="D4" s="724" t="s">
        <v>1915</v>
      </c>
      <c r="E4" s="725" t="s">
        <v>1916</v>
      </c>
      <c r="F4" s="726"/>
      <c r="G4" s="727"/>
      <c r="H4" s="723" t="s">
        <v>1912</v>
      </c>
      <c r="I4" s="724" t="s">
        <v>1913</v>
      </c>
      <c r="J4" s="724" t="s">
        <v>1914</v>
      </c>
      <c r="K4" s="724" t="s">
        <v>1915</v>
      </c>
      <c r="L4" s="725" t="s">
        <v>1916</v>
      </c>
      <c r="M4" s="726"/>
    </row>
    <row r="5" ht="18" customHeight="1" spans="1:13">
      <c r="A5" s="728">
        <v>1</v>
      </c>
      <c r="B5" s="729" t="s">
        <v>1917</v>
      </c>
      <c r="C5" s="730" t="e">
        <f ca="1">C6+C10+C12</f>
        <v>#N/A</v>
      </c>
      <c r="D5" s="731" t="s">
        <v>1918</v>
      </c>
      <c r="E5" s="732"/>
      <c r="F5" s="733"/>
      <c r="G5" s="727"/>
      <c r="H5" s="728">
        <v>1</v>
      </c>
      <c r="I5" s="729" t="s">
        <v>1917</v>
      </c>
      <c r="J5" s="730" t="e">
        <f ca="1">J6+J10+J12</f>
        <v>#N/A</v>
      </c>
      <c r="K5" s="731" t="s">
        <v>1918</v>
      </c>
      <c r="L5" s="732"/>
      <c r="M5" s="733"/>
    </row>
    <row r="6" ht="18" customHeight="1" spans="1:13">
      <c r="A6" s="734" t="s">
        <v>855</v>
      </c>
      <c r="B6" s="735" t="s">
        <v>1919</v>
      </c>
      <c r="C6" s="736" t="e">
        <f ca="1">ROUND(F6*F8*F7*(1-F9)/10000,0)</f>
        <v>#N/A</v>
      </c>
      <c r="D6" s="737" t="s">
        <v>2406</v>
      </c>
      <c r="E6" s="738" t="s">
        <v>1921</v>
      </c>
      <c r="F6" s="739" t="e">
        <f ca="1">INDIRECT("'数据-取费表'!u"&amp;$G$1)</f>
        <v>#N/A</v>
      </c>
      <c r="G6" s="727"/>
      <c r="H6" s="740" t="s">
        <v>855</v>
      </c>
      <c r="I6" s="735" t="s">
        <v>1919</v>
      </c>
      <c r="J6" s="736" t="e">
        <f ca="1">ROUND(M6*M8*M7*(1-M9)/10000,0)</f>
        <v>#N/A</v>
      </c>
      <c r="K6" s="814" t="s">
        <v>2407</v>
      </c>
      <c r="L6" s="738" t="s">
        <v>1921</v>
      </c>
      <c r="M6" s="739" t="e">
        <f ca="1">INDIRECT("'数据-取费表'!z"&amp;$G$1)</f>
        <v>#N/A</v>
      </c>
    </row>
    <row r="7" ht="18" customHeight="1" spans="1:13">
      <c r="A7" s="741"/>
      <c r="B7" s="742"/>
      <c r="C7" s="743"/>
      <c r="D7" s="744"/>
      <c r="E7" s="738" t="s">
        <v>1922</v>
      </c>
      <c r="F7" s="739" t="e">
        <f ca="1">IF(INDIRECT("'数据-取费表'!ah"&amp;$G$1)="",INDIRECT("'数据-取费表'!k"&amp;$G$1),INDIRECT("'数据-取费表'!ah"&amp;$G$1))</f>
        <v>#N/A</v>
      </c>
      <c r="G7" s="727"/>
      <c r="H7" s="745"/>
      <c r="I7" s="742"/>
      <c r="J7" s="743"/>
      <c r="K7" s="744"/>
      <c r="L7" s="738" t="s">
        <v>1922</v>
      </c>
      <c r="M7" s="739" t="e">
        <f ca="1">F7</f>
        <v>#N/A</v>
      </c>
    </row>
    <row r="8" ht="18" customHeight="1" spans="1:13">
      <c r="A8" s="746"/>
      <c r="B8" s="747"/>
      <c r="C8" s="743"/>
      <c r="D8" s="744"/>
      <c r="E8" s="738" t="s">
        <v>1923</v>
      </c>
      <c r="F8" s="739" t="e">
        <f ca="1">INDIRECT("'数据-取费表'!ai"&amp;$G$1)</f>
        <v>#N/A</v>
      </c>
      <c r="G8" s="727"/>
      <c r="H8" s="745"/>
      <c r="I8" s="747"/>
      <c r="J8" s="743"/>
      <c r="K8" s="744"/>
      <c r="L8" s="738" t="s">
        <v>1923</v>
      </c>
      <c r="M8" s="739" t="e">
        <f ca="1">INDIRECT("'数据-取费表'!ai"&amp;$G$1)</f>
        <v>#N/A</v>
      </c>
    </row>
    <row r="9" ht="18" customHeight="1" spans="1:13">
      <c r="A9" s="748"/>
      <c r="B9" s="749"/>
      <c r="C9" s="743"/>
      <c r="D9" s="744"/>
      <c r="E9" s="738" t="s">
        <v>1924</v>
      </c>
      <c r="F9" s="750" t="e">
        <f ca="1">INDIRECT("'数据-取费表'!w"&amp;$G$1)</f>
        <v>#N/A</v>
      </c>
      <c r="G9" s="727"/>
      <c r="H9" s="751"/>
      <c r="I9" s="747"/>
      <c r="J9" s="743"/>
      <c r="K9" s="744"/>
      <c r="L9" s="795" t="s">
        <v>1924</v>
      </c>
      <c r="M9" s="760" t="e">
        <f ca="1">INDIRECT("'数据-取费表'!ab"&amp;$G$1)</f>
        <v>#N/A</v>
      </c>
    </row>
    <row r="10" ht="18" customHeight="1" spans="1:13">
      <c r="A10" s="734" t="s">
        <v>857</v>
      </c>
      <c r="B10" s="752" t="s">
        <v>1925</v>
      </c>
      <c r="C10" s="124" t="e">
        <f ca="1">ROUND(IF(F10="押一",C6/12*F11,IF(F10="押二",C6/12*2*F11,IF(F10="押三",C6/12*3*F11,C11*F11))),0)</f>
        <v>#N/A</v>
      </c>
      <c r="D10" s="753" t="s">
        <v>1926</v>
      </c>
      <c r="E10" s="754" t="s">
        <v>1927</v>
      </c>
      <c r="F10" s="755" t="s">
        <v>2408</v>
      </c>
      <c r="G10" s="727"/>
      <c r="H10" s="756" t="s">
        <v>857</v>
      </c>
      <c r="I10" s="864" t="s">
        <v>1925</v>
      </c>
      <c r="J10" s="736">
        <f ca="1">ROUND(IF(M10="押一",J6/12*M11,IF(M10="押二",J6/12*2*M11,IF(M10="押三",J6/12*3*M11,J11*M11))),0)</f>
        <v>0</v>
      </c>
      <c r="K10" s="753" t="s">
        <v>1926</v>
      </c>
      <c r="L10" s="754" t="s">
        <v>1927</v>
      </c>
      <c r="M10" s="755"/>
    </row>
    <row r="11" ht="18" customHeight="1" spans="1:13">
      <c r="A11" s="757"/>
      <c r="B11" s="758" t="s">
        <v>1928</v>
      </c>
      <c r="C11" s="759"/>
      <c r="D11" s="744"/>
      <c r="E11" s="754" t="s">
        <v>639</v>
      </c>
      <c r="F11" s="760">
        <f ca="1">'数据-取费表'!B39</f>
        <v>0.015</v>
      </c>
      <c r="G11" s="727"/>
      <c r="H11" s="761"/>
      <c r="I11" s="758" t="s">
        <v>1928</v>
      </c>
      <c r="J11" s="759"/>
      <c r="K11" s="119"/>
      <c r="L11" s="754" t="s">
        <v>639</v>
      </c>
      <c r="M11" s="865">
        <f ca="1">'数据-取费表'!B39</f>
        <v>0.015</v>
      </c>
    </row>
    <row r="12" ht="18" customHeight="1" spans="1:13">
      <c r="A12" s="762" t="s">
        <v>1061</v>
      </c>
      <c r="B12" s="763" t="s">
        <v>1929</v>
      </c>
      <c r="C12" s="764"/>
      <c r="D12" s="765"/>
      <c r="E12" s="766"/>
      <c r="F12" s="767"/>
      <c r="G12" s="727"/>
      <c r="H12" s="768" t="s">
        <v>1061</v>
      </c>
      <c r="I12" s="866" t="s">
        <v>1929</v>
      </c>
      <c r="J12" s="867"/>
      <c r="K12" s="765"/>
      <c r="L12" s="766"/>
      <c r="M12" s="868"/>
    </row>
    <row r="13" ht="18" customHeight="1" spans="1:13">
      <c r="A13" s="769">
        <v>2</v>
      </c>
      <c r="B13" s="770" t="s">
        <v>1933</v>
      </c>
      <c r="C13" s="771" t="e">
        <f ca="1">ROUND(C29*F13,0)</f>
        <v>#N/A</v>
      </c>
      <c r="D13" s="772" t="s">
        <v>2409</v>
      </c>
      <c r="E13" s="772" t="s">
        <v>1932</v>
      </c>
      <c r="F13" s="773" t="e">
        <f ca="1">INDIRECT("'数据-取费表'!y"&amp;$G$1)</f>
        <v>#N/A</v>
      </c>
      <c r="G13" s="727"/>
      <c r="H13" s="769">
        <v>2</v>
      </c>
      <c r="I13" s="770" t="s">
        <v>1933</v>
      </c>
      <c r="J13" s="869" t="e">
        <f ca="1">ROUND(J14*J15,0)</f>
        <v>#N/A</v>
      </c>
      <c r="K13" s="804" t="s">
        <v>1931</v>
      </c>
      <c r="L13" s="870"/>
      <c r="M13" s="871"/>
    </row>
    <row r="14" ht="18" customHeight="1" spans="1:13">
      <c r="A14" s="774" t="s">
        <v>879</v>
      </c>
      <c r="B14" s="738" t="s">
        <v>1068</v>
      </c>
      <c r="C14" s="775">
        <f>'数据-取费表'!P10</f>
        <v>0</v>
      </c>
      <c r="D14" s="776" t="s">
        <v>1934</v>
      </c>
      <c r="E14" s="777"/>
      <c r="F14" s="778"/>
      <c r="G14" s="727"/>
      <c r="H14" s="779" t="s">
        <v>855</v>
      </c>
      <c r="I14" s="856" t="s">
        <v>1935</v>
      </c>
      <c r="J14" s="125" t="e">
        <f ca="1">C29</f>
        <v>#N/A</v>
      </c>
      <c r="K14" s="857"/>
      <c r="L14" s="872"/>
      <c r="M14" s="873"/>
    </row>
    <row r="15" s="702" customFormat="1" ht="18" customHeight="1" spans="1:33">
      <c r="A15" s="774" t="s">
        <v>883</v>
      </c>
      <c r="B15" s="738" t="s">
        <v>1070</v>
      </c>
      <c r="C15" s="125">
        <f>ROUND(C14*F15,0)</f>
        <v>0</v>
      </c>
      <c r="D15" s="780" t="s">
        <v>1936</v>
      </c>
      <c r="E15" s="780" t="s">
        <v>1937</v>
      </c>
      <c r="F15" s="781">
        <f>'数据-取费表'!B33</f>
        <v>0.03</v>
      </c>
      <c r="G15" s="782"/>
      <c r="H15" s="768" t="s">
        <v>857</v>
      </c>
      <c r="I15" s="801" t="s">
        <v>1932</v>
      </c>
      <c r="J15" s="874" t="e">
        <f ca="1">INDIRECT("'数据-取费表'!ad"&amp;$G$1)</f>
        <v>#N/A</v>
      </c>
      <c r="K15" s="875"/>
      <c r="L15" s="876"/>
      <c r="M15" s="877"/>
      <c r="N15" s="878"/>
      <c r="O15" s="878"/>
      <c r="P15" s="878"/>
      <c r="Q15" s="958"/>
      <c r="R15" s="878"/>
      <c r="S15" s="878"/>
      <c r="T15" s="878"/>
      <c r="U15" s="878"/>
      <c r="V15" s="878"/>
      <c r="W15" s="878"/>
      <c r="X15" s="878"/>
      <c r="Y15" s="878"/>
      <c r="Z15" s="878"/>
      <c r="AA15" s="878"/>
      <c r="AB15" s="878"/>
      <c r="AC15" s="878"/>
      <c r="AD15" s="878"/>
      <c r="AE15" s="878"/>
      <c r="AF15" s="878"/>
      <c r="AG15" s="878"/>
    </row>
    <row r="16" ht="18" customHeight="1" spans="1:13">
      <c r="A16" s="774" t="s">
        <v>886</v>
      </c>
      <c r="B16" s="738" t="s">
        <v>1073</v>
      </c>
      <c r="C16" s="125" t="e">
        <f ca="1">ROUND(INDIRECT("'数据-取费表'!m"&amp;$G$1)*F16,0)</f>
        <v>#N/A</v>
      </c>
      <c r="D16" s="738" t="s">
        <v>1936</v>
      </c>
      <c r="E16" s="738" t="s">
        <v>1937</v>
      </c>
      <c r="F16" s="783" t="e">
        <f ca="1">IF(INDIRECT("'数据-取费表'!c"&amp;$G$1)="住宅",'数据-取费表'!B34,0)</f>
        <v>#N/A</v>
      </c>
      <c r="G16" s="727"/>
      <c r="H16" s="769" t="s">
        <v>1997</v>
      </c>
      <c r="I16" s="770" t="s">
        <v>1938</v>
      </c>
      <c r="J16" s="771" t="e">
        <f ca="1">ROUND(J17+J22+J23+J24,0)</f>
        <v>#N/A</v>
      </c>
      <c r="K16" s="804" t="s">
        <v>1939</v>
      </c>
      <c r="L16" s="805"/>
      <c r="M16" s="733"/>
    </row>
    <row r="17" s="702" customFormat="1" ht="18" customHeight="1" spans="1:33">
      <c r="A17" s="774" t="s">
        <v>2410</v>
      </c>
      <c r="B17" s="738" t="s">
        <v>1940</v>
      </c>
      <c r="C17" s="125" t="e">
        <f>ROUND(F17*地块信息表!#REF!/10000,0)</f>
        <v>#REF!</v>
      </c>
      <c r="D17" s="738" t="s">
        <v>1941</v>
      </c>
      <c r="E17" s="738" t="s">
        <v>1942</v>
      </c>
      <c r="F17" s="784">
        <f>'数据-取费表'!B35</f>
        <v>305</v>
      </c>
      <c r="G17" s="782"/>
      <c r="H17" s="779" t="s">
        <v>855</v>
      </c>
      <c r="I17" s="738" t="s">
        <v>1943</v>
      </c>
      <c r="J17" s="807" t="e">
        <f ca="1">ROUND(IF(AND(项目基本情况!B11="自然人",项目基本情况!B10="北京市"),J6*M17/(1+'数据-取费表'!C42),J18+J19+J20),0)</f>
        <v>#N/A</v>
      </c>
      <c r="K17" s="776" t="s">
        <v>1944</v>
      </c>
      <c r="L17" s="808" t="s">
        <v>1945</v>
      </c>
      <c r="M17" s="809" t="str">
        <f ca="1">IF(项目基本情况!B11="企业","——",IF('数据-取费表'!B10="住宅",IF(M6*M7*M8/12/(1+'数据-取费表'!F30)&gt;100000,4%,2.5%),IF(M6*M7*M8/12/(1+'数据-取费表'!F30)&gt;100000,12%,7%)))</f>
        <v>——</v>
      </c>
      <c r="N17" s="878"/>
      <c r="O17" s="878"/>
      <c r="P17" s="878"/>
      <c r="Q17" s="958"/>
      <c r="R17" s="878"/>
      <c r="S17" s="878"/>
      <c r="T17" s="878"/>
      <c r="U17" s="878"/>
      <c r="V17" s="878"/>
      <c r="W17" s="878"/>
      <c r="X17" s="878"/>
      <c r="Y17" s="878"/>
      <c r="Z17" s="878"/>
      <c r="AA17" s="878"/>
      <c r="AB17" s="878"/>
      <c r="AC17" s="878"/>
      <c r="AD17" s="878"/>
      <c r="AE17" s="878"/>
      <c r="AF17" s="878"/>
      <c r="AG17" s="878"/>
    </row>
    <row r="18" s="702" customFormat="1" ht="18" customHeight="1" spans="1:33">
      <c r="A18" s="774" t="s">
        <v>2411</v>
      </c>
      <c r="B18" s="738" t="s">
        <v>1077</v>
      </c>
      <c r="C18" s="125">
        <f>ROUND(C14*F18,0)</f>
        <v>0</v>
      </c>
      <c r="D18" s="738" t="s">
        <v>1936</v>
      </c>
      <c r="E18" s="738" t="s">
        <v>1937</v>
      </c>
      <c r="F18" s="783">
        <f>'数据-取费表'!B36</f>
        <v>0.015</v>
      </c>
      <c r="G18" s="782"/>
      <c r="H18" s="774" t="s">
        <v>879</v>
      </c>
      <c r="I18" s="738" t="s">
        <v>1946</v>
      </c>
      <c r="J18" s="125" t="e">
        <f ca="1">ROUND(J6*M18/(1+'数据-取费表'!C42),1)</f>
        <v>#N/A</v>
      </c>
      <c r="K18" s="808" t="s">
        <v>1947</v>
      </c>
      <c r="L18" s="738" t="s">
        <v>1937</v>
      </c>
      <c r="M18" s="783">
        <f>'数据-取费表'!B41</f>
        <v>0.056</v>
      </c>
      <c r="N18" s="878"/>
      <c r="O18" s="878"/>
      <c r="P18" s="878"/>
      <c r="Q18" s="958"/>
      <c r="R18" s="878"/>
      <c r="S18" s="878"/>
      <c r="T18" s="878"/>
      <c r="U18" s="878"/>
      <c r="V18" s="878"/>
      <c r="W18" s="878"/>
      <c r="X18" s="878"/>
      <c r="Y18" s="878"/>
      <c r="Z18" s="878"/>
      <c r="AA18" s="878"/>
      <c r="AB18" s="878"/>
      <c r="AC18" s="878"/>
      <c r="AD18" s="878"/>
      <c r="AE18" s="878"/>
      <c r="AF18" s="878"/>
      <c r="AG18" s="878"/>
    </row>
    <row r="19" ht="18" customHeight="1" spans="1:13">
      <c r="A19" s="779" t="s">
        <v>855</v>
      </c>
      <c r="B19" s="738" t="s">
        <v>1948</v>
      </c>
      <c r="C19" s="125" t="e">
        <f ca="1">SUM(C14:C18)</f>
        <v>#N/A</v>
      </c>
      <c r="D19" s="785" t="s">
        <v>1949</v>
      </c>
      <c r="E19" s="127"/>
      <c r="F19" s="784"/>
      <c r="G19" s="727"/>
      <c r="H19" s="774" t="s">
        <v>883</v>
      </c>
      <c r="I19" s="738" t="s">
        <v>1950</v>
      </c>
      <c r="J19" s="125" t="e">
        <f ca="1">IF(K19="按租金收入计税",ROUND(J6*M19/(1+'数据-取费表'!C42),1),ROUND(C29*F33*0.7,1))</f>
        <v>#N/A</v>
      </c>
      <c r="K19" s="812" t="s">
        <v>1951</v>
      </c>
      <c r="L19" s="738" t="s">
        <v>1937</v>
      </c>
      <c r="M19" s="783">
        <f>IF(K19="按租金收入计税",'数据-取费表'!B51,'数据-取费表'!B50)</f>
        <v>0.012</v>
      </c>
    </row>
    <row r="20" s="702" customFormat="1" ht="18" customHeight="1" spans="1:33">
      <c r="A20" s="779" t="s">
        <v>857</v>
      </c>
      <c r="B20" s="738" t="s">
        <v>1953</v>
      </c>
      <c r="C20" s="125" t="e">
        <f ca="1">ROUND(C19*F20,0)</f>
        <v>#N/A</v>
      </c>
      <c r="D20" s="786" t="s">
        <v>1954</v>
      </c>
      <c r="E20" s="738" t="s">
        <v>1937</v>
      </c>
      <c r="F20" s="783">
        <f>'数据-取费表'!B37</f>
        <v>0.03</v>
      </c>
      <c r="G20" s="782"/>
      <c r="H20" s="787" t="s">
        <v>886</v>
      </c>
      <c r="I20" s="814" t="s">
        <v>1955</v>
      </c>
      <c r="J20" s="815" t="e">
        <f ca="1">ROUND(M20*M21/10000,0)</f>
        <v>#N/A</v>
      </c>
      <c r="K20" s="816" t="s">
        <v>1956</v>
      </c>
      <c r="L20" s="738" t="s">
        <v>1957</v>
      </c>
      <c r="M20" s="792">
        <f>'数据-取费表'!B52</f>
        <v>0</v>
      </c>
      <c r="N20" s="878"/>
      <c r="O20" s="878"/>
      <c r="P20" s="878"/>
      <c r="Q20" s="958"/>
      <c r="R20" s="878"/>
      <c r="S20" s="878"/>
      <c r="T20" s="878"/>
      <c r="U20" s="878"/>
      <c r="V20" s="878"/>
      <c r="W20" s="878"/>
      <c r="X20" s="878"/>
      <c r="Y20" s="878"/>
      <c r="Z20" s="878"/>
      <c r="AA20" s="878"/>
      <c r="AB20" s="878"/>
      <c r="AC20" s="878"/>
      <c r="AD20" s="878"/>
      <c r="AE20" s="878"/>
      <c r="AF20" s="878"/>
      <c r="AG20" s="878"/>
    </row>
    <row r="21" s="702" customFormat="1" ht="18" customHeight="1" spans="1:33">
      <c r="A21" s="779" t="s">
        <v>1061</v>
      </c>
      <c r="B21" s="738" t="s">
        <v>1959</v>
      </c>
      <c r="C21" s="788" t="s">
        <v>138</v>
      </c>
      <c r="D21" s="786" t="s">
        <v>2412</v>
      </c>
      <c r="E21" s="738" t="s">
        <v>1961</v>
      </c>
      <c r="F21" s="783">
        <f>'剩余法-待开发-住宅自持'!F24</f>
        <v>0.03</v>
      </c>
      <c r="G21" s="782"/>
      <c r="H21" s="789"/>
      <c r="I21" s="818"/>
      <c r="J21" s="819"/>
      <c r="K21" s="820"/>
      <c r="L21" s="738" t="s">
        <v>1962</v>
      </c>
      <c r="M21" s="739" t="e">
        <f ca="1">INDIRECT("'数据-取费表'!r"&amp;$G$1)</f>
        <v>#N/A</v>
      </c>
      <c r="N21" s="878"/>
      <c r="O21" s="878"/>
      <c r="P21" s="878"/>
      <c r="Q21" s="958"/>
      <c r="R21" s="878"/>
      <c r="S21" s="878"/>
      <c r="T21" s="878"/>
      <c r="U21" s="878"/>
      <c r="V21" s="878"/>
      <c r="W21" s="878"/>
      <c r="X21" s="878"/>
      <c r="Y21" s="878"/>
      <c r="Z21" s="878"/>
      <c r="AA21" s="878"/>
      <c r="AB21" s="878"/>
      <c r="AC21" s="878"/>
      <c r="AD21" s="878"/>
      <c r="AE21" s="878"/>
      <c r="AF21" s="878"/>
      <c r="AG21" s="878"/>
    </row>
    <row r="22" ht="18" customHeight="1" spans="1:13">
      <c r="A22" s="779" t="s">
        <v>2413</v>
      </c>
      <c r="B22" s="738" t="s">
        <v>1964</v>
      </c>
      <c r="C22" s="125"/>
      <c r="D22" s="790" t="str">
        <f>IF(F23&lt;=1,"单利计息。","复利计息。")&amp;"建造成本、管理费用、销售费用产生的利息。"</f>
        <v>复利计息。建造成本、管理费用、销售费用产生的利息。</v>
      </c>
      <c r="E22" s="127"/>
      <c r="F22" s="784"/>
      <c r="G22" s="727"/>
      <c r="H22" s="779" t="s">
        <v>857</v>
      </c>
      <c r="I22" s="738" t="s">
        <v>1965</v>
      </c>
      <c r="J22" s="125" t="e">
        <f ca="1">ROUND(J14*M22,0)</f>
        <v>#N/A</v>
      </c>
      <c r="K22" s="808" t="s">
        <v>1966</v>
      </c>
      <c r="L22" s="738" t="s">
        <v>1937</v>
      </c>
      <c r="M22" s="821" t="e">
        <f ca="1">INDIRECT("'数据-取费表'!Ak"&amp;$G$1)</f>
        <v>#N/A</v>
      </c>
    </row>
    <row r="23" s="702" customFormat="1" ht="18" customHeight="1" spans="1:33">
      <c r="A23" s="774" t="s">
        <v>879</v>
      </c>
      <c r="B23" s="738" t="s">
        <v>1967</v>
      </c>
      <c r="C23" s="125" t="e">
        <f ca="1">ROUND(IF('数据-取费表'!B22&lt;=1,(C19+C20)*F24*F23/2,(C19+C20)*(POWER((1+F24),F23/2)-1)),0)</f>
        <v>#N/A</v>
      </c>
      <c r="D23" s="791" t="str">
        <f>IF(F23&lt;=1,"(建造成本+管理费用)×利率×(建设周期÷2)","(建造成本+管理费用)×((1+利率)^(建设周期÷2)-1)")</f>
        <v>(建造成本+管理费用)×((1+利率)^(建设周期÷2)-1)</v>
      </c>
      <c r="E23" s="738" t="s">
        <v>1968</v>
      </c>
      <c r="F23" s="792">
        <f>'数据-取费表'!B20</f>
        <v>2</v>
      </c>
      <c r="G23" s="782"/>
      <c r="H23" s="779" t="s">
        <v>1061</v>
      </c>
      <c r="I23" s="738" t="s">
        <v>1969</v>
      </c>
      <c r="J23" s="125" t="e">
        <f ca="1">ROUND(J13*M23,0)</f>
        <v>#N/A</v>
      </c>
      <c r="K23" s="808" t="s">
        <v>1970</v>
      </c>
      <c r="L23" s="738" t="s">
        <v>1937</v>
      </c>
      <c r="M23" s="822" t="e">
        <f ca="1">INDIRECT("'数据-取费表'!Al"&amp;$G$1)</f>
        <v>#N/A</v>
      </c>
      <c r="N23" s="878"/>
      <c r="O23" s="878"/>
      <c r="P23" s="878"/>
      <c r="Q23" s="958"/>
      <c r="R23" s="878"/>
      <c r="S23" s="878"/>
      <c r="T23" s="878"/>
      <c r="U23" s="878"/>
      <c r="V23" s="878"/>
      <c r="W23" s="878"/>
      <c r="X23" s="878"/>
      <c r="Y23" s="878"/>
      <c r="Z23" s="878"/>
      <c r="AA23" s="878"/>
      <c r="AB23" s="878"/>
      <c r="AC23" s="878"/>
      <c r="AD23" s="878"/>
      <c r="AE23" s="878"/>
      <c r="AF23" s="878"/>
      <c r="AG23" s="878"/>
    </row>
    <row r="24" s="702" customFormat="1" ht="18" customHeight="1" spans="1:33">
      <c r="A24" s="774" t="s">
        <v>883</v>
      </c>
      <c r="B24" s="738" t="s">
        <v>1971</v>
      </c>
      <c r="C24" s="125">
        <f ca="1">ROUND(IF('数据-取费表'!B22&lt;=1,F21*F24*F23/2,F21*(POWER((1+F24),F23/2)-1)),4)</f>
        <v>0.0014</v>
      </c>
      <c r="D24" s="791" t="str">
        <f>IF(F23&lt;=1,"销售费用×利率×(建设周期÷2)","销售费用×((1+利率)^(建设周期÷2)-1)")</f>
        <v>销售费用×((1+利率)^(建设周期÷2)-1)</v>
      </c>
      <c r="E24" s="738" t="s">
        <v>1972</v>
      </c>
      <c r="F24" s="793">
        <f ca="1">'数据-取费表'!B40</f>
        <v>0.0475</v>
      </c>
      <c r="G24" s="782"/>
      <c r="H24" s="768" t="s">
        <v>2413</v>
      </c>
      <c r="I24" s="801" t="s">
        <v>1953</v>
      </c>
      <c r="J24" s="799" t="e">
        <f ca="1">ROUND(J5*M24,0)</f>
        <v>#N/A</v>
      </c>
      <c r="K24" s="800" t="s">
        <v>1973</v>
      </c>
      <c r="L24" s="801" t="s">
        <v>1937</v>
      </c>
      <c r="M24" s="767" t="e">
        <f ca="1">INDIRECT("'数据-取费表'!Am"&amp;$G$1)</f>
        <v>#N/A</v>
      </c>
      <c r="N24" s="878"/>
      <c r="O24" s="878"/>
      <c r="P24" s="878"/>
      <c r="Q24" s="958"/>
      <c r="R24" s="878"/>
      <c r="S24" s="878"/>
      <c r="T24" s="878"/>
      <c r="U24" s="878"/>
      <c r="V24" s="878"/>
      <c r="W24" s="878"/>
      <c r="X24" s="878"/>
      <c r="Y24" s="878"/>
      <c r="Z24" s="878"/>
      <c r="AA24" s="878"/>
      <c r="AB24" s="878"/>
      <c r="AC24" s="878"/>
      <c r="AD24" s="878"/>
      <c r="AE24" s="878"/>
      <c r="AF24" s="878"/>
      <c r="AG24" s="878"/>
    </row>
    <row r="25" ht="18" customHeight="1" spans="1:13">
      <c r="A25" s="794" t="s">
        <v>912</v>
      </c>
      <c r="B25" s="738" t="s">
        <v>1975</v>
      </c>
      <c r="C25" s="125"/>
      <c r="D25" s="785" t="s">
        <v>1976</v>
      </c>
      <c r="E25" s="127"/>
      <c r="F25" s="784"/>
      <c r="G25" s="727"/>
      <c r="H25" s="769" t="s">
        <v>2414</v>
      </c>
      <c r="I25" s="823" t="s">
        <v>1977</v>
      </c>
      <c r="J25" s="771" t="e">
        <f ca="1">J5-J16</f>
        <v>#N/A</v>
      </c>
      <c r="K25" s="824" t="s">
        <v>1978</v>
      </c>
      <c r="L25" s="825"/>
      <c r="M25" s="826"/>
    </row>
    <row r="26" ht="18" customHeight="1" spans="1:13">
      <c r="A26" s="774" t="s">
        <v>879</v>
      </c>
      <c r="B26" s="738" t="s">
        <v>1979</v>
      </c>
      <c r="C26" s="125" t="e">
        <f ca="1">ROUND((C19+C20)*F26,0)</f>
        <v>#N/A</v>
      </c>
      <c r="D26" s="786" t="s">
        <v>1980</v>
      </c>
      <c r="E26" s="795" t="s">
        <v>1981</v>
      </c>
      <c r="F26" s="750" t="e">
        <f ca="1">INDIRECT("'数据-取费表'!q"&amp;$G$1)</f>
        <v>#N/A</v>
      </c>
      <c r="G26" s="727"/>
      <c r="H26" s="796" t="s">
        <v>2415</v>
      </c>
      <c r="I26" s="827" t="s">
        <v>2416</v>
      </c>
      <c r="J26" s="736" t="e">
        <f ca="1">IF(J5&lt;&gt;0,ROUND(J25*(1-((1+M28)/(1+M26))^M27)/(M26-M28),0),0)</f>
        <v>#N/A</v>
      </c>
      <c r="K26" s="816" t="s">
        <v>1983</v>
      </c>
      <c r="L26" s="738" t="s">
        <v>2417</v>
      </c>
      <c r="M26" s="750" t="e">
        <f ca="1">INDIRECT("'数据-取费表'!I"&amp;$G$1)</f>
        <v>#N/A</v>
      </c>
    </row>
    <row r="27" ht="18" customHeight="1" spans="1:13">
      <c r="A27" s="774" t="s">
        <v>883</v>
      </c>
      <c r="B27" s="738" t="s">
        <v>1985</v>
      </c>
      <c r="C27" s="125" t="e">
        <f ca="1">ROUND(F21*F26,4)</f>
        <v>#N/A</v>
      </c>
      <c r="D27" s="786" t="s">
        <v>1986</v>
      </c>
      <c r="E27" s="780"/>
      <c r="F27" s="781"/>
      <c r="G27" s="727"/>
      <c r="H27" s="797"/>
      <c r="I27" s="828"/>
      <c r="J27" s="743"/>
      <c r="K27" s="829" t="s">
        <v>1987</v>
      </c>
      <c r="L27" s="738" t="s">
        <v>1988</v>
      </c>
      <c r="M27" s="830" t="e">
        <f ca="1">INDIRECT("'数据-取费表'!ag"&amp;$G$1)</f>
        <v>#N/A</v>
      </c>
    </row>
    <row r="28" s="702" customFormat="1" ht="18" customHeight="1" spans="1:33">
      <c r="A28" s="794" t="s">
        <v>913</v>
      </c>
      <c r="B28" s="738" t="s">
        <v>1990</v>
      </c>
      <c r="C28" s="125">
        <f>ROUND(F28/(1+'数据-取费表'!C42),4)</f>
        <v>0.0533</v>
      </c>
      <c r="D28" s="786" t="s">
        <v>2419</v>
      </c>
      <c r="E28" s="738" t="s">
        <v>1937</v>
      </c>
      <c r="F28" s="783">
        <f>'数据-取费表'!B41</f>
        <v>0.056</v>
      </c>
      <c r="G28" s="782"/>
      <c r="H28" s="769"/>
      <c r="I28" s="831"/>
      <c r="J28" s="771"/>
      <c r="K28" s="820"/>
      <c r="L28" s="738" t="s">
        <v>1992</v>
      </c>
      <c r="M28" s="750" t="e">
        <f ca="1">INDIRECT("'数据-取费表'!aa"&amp;$G$1)</f>
        <v>#N/A</v>
      </c>
      <c r="N28" s="878"/>
      <c r="O28" s="878"/>
      <c r="P28" s="878"/>
      <c r="Q28" s="958"/>
      <c r="R28" s="878"/>
      <c r="S28" s="878"/>
      <c r="T28" s="878"/>
      <c r="U28" s="878"/>
      <c r="V28" s="878"/>
      <c r="W28" s="878"/>
      <c r="X28" s="878"/>
      <c r="Y28" s="878"/>
      <c r="Z28" s="878"/>
      <c r="AA28" s="878"/>
      <c r="AB28" s="878"/>
      <c r="AC28" s="878"/>
      <c r="AD28" s="878"/>
      <c r="AE28" s="878"/>
      <c r="AF28" s="878"/>
      <c r="AG28" s="878"/>
    </row>
    <row r="29" s="702" customFormat="1" ht="18" customHeight="1" spans="1:33">
      <c r="A29" s="798" t="s">
        <v>2420</v>
      </c>
      <c r="B29" s="766" t="s">
        <v>1994</v>
      </c>
      <c r="C29" s="799" t="e">
        <f ca="1">ROUND((C19+C20+C23+C26)/(1-F21-C24-C27-C28),0)</f>
        <v>#N/A</v>
      </c>
      <c r="D29" s="800"/>
      <c r="E29" s="801"/>
      <c r="F29" s="802"/>
      <c r="G29" s="782"/>
      <c r="H29" s="803" t="s">
        <v>2421</v>
      </c>
      <c r="I29" s="832" t="s">
        <v>2422</v>
      </c>
      <c r="J29" s="833" t="e">
        <f ca="1">ROUND(J26/(1+F40)^F41,0)</f>
        <v>#N/A</v>
      </c>
      <c r="K29" s="834" t="s">
        <v>1996</v>
      </c>
      <c r="L29" s="835"/>
      <c r="M29" s="836" t="e">
        <f ca="1">INDIRECT("'数据-取费表'!k"&amp;$G$1)</f>
        <v>#N/A</v>
      </c>
      <c r="N29" s="878"/>
      <c r="O29" s="878"/>
      <c r="P29" s="878"/>
      <c r="Q29" s="958"/>
      <c r="R29" s="878"/>
      <c r="S29" s="878"/>
      <c r="T29" s="878"/>
      <c r="U29" s="878"/>
      <c r="V29" s="878"/>
      <c r="W29" s="878"/>
      <c r="X29" s="878"/>
      <c r="Y29" s="878"/>
      <c r="Z29" s="878"/>
      <c r="AA29" s="878"/>
      <c r="AB29" s="878"/>
      <c r="AC29" s="878"/>
      <c r="AD29" s="878"/>
      <c r="AE29" s="878"/>
      <c r="AF29" s="878"/>
      <c r="AG29" s="878"/>
    </row>
    <row r="30" ht="18" customHeight="1" spans="1:13">
      <c r="A30" s="769" t="s">
        <v>1997</v>
      </c>
      <c r="B30" s="770" t="s">
        <v>1938</v>
      </c>
      <c r="C30" s="771" t="e">
        <f ca="1">ROUND(C31+C36+C37+C38,0)</f>
        <v>#N/A</v>
      </c>
      <c r="D30" s="804" t="s">
        <v>1939</v>
      </c>
      <c r="E30" s="805"/>
      <c r="F30" s="733"/>
      <c r="G30" s="727"/>
      <c r="H30" s="806"/>
      <c r="I30" s="879"/>
      <c r="J30" s="880"/>
      <c r="K30" s="183"/>
      <c r="L30" s="881"/>
      <c r="M30" s="882"/>
    </row>
    <row r="31" ht="18" customHeight="1" spans="1:13">
      <c r="A31" s="779" t="s">
        <v>855</v>
      </c>
      <c r="B31" s="738" t="s">
        <v>1943</v>
      </c>
      <c r="C31" s="807" t="e">
        <f ca="1">ROUND(IF(AND(项目基本情况!B11="自然人",项目基本情况!B10="北京市"),C6*F31/(1+'数据-取费表'!C42),C32+C33+C34),0)</f>
        <v>#N/A</v>
      </c>
      <c r="D31" s="776" t="s">
        <v>1944</v>
      </c>
      <c r="E31" s="808" t="s">
        <v>1945</v>
      </c>
      <c r="F31" s="809" t="str">
        <f ca="1">IF(项目基本情况!B11="企业","——",IF('数据-取费表'!B10="住宅",IF(F6*F7*F8/12/(1+'数据-取费表'!F30)&gt;100000,4%,2.5%),IF(F6*F7*F8/12/(1+'数据-取费表'!F30)&gt;100000,12%,7%)))</f>
        <v>——</v>
      </c>
      <c r="G31" s="727"/>
      <c r="H31" s="810" t="s">
        <v>1999</v>
      </c>
      <c r="I31" s="879"/>
      <c r="J31" s="880"/>
      <c r="K31" s="183"/>
      <c r="L31" s="881"/>
      <c r="M31" s="882"/>
    </row>
    <row r="32" ht="18" customHeight="1" spans="1:13">
      <c r="A32" s="774" t="s">
        <v>879</v>
      </c>
      <c r="B32" s="738" t="s">
        <v>1946</v>
      </c>
      <c r="C32" s="125" t="e">
        <f ca="1">ROUND(C6*F32/(1+'数据-取费表'!C42),1)</f>
        <v>#N/A</v>
      </c>
      <c r="D32" s="808" t="s">
        <v>1947</v>
      </c>
      <c r="E32" s="738" t="s">
        <v>1937</v>
      </c>
      <c r="F32" s="783">
        <f>'数据-取费表'!B41</f>
        <v>0.056</v>
      </c>
      <c r="G32" s="727"/>
      <c r="H32" s="811"/>
      <c r="I32" s="883"/>
      <c r="J32" s="884"/>
      <c r="K32" s="885"/>
      <c r="L32" s="886"/>
      <c r="M32" s="887"/>
    </row>
    <row r="33" ht="18" customHeight="1" spans="1:13">
      <c r="A33" s="774" t="s">
        <v>883</v>
      </c>
      <c r="B33" s="738" t="s">
        <v>1950</v>
      </c>
      <c r="C33" s="125" t="e">
        <f ca="1">IF(D33="按租金收入计税",ROUND(C6*F33/(1+'数据-取费表'!C42),1),IF(D33="按房产原值计税",ROUND(C29*F33*0.7,1),INDIRECT("'数据-取费表'!Aj"&amp;$G$1)))</f>
        <v>#N/A</v>
      </c>
      <c r="D33" s="812" t="s">
        <v>2423</v>
      </c>
      <c r="E33" s="738" t="s">
        <v>1937</v>
      </c>
      <c r="F33" s="783">
        <f>IF(D33="按租金收入计税",'数据-取费表'!B51,'数据-取费表'!B50)</f>
        <v>0.12</v>
      </c>
      <c r="G33" s="727"/>
      <c r="H33" s="813"/>
      <c r="I33" s="813"/>
      <c r="J33" s="813"/>
      <c r="K33" s="888"/>
      <c r="L33" s="813"/>
      <c r="M33" s="813"/>
    </row>
    <row r="34" ht="18" customHeight="1" spans="1:13">
      <c r="A34" s="787" t="s">
        <v>886</v>
      </c>
      <c r="B34" s="814" t="s">
        <v>1955</v>
      </c>
      <c r="C34" s="815" t="e">
        <f ca="1">ROUND(F34*F35/10000,1)</f>
        <v>#N/A</v>
      </c>
      <c r="D34" s="816" t="s">
        <v>1956</v>
      </c>
      <c r="E34" s="738" t="s">
        <v>1957</v>
      </c>
      <c r="F34" s="792">
        <f>'数据-取费表'!B52</f>
        <v>0</v>
      </c>
      <c r="G34" s="727"/>
      <c r="H34" s="806"/>
      <c r="I34" s="889" t="s">
        <v>2424</v>
      </c>
      <c r="J34" s="890"/>
      <c r="K34" s="891"/>
      <c r="L34" s="892"/>
      <c r="M34" s="892"/>
    </row>
    <row r="35" ht="18" customHeight="1" spans="1:13">
      <c r="A35" s="817"/>
      <c r="B35" s="818"/>
      <c r="C35" s="819"/>
      <c r="D35" s="820"/>
      <c r="E35" s="738" t="s">
        <v>1962</v>
      </c>
      <c r="F35" s="739" t="e">
        <f ca="1">INDIRECT("'数据-取费表'!r"&amp;$G$1)</f>
        <v>#N/A</v>
      </c>
      <c r="G35" s="727"/>
      <c r="H35" s="806"/>
      <c r="I35" s="893" t="s">
        <v>2425</v>
      </c>
      <c r="J35" s="894" t="e">
        <f ca="1">ROUND(C13*J36,0)</f>
        <v>#N/A</v>
      </c>
      <c r="K35" s="888"/>
      <c r="L35" s="813"/>
      <c r="M35" s="813"/>
    </row>
    <row r="36" ht="18" customHeight="1" spans="1:13">
      <c r="A36" s="779" t="s">
        <v>857</v>
      </c>
      <c r="B36" s="738" t="s">
        <v>1965</v>
      </c>
      <c r="C36" s="125" t="e">
        <f ca="1">ROUND(C29*F36,1)</f>
        <v>#N/A</v>
      </c>
      <c r="D36" s="808" t="s">
        <v>2001</v>
      </c>
      <c r="E36" s="738" t="s">
        <v>1937</v>
      </c>
      <c r="F36" s="821" t="e">
        <f ca="1">INDIRECT("'数据-取费表'!Ak"&amp;$G$1)</f>
        <v>#N/A</v>
      </c>
      <c r="G36" s="727"/>
      <c r="H36" s="813"/>
      <c r="I36" s="895" t="s">
        <v>2426</v>
      </c>
      <c r="J36" s="896" t="e">
        <f ca="1">INDIRECT("'数据-取费表'!j"&amp;$G$1)</f>
        <v>#N/A</v>
      </c>
      <c r="K36" s="897"/>
      <c r="L36" s="813"/>
      <c r="M36" s="813"/>
    </row>
    <row r="37" ht="18" customHeight="1" spans="1:13">
      <c r="A37" s="779" t="s">
        <v>1061</v>
      </c>
      <c r="B37" s="738" t="s">
        <v>1969</v>
      </c>
      <c r="C37" s="125" t="e">
        <f ca="1">ROUND(C13*F37,1)</f>
        <v>#N/A</v>
      </c>
      <c r="D37" s="808" t="s">
        <v>1970</v>
      </c>
      <c r="E37" s="738" t="s">
        <v>1937</v>
      </c>
      <c r="F37" s="822" t="e">
        <f ca="1">INDIRECT("'数据-取费表'!Al"&amp;$G$1)</f>
        <v>#N/A</v>
      </c>
      <c r="G37" s="727"/>
      <c r="H37" s="813"/>
      <c r="I37" s="898" t="s">
        <v>2427</v>
      </c>
      <c r="J37" s="899"/>
      <c r="K37" s="897"/>
      <c r="L37" s="813"/>
      <c r="M37" s="813"/>
    </row>
    <row r="38" ht="18" customHeight="1" spans="1:13">
      <c r="A38" s="768" t="s">
        <v>2413</v>
      </c>
      <c r="B38" s="801" t="s">
        <v>1953</v>
      </c>
      <c r="C38" s="799" t="e">
        <f ca="1">ROUND(C5*F38,1)</f>
        <v>#N/A</v>
      </c>
      <c r="D38" s="800" t="s">
        <v>1973</v>
      </c>
      <c r="E38" s="801" t="s">
        <v>1937</v>
      </c>
      <c r="F38" s="767" t="e">
        <f ca="1">INDIRECT("'数据-取费表'!Am"&amp;$G$1)</f>
        <v>#N/A</v>
      </c>
      <c r="G38" s="727"/>
      <c r="H38" s="813"/>
      <c r="I38" s="900" t="s">
        <v>2428</v>
      </c>
      <c r="J38" s="901"/>
      <c r="K38" s="902"/>
      <c r="L38" s="813"/>
      <c r="M38" s="813"/>
    </row>
    <row r="39" ht="24.65" customHeight="1" spans="1:13">
      <c r="A39" s="769" t="s">
        <v>2414</v>
      </c>
      <c r="B39" s="823" t="s">
        <v>1977</v>
      </c>
      <c r="C39" s="771" t="e">
        <f ca="1">C5-C30</f>
        <v>#N/A</v>
      </c>
      <c r="D39" s="824" t="s">
        <v>1978</v>
      </c>
      <c r="E39" s="825"/>
      <c r="F39" s="826"/>
      <c r="G39" s="727"/>
      <c r="H39" s="813"/>
      <c r="I39" s="893" t="s">
        <v>2429</v>
      </c>
      <c r="J39" s="903" t="e">
        <f ca="1">ROUND(J35/C39,3)</f>
        <v>#N/A</v>
      </c>
      <c r="K39" s="902"/>
      <c r="L39" s="813"/>
      <c r="M39" s="813"/>
    </row>
    <row r="40" ht="18" customHeight="1" spans="1:13">
      <c r="A40" s="728" t="s">
        <v>2415</v>
      </c>
      <c r="B40" s="827" t="s">
        <v>2430</v>
      </c>
      <c r="C40" s="736" t="e">
        <f ca="1">ROUND(C39*(1-((1+F42)/(1+F40))^F41)/(F40-F42),0)</f>
        <v>#N/A</v>
      </c>
      <c r="D40" s="816" t="s">
        <v>1983</v>
      </c>
      <c r="E40" s="738" t="s">
        <v>2417</v>
      </c>
      <c r="F40" s="750">
        <f>'数据-取费表'!I10</f>
        <v>0</v>
      </c>
      <c r="G40" s="727"/>
      <c r="H40" s="727"/>
      <c r="I40" s="893" t="s">
        <v>2431</v>
      </c>
      <c r="J40" s="903" t="e">
        <f ca="1">1-J39</f>
        <v>#N/A</v>
      </c>
      <c r="K40" s="902"/>
      <c r="L40" s="727"/>
      <c r="M40" s="727"/>
    </row>
    <row r="41" ht="18" customHeight="1" spans="1:13">
      <c r="A41" s="748"/>
      <c r="B41" s="828"/>
      <c r="C41" s="743"/>
      <c r="D41" s="829" t="s">
        <v>1987</v>
      </c>
      <c r="E41" s="738" t="s">
        <v>1988</v>
      </c>
      <c r="F41" s="830" t="e">
        <f ca="1">J53</f>
        <v>#N/A</v>
      </c>
      <c r="G41" s="727"/>
      <c r="H41" s="183"/>
      <c r="I41" s="900" t="s">
        <v>2432</v>
      </c>
      <c r="J41" s="904"/>
      <c r="K41" s="897"/>
      <c r="L41" s="183"/>
      <c r="M41" s="183"/>
    </row>
    <row r="42" ht="18" customHeight="1" spans="1:13">
      <c r="A42" s="757"/>
      <c r="B42" s="831"/>
      <c r="C42" s="771"/>
      <c r="D42" s="820"/>
      <c r="E42" s="738" t="s">
        <v>1992</v>
      </c>
      <c r="F42" s="750" t="e">
        <f ca="1">INDIRECT("'数据-取费表'!v"&amp;$G$1)</f>
        <v>#N/A</v>
      </c>
      <c r="G42" s="727"/>
      <c r="H42" s="183"/>
      <c r="I42" s="905" t="s">
        <v>2433</v>
      </c>
      <c r="J42" s="903" t="e">
        <f ca="1">ROUND(C13/C40,3)</f>
        <v>#N/A</v>
      </c>
      <c r="K42" s="897"/>
      <c r="L42" s="183"/>
      <c r="M42" s="183"/>
    </row>
    <row r="43" ht="18" customHeight="1" spans="1:13">
      <c r="A43" s="803" t="s">
        <v>2421</v>
      </c>
      <c r="B43" s="832" t="s">
        <v>2434</v>
      </c>
      <c r="C43" s="833" t="e">
        <f ca="1">ROUND(C40*10000/F43,0)</f>
        <v>#N/A</v>
      </c>
      <c r="D43" s="834" t="s">
        <v>2435</v>
      </c>
      <c r="E43" s="835" t="s">
        <v>2436</v>
      </c>
      <c r="F43" s="836" t="e">
        <f ca="1">F7</f>
        <v>#N/A</v>
      </c>
      <c r="G43" s="727"/>
      <c r="H43" s="183"/>
      <c r="I43" s="905" t="s">
        <v>2437</v>
      </c>
      <c r="J43" s="906" t="e">
        <f ca="1">1-J42</f>
        <v>#N/A</v>
      </c>
      <c r="K43" s="897"/>
      <c r="L43" s="183"/>
      <c r="M43" s="183"/>
    </row>
    <row r="44" s="632" customFormat="1" ht="18" customHeight="1" spans="1:17">
      <c r="A44" s="837"/>
      <c r="B44" s="837"/>
      <c r="C44" s="838"/>
      <c r="D44" s="837"/>
      <c r="E44" s="837"/>
      <c r="F44" s="837"/>
      <c r="K44" s="907"/>
      <c r="Q44" s="706"/>
    </row>
    <row r="45" s="632" customFormat="1" ht="18" customHeight="1" spans="1:17">
      <c r="A45" s="837"/>
      <c r="B45" s="837"/>
      <c r="C45" s="838"/>
      <c r="D45" s="837"/>
      <c r="E45" s="837"/>
      <c r="F45" s="837"/>
      <c r="K45" s="907"/>
      <c r="Q45" s="706"/>
    </row>
    <row r="46" s="632" customFormat="1" ht="18" customHeight="1" spans="1:18">
      <c r="A46" s="839" t="s">
        <v>2438</v>
      </c>
      <c r="B46" s="837"/>
      <c r="C46" s="840" t="e">
        <f ca="1">C67-C40</f>
        <v>#N/A</v>
      </c>
      <c r="D46" s="841"/>
      <c r="E46" s="841"/>
      <c r="F46" s="841"/>
      <c r="I46" s="908" t="s">
        <v>2014</v>
      </c>
      <c r="J46" s="909"/>
      <c r="K46" s="910"/>
      <c r="L46" s="911">
        <f ca="1">IF(OR(M47="住宅",D1="土地（套用方法）"),0,IF(L48&gt;J51,L60,J60))</f>
        <v>0</v>
      </c>
      <c r="M46" s="716"/>
      <c r="O46" s="912" t="s">
        <v>2015</v>
      </c>
      <c r="P46" s="913"/>
      <c r="Q46" s="918"/>
      <c r="R46" s="913"/>
    </row>
    <row r="47" s="632" customFormat="1" ht="18" customHeight="1" spans="1:18">
      <c r="A47" s="842">
        <v>1</v>
      </c>
      <c r="B47" s="843" t="s">
        <v>2439</v>
      </c>
      <c r="C47" s="840" t="e">
        <f ca="1">C48+C52+C54</f>
        <v>#N/A</v>
      </c>
      <c r="D47" s="841"/>
      <c r="E47" s="841"/>
      <c r="F47" s="841"/>
      <c r="I47" s="914" t="s">
        <v>2016</v>
      </c>
      <c r="J47" s="915" t="s">
        <v>2076</v>
      </c>
      <c r="K47" s="916" t="s">
        <v>2017</v>
      </c>
      <c r="L47" s="917" t="e">
        <f ca="1">INDIRECT("'数据-取费表'!d"&amp;$G$1)</f>
        <v>#N/A</v>
      </c>
      <c r="M47" s="918" t="str">
        <f>IF(ISNUMBER(FIND("住宅",C1)),"住宅","非住宅")</f>
        <v>非住宅</v>
      </c>
      <c r="O47" s="919" t="s">
        <v>1318</v>
      </c>
      <c r="P47" s="920" t="s">
        <v>2018</v>
      </c>
      <c r="Q47" s="959" t="s">
        <v>2019</v>
      </c>
      <c r="R47" s="920" t="s">
        <v>2020</v>
      </c>
    </row>
    <row r="48" s="632" customFormat="1" ht="18" customHeight="1" spans="1:18">
      <c r="A48" s="844" t="s">
        <v>1124</v>
      </c>
      <c r="B48" s="845" t="s">
        <v>2440</v>
      </c>
      <c r="C48" s="846" t="e">
        <f ca="1">ROUND(F48*F50*F49*(1-F51)/10000,0)</f>
        <v>#N/A</v>
      </c>
      <c r="D48" s="847" t="s">
        <v>2407</v>
      </c>
      <c r="E48" s="848" t="s">
        <v>2441</v>
      </c>
      <c r="F48" s="849"/>
      <c r="G48" s="850"/>
      <c r="I48" s="921" t="s">
        <v>2021</v>
      </c>
      <c r="J48" s="922" t="s">
        <v>2071</v>
      </c>
      <c r="K48" s="923" t="s">
        <v>2022</v>
      </c>
      <c r="L48" s="924" t="e">
        <f ca="1">INDIRECT("'数据-取费表'!f"&amp;$G$1)</f>
        <v>#N/A</v>
      </c>
      <c r="M48" s="716"/>
      <c r="O48" s="925" t="s">
        <v>2023</v>
      </c>
      <c r="P48" s="926" t="s">
        <v>2024</v>
      </c>
      <c r="Q48" s="960" t="e">
        <f ca="1">C40+J29</f>
        <v>#N/A</v>
      </c>
      <c r="R48" s="926" t="s">
        <v>2025</v>
      </c>
    </row>
    <row r="49" s="632" customFormat="1" ht="18" customHeight="1" spans="1:18">
      <c r="A49" s="748"/>
      <c r="B49" s="828"/>
      <c r="C49" s="743"/>
      <c r="D49" s="744"/>
      <c r="E49" s="738" t="s">
        <v>1922</v>
      </c>
      <c r="F49" s="739" t="e">
        <f ca="1">F7</f>
        <v>#N/A</v>
      </c>
      <c r="G49" s="850"/>
      <c r="H49" s="851"/>
      <c r="I49" s="921" t="s">
        <v>2026</v>
      </c>
      <c r="J49" s="927"/>
      <c r="K49" s="928" t="s">
        <v>2027</v>
      </c>
      <c r="L49" s="929"/>
      <c r="M49" s="716"/>
      <c r="O49" s="925" t="s">
        <v>2028</v>
      </c>
      <c r="P49" s="926" t="s">
        <v>2029</v>
      </c>
      <c r="Q49" s="960" t="e">
        <f ca="1">J60</f>
        <v>#N/A</v>
      </c>
      <c r="R49" s="926" t="s">
        <v>2030</v>
      </c>
    </row>
    <row r="50" s="632" customFormat="1" ht="18" customHeight="1" spans="1:18">
      <c r="A50" s="748"/>
      <c r="B50" s="828"/>
      <c r="C50" s="743"/>
      <c r="D50" s="744"/>
      <c r="E50" s="738" t="s">
        <v>1923</v>
      </c>
      <c r="F50" s="739" t="e">
        <f ca="1">F8</f>
        <v>#N/A</v>
      </c>
      <c r="H50" s="851"/>
      <c r="I50" s="921" t="s">
        <v>2031</v>
      </c>
      <c r="J50" s="930">
        <f>SUMPRODUCT((I63:I65=J47)*(J62:L62=J48)*(J63:L65))</f>
        <v>60</v>
      </c>
      <c r="K50" s="928" t="s">
        <v>2032</v>
      </c>
      <c r="L50" s="929"/>
      <c r="M50" s="716"/>
      <c r="O50" s="931" t="s">
        <v>2033</v>
      </c>
      <c r="P50" s="926" t="s">
        <v>2034</v>
      </c>
      <c r="Q50" s="960" t="e">
        <f ca="1">C29</f>
        <v>#N/A</v>
      </c>
      <c r="R50" s="926" t="s">
        <v>2025</v>
      </c>
    </row>
    <row r="51" s="632" customFormat="1" ht="18" customHeight="1" spans="1:18">
      <c r="A51" s="748"/>
      <c r="B51" s="828"/>
      <c r="C51" s="743"/>
      <c r="D51" s="744"/>
      <c r="E51" s="738" t="s">
        <v>1924</v>
      </c>
      <c r="F51" s="852"/>
      <c r="H51" s="851"/>
      <c r="I51" s="932" t="s">
        <v>2035</v>
      </c>
      <c r="J51" s="924">
        <f>IF(J49="",J50,J49+J50-YEAR('数据-取费表'!B2))</f>
        <v>60</v>
      </c>
      <c r="K51" s="921" t="s">
        <v>2036</v>
      </c>
      <c r="L51" s="933" t="e">
        <f ca="1">ROUND(-PV(INDIRECT("'数据-取费表'!h"&amp;$G$1),J51,(C39-C13*J36),0),0)</f>
        <v>#N/A</v>
      </c>
      <c r="M51" s="716"/>
      <c r="O51" s="931" t="s">
        <v>2037</v>
      </c>
      <c r="P51" s="926" t="s">
        <v>2038</v>
      </c>
      <c r="Q51" s="961" t="e">
        <f ca="1">J58</f>
        <v>#N/A</v>
      </c>
      <c r="R51" s="962"/>
    </row>
    <row r="52" s="632" customFormat="1" ht="18" customHeight="1" spans="1:18">
      <c r="A52" s="728" t="s">
        <v>2442</v>
      </c>
      <c r="B52" s="752" t="s">
        <v>1925</v>
      </c>
      <c r="C52" s="124">
        <f ca="1">ROUND(IF(F52="押一",C48/12*F11,IF(F52="押二",C48/12*2*F11,IF(F52="押三",C48/12*3*F11,C53*F11))),0)</f>
        <v>0</v>
      </c>
      <c r="D52" s="753" t="s">
        <v>1926</v>
      </c>
      <c r="E52" s="754" t="s">
        <v>1927</v>
      </c>
      <c r="F52" s="755"/>
      <c r="I52" s="934" t="s">
        <v>2039</v>
      </c>
      <c r="J52" s="935"/>
      <c r="K52" s="934" t="s">
        <v>1188</v>
      </c>
      <c r="L52" s="935"/>
      <c r="M52" s="716"/>
      <c r="O52" s="931" t="s">
        <v>2040</v>
      </c>
      <c r="P52" s="926" t="s">
        <v>2041</v>
      </c>
      <c r="Q52" s="961">
        <f>J52</f>
        <v>0</v>
      </c>
      <c r="R52" s="962"/>
    </row>
    <row r="53" s="632" customFormat="1" ht="39.75" customHeight="1" spans="1:18">
      <c r="A53" s="748"/>
      <c r="B53" s="758" t="s">
        <v>1928</v>
      </c>
      <c r="C53" s="759"/>
      <c r="D53" s="753"/>
      <c r="E53" s="754"/>
      <c r="F53" s="853"/>
      <c r="I53" s="936" t="s">
        <v>2042</v>
      </c>
      <c r="J53" s="937" t="e">
        <f ca="1">IF(M47="住宅",IF(D1="——",MAX(J51,L48),MAX(J51,L48-'数据-取费表'!B20)),IF(D1="——",MIN(J51,L48),MIN(J51,L48-'数据-取费表'!B20)))</f>
        <v>#N/A</v>
      </c>
      <c r="K53" s="938" t="s">
        <v>2443</v>
      </c>
      <c r="L53" s="939"/>
      <c r="M53" s="716"/>
      <c r="O53" s="931" t="s">
        <v>2043</v>
      </c>
      <c r="P53" s="926" t="s">
        <v>2044</v>
      </c>
      <c r="Q53" s="960" t="e">
        <f ca="1">J53</f>
        <v>#N/A</v>
      </c>
      <c r="R53" s="926" t="s">
        <v>2045</v>
      </c>
    </row>
    <row r="54" s="632" customFormat="1" ht="18" customHeight="1" spans="1:18">
      <c r="A54" s="762" t="s">
        <v>1061</v>
      </c>
      <c r="B54" s="763" t="s">
        <v>1929</v>
      </c>
      <c r="C54" s="764"/>
      <c r="D54" s="753"/>
      <c r="E54" s="754"/>
      <c r="F54" s="853"/>
      <c r="I54" s="63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907"/>
      <c r="M54" s="716"/>
      <c r="O54" s="925" t="s">
        <v>2046</v>
      </c>
      <c r="P54" s="926" t="s">
        <v>2047</v>
      </c>
      <c r="Q54" s="960" t="e">
        <f ca="1">Q48+Q49</f>
        <v>#N/A</v>
      </c>
      <c r="R54" s="962" t="s">
        <v>2048</v>
      </c>
    </row>
    <row r="55" s="632" customFormat="1" ht="18" customHeight="1" spans="1:18">
      <c r="A55" s="854">
        <v>2</v>
      </c>
      <c r="B55" s="855" t="s">
        <v>1933</v>
      </c>
      <c r="C55" s="124" t="e">
        <f ca="1">C13</f>
        <v>#N/A</v>
      </c>
      <c r="D55" s="795"/>
      <c r="E55" s="795"/>
      <c r="F55" s="853"/>
      <c r="I55" s="940" t="s">
        <v>2049</v>
      </c>
      <c r="J55" s="941" t="e">
        <f ca="1">ROUND(IF(J47="钢混",J57/J50,1-(1-2%)*(J50-J57)/J50),3)</f>
        <v>#N/A</v>
      </c>
      <c r="K55" s="942" t="s">
        <v>2050</v>
      </c>
      <c r="L55" s="943"/>
      <c r="M55" s="716"/>
      <c r="O55" s="944" t="s">
        <v>2051</v>
      </c>
      <c r="P55" s="913"/>
      <c r="Q55" s="918"/>
      <c r="R55" s="913"/>
    </row>
    <row r="56" s="632" customFormat="1" ht="42.75" customHeight="1" spans="1:18">
      <c r="A56" s="794"/>
      <c r="B56" s="856" t="s">
        <v>1994</v>
      </c>
      <c r="C56" s="125" t="e">
        <f ca="1">C29</f>
        <v>#N/A</v>
      </c>
      <c r="D56" s="808"/>
      <c r="E56" s="738"/>
      <c r="F56" s="783"/>
      <c r="I56" s="945" t="s">
        <v>2052</v>
      </c>
      <c r="J56" s="946"/>
      <c r="K56" s="921" t="s">
        <v>2053</v>
      </c>
      <c r="L56" s="924" t="e">
        <f ca="1">IF(L48&lt;J51,"——",L48-J51)</f>
        <v>#N/A</v>
      </c>
      <c r="M56" s="716"/>
      <c r="O56" s="919" t="s">
        <v>1318</v>
      </c>
      <c r="P56" s="920" t="s">
        <v>2018</v>
      </c>
      <c r="Q56" s="959" t="s">
        <v>2019</v>
      </c>
      <c r="R56" s="920" t="s">
        <v>2020</v>
      </c>
    </row>
    <row r="57" s="632" customFormat="1" ht="28.5" customHeight="1" spans="1:18">
      <c r="A57" s="854" t="s">
        <v>1997</v>
      </c>
      <c r="B57" s="855" t="s">
        <v>1938</v>
      </c>
      <c r="C57" s="124" t="e">
        <f ca="1">ROUND(C58+C63+C64+C65,0)</f>
        <v>#N/A</v>
      </c>
      <c r="D57" s="857" t="s">
        <v>1939</v>
      </c>
      <c r="E57" s="127"/>
      <c r="F57" s="784"/>
      <c r="I57" s="947" t="s">
        <v>2054</v>
      </c>
      <c r="J57" s="948" t="e">
        <f ca="1">IF(OR(M47="住宅",J51&lt;L48,J56="是"),"——",J51-L48)</f>
        <v>#N/A</v>
      </c>
      <c r="K57" s="921" t="s">
        <v>2055</v>
      </c>
      <c r="L57" s="924" t="e">
        <f ca="1">IF(L48&lt;J51,"——",IF(L55="比较法",L49,IF(L55="基准地价",L50,L51)))</f>
        <v>#N/A</v>
      </c>
      <c r="M57" s="716"/>
      <c r="O57" s="925" t="s">
        <v>2023</v>
      </c>
      <c r="P57" s="926" t="s">
        <v>2024</v>
      </c>
      <c r="Q57" s="960" t="e">
        <f ca="1">C40+J29</f>
        <v>#N/A</v>
      </c>
      <c r="R57" s="926" t="s">
        <v>2025</v>
      </c>
    </row>
    <row r="58" s="632" customFormat="1" ht="28.5" customHeight="1" spans="1:18">
      <c r="A58" s="779" t="s">
        <v>855</v>
      </c>
      <c r="B58" s="738" t="s">
        <v>1943</v>
      </c>
      <c r="C58" s="807" t="e">
        <f ca="1">ROUND(IF(AND(项目基本情况!B11="自然人",项目基本情况!B10="北京市"),C48*F58/(1+'数据-取费表'!C42),C59+C60+C61),0)</f>
        <v>#N/A</v>
      </c>
      <c r="D58" s="776" t="s">
        <v>1944</v>
      </c>
      <c r="E58" s="808" t="s">
        <v>1945</v>
      </c>
      <c r="F58" s="809" t="str">
        <f ca="1">IF(项目基本情况!B11="企业","——",IF('数据-取费表'!B10="住宅",IF(F48*F49*F50/12/(1+'数据-取费表'!F30)&gt;100000,4%,2.5%),IF(F48*F49*F50/12/(1+'数据-取费表'!F30)&gt;100000,12%,7%)))</f>
        <v>——</v>
      </c>
      <c r="I58" s="947" t="s">
        <v>2056</v>
      </c>
      <c r="J58" s="949" t="e">
        <f ca="1">IF(J55&lt;0.4,0.4,J55)</f>
        <v>#N/A</v>
      </c>
      <c r="K58" s="921" t="s">
        <v>2057</v>
      </c>
      <c r="L58" s="924" t="e">
        <f ca="1">ROUND(POWER(1+L52,L47-L48)*(POWER(1+L52,L48)-1)/(POWER(1+L52,L47)-1),4)</f>
        <v>#N/A</v>
      </c>
      <c r="M58" s="716"/>
      <c r="O58" s="925" t="s">
        <v>2028</v>
      </c>
      <c r="P58" s="926" t="s">
        <v>2058</v>
      </c>
      <c r="Q58" s="960" t="e">
        <f ca="1">L60</f>
        <v>#N/A</v>
      </c>
      <c r="R58" s="962" t="s">
        <v>2059</v>
      </c>
    </row>
    <row r="59" s="632" customFormat="1" ht="28.5" customHeight="1" spans="1:18">
      <c r="A59" s="774" t="s">
        <v>879</v>
      </c>
      <c r="B59" s="738" t="s">
        <v>1946</v>
      </c>
      <c r="C59" s="125" t="e">
        <f ca="1">ROUND(C47*F59/1.05,1)</f>
        <v>#N/A</v>
      </c>
      <c r="D59" s="808" t="s">
        <v>1947</v>
      </c>
      <c r="E59" s="738" t="s">
        <v>1937</v>
      </c>
      <c r="F59" s="783">
        <f t="shared" ref="F59:F65" si="0">F32</f>
        <v>0.056</v>
      </c>
      <c r="I59" s="947" t="s">
        <v>2060</v>
      </c>
      <c r="J59" s="948" t="e">
        <f ca="1">IF(OR(M47="住宅",J51&lt;L48,J56="是"),"——",ROUND(C29*J58,0))</f>
        <v>#N/A</v>
      </c>
      <c r="K59" s="921" t="str">
        <f>IF(D1="——","建筑物剩余耐用年限下的土地年期修正系数Kn","建设期及建筑物耐用年限下的土地年期修正系数Kn")</f>
        <v>建设期及建筑物耐用年限下的土地年期修正系数Kn</v>
      </c>
      <c r="L59" s="924" t="e">
        <f ca="1">ROUND(IF(D1="土地（套用方法）",POWER(1+L52,L47-(J51+'数据-取费表'!B20))*(POWER(1+L52,(J51+'数据-取费表'!B20))-1)/(POWER(1+L52,L47)-1),POWER(1+L52,L47-J51)*(POWER(1+L52,J51)-1)/(POWER(1+L52,L47)-1)),4)</f>
        <v>#N/A</v>
      </c>
      <c r="M59" s="716"/>
      <c r="O59" s="931" t="s">
        <v>2033</v>
      </c>
      <c r="P59" s="926" t="s">
        <v>2062</v>
      </c>
      <c r="Q59" s="960">
        <f>IF(L55="比较法",L49,IF(L55="基准地价",L50,0))</f>
        <v>0</v>
      </c>
      <c r="R59" s="926" t="s">
        <v>2025</v>
      </c>
    </row>
    <row r="60" s="632" customFormat="1" ht="18" customHeight="1" spans="1:18">
      <c r="A60" s="774" t="s">
        <v>883</v>
      </c>
      <c r="B60" s="738" t="s">
        <v>1950</v>
      </c>
      <c r="C60" s="125" t="e">
        <f ca="1">IF(D60="按租金收入计税",ROUND(C48*F60/(1+'数据-取费表'!C42),1),IF(D60="按房产原值计税",ROUND(C56*F60*0.7,1),INDIRECT("'数据-取费表'!Aj"&amp;$G$1)))</f>
        <v>#N/A</v>
      </c>
      <c r="D60" s="808" t="str">
        <f>D33</f>
        <v>按租金收入计税</v>
      </c>
      <c r="E60" s="738" t="s">
        <v>1937</v>
      </c>
      <c r="F60" s="783">
        <f t="shared" si="0"/>
        <v>0.12</v>
      </c>
      <c r="I60" s="950" t="s">
        <v>2063</v>
      </c>
      <c r="J60" s="951" t="e">
        <f ca="1">IF(OR(M47="住宅",J51&lt;L48,J56="是"),"0",ROUND(J59/(1+J52)^J53,0))</f>
        <v>#N/A</v>
      </c>
      <c r="K60" s="952" t="s">
        <v>2064</v>
      </c>
      <c r="L60" s="951" t="e">
        <f ca="1">IF(OR(M47="住宅",L48&lt;J51),0,ROUND(L57*(L58/L59-1),0))</f>
        <v>#N/A</v>
      </c>
      <c r="M60" s="716"/>
      <c r="O60" s="931" t="s">
        <v>2037</v>
      </c>
      <c r="P60" s="926" t="s">
        <v>2065</v>
      </c>
      <c r="Q60" s="961">
        <f>L52</f>
        <v>0</v>
      </c>
      <c r="R60" s="962"/>
    </row>
    <row r="61" s="632" customFormat="1" ht="18" customHeight="1" spans="1:18">
      <c r="A61" s="787" t="s">
        <v>886</v>
      </c>
      <c r="B61" s="814" t="s">
        <v>1955</v>
      </c>
      <c r="C61" s="815" t="e">
        <f ca="1">ROUND(F61*F62/10000,1)</f>
        <v>#N/A</v>
      </c>
      <c r="D61" s="816" t="s">
        <v>1956</v>
      </c>
      <c r="E61" s="738" t="s">
        <v>1957</v>
      </c>
      <c r="F61" s="792">
        <f t="shared" si="0"/>
        <v>0</v>
      </c>
      <c r="K61" s="907"/>
      <c r="O61" s="931" t="s">
        <v>2040</v>
      </c>
      <c r="P61" s="926" t="s">
        <v>2066</v>
      </c>
      <c r="Q61" s="960" t="e">
        <f ca="1">L58</f>
        <v>#N/A</v>
      </c>
      <c r="R61" s="962" t="s">
        <v>2067</v>
      </c>
    </row>
    <row r="62" s="632" customFormat="1" ht="15.75" spans="1:18">
      <c r="A62" s="817"/>
      <c r="B62" s="818"/>
      <c r="C62" s="819"/>
      <c r="D62" s="820"/>
      <c r="E62" s="738" t="s">
        <v>1962</v>
      </c>
      <c r="F62" s="739" t="e">
        <f ca="1" t="shared" si="0"/>
        <v>#N/A</v>
      </c>
      <c r="I62" s="953" t="s">
        <v>2068</v>
      </c>
      <c r="J62" s="954" t="s">
        <v>2069</v>
      </c>
      <c r="K62" s="954" t="s">
        <v>2070</v>
      </c>
      <c r="L62" s="954" t="s">
        <v>2071</v>
      </c>
      <c r="M62" s="955" t="s">
        <v>2072</v>
      </c>
      <c r="O62" s="931" t="s">
        <v>2043</v>
      </c>
      <c r="P62" s="926" t="str">
        <f>K59</f>
        <v>建设期及建筑物耐用年限下的土地年期修正系数Kn</v>
      </c>
      <c r="Q62" s="960" t="e">
        <f ca="1">L59</f>
        <v>#N/A</v>
      </c>
      <c r="R62" s="962" t="s">
        <v>2074</v>
      </c>
    </row>
    <row r="63" s="632" customFormat="1" ht="15.75" spans="1:18">
      <c r="A63" s="779" t="s">
        <v>857</v>
      </c>
      <c r="B63" s="738" t="s">
        <v>1965</v>
      </c>
      <c r="C63" s="125" t="e">
        <f ca="1">ROUND(C56*F63,1)</f>
        <v>#N/A</v>
      </c>
      <c r="D63" s="808" t="s">
        <v>2001</v>
      </c>
      <c r="E63" s="738" t="s">
        <v>1937</v>
      </c>
      <c r="F63" s="821" t="e">
        <f ca="1" t="shared" si="0"/>
        <v>#N/A</v>
      </c>
      <c r="I63" s="953" t="s">
        <v>2075</v>
      </c>
      <c r="J63" s="954">
        <v>70</v>
      </c>
      <c r="K63" s="954">
        <v>50</v>
      </c>
      <c r="L63" s="954">
        <v>80</v>
      </c>
      <c r="M63" s="956">
        <v>0.02</v>
      </c>
      <c r="O63" s="925" t="s">
        <v>2046</v>
      </c>
      <c r="P63" s="926" t="s">
        <v>2047</v>
      </c>
      <c r="Q63" s="960" t="e">
        <f ca="1">Q57+Q58</f>
        <v>#N/A</v>
      </c>
      <c r="R63" s="962" t="s">
        <v>2048</v>
      </c>
    </row>
    <row r="64" s="632" customFormat="1" ht="16.5" spans="1:18">
      <c r="A64" s="779" t="s">
        <v>1061</v>
      </c>
      <c r="B64" s="738" t="s">
        <v>1969</v>
      </c>
      <c r="C64" s="125" t="e">
        <f ca="1">ROUND(C55*F64,1)</f>
        <v>#N/A</v>
      </c>
      <c r="D64" s="808" t="s">
        <v>1970</v>
      </c>
      <c r="E64" s="738" t="s">
        <v>1937</v>
      </c>
      <c r="F64" s="822" t="e">
        <f ca="1" t="shared" si="0"/>
        <v>#N/A</v>
      </c>
      <c r="I64" s="953" t="s">
        <v>2076</v>
      </c>
      <c r="J64" s="954">
        <v>50</v>
      </c>
      <c r="K64" s="954">
        <v>35</v>
      </c>
      <c r="L64" s="954">
        <v>60</v>
      </c>
      <c r="M64" s="904">
        <v>0</v>
      </c>
      <c r="O64" s="944" t="s">
        <v>2077</v>
      </c>
      <c r="P64" s="913"/>
      <c r="Q64" s="918"/>
      <c r="R64" s="913"/>
    </row>
    <row r="65" s="632" customFormat="1" ht="15.75" spans="1:18">
      <c r="A65" s="779" t="s">
        <v>2413</v>
      </c>
      <c r="B65" s="738" t="s">
        <v>1953</v>
      </c>
      <c r="C65" s="125" t="e">
        <f ca="1">ROUND(C47*F65,1)</f>
        <v>#N/A</v>
      </c>
      <c r="D65" s="808" t="s">
        <v>1973</v>
      </c>
      <c r="E65" s="738" t="s">
        <v>1937</v>
      </c>
      <c r="F65" s="750" t="e">
        <f ca="1" t="shared" si="0"/>
        <v>#N/A</v>
      </c>
      <c r="I65" s="953" t="s">
        <v>2078</v>
      </c>
      <c r="J65" s="954">
        <v>40</v>
      </c>
      <c r="K65" s="954">
        <v>30</v>
      </c>
      <c r="L65" s="954">
        <v>50</v>
      </c>
      <c r="M65" s="956">
        <v>0.02</v>
      </c>
      <c r="O65" s="919" t="s">
        <v>1318</v>
      </c>
      <c r="P65" s="920" t="s">
        <v>2018</v>
      </c>
      <c r="Q65" s="959" t="s">
        <v>2019</v>
      </c>
      <c r="R65" s="920" t="s">
        <v>2020</v>
      </c>
    </row>
    <row r="66" s="632" customFormat="1" ht="15.75" spans="1:18">
      <c r="A66" s="854" t="s">
        <v>2414</v>
      </c>
      <c r="B66" s="963" t="s">
        <v>1977</v>
      </c>
      <c r="C66" s="124" t="e">
        <f ca="1">C47-C57</f>
        <v>#N/A</v>
      </c>
      <c r="D66" s="776" t="s">
        <v>1978</v>
      </c>
      <c r="E66" s="964"/>
      <c r="F66" s="965"/>
      <c r="K66" s="907"/>
      <c r="O66" s="925" t="s">
        <v>2023</v>
      </c>
      <c r="P66" s="926" t="s">
        <v>2024</v>
      </c>
      <c r="Q66" s="960" t="e">
        <f ca="1">C40+J29</f>
        <v>#N/A</v>
      </c>
      <c r="R66" s="926" t="s">
        <v>2025</v>
      </c>
    </row>
    <row r="67" s="632" customFormat="1" ht="20.25" spans="1:18">
      <c r="A67" s="728" t="s">
        <v>2415</v>
      </c>
      <c r="B67" s="827" t="s">
        <v>2430</v>
      </c>
      <c r="C67" s="736" t="e">
        <f ca="1">ROUND(C66*(1-((1+F69)/(1+F67))^F68)/(F67-F69),0)</f>
        <v>#N/A</v>
      </c>
      <c r="D67" s="816" t="s">
        <v>1983</v>
      </c>
      <c r="E67" s="738" t="s">
        <v>1984</v>
      </c>
      <c r="F67" s="750">
        <f t="shared" ref="F67:F70" si="1">F40</f>
        <v>0</v>
      </c>
      <c r="K67" s="907"/>
      <c r="O67" s="925" t="s">
        <v>2028</v>
      </c>
      <c r="P67" s="926" t="s">
        <v>2058</v>
      </c>
      <c r="Q67" s="960" t="e">
        <f ca="1">L60</f>
        <v>#N/A</v>
      </c>
      <c r="R67" s="962" t="s">
        <v>2059</v>
      </c>
    </row>
    <row r="68" ht="24" spans="1:18">
      <c r="A68" s="748"/>
      <c r="B68" s="828"/>
      <c r="C68" s="743"/>
      <c r="D68" s="829" t="s">
        <v>1987</v>
      </c>
      <c r="E68" s="738" t="s">
        <v>1988</v>
      </c>
      <c r="F68" s="830" t="e">
        <f ca="1" t="shared" si="1"/>
        <v>#N/A</v>
      </c>
      <c r="O68" s="931" t="s">
        <v>2033</v>
      </c>
      <c r="P68" s="926" t="s">
        <v>2062</v>
      </c>
      <c r="Q68" s="967" t="e">
        <f ca="1">L51</f>
        <v>#N/A</v>
      </c>
      <c r="R68" s="968" t="s">
        <v>2079</v>
      </c>
    </row>
    <row r="69" ht="20.25" spans="1:18">
      <c r="A69" s="757"/>
      <c r="B69" s="831"/>
      <c r="C69" s="771"/>
      <c r="D69" s="820"/>
      <c r="E69" s="738" t="s">
        <v>1992</v>
      </c>
      <c r="F69" s="852"/>
      <c r="O69" s="931" t="s">
        <v>2037</v>
      </c>
      <c r="P69" s="966" t="s">
        <v>2080</v>
      </c>
      <c r="Q69" s="960" t="e">
        <f ca="1">ROUND(Q70-Q71*Q72,0)</f>
        <v>#N/A</v>
      </c>
      <c r="R69" s="962"/>
    </row>
    <row r="70" ht="15.75" spans="1:18">
      <c r="A70" s="803" t="s">
        <v>2421</v>
      </c>
      <c r="B70" s="832" t="s">
        <v>2434</v>
      </c>
      <c r="C70" s="833" t="e">
        <f ca="1">ROUND(C67*10000/F70,0)</f>
        <v>#N/A</v>
      </c>
      <c r="D70" s="834" t="s">
        <v>2435</v>
      </c>
      <c r="E70" s="835" t="s">
        <v>2436</v>
      </c>
      <c r="F70" s="836" t="e">
        <f ca="1" t="shared" si="1"/>
        <v>#N/A</v>
      </c>
      <c r="O70" s="931" t="s">
        <v>2081</v>
      </c>
      <c r="P70" s="966" t="s">
        <v>2082</v>
      </c>
      <c r="Q70" s="960" t="e">
        <f ca="1">C39</f>
        <v>#N/A</v>
      </c>
      <c r="R70" s="926" t="s">
        <v>2025</v>
      </c>
    </row>
    <row r="71" ht="15.75" spans="15:18">
      <c r="O71" s="931" t="s">
        <v>2083</v>
      </c>
      <c r="P71" s="966" t="s">
        <v>2084</v>
      </c>
      <c r="Q71" s="960" t="e">
        <f ca="1">C13</f>
        <v>#N/A</v>
      </c>
      <c r="R71" s="926" t="s">
        <v>2025</v>
      </c>
    </row>
    <row r="72" ht="15.75" spans="15:18">
      <c r="O72" s="931" t="s">
        <v>2085</v>
      </c>
      <c r="P72" s="966" t="s">
        <v>2086</v>
      </c>
      <c r="Q72" s="961" t="e">
        <f ca="1">J36</f>
        <v>#N/A</v>
      </c>
      <c r="R72" s="962"/>
    </row>
    <row r="73" ht="15.75" spans="15:18">
      <c r="O73" s="931" t="s">
        <v>2040</v>
      </c>
      <c r="P73" s="926" t="s">
        <v>2065</v>
      </c>
      <c r="Q73" s="961">
        <f>L52</f>
        <v>0</v>
      </c>
      <c r="R73" s="962"/>
    </row>
    <row r="74" ht="20.25" spans="15:18">
      <c r="O74" s="931" t="s">
        <v>2043</v>
      </c>
      <c r="P74" s="926" t="s">
        <v>2066</v>
      </c>
      <c r="Q74" s="960" t="e">
        <f ca="1">L58</f>
        <v>#N/A</v>
      </c>
      <c r="R74" s="962" t="s">
        <v>2067</v>
      </c>
    </row>
    <row r="75" ht="15.75" spans="15:18">
      <c r="O75" s="931" t="s">
        <v>2087</v>
      </c>
      <c r="P75" s="926" t="str">
        <f>K59</f>
        <v>建设期及建筑物耐用年限下的土地年期修正系数Kn</v>
      </c>
      <c r="Q75" s="960" t="e">
        <f ca="1">L59</f>
        <v>#N/A</v>
      </c>
      <c r="R75" s="962" t="s">
        <v>2074</v>
      </c>
    </row>
    <row r="76" ht="15.75" spans="15:18">
      <c r="O76" s="925" t="s">
        <v>2046</v>
      </c>
      <c r="P76" s="926" t="s">
        <v>2047</v>
      </c>
      <c r="Q76" s="960" t="e">
        <f ca="1">Q66+Q67</f>
        <v>#N/A</v>
      </c>
      <c r="R76" s="962" t="s">
        <v>2048</v>
      </c>
    </row>
  </sheetData>
  <sheetProtection formatCells="0" formatColumns="0" formatRows="0"/>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3">
    <cfRule type="expression" dxfId="13" priority="1">
      <formula>$F$52="自定义"</formula>
    </cfRule>
  </conditionalFormatting>
  <conditionalFormatting sqref="I55">
    <cfRule type="expression" dxfId="14" priority="7">
      <formula>$J$51&gt;$L$48</formula>
    </cfRule>
  </conditionalFormatting>
  <conditionalFormatting sqref="K55">
    <cfRule type="expression" dxfId="14" priority="6">
      <formula>$L$48&gt;$J$51</formula>
    </cfRule>
  </conditionalFormatting>
  <conditionalFormatting sqref="I60">
    <cfRule type="expression" dxfId="14" priority="5">
      <formula>$J$51&gt;$L$48</formula>
    </cfRule>
  </conditionalFormatting>
  <conditionalFormatting sqref="K60">
    <cfRule type="expression" dxfId="14"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7" right="0.7" top="0.75" bottom="0.75" header="0.3" footer="0.3"/>
  <pageSetup paperSize="9" scale="64" orientation="landscape"/>
  <headerFooter/>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Y63"/>
  <sheetViews>
    <sheetView view="pageBreakPreview" zoomScaleNormal="80" workbookViewId="0">
      <selection activeCell="E14" sqref="E14"/>
    </sheetView>
  </sheetViews>
  <sheetFormatPr defaultColWidth="8.36666666666667" defaultRowHeight="12.75"/>
  <cols>
    <col min="1" max="1" width="9.36666666666667" style="636" customWidth="1"/>
    <col min="2" max="2" width="26.6333333333333" style="637" customWidth="1"/>
    <col min="3" max="3" width="11.0916666666667" style="637" customWidth="1"/>
    <col min="4" max="5" width="11.0916666666667" style="638" customWidth="1"/>
    <col min="6" max="6" width="9.45" style="637" customWidth="1"/>
    <col min="7" max="7" width="31.9083333333333" style="637" customWidth="1"/>
    <col min="8" max="10" width="9" style="639" hidden="1" customWidth="1"/>
    <col min="11" max="11" width="15" style="639" customWidth="1"/>
    <col min="12" max="12" width="17.0916666666667" style="639" customWidth="1"/>
    <col min="13" max="13" width="12.9083333333333" style="639" customWidth="1"/>
    <col min="14" max="14" width="15" style="639" customWidth="1"/>
    <col min="15" max="15" width="29.6333333333333" style="639" customWidth="1"/>
    <col min="16" max="25" width="9" style="639" customWidth="1"/>
    <col min="26" max="254" width="9" style="637" customWidth="1"/>
    <col min="255" max="16384" width="8.36666666666667" style="637"/>
  </cols>
  <sheetData>
    <row r="1" s="632" customFormat="1" ht="20.25" spans="1:7">
      <c r="A1" s="640" t="s">
        <v>2480</v>
      </c>
      <c r="B1" s="641"/>
      <c r="C1" s="642"/>
      <c r="D1" s="642"/>
      <c r="E1" s="642"/>
      <c r="F1" s="642"/>
      <c r="G1" s="643"/>
    </row>
    <row r="2" s="632" customFormat="1" ht="18" customHeight="1" spans="1:7">
      <c r="A2" s="204" t="s">
        <v>919</v>
      </c>
      <c r="B2" s="644" t="e">
        <f ca="1">C23</f>
        <v>#REF!</v>
      </c>
      <c r="C2" s="645"/>
      <c r="D2" s="645"/>
      <c r="E2" s="645"/>
      <c r="F2" s="645"/>
      <c r="G2" s="645"/>
    </row>
    <row r="3" s="632" customFormat="1" ht="18" customHeight="1" spans="1:7">
      <c r="A3" s="646" t="s">
        <v>920</v>
      </c>
      <c r="B3" s="644" t="e">
        <f ca="1">ROUND(B2*10000/地块信息表!D22,0)</f>
        <v>#REF!</v>
      </c>
      <c r="C3" s="645" t="e">
        <f ca="1">ROUND(B2*10000/地块信息表!D26,0)</f>
        <v>#REF!</v>
      </c>
      <c r="D3" s="645"/>
      <c r="E3" s="645"/>
      <c r="F3" s="645"/>
      <c r="G3" s="645"/>
    </row>
    <row r="4" s="632" customFormat="1" ht="18" customHeight="1" spans="1:14">
      <c r="A4" s="647" t="s">
        <v>1056</v>
      </c>
      <c r="B4" s="648" t="e">
        <f ca="1">ROUND(B2*10000/地块信息表!#REF!,0)</f>
        <v>#REF!</v>
      </c>
      <c r="C4" s="649"/>
      <c r="D4" s="645"/>
      <c r="E4" s="645"/>
      <c r="F4" s="645"/>
      <c r="G4" s="645"/>
      <c r="K4"/>
      <c r="L4"/>
      <c r="M4"/>
      <c r="N4"/>
    </row>
    <row r="5" s="632" customFormat="1" ht="18" customHeight="1" spans="1:19">
      <c r="A5" s="650"/>
      <c r="B5" s="651" t="e">
        <f ca="1">ROUND(B2/(地块信息表!#REF!/666.67),0)</f>
        <v>#REF!</v>
      </c>
      <c r="C5" s="652" t="s">
        <v>922</v>
      </c>
      <c r="D5" s="645"/>
      <c r="E5" s="645"/>
      <c r="F5" s="645"/>
      <c r="G5" s="645"/>
      <c r="K5"/>
      <c r="L5"/>
      <c r="M5"/>
      <c r="N5"/>
      <c r="O5"/>
      <c r="P5"/>
      <c r="Q5"/>
      <c r="R5"/>
      <c r="S5"/>
    </row>
    <row r="6" s="633" customFormat="1" ht="13.5" customHeight="1" spans="1:19">
      <c r="A6" s="653"/>
      <c r="B6" s="654" t="s">
        <v>850</v>
      </c>
      <c r="C6" s="655" t="s">
        <v>2481</v>
      </c>
      <c r="D6" s="655" t="s">
        <v>2482</v>
      </c>
      <c r="E6" s="656" t="s">
        <v>2483</v>
      </c>
      <c r="F6" s="656" t="s">
        <v>851</v>
      </c>
      <c r="G6" s="657" t="s">
        <v>2484</v>
      </c>
      <c r="K6"/>
      <c r="L6"/>
      <c r="M6"/>
      <c r="N6"/>
      <c r="O6"/>
      <c r="P6"/>
      <c r="Q6"/>
      <c r="R6"/>
      <c r="S6"/>
    </row>
    <row r="7" s="633" customFormat="1" ht="13.5" customHeight="1" spans="1:19">
      <c r="A7" s="658">
        <v>1</v>
      </c>
      <c r="B7" s="659" t="s">
        <v>2485</v>
      </c>
      <c r="C7" s="660" t="e">
        <f>C8+C9</f>
        <v>#REF!</v>
      </c>
      <c r="D7" s="660"/>
      <c r="E7" s="661"/>
      <c r="F7" s="661"/>
      <c r="G7" s="662"/>
      <c r="K7"/>
      <c r="L7"/>
      <c r="M7"/>
      <c r="N7"/>
      <c r="O7"/>
      <c r="P7"/>
      <c r="Q7"/>
      <c r="R7"/>
      <c r="S7"/>
    </row>
    <row r="8" s="633" customFormat="1" ht="13.5" customHeight="1" spans="1:19">
      <c r="A8" s="658" t="s">
        <v>2486</v>
      </c>
      <c r="B8" s="663" t="s">
        <v>2487</v>
      </c>
      <c r="C8" s="664" t="e">
        <f>D8*E8/10000</f>
        <v>#REF!</v>
      </c>
      <c r="D8" s="665" t="e">
        <f>地块信息表!#REF!</f>
        <v>#REF!</v>
      </c>
      <c r="E8" s="666">
        <f>228*10000*3/2000</f>
        <v>3420</v>
      </c>
      <c r="F8" s="661"/>
      <c r="G8" s="667"/>
      <c r="K8"/>
      <c r="L8"/>
      <c r="M8"/>
      <c r="N8"/>
      <c r="O8"/>
      <c r="P8"/>
      <c r="Q8"/>
      <c r="R8"/>
      <c r="S8"/>
    </row>
    <row r="9" s="633" customFormat="1" ht="13.5" customHeight="1" spans="1:19">
      <c r="A9" s="658" t="s">
        <v>2488</v>
      </c>
      <c r="B9" s="663" t="s">
        <v>2489</v>
      </c>
      <c r="C9" s="664">
        <f t="shared" ref="C9" si="0">ROUND(D9*E9/10000,0)</f>
        <v>0</v>
      </c>
      <c r="D9" s="664">
        <v>0</v>
      </c>
      <c r="E9" s="666">
        <v>0</v>
      </c>
      <c r="F9" s="661"/>
      <c r="G9" s="667"/>
      <c r="K9"/>
      <c r="L9"/>
      <c r="M9"/>
      <c r="N9"/>
      <c r="O9"/>
      <c r="P9"/>
      <c r="Q9"/>
      <c r="R9"/>
      <c r="S9"/>
    </row>
    <row r="10" s="633" customFormat="1" ht="36" spans="1:19">
      <c r="A10" s="658">
        <v>2</v>
      </c>
      <c r="B10" s="659" t="s">
        <v>2490</v>
      </c>
      <c r="C10" s="660">
        <f>C11+C14+C15</f>
        <v>19821</v>
      </c>
      <c r="D10" s="668"/>
      <c r="E10" s="660"/>
      <c r="F10" s="669"/>
      <c r="G10" s="670" t="s">
        <v>2491</v>
      </c>
      <c r="K10"/>
      <c r="L10"/>
      <c r="M10"/>
      <c r="N10"/>
      <c r="O10"/>
      <c r="P10"/>
      <c r="Q10"/>
      <c r="R10"/>
      <c r="S10"/>
    </row>
    <row r="11" s="633" customFormat="1" ht="13.5" customHeight="1" spans="1:19">
      <c r="A11" s="658" t="s">
        <v>2486</v>
      </c>
      <c r="B11" s="671" t="s">
        <v>2492</v>
      </c>
      <c r="C11" s="672">
        <f>'数据-取费表'!B29</f>
        <v>0</v>
      </c>
      <c r="D11" s="673"/>
      <c r="E11" s="672"/>
      <c r="F11" s="674"/>
      <c r="G11" s="675" t="s">
        <v>2493</v>
      </c>
      <c r="K11"/>
      <c r="L11"/>
      <c r="M11"/>
      <c r="N11"/>
      <c r="O11"/>
      <c r="P11"/>
      <c r="Q11"/>
      <c r="R11"/>
      <c r="S11"/>
    </row>
    <row r="12" s="633" customFormat="1" ht="13.5" customHeight="1" spans="1:19">
      <c r="A12" s="676" t="s">
        <v>2494</v>
      </c>
      <c r="B12" s="677" t="s">
        <v>2495</v>
      </c>
      <c r="C12" s="678">
        <f>ROUND(D12*E12/10000,0)</f>
        <v>0</v>
      </c>
      <c r="D12" s="664">
        <f>'数据-汇总表'!E5</f>
        <v>186962.11</v>
      </c>
      <c r="E12" s="664">
        <v>0</v>
      </c>
      <c r="F12" s="674"/>
      <c r="G12" s="670"/>
      <c r="K12"/>
      <c r="L12"/>
      <c r="M12"/>
      <c r="N12"/>
      <c r="O12"/>
      <c r="P12"/>
      <c r="Q12"/>
      <c r="R12"/>
      <c r="S12"/>
    </row>
    <row r="13" s="633" customFormat="1" ht="13.5" customHeight="1" spans="1:19">
      <c r="A13" s="676" t="s">
        <v>2496</v>
      </c>
      <c r="B13" s="677" t="s">
        <v>2497</v>
      </c>
      <c r="C13" s="678">
        <f>ROUND(D13*E13/10000,0)</f>
        <v>0</v>
      </c>
      <c r="D13" s="664">
        <f>M9</f>
        <v>0</v>
      </c>
      <c r="E13" s="664">
        <v>0</v>
      </c>
      <c r="F13" s="674"/>
      <c r="G13" s="670"/>
      <c r="K13"/>
      <c r="L13"/>
      <c r="M13"/>
      <c r="N13"/>
      <c r="O13"/>
      <c r="P13"/>
      <c r="Q13"/>
      <c r="R13"/>
      <c r="S13"/>
    </row>
    <row r="14" s="633" customFormat="1" ht="13.5" customHeight="1" spans="1:19">
      <c r="A14" s="658" t="s">
        <v>2488</v>
      </c>
      <c r="B14" s="679" t="s">
        <v>2498</v>
      </c>
      <c r="C14" s="680">
        <f t="shared" ref="C14" si="1">ROUND(D14*E14/10000,0)</f>
        <v>19821</v>
      </c>
      <c r="D14" s="681">
        <f>地块信息表!D22</f>
        <v>133203.59</v>
      </c>
      <c r="E14" s="666">
        <f>分项成本测算!O20+分项成本测算!O21</f>
        <v>1488</v>
      </c>
      <c r="F14" s="682"/>
      <c r="G14" s="683" t="s">
        <v>2499</v>
      </c>
      <c r="L14"/>
      <c r="M14"/>
      <c r="N14"/>
      <c r="O14"/>
      <c r="P14"/>
      <c r="Q14"/>
      <c r="R14"/>
      <c r="S14"/>
    </row>
    <row r="15" s="633" customFormat="1" ht="13.5" customHeight="1" spans="1:19">
      <c r="A15" s="658" t="s">
        <v>2500</v>
      </c>
      <c r="B15" s="679" t="s">
        <v>2501</v>
      </c>
      <c r="C15" s="680"/>
      <c r="D15" s="664"/>
      <c r="E15" s="666"/>
      <c r="F15" s="682"/>
      <c r="G15" s="683" t="s">
        <v>2502</v>
      </c>
      <c r="K15"/>
      <c r="L15"/>
      <c r="M15"/>
      <c r="N15"/>
      <c r="O15"/>
      <c r="P15"/>
      <c r="Q15"/>
      <c r="R15"/>
      <c r="S15"/>
    </row>
    <row r="16" s="634" customFormat="1" ht="48" spans="1:25">
      <c r="A16" s="658">
        <v>3</v>
      </c>
      <c r="B16" s="659" t="s">
        <v>2503</v>
      </c>
      <c r="C16" s="680" t="e">
        <f t="shared" ref="C16" si="2">ROUND(D16*E16/10000,0)</f>
        <v>#REF!</v>
      </c>
      <c r="D16" s="681" t="e">
        <f>D8</f>
        <v>#REF!</v>
      </c>
      <c r="E16" s="666">
        <f>40+15+20</f>
        <v>75</v>
      </c>
      <c r="F16" s="669"/>
      <c r="G16" s="670" t="s">
        <v>2504</v>
      </c>
      <c r="H16" s="633"/>
      <c r="I16" s="633"/>
      <c r="J16" s="633"/>
      <c r="K16"/>
      <c r="L16"/>
      <c r="M16"/>
      <c r="N16"/>
      <c r="O16"/>
      <c r="P16"/>
      <c r="Q16"/>
      <c r="R16"/>
      <c r="S16"/>
      <c r="T16" s="633"/>
      <c r="U16" s="633"/>
      <c r="V16" s="633"/>
      <c r="W16" s="633"/>
      <c r="X16" s="633"/>
      <c r="Y16" s="633"/>
    </row>
    <row r="17" s="634" customFormat="1" ht="25.5" spans="1:25">
      <c r="A17" s="684">
        <v>4</v>
      </c>
      <c r="B17" s="659" t="s">
        <v>2505</v>
      </c>
      <c r="C17" s="685" t="e">
        <f ca="1">ROUND(IF('数据-取费表'!B19&lt;=1,((C7+C16)*'数据-取费表'!B19+C10*'数据-取费表'!B19/2)*F17,((C7+C16)*(POWER((1+F17),'数据-取费表'!B19)-1)+C10*(POWER((1+F17),'数据-取费表'!B19/2)-1))),0)</f>
        <v>#REF!</v>
      </c>
      <c r="D17" s="686"/>
      <c r="E17" s="687"/>
      <c r="F17" s="688">
        <f ca="1">存贷款利率!E3</f>
        <v>0.0435</v>
      </c>
      <c r="G17" s="689" t="str">
        <f>IF('数据-取费表'!B19&lt;=1,"((１＋３)×土地开发期+２×(土地开发期÷２))×利率","((１＋３)×((1+利率)^土地开发期-1)+２×((1+利率)^(土地开发期÷２)-1)")</f>
        <v>((１＋３)×土地开发期+２×(土地开发期÷２))×利率</v>
      </c>
      <c r="H17" s="690"/>
      <c r="I17" s="633"/>
      <c r="J17" s="633"/>
      <c r="K17"/>
      <c r="L17"/>
      <c r="M17"/>
      <c r="N17"/>
      <c r="O17"/>
      <c r="P17"/>
      <c r="Q17"/>
      <c r="R17"/>
      <c r="S17"/>
      <c r="T17" s="633"/>
      <c r="U17" s="633"/>
      <c r="V17" s="633"/>
      <c r="W17" s="633"/>
      <c r="X17" s="633"/>
      <c r="Y17" s="633"/>
    </row>
    <row r="18" s="634" customFormat="1" ht="13.5" customHeight="1" spans="1:25">
      <c r="A18" s="684">
        <v>5</v>
      </c>
      <c r="B18" s="659" t="s">
        <v>2506</v>
      </c>
      <c r="C18" s="660" t="e">
        <f>ROUND((C7+C10+C16)*F18,0)</f>
        <v>#REF!</v>
      </c>
      <c r="D18" s="686"/>
      <c r="E18" s="687"/>
      <c r="F18" s="691">
        <v>0.08</v>
      </c>
      <c r="G18" s="689" t="s">
        <v>2507</v>
      </c>
      <c r="H18" s="633"/>
      <c r="I18" s="633"/>
      <c r="J18" s="633"/>
      <c r="K18"/>
      <c r="L18"/>
      <c r="M18"/>
      <c r="N18"/>
      <c r="O18"/>
      <c r="P18"/>
      <c r="Q18"/>
      <c r="R18"/>
      <c r="S18"/>
      <c r="T18" s="633"/>
      <c r="U18" s="633"/>
      <c r="V18" s="633"/>
      <c r="W18" s="633"/>
      <c r="X18" s="633"/>
      <c r="Y18" s="633"/>
    </row>
    <row r="19" s="634" customFormat="1" ht="13.5" customHeight="1" spans="1:25">
      <c r="A19" s="658">
        <v>6</v>
      </c>
      <c r="B19" s="659" t="s">
        <v>2508</v>
      </c>
      <c r="C19" s="660" t="e">
        <f ca="1">C7+C10+C16+C17+C18</f>
        <v>#REF!</v>
      </c>
      <c r="D19" s="668"/>
      <c r="E19" s="660"/>
      <c r="F19" s="669"/>
      <c r="G19" s="689" t="s">
        <v>2509</v>
      </c>
      <c r="H19" s="633"/>
      <c r="I19" s="633"/>
      <c r="J19" s="633"/>
      <c r="K19"/>
      <c r="L19"/>
      <c r="M19"/>
      <c r="N19"/>
      <c r="O19"/>
      <c r="P19"/>
      <c r="Q19"/>
      <c r="R19"/>
      <c r="S19"/>
      <c r="T19" s="633"/>
      <c r="U19" s="633"/>
      <c r="V19" s="633"/>
      <c r="W19" s="633"/>
      <c r="X19" s="633"/>
      <c r="Y19" s="633"/>
    </row>
    <row r="20" s="634" customFormat="1" ht="13.5" spans="1:25">
      <c r="A20" s="658">
        <v>7</v>
      </c>
      <c r="B20" s="659" t="s">
        <v>2510</v>
      </c>
      <c r="C20" s="660" t="e">
        <f ca="1">ROUND(C19*F20,0)</f>
        <v>#REF!</v>
      </c>
      <c r="D20" s="668"/>
      <c r="E20" s="660"/>
      <c r="F20" s="691">
        <v>0.15</v>
      </c>
      <c r="G20" s="689" t="s">
        <v>2511</v>
      </c>
      <c r="H20" s="633"/>
      <c r="I20" s="633"/>
      <c r="J20" s="633"/>
      <c r="K20"/>
      <c r="L20"/>
      <c r="M20"/>
      <c r="N20"/>
      <c r="O20"/>
      <c r="P20"/>
      <c r="Q20"/>
      <c r="R20"/>
      <c r="S20"/>
      <c r="T20" s="633"/>
      <c r="U20" s="633"/>
      <c r="V20" s="633"/>
      <c r="W20" s="633"/>
      <c r="X20" s="633"/>
      <c r="Y20" s="633"/>
    </row>
    <row r="21" s="634" customFormat="1" ht="13.5" spans="1:25">
      <c r="A21" s="658">
        <v>8</v>
      </c>
      <c r="B21" s="659" t="s">
        <v>2512</v>
      </c>
      <c r="C21" s="660" t="e">
        <f ca="1">C19+C20</f>
        <v>#REF!</v>
      </c>
      <c r="D21" s="668"/>
      <c r="E21" s="660"/>
      <c r="F21" s="669"/>
      <c r="G21" s="689" t="s">
        <v>2513</v>
      </c>
      <c r="H21" s="633"/>
      <c r="I21" s="633"/>
      <c r="J21" s="633"/>
      <c r="K21"/>
      <c r="L21"/>
      <c r="M21"/>
      <c r="N21"/>
      <c r="O21"/>
      <c r="P21"/>
      <c r="Q21"/>
      <c r="R21"/>
      <c r="S21"/>
      <c r="T21" s="633"/>
      <c r="U21" s="633"/>
      <c r="V21" s="633"/>
      <c r="W21" s="633"/>
      <c r="X21" s="633"/>
      <c r="Y21" s="633"/>
    </row>
    <row r="22" s="634" customFormat="1" ht="13.5" customHeight="1" spans="1:25">
      <c r="A22" s="658">
        <v>9</v>
      </c>
      <c r="B22" s="659" t="s">
        <v>2514</v>
      </c>
      <c r="C22" s="660" t="e">
        <f ca="1">ROUND(C21*F22,0)</f>
        <v>#REF!</v>
      </c>
      <c r="D22" s="668"/>
      <c r="E22" s="660"/>
      <c r="F22" s="692">
        <f>'数据-取费表'!AP6</f>
        <v>0.936</v>
      </c>
      <c r="G22" s="689" t="s">
        <v>2515</v>
      </c>
      <c r="H22" s="633"/>
      <c r="I22" s="633"/>
      <c r="J22" s="633"/>
      <c r="K22"/>
      <c r="L22"/>
      <c r="M22"/>
      <c r="N22"/>
      <c r="O22"/>
      <c r="P22"/>
      <c r="Q22"/>
      <c r="R22"/>
      <c r="S22"/>
      <c r="T22" s="633"/>
      <c r="U22" s="633"/>
      <c r="V22" s="633"/>
      <c r="W22" s="633"/>
      <c r="X22" s="633"/>
      <c r="Y22" s="633"/>
    </row>
    <row r="23" s="634" customFormat="1" ht="13.15" customHeight="1" spans="1:25">
      <c r="A23" s="693">
        <v>10</v>
      </c>
      <c r="B23" s="694" t="s">
        <v>2516</v>
      </c>
      <c r="C23" s="695" t="e">
        <f ca="1">C22</f>
        <v>#REF!</v>
      </c>
      <c r="D23" s="696"/>
      <c r="E23" s="695"/>
      <c r="F23" s="697"/>
      <c r="G23" s="698"/>
      <c r="H23" s="633"/>
      <c r="I23" s="633"/>
      <c r="J23" s="633"/>
      <c r="K23"/>
      <c r="L23"/>
      <c r="M23"/>
      <c r="N23"/>
      <c r="O23"/>
      <c r="P23"/>
      <c r="Q23"/>
      <c r="R23"/>
      <c r="S23"/>
      <c r="T23" s="633"/>
      <c r="U23" s="633"/>
      <c r="V23" s="633"/>
      <c r="W23" s="633"/>
      <c r="X23" s="633"/>
      <c r="Y23" s="633"/>
    </row>
    <row r="24" s="635" customFormat="1" ht="13.5" spans="1:19">
      <c r="A24" s="699"/>
      <c r="D24" s="73"/>
      <c r="E24" s="73"/>
      <c r="K24"/>
      <c r="L24"/>
      <c r="M24"/>
      <c r="N24"/>
      <c r="O24"/>
      <c r="P24"/>
      <c r="Q24"/>
      <c r="R24"/>
      <c r="S24"/>
    </row>
    <row r="25" s="635" customFormat="1" ht="13.5" spans="1:19">
      <c r="A25" s="699"/>
      <c r="D25" s="73"/>
      <c r="E25" s="73"/>
      <c r="K25"/>
      <c r="L25"/>
      <c r="M25"/>
      <c r="N25"/>
      <c r="O25"/>
      <c r="P25"/>
      <c r="Q25"/>
      <c r="R25"/>
      <c r="S25"/>
    </row>
    <row r="26" s="635" customFormat="1" ht="13.5" spans="1:19">
      <c r="A26" s="699"/>
      <c r="D26" s="73"/>
      <c r="E26" s="73"/>
      <c r="K26"/>
      <c r="L26"/>
      <c r="M26"/>
      <c r="N26"/>
      <c r="O26"/>
      <c r="P26"/>
      <c r="Q26"/>
      <c r="R26"/>
      <c r="S26"/>
    </row>
    <row r="27" s="635" customFormat="1" ht="13.5" spans="1:19">
      <c r="A27" s="699"/>
      <c r="D27" s="73"/>
      <c r="E27" s="73"/>
      <c r="K27"/>
      <c r="L27"/>
      <c r="M27"/>
      <c r="N27"/>
      <c r="O27"/>
      <c r="P27"/>
      <c r="Q27"/>
      <c r="R27"/>
      <c r="S27"/>
    </row>
    <row r="28" s="635" customFormat="1" ht="13.5" spans="1:19">
      <c r="A28" s="699"/>
      <c r="D28" s="73"/>
      <c r="E28" s="73"/>
      <c r="K28"/>
      <c r="L28"/>
      <c r="M28"/>
      <c r="N28"/>
      <c r="O28"/>
      <c r="P28"/>
      <c r="Q28"/>
      <c r="R28"/>
      <c r="S28"/>
    </row>
    <row r="29" s="635" customFormat="1" ht="13.5" spans="1:19">
      <c r="A29" s="699"/>
      <c r="D29" s="73"/>
      <c r="E29" s="73"/>
      <c r="K29"/>
      <c r="L29"/>
      <c r="M29"/>
      <c r="N29"/>
      <c r="O29"/>
      <c r="P29"/>
      <c r="Q29"/>
      <c r="R29"/>
      <c r="S29"/>
    </row>
    <row r="30" s="635" customFormat="1" ht="13.5" spans="1:14">
      <c r="A30" s="699"/>
      <c r="D30" s="73"/>
      <c r="E30" s="73"/>
      <c r="K30"/>
      <c r="L30"/>
      <c r="M30"/>
      <c r="N30"/>
    </row>
    <row r="31" s="635" customFormat="1" ht="13.5" spans="1:14">
      <c r="A31" s="699"/>
      <c r="D31" s="73"/>
      <c r="E31" s="73"/>
      <c r="K31"/>
      <c r="L31"/>
      <c r="M31"/>
      <c r="N31"/>
    </row>
    <row r="32" s="635" customFormat="1" ht="13.5" spans="1:14">
      <c r="A32" s="699"/>
      <c r="D32" s="73"/>
      <c r="E32" s="73"/>
      <c r="K32"/>
      <c r="L32"/>
      <c r="M32"/>
      <c r="N32"/>
    </row>
    <row r="33" s="635" customFormat="1" ht="13.5" spans="1:14">
      <c r="A33" s="699"/>
      <c r="D33" s="73"/>
      <c r="E33" s="73"/>
      <c r="K33"/>
      <c r="L33"/>
      <c r="M33"/>
      <c r="N33"/>
    </row>
    <row r="34" s="635" customFormat="1" ht="13.5" spans="1:14">
      <c r="A34" s="699"/>
      <c r="D34" s="73"/>
      <c r="E34" s="73"/>
      <c r="K34"/>
      <c r="L34"/>
      <c r="M34"/>
      <c r="N34"/>
    </row>
    <row r="35" s="635" customFormat="1" ht="13.5" spans="1:14">
      <c r="A35" s="699"/>
      <c r="D35" s="73"/>
      <c r="E35" s="73"/>
      <c r="K35"/>
      <c r="L35"/>
      <c r="M35"/>
      <c r="N35"/>
    </row>
    <row r="36" s="635" customFormat="1" spans="1:5">
      <c r="A36" s="699"/>
      <c r="D36" s="73"/>
      <c r="E36" s="73"/>
    </row>
    <row r="37" s="635" customFormat="1" spans="1:5">
      <c r="A37" s="699"/>
      <c r="D37" s="73"/>
      <c r="E37" s="73"/>
    </row>
    <row r="38" s="635" customFormat="1" spans="1:5">
      <c r="A38" s="699"/>
      <c r="D38" s="73"/>
      <c r="E38" s="73"/>
    </row>
    <row r="39" s="635" customFormat="1" spans="1:5">
      <c r="A39" s="699"/>
      <c r="D39" s="73"/>
      <c r="E39" s="73"/>
    </row>
    <row r="40" s="635" customFormat="1" spans="1:5">
      <c r="A40" s="699"/>
      <c r="D40" s="73"/>
      <c r="E40" s="73"/>
    </row>
    <row r="41" s="635" customFormat="1" spans="1:5">
      <c r="A41" s="699"/>
      <c r="D41" s="73"/>
      <c r="E41" s="73"/>
    </row>
    <row r="42" s="635" customFormat="1" spans="1:5">
      <c r="A42" s="699"/>
      <c r="D42" s="73"/>
      <c r="E42" s="73"/>
    </row>
    <row r="43" s="635" customFormat="1" spans="1:5">
      <c r="A43" s="699"/>
      <c r="D43" s="73"/>
      <c r="E43" s="73"/>
    </row>
    <row r="44" s="635" customFormat="1" spans="1:5">
      <c r="A44" s="699"/>
      <c r="D44" s="73"/>
      <c r="E44" s="73"/>
    </row>
    <row r="45" s="635" customFormat="1" spans="1:5">
      <c r="A45" s="699"/>
      <c r="D45" s="73"/>
      <c r="E45" s="73"/>
    </row>
    <row r="46" s="635" customFormat="1" spans="1:5">
      <c r="A46" s="699"/>
      <c r="D46" s="73"/>
      <c r="E46" s="73"/>
    </row>
    <row r="47" s="635" customFormat="1" spans="1:5">
      <c r="A47" s="699"/>
      <c r="D47" s="73"/>
      <c r="E47" s="73"/>
    </row>
    <row r="48" s="635" customFormat="1" spans="1:5">
      <c r="A48" s="699"/>
      <c r="D48" s="73"/>
      <c r="E48" s="73"/>
    </row>
    <row r="49" s="635" customFormat="1" spans="1:5">
      <c r="A49" s="699"/>
      <c r="D49" s="73"/>
      <c r="E49" s="73"/>
    </row>
    <row r="50" s="635" customFormat="1" spans="1:5">
      <c r="A50" s="699"/>
      <c r="D50" s="73"/>
      <c r="E50" s="73"/>
    </row>
    <row r="51" s="635" customFormat="1" spans="1:5">
      <c r="A51" s="699"/>
      <c r="D51" s="73"/>
      <c r="E51" s="73"/>
    </row>
    <row r="52" s="635" customFormat="1" spans="1:5">
      <c r="A52" s="699"/>
      <c r="D52" s="73"/>
      <c r="E52" s="73"/>
    </row>
    <row r="53" s="635" customFormat="1" spans="1:5">
      <c r="A53" s="699"/>
      <c r="D53" s="73"/>
      <c r="E53" s="73"/>
    </row>
    <row r="54" s="635" customFormat="1" spans="1:5">
      <c r="A54" s="699"/>
      <c r="D54" s="73"/>
      <c r="E54" s="73"/>
    </row>
    <row r="55" s="635" customFormat="1" spans="1:5">
      <c r="A55" s="699"/>
      <c r="D55" s="73"/>
      <c r="E55" s="73"/>
    </row>
    <row r="56" s="635" customFormat="1" spans="1:5">
      <c r="A56" s="699"/>
      <c r="D56" s="73"/>
      <c r="E56" s="73"/>
    </row>
    <row r="57" s="635" customFormat="1" spans="1:5">
      <c r="A57" s="699"/>
      <c r="D57" s="73"/>
      <c r="E57" s="73"/>
    </row>
    <row r="58" s="635" customFormat="1" spans="1:5">
      <c r="A58" s="699"/>
      <c r="D58" s="73"/>
      <c r="E58" s="73"/>
    </row>
    <row r="59" s="635" customFormat="1" spans="1:5">
      <c r="A59" s="699"/>
      <c r="D59" s="73"/>
      <c r="E59" s="73"/>
    </row>
    <row r="60" s="635" customFormat="1" spans="1:5">
      <c r="A60" s="699"/>
      <c r="D60" s="73"/>
      <c r="E60" s="73"/>
    </row>
    <row r="61" s="635" customFormat="1" spans="1:5">
      <c r="A61" s="699"/>
      <c r="D61" s="73"/>
      <c r="E61" s="73"/>
    </row>
    <row r="62" s="635" customFormat="1" spans="1:5">
      <c r="A62" s="699"/>
      <c r="D62" s="73"/>
      <c r="E62" s="73"/>
    </row>
    <row r="63" s="635" customFormat="1" spans="1:5">
      <c r="A63" s="699"/>
      <c r="D63" s="73"/>
      <c r="E63" s="73"/>
    </row>
  </sheetData>
  <sheetProtection formatCells="0" formatColumns="0" formatRows="0"/>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headerFooter/>
  <drawing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N3:O57"/>
  <sheetViews>
    <sheetView topLeftCell="A4" workbookViewId="0">
      <selection activeCell="O7" sqref="O7"/>
    </sheetView>
  </sheetViews>
  <sheetFormatPr defaultColWidth="9" defaultRowHeight="13.5"/>
  <cols>
    <col min="15" max="15" width="12.6333333333333"/>
  </cols>
  <sheetData>
    <row r="3" spans="14:15">
      <c r="N3" t="s">
        <v>2517</v>
      </c>
      <c r="O3">
        <v>151300000</v>
      </c>
    </row>
    <row r="4" spans="14:15">
      <c r="N4" t="s">
        <v>2295</v>
      </c>
      <c r="O4">
        <v>43526.44</v>
      </c>
    </row>
    <row r="5" spans="14:15">
      <c r="N5" t="s">
        <v>1010</v>
      </c>
      <c r="O5">
        <f>ROUND(O3/O4,0)</f>
        <v>3476</v>
      </c>
    </row>
    <row r="6" spans="14:15">
      <c r="N6" t="s">
        <v>105</v>
      </c>
      <c r="O6">
        <v>2.5</v>
      </c>
    </row>
    <row r="7" spans="14:15">
      <c r="N7" t="s">
        <v>920</v>
      </c>
      <c r="O7">
        <f>O5/O6</f>
        <v>1390.4</v>
      </c>
    </row>
    <row r="28" spans="14:15">
      <c r="N28" t="s">
        <v>2517</v>
      </c>
      <c r="O28">
        <v>66160000</v>
      </c>
    </row>
    <row r="29" spans="14:15">
      <c r="N29" t="s">
        <v>392</v>
      </c>
      <c r="O29">
        <v>19691.92</v>
      </c>
    </row>
    <row r="30" spans="14:15">
      <c r="N30" t="s">
        <v>1010</v>
      </c>
      <c r="O30">
        <f>ROUND(O28/O29,0)</f>
        <v>3360</v>
      </c>
    </row>
    <row r="31" spans="14:15">
      <c r="N31" t="s">
        <v>105</v>
      </c>
      <c r="O31">
        <v>2.5</v>
      </c>
    </row>
    <row r="32" spans="14:15">
      <c r="N32" t="s">
        <v>920</v>
      </c>
      <c r="O32">
        <f>O30/O31</f>
        <v>1344</v>
      </c>
    </row>
    <row r="53" spans="14:15">
      <c r="N53" t="s">
        <v>2517</v>
      </c>
      <c r="O53">
        <v>144060000</v>
      </c>
    </row>
    <row r="54" spans="14:15">
      <c r="N54" t="s">
        <v>392</v>
      </c>
      <c r="O54">
        <v>42391.36</v>
      </c>
    </row>
    <row r="55" spans="14:15">
      <c r="N55" t="s">
        <v>1010</v>
      </c>
      <c r="O55">
        <f>ROUND(O53/O54,0)</f>
        <v>3398</v>
      </c>
    </row>
    <row r="56" spans="14:15">
      <c r="N56" t="s">
        <v>105</v>
      </c>
      <c r="O56">
        <v>2.5</v>
      </c>
    </row>
    <row r="57" spans="14:15">
      <c r="N57" t="s">
        <v>920</v>
      </c>
      <c r="O57">
        <f>O55/O56</f>
        <v>1359.2</v>
      </c>
    </row>
  </sheetData>
  <pageMargins left="0.75" right="0.75" top="1" bottom="1" header="0.5" footer="0.5"/>
  <headerFooter/>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Y63"/>
  <sheetViews>
    <sheetView view="pageBreakPreview" zoomScaleNormal="80" workbookViewId="0">
      <selection activeCell="F18" sqref="F18"/>
    </sheetView>
  </sheetViews>
  <sheetFormatPr defaultColWidth="8.36666666666667" defaultRowHeight="12.75"/>
  <cols>
    <col min="1" max="1" width="9.36666666666667" style="636" customWidth="1"/>
    <col min="2" max="2" width="26.6333333333333" style="637" customWidth="1"/>
    <col min="3" max="3" width="11.0916666666667" style="637" customWidth="1"/>
    <col min="4" max="5" width="11.0916666666667" style="638" customWidth="1"/>
    <col min="6" max="6" width="9.45" style="637" customWidth="1"/>
    <col min="7" max="7" width="31.9083333333333" style="637" customWidth="1"/>
    <col min="8" max="10" width="9" style="639" hidden="1" customWidth="1"/>
    <col min="11" max="11" width="15" style="639" customWidth="1"/>
    <col min="12" max="12" width="17.0916666666667" style="639" customWidth="1"/>
    <col min="13" max="13" width="12.9083333333333" style="639" customWidth="1"/>
    <col min="14" max="14" width="15" style="639" customWidth="1"/>
    <col min="15" max="15" width="29.6333333333333" style="639" customWidth="1"/>
    <col min="16" max="25" width="9" style="639" customWidth="1"/>
    <col min="26" max="254" width="9" style="637" customWidth="1"/>
    <col min="255" max="16384" width="8.36666666666667" style="637"/>
  </cols>
  <sheetData>
    <row r="1" s="632" customFormat="1" ht="20.25" spans="1:7">
      <c r="A1" s="640" t="s">
        <v>2480</v>
      </c>
      <c r="B1" s="641"/>
      <c r="C1" s="642"/>
      <c r="D1" s="642"/>
      <c r="E1" s="642"/>
      <c r="F1" s="642"/>
      <c r="G1" s="643"/>
    </row>
    <row r="2" s="632" customFormat="1" ht="18" customHeight="1" spans="1:7">
      <c r="A2" s="204" t="s">
        <v>919</v>
      </c>
      <c r="B2" s="644">
        <f ca="1">C23</f>
        <v>92845</v>
      </c>
      <c r="C2" s="645"/>
      <c r="D2" s="645"/>
      <c r="E2" s="645"/>
      <c r="F2" s="645"/>
      <c r="G2" s="645"/>
    </row>
    <row r="3" s="632" customFormat="1" ht="18" customHeight="1" spans="1:7">
      <c r="A3" s="646" t="s">
        <v>920</v>
      </c>
      <c r="B3" s="644">
        <f ca="1">ROUND(B2*10000/地块信息表!M25,0)</f>
        <v>4483</v>
      </c>
      <c r="C3" s="645"/>
      <c r="D3" s="645"/>
      <c r="E3" s="645"/>
      <c r="F3" s="645"/>
      <c r="G3" s="645"/>
    </row>
    <row r="4" s="632" customFormat="1" ht="18" customHeight="1" spans="1:14">
      <c r="A4" s="647" t="s">
        <v>1056</v>
      </c>
      <c r="B4" s="648">
        <f ca="1">ROUND(B2*10000/地块信息表!D23,0)</f>
        <v>9161</v>
      </c>
      <c r="C4" s="649"/>
      <c r="D4" s="645"/>
      <c r="E4" s="645"/>
      <c r="F4" s="645"/>
      <c r="G4" s="645"/>
      <c r="K4"/>
      <c r="L4"/>
      <c r="M4"/>
      <c r="N4"/>
    </row>
    <row r="5" s="632" customFormat="1" ht="18" customHeight="1" spans="1:19">
      <c r="A5" s="650"/>
      <c r="B5" s="651">
        <f ca="1">ROUND(B2/(地块信息表!D23/666.67),0)</f>
        <v>611</v>
      </c>
      <c r="C5" s="652" t="s">
        <v>922</v>
      </c>
      <c r="D5" s="645"/>
      <c r="E5" s="645"/>
      <c r="F5" s="645"/>
      <c r="G5" s="645"/>
      <c r="K5"/>
      <c r="L5"/>
      <c r="M5"/>
      <c r="N5"/>
      <c r="O5"/>
      <c r="P5"/>
      <c r="Q5"/>
      <c r="R5"/>
      <c r="S5"/>
    </row>
    <row r="6" s="633" customFormat="1" ht="13.5" customHeight="1" spans="1:19">
      <c r="A6" s="653"/>
      <c r="B6" s="654" t="s">
        <v>850</v>
      </c>
      <c r="C6" s="655" t="s">
        <v>2481</v>
      </c>
      <c r="D6" s="655" t="s">
        <v>2482</v>
      </c>
      <c r="E6" s="656" t="s">
        <v>2483</v>
      </c>
      <c r="F6" s="656" t="s">
        <v>851</v>
      </c>
      <c r="G6" s="657" t="s">
        <v>2484</v>
      </c>
      <c r="K6"/>
      <c r="L6"/>
      <c r="M6"/>
      <c r="N6"/>
      <c r="O6"/>
      <c r="P6"/>
      <c r="Q6"/>
      <c r="R6"/>
      <c r="S6"/>
    </row>
    <row r="7" s="633" customFormat="1" ht="13.5" customHeight="1" spans="1:19">
      <c r="A7" s="658">
        <v>1</v>
      </c>
      <c r="B7" s="659" t="s">
        <v>2485</v>
      </c>
      <c r="C7" s="660">
        <f>C8+C9</f>
        <v>45555.62778</v>
      </c>
      <c r="D7" s="660"/>
      <c r="E7" s="661"/>
      <c r="F7" s="661"/>
      <c r="G7" s="662"/>
      <c r="K7"/>
      <c r="L7"/>
      <c r="M7"/>
      <c r="N7"/>
      <c r="O7"/>
      <c r="P7"/>
      <c r="Q7"/>
      <c r="R7"/>
      <c r="S7"/>
    </row>
    <row r="8" s="633" customFormat="1" ht="13.5" customHeight="1" spans="1:19">
      <c r="A8" s="658" t="s">
        <v>2486</v>
      </c>
      <c r="B8" s="663" t="s">
        <v>2487</v>
      </c>
      <c r="C8" s="664">
        <f>D8*E8/10000</f>
        <v>45555.62778</v>
      </c>
      <c r="D8" s="665">
        <f>地块信息表!D22</f>
        <v>133203.59</v>
      </c>
      <c r="E8" s="666">
        <f>228*10000*3/2000</f>
        <v>3420</v>
      </c>
      <c r="F8" s="661"/>
      <c r="G8" s="667"/>
      <c r="K8"/>
      <c r="L8"/>
      <c r="M8"/>
      <c r="N8"/>
      <c r="O8"/>
      <c r="P8"/>
      <c r="Q8"/>
      <c r="R8"/>
      <c r="S8"/>
    </row>
    <row r="9" s="633" customFormat="1" ht="13.5" customHeight="1" spans="1:19">
      <c r="A9" s="658" t="s">
        <v>2488</v>
      </c>
      <c r="B9" s="663" t="s">
        <v>2489</v>
      </c>
      <c r="C9" s="664">
        <f t="shared" ref="C9:C14" si="0">ROUND(D9*E9/10000,0)</f>
        <v>0</v>
      </c>
      <c r="D9" s="664">
        <v>0</v>
      </c>
      <c r="E9" s="666">
        <v>0</v>
      </c>
      <c r="F9" s="661"/>
      <c r="G9" s="667"/>
      <c r="K9"/>
      <c r="L9"/>
      <c r="M9"/>
      <c r="N9"/>
      <c r="O9"/>
      <c r="P9"/>
      <c r="Q9"/>
      <c r="R9"/>
      <c r="S9"/>
    </row>
    <row r="10" s="633" customFormat="1" ht="36" spans="1:19">
      <c r="A10" s="658">
        <v>2</v>
      </c>
      <c r="B10" s="659" t="s">
        <v>2490</v>
      </c>
      <c r="C10" s="660">
        <f>C11+C14+C15</f>
        <v>30816</v>
      </c>
      <c r="D10" s="668"/>
      <c r="E10" s="660"/>
      <c r="F10" s="669"/>
      <c r="G10" s="670" t="s">
        <v>2491</v>
      </c>
      <c r="K10"/>
      <c r="L10"/>
      <c r="M10"/>
      <c r="N10"/>
      <c r="O10"/>
      <c r="P10"/>
      <c r="Q10"/>
      <c r="R10"/>
      <c r="S10"/>
    </row>
    <row r="11" s="633" customFormat="1" ht="13.5" customHeight="1" spans="1:19">
      <c r="A11" s="658" t="s">
        <v>2486</v>
      </c>
      <c r="B11" s="671" t="s">
        <v>2492</v>
      </c>
      <c r="C11" s="672">
        <f>'数据-取费表'!B29</f>
        <v>0</v>
      </c>
      <c r="D11" s="673"/>
      <c r="E11" s="672"/>
      <c r="F11" s="674"/>
      <c r="G11" s="675" t="s">
        <v>2493</v>
      </c>
      <c r="K11"/>
      <c r="L11"/>
      <c r="M11"/>
      <c r="N11"/>
      <c r="O11"/>
      <c r="P11"/>
      <c r="Q11"/>
      <c r="R11"/>
      <c r="S11"/>
    </row>
    <row r="12" s="633" customFormat="1" ht="13.5" customHeight="1" spans="1:19">
      <c r="A12" s="676" t="s">
        <v>2494</v>
      </c>
      <c r="B12" s="677" t="s">
        <v>2495</v>
      </c>
      <c r="C12" s="678">
        <f t="shared" si="0"/>
        <v>0</v>
      </c>
      <c r="D12" s="664">
        <v>0</v>
      </c>
      <c r="E12" s="664">
        <v>0</v>
      </c>
      <c r="F12" s="674"/>
      <c r="G12" s="670"/>
      <c r="K12"/>
      <c r="L12"/>
      <c r="M12"/>
      <c r="N12"/>
      <c r="O12"/>
      <c r="P12"/>
      <c r="Q12"/>
      <c r="R12"/>
      <c r="S12"/>
    </row>
    <row r="13" s="633" customFormat="1" ht="13.5" customHeight="1" spans="1:19">
      <c r="A13" s="676" t="s">
        <v>2496</v>
      </c>
      <c r="B13" s="677" t="s">
        <v>2497</v>
      </c>
      <c r="C13" s="678">
        <f t="shared" si="0"/>
        <v>0</v>
      </c>
      <c r="D13" s="664">
        <f>M9</f>
        <v>0</v>
      </c>
      <c r="E13" s="664">
        <v>0</v>
      </c>
      <c r="F13" s="674"/>
      <c r="G13" s="670"/>
      <c r="K13"/>
      <c r="L13"/>
      <c r="M13"/>
      <c r="N13"/>
      <c r="O13"/>
      <c r="P13"/>
      <c r="Q13"/>
      <c r="R13"/>
      <c r="S13"/>
    </row>
    <row r="14" s="633" customFormat="1" ht="13.5" customHeight="1" spans="1:19">
      <c r="A14" s="658" t="s">
        <v>2488</v>
      </c>
      <c r="B14" s="679" t="s">
        <v>2498</v>
      </c>
      <c r="C14" s="680">
        <f t="shared" si="0"/>
        <v>30816</v>
      </c>
      <c r="D14" s="681">
        <f>地块信息表!M25</f>
        <v>207099.61</v>
      </c>
      <c r="E14" s="666">
        <f>分项成本测算!O20+分项成本测算!O21</f>
        <v>1488</v>
      </c>
      <c r="F14" s="682"/>
      <c r="G14" s="683" t="s">
        <v>2499</v>
      </c>
      <c r="L14"/>
      <c r="M14"/>
      <c r="N14"/>
      <c r="O14"/>
      <c r="P14"/>
      <c r="Q14"/>
      <c r="R14"/>
      <c r="S14"/>
    </row>
    <row r="15" s="633" customFormat="1" ht="13.5" customHeight="1" spans="1:19">
      <c r="A15" s="658" t="s">
        <v>2500</v>
      </c>
      <c r="B15" s="679" t="s">
        <v>2501</v>
      </c>
      <c r="C15" s="680"/>
      <c r="D15" s="664"/>
      <c r="E15" s="666"/>
      <c r="F15" s="682"/>
      <c r="G15" s="683" t="s">
        <v>2502</v>
      </c>
      <c r="K15"/>
      <c r="L15"/>
      <c r="M15"/>
      <c r="N15"/>
      <c r="O15"/>
      <c r="P15"/>
      <c r="Q15"/>
      <c r="R15"/>
      <c r="S15"/>
    </row>
    <row r="16" s="634" customFormat="1" ht="48" spans="1:25">
      <c r="A16" s="658">
        <v>3</v>
      </c>
      <c r="B16" s="659" t="s">
        <v>2503</v>
      </c>
      <c r="C16" s="680">
        <f>ROUND(D16*E16/10000,0)</f>
        <v>999</v>
      </c>
      <c r="D16" s="681">
        <f>D8</f>
        <v>133203.59</v>
      </c>
      <c r="E16" s="666">
        <f>40+15+20</f>
        <v>75</v>
      </c>
      <c r="F16" s="669"/>
      <c r="G16" s="670" t="s">
        <v>2504</v>
      </c>
      <c r="H16" s="633"/>
      <c r="I16" s="633"/>
      <c r="J16" s="633"/>
      <c r="K16"/>
      <c r="L16"/>
      <c r="M16"/>
      <c r="N16"/>
      <c r="O16"/>
      <c r="P16"/>
      <c r="Q16"/>
      <c r="R16"/>
      <c r="S16"/>
      <c r="T16" s="633"/>
      <c r="U16" s="633"/>
      <c r="V16" s="633"/>
      <c r="W16" s="633"/>
      <c r="X16" s="633"/>
      <c r="Y16" s="633"/>
    </row>
    <row r="17" s="634" customFormat="1" ht="25.5" spans="1:25">
      <c r="A17" s="684">
        <v>4</v>
      </c>
      <c r="B17" s="659" t="s">
        <v>2505</v>
      </c>
      <c r="C17" s="685">
        <f ca="1">ROUND(IF('数据-取费表'!B19&lt;=1,((C7+C16)*'数据-取费表'!B19+C10*'数据-取费表'!B19/2)*F17,((C7+C16)*(POWER((1+F17),'数据-取费表'!B19)-1)+C10*(POWER((1+F17),'数据-取费表'!B19/2)-1))),0)</f>
        <v>2695</v>
      </c>
      <c r="D17" s="686"/>
      <c r="E17" s="687"/>
      <c r="F17" s="688">
        <f ca="1">存贷款利率!E3</f>
        <v>0.0435</v>
      </c>
      <c r="G17" s="689" t="str">
        <f>IF('数据-取费表'!B19&lt;=1,"((１＋３)×土地开发期+２×(土地开发期÷２))×利率","((１＋３)×((1+利率)^土地开发期-1)+２×((1+利率)^(土地开发期÷２)-1)")</f>
        <v>((１＋３)×土地开发期+２×(土地开发期÷２))×利率</v>
      </c>
      <c r="H17" s="690"/>
      <c r="I17" s="633"/>
      <c r="J17" s="633"/>
      <c r="K17"/>
      <c r="L17"/>
      <c r="M17"/>
      <c r="N17"/>
      <c r="O17"/>
      <c r="P17"/>
      <c r="Q17"/>
      <c r="R17"/>
      <c r="S17"/>
      <c r="T17" s="633"/>
      <c r="U17" s="633"/>
      <c r="V17" s="633"/>
      <c r="W17" s="633"/>
      <c r="X17" s="633"/>
      <c r="Y17" s="633"/>
    </row>
    <row r="18" s="634" customFormat="1" ht="13.5" customHeight="1" spans="1:25">
      <c r="A18" s="684">
        <v>5</v>
      </c>
      <c r="B18" s="659" t="s">
        <v>2506</v>
      </c>
      <c r="C18" s="660">
        <f>ROUND((C7+C10+C16)*F18,0)</f>
        <v>6190</v>
      </c>
      <c r="D18" s="686"/>
      <c r="E18" s="687"/>
      <c r="F18" s="691">
        <v>0.08</v>
      </c>
      <c r="G18" s="689" t="s">
        <v>2507</v>
      </c>
      <c r="H18" s="633"/>
      <c r="I18" s="633"/>
      <c r="J18" s="633"/>
      <c r="K18"/>
      <c r="L18"/>
      <c r="M18"/>
      <c r="N18"/>
      <c r="O18"/>
      <c r="P18"/>
      <c r="Q18"/>
      <c r="R18"/>
      <c r="S18"/>
      <c r="T18" s="633"/>
      <c r="U18" s="633"/>
      <c r="V18" s="633"/>
      <c r="W18" s="633"/>
      <c r="X18" s="633"/>
      <c r="Y18" s="633"/>
    </row>
    <row r="19" s="634" customFormat="1" ht="13.5" customHeight="1" spans="1:25">
      <c r="A19" s="658">
        <v>6</v>
      </c>
      <c r="B19" s="659" t="s">
        <v>2508</v>
      </c>
      <c r="C19" s="660">
        <f ca="1">C7+C10+C16+C17+C18</f>
        <v>86255.62778</v>
      </c>
      <c r="D19" s="668"/>
      <c r="E19" s="660"/>
      <c r="F19" s="669"/>
      <c r="G19" s="689" t="s">
        <v>2509</v>
      </c>
      <c r="H19" s="633"/>
      <c r="I19" s="633"/>
      <c r="J19" s="633"/>
      <c r="K19"/>
      <c r="L19"/>
      <c r="M19"/>
      <c r="N19"/>
      <c r="O19"/>
      <c r="P19"/>
      <c r="Q19"/>
      <c r="R19"/>
      <c r="S19"/>
      <c r="T19" s="633"/>
      <c r="U19" s="633"/>
      <c r="V19" s="633"/>
      <c r="W19" s="633"/>
      <c r="X19" s="633"/>
      <c r="Y19" s="633"/>
    </row>
    <row r="20" s="634" customFormat="1" ht="13.5" spans="1:25">
      <c r="A20" s="658">
        <v>7</v>
      </c>
      <c r="B20" s="659" t="s">
        <v>2510</v>
      </c>
      <c r="C20" s="660">
        <f ca="1">ROUND(C19*F20,0)</f>
        <v>12938</v>
      </c>
      <c r="D20" s="668"/>
      <c r="E20" s="660"/>
      <c r="F20" s="691">
        <v>0.15</v>
      </c>
      <c r="G20" s="689" t="s">
        <v>2511</v>
      </c>
      <c r="H20" s="633"/>
      <c r="I20" s="633"/>
      <c r="J20" s="633"/>
      <c r="K20"/>
      <c r="L20"/>
      <c r="M20"/>
      <c r="N20"/>
      <c r="O20"/>
      <c r="P20"/>
      <c r="Q20"/>
      <c r="R20"/>
      <c r="S20"/>
      <c r="T20" s="633"/>
      <c r="U20" s="633"/>
      <c r="V20" s="633"/>
      <c r="W20" s="633"/>
      <c r="X20" s="633"/>
      <c r="Y20" s="633"/>
    </row>
    <row r="21" s="634" customFormat="1" ht="13.5" spans="1:25">
      <c r="A21" s="658">
        <v>8</v>
      </c>
      <c r="B21" s="659" t="s">
        <v>2512</v>
      </c>
      <c r="C21" s="660">
        <f ca="1">C19+C20</f>
        <v>99193.62778</v>
      </c>
      <c r="D21" s="668"/>
      <c r="E21" s="660"/>
      <c r="F21" s="669"/>
      <c r="G21" s="689" t="s">
        <v>2513</v>
      </c>
      <c r="H21" s="633"/>
      <c r="I21" s="633"/>
      <c r="J21" s="633"/>
      <c r="K21"/>
      <c r="L21"/>
      <c r="M21"/>
      <c r="N21"/>
      <c r="O21"/>
      <c r="P21"/>
      <c r="Q21"/>
      <c r="R21"/>
      <c r="S21"/>
      <c r="T21" s="633"/>
      <c r="U21" s="633"/>
      <c r="V21" s="633"/>
      <c r="W21" s="633"/>
      <c r="X21" s="633"/>
      <c r="Y21" s="633"/>
    </row>
    <row r="22" s="634" customFormat="1" ht="13.5" customHeight="1" spans="1:25">
      <c r="A22" s="658">
        <v>9</v>
      </c>
      <c r="B22" s="659" t="s">
        <v>2514</v>
      </c>
      <c r="C22" s="660">
        <f ca="1">ROUND(C21*F22,0)</f>
        <v>92845</v>
      </c>
      <c r="D22" s="668"/>
      <c r="E22" s="660"/>
      <c r="F22" s="692">
        <f>'数据-取费表'!AP6</f>
        <v>0.936</v>
      </c>
      <c r="G22" s="689" t="s">
        <v>2515</v>
      </c>
      <c r="H22" s="633"/>
      <c r="I22" s="633"/>
      <c r="J22" s="633"/>
      <c r="K22"/>
      <c r="L22"/>
      <c r="M22"/>
      <c r="N22"/>
      <c r="O22"/>
      <c r="P22"/>
      <c r="Q22"/>
      <c r="R22"/>
      <c r="S22"/>
      <c r="T22" s="633"/>
      <c r="U22" s="633"/>
      <c r="V22" s="633"/>
      <c r="W22" s="633"/>
      <c r="X22" s="633"/>
      <c r="Y22" s="633"/>
    </row>
    <row r="23" s="634" customFormat="1" ht="13.15" customHeight="1" spans="1:25">
      <c r="A23" s="693">
        <v>10</v>
      </c>
      <c r="B23" s="694" t="s">
        <v>2516</v>
      </c>
      <c r="C23" s="695">
        <f ca="1">C22</f>
        <v>92845</v>
      </c>
      <c r="D23" s="696"/>
      <c r="E23" s="695"/>
      <c r="F23" s="697"/>
      <c r="G23" s="698"/>
      <c r="H23" s="633"/>
      <c r="I23" s="633"/>
      <c r="J23" s="633"/>
      <c r="K23"/>
      <c r="L23"/>
      <c r="M23"/>
      <c r="N23"/>
      <c r="O23"/>
      <c r="P23"/>
      <c r="Q23"/>
      <c r="R23"/>
      <c r="S23"/>
      <c r="T23" s="633"/>
      <c r="U23" s="633"/>
      <c r="V23" s="633"/>
      <c r="W23" s="633"/>
      <c r="X23" s="633"/>
      <c r="Y23" s="633"/>
    </row>
    <row r="24" s="635" customFormat="1" ht="13.5" spans="1:19">
      <c r="A24" s="699"/>
      <c r="D24" s="73"/>
      <c r="E24" s="73"/>
      <c r="K24"/>
      <c r="L24"/>
      <c r="M24"/>
      <c r="N24"/>
      <c r="O24"/>
      <c r="P24"/>
      <c r="Q24"/>
      <c r="R24"/>
      <c r="S24"/>
    </row>
    <row r="25" s="635" customFormat="1" ht="13.5" spans="1:19">
      <c r="A25" s="699"/>
      <c r="D25" s="73"/>
      <c r="E25" s="73"/>
      <c r="K25"/>
      <c r="L25"/>
      <c r="M25"/>
      <c r="N25"/>
      <c r="O25"/>
      <c r="P25"/>
      <c r="Q25"/>
      <c r="R25"/>
      <c r="S25"/>
    </row>
    <row r="26" s="635" customFormat="1" ht="13.5" spans="1:19">
      <c r="A26" s="699"/>
      <c r="D26" s="73"/>
      <c r="E26" s="73"/>
      <c r="K26"/>
      <c r="L26"/>
      <c r="M26"/>
      <c r="N26"/>
      <c r="O26"/>
      <c r="P26"/>
      <c r="Q26"/>
      <c r="R26"/>
      <c r="S26"/>
    </row>
    <row r="27" s="635" customFormat="1" ht="13.5" spans="1:19">
      <c r="A27" s="699"/>
      <c r="D27" s="73"/>
      <c r="E27" s="73"/>
      <c r="K27"/>
      <c r="L27"/>
      <c r="M27"/>
      <c r="N27"/>
      <c r="O27"/>
      <c r="P27"/>
      <c r="Q27"/>
      <c r="R27"/>
      <c r="S27"/>
    </row>
    <row r="28" s="635" customFormat="1" ht="13.5" spans="1:19">
      <c r="A28" s="699"/>
      <c r="D28" s="73"/>
      <c r="E28" s="73"/>
      <c r="K28"/>
      <c r="L28"/>
      <c r="M28"/>
      <c r="N28"/>
      <c r="O28"/>
      <c r="P28"/>
      <c r="Q28"/>
      <c r="R28"/>
      <c r="S28"/>
    </row>
    <row r="29" s="635" customFormat="1" ht="13.5" spans="1:19">
      <c r="A29" s="699"/>
      <c r="D29" s="73"/>
      <c r="E29" s="73"/>
      <c r="K29"/>
      <c r="L29"/>
      <c r="M29"/>
      <c r="N29"/>
      <c r="O29"/>
      <c r="P29"/>
      <c r="Q29"/>
      <c r="R29"/>
      <c r="S29"/>
    </row>
    <row r="30" s="635" customFormat="1" ht="13.5" spans="1:14">
      <c r="A30" s="699"/>
      <c r="D30" s="73"/>
      <c r="E30" s="73"/>
      <c r="K30"/>
      <c r="L30"/>
      <c r="M30"/>
      <c r="N30"/>
    </row>
    <row r="31" s="635" customFormat="1" ht="13.5" spans="1:14">
      <c r="A31" s="699"/>
      <c r="D31" s="73"/>
      <c r="E31" s="73"/>
      <c r="K31"/>
      <c r="L31"/>
      <c r="M31"/>
      <c r="N31"/>
    </row>
    <row r="32" s="635" customFormat="1" ht="13.5" spans="1:14">
      <c r="A32" s="699"/>
      <c r="D32" s="73"/>
      <c r="E32" s="73"/>
      <c r="K32"/>
      <c r="L32"/>
      <c r="M32"/>
      <c r="N32"/>
    </row>
    <row r="33" s="635" customFormat="1" ht="13.5" spans="1:14">
      <c r="A33" s="699"/>
      <c r="D33" s="73"/>
      <c r="E33" s="73"/>
      <c r="K33"/>
      <c r="L33"/>
      <c r="M33"/>
      <c r="N33"/>
    </row>
    <row r="34" s="635" customFormat="1" ht="13.5" spans="1:14">
      <c r="A34" s="699"/>
      <c r="D34" s="73"/>
      <c r="E34" s="73"/>
      <c r="K34"/>
      <c r="L34"/>
      <c r="M34"/>
      <c r="N34"/>
    </row>
    <row r="35" s="635" customFormat="1" ht="13.5" spans="1:14">
      <c r="A35" s="699"/>
      <c r="D35" s="73"/>
      <c r="E35" s="73"/>
      <c r="K35"/>
      <c r="L35"/>
      <c r="M35"/>
      <c r="N35"/>
    </row>
    <row r="36" s="635" customFormat="1" spans="1:5">
      <c r="A36" s="699"/>
      <c r="D36" s="73"/>
      <c r="E36" s="73"/>
    </row>
    <row r="37" s="635" customFormat="1" spans="1:5">
      <c r="A37" s="699"/>
      <c r="D37" s="73"/>
      <c r="E37" s="73"/>
    </row>
    <row r="38" s="635" customFormat="1" spans="1:5">
      <c r="A38" s="699"/>
      <c r="D38" s="73"/>
      <c r="E38" s="73"/>
    </row>
    <row r="39" s="635" customFormat="1" spans="1:5">
      <c r="A39" s="699"/>
      <c r="D39" s="73"/>
      <c r="E39" s="73"/>
    </row>
    <row r="40" s="635" customFormat="1" spans="1:5">
      <c r="A40" s="699"/>
      <c r="D40" s="73"/>
      <c r="E40" s="73"/>
    </row>
    <row r="41" s="635" customFormat="1" spans="1:5">
      <c r="A41" s="699"/>
      <c r="D41" s="73"/>
      <c r="E41" s="73"/>
    </row>
    <row r="42" s="635" customFormat="1" spans="1:5">
      <c r="A42" s="699"/>
      <c r="D42" s="73"/>
      <c r="E42" s="73"/>
    </row>
    <row r="43" s="635" customFormat="1" spans="1:5">
      <c r="A43" s="699"/>
      <c r="D43" s="73"/>
      <c r="E43" s="73"/>
    </row>
    <row r="44" s="635" customFormat="1" spans="1:5">
      <c r="A44" s="699"/>
      <c r="D44" s="73"/>
      <c r="E44" s="73"/>
    </row>
    <row r="45" s="635" customFormat="1" spans="1:5">
      <c r="A45" s="699"/>
      <c r="D45" s="73"/>
      <c r="E45" s="73"/>
    </row>
    <row r="46" s="635" customFormat="1" spans="1:5">
      <c r="A46" s="699"/>
      <c r="D46" s="73"/>
      <c r="E46" s="73"/>
    </row>
    <row r="47" s="635" customFormat="1" spans="1:5">
      <c r="A47" s="699"/>
      <c r="D47" s="73"/>
      <c r="E47" s="73"/>
    </row>
    <row r="48" s="635" customFormat="1" spans="1:5">
      <c r="A48" s="699"/>
      <c r="D48" s="73"/>
      <c r="E48" s="73"/>
    </row>
    <row r="49" s="635" customFormat="1" spans="1:5">
      <c r="A49" s="699"/>
      <c r="D49" s="73"/>
      <c r="E49" s="73"/>
    </row>
    <row r="50" s="635" customFormat="1" spans="1:5">
      <c r="A50" s="699"/>
      <c r="D50" s="73"/>
      <c r="E50" s="73"/>
    </row>
    <row r="51" s="635" customFormat="1" spans="1:5">
      <c r="A51" s="699"/>
      <c r="D51" s="73"/>
      <c r="E51" s="73"/>
    </row>
    <row r="52" s="635" customFormat="1" spans="1:5">
      <c r="A52" s="699"/>
      <c r="D52" s="73"/>
      <c r="E52" s="73"/>
    </row>
    <row r="53" s="635" customFormat="1" spans="1:5">
      <c r="A53" s="699"/>
      <c r="D53" s="73"/>
      <c r="E53" s="73"/>
    </row>
    <row r="54" s="635" customFormat="1" spans="1:5">
      <c r="A54" s="699"/>
      <c r="D54" s="73"/>
      <c r="E54" s="73"/>
    </row>
    <row r="55" s="635" customFormat="1" spans="1:5">
      <c r="A55" s="699"/>
      <c r="D55" s="73"/>
      <c r="E55" s="73"/>
    </row>
    <row r="56" s="635" customFormat="1" spans="1:5">
      <c r="A56" s="699"/>
      <c r="D56" s="73"/>
      <c r="E56" s="73"/>
    </row>
    <row r="57" s="635" customFormat="1" spans="1:5">
      <c r="A57" s="699"/>
      <c r="D57" s="73"/>
      <c r="E57" s="73"/>
    </row>
    <row r="58" s="635" customFormat="1" spans="1:5">
      <c r="A58" s="699"/>
      <c r="D58" s="73"/>
      <c r="E58" s="73"/>
    </row>
    <row r="59" s="635" customFormat="1" spans="1:5">
      <c r="A59" s="699"/>
      <c r="D59" s="73"/>
      <c r="E59" s="73"/>
    </row>
    <row r="60" s="635" customFormat="1" spans="1:5">
      <c r="A60" s="699"/>
      <c r="D60" s="73"/>
      <c r="E60" s="73"/>
    </row>
    <row r="61" s="635" customFormat="1" spans="1:5">
      <c r="A61" s="699"/>
      <c r="D61" s="73"/>
      <c r="E61" s="73"/>
    </row>
    <row r="62" s="635" customFormat="1" spans="1:5">
      <c r="A62" s="699"/>
      <c r="D62" s="73"/>
      <c r="E62" s="73"/>
    </row>
    <row r="63" s="635" customFormat="1" spans="1:5">
      <c r="A63" s="699"/>
      <c r="D63" s="73"/>
      <c r="E63" s="73"/>
    </row>
  </sheetData>
  <sheetProtection formatCells="0" formatColumns="0" formatRows="0"/>
  <dataValidations count="1">
    <dataValidation type="list" allowBlank="1" showInputMessage="1" showErrorMessage="1" sqref="G7">
      <formula1>"土地开发补偿费,征收补偿安置费"</formula1>
    </dataValidation>
  </dataValidations>
  <pageMargins left="0.7" right="0.7" top="0.75" bottom="0.75" header="0.3" footer="0.3"/>
  <pageSetup paperSize="9" orientation="landscape"/>
  <headerFooter/>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Y63"/>
  <sheetViews>
    <sheetView view="pageBreakPreview" zoomScaleNormal="80" workbookViewId="0">
      <selection activeCell="B3" sqref="B3"/>
    </sheetView>
  </sheetViews>
  <sheetFormatPr defaultColWidth="8.36666666666667" defaultRowHeight="12.75"/>
  <cols>
    <col min="1" max="1" width="9.36666666666667" style="636" customWidth="1"/>
    <col min="2" max="2" width="26.6333333333333" style="637" customWidth="1"/>
    <col min="3" max="3" width="11.0916666666667" style="637" customWidth="1"/>
    <col min="4" max="5" width="11.0916666666667" style="638" customWidth="1"/>
    <col min="6" max="6" width="9.45" style="637" customWidth="1"/>
    <col min="7" max="7" width="31.9083333333333" style="637" customWidth="1"/>
    <col min="8" max="10" width="9" style="639" hidden="1" customWidth="1"/>
    <col min="11" max="11" width="15" style="639" customWidth="1"/>
    <col min="12" max="12" width="17.0916666666667" style="639" customWidth="1"/>
    <col min="13" max="13" width="12.9083333333333" style="639" customWidth="1"/>
    <col min="14" max="14" width="15" style="639" customWidth="1"/>
    <col min="15" max="15" width="29.6333333333333" style="639" customWidth="1"/>
    <col min="16" max="25" width="9" style="639" customWidth="1"/>
    <col min="26" max="254" width="9" style="637" customWidth="1"/>
    <col min="255" max="16384" width="8.36666666666667" style="637"/>
  </cols>
  <sheetData>
    <row r="1" s="632" customFormat="1" ht="20.25" spans="1:7">
      <c r="A1" s="640" t="s">
        <v>2480</v>
      </c>
      <c r="B1" s="641"/>
      <c r="C1" s="642"/>
      <c r="D1" s="642"/>
      <c r="E1" s="642"/>
      <c r="F1" s="642"/>
      <c r="G1" s="643"/>
    </row>
    <row r="2" s="632" customFormat="1" ht="18" customHeight="1" spans="1:7">
      <c r="A2" s="204" t="s">
        <v>919</v>
      </c>
      <c r="B2" s="644">
        <f ca="1">C23</f>
        <v>76077.28</v>
      </c>
      <c r="C2" s="645"/>
      <c r="D2" s="645"/>
      <c r="E2" s="645"/>
      <c r="F2" s="645"/>
      <c r="G2" s="645"/>
    </row>
    <row r="3" s="632" customFormat="1" ht="18" customHeight="1" spans="1:7">
      <c r="A3" s="646" t="s">
        <v>920</v>
      </c>
      <c r="B3" s="644">
        <f ca="1">ROUND(B2*10000/D14,0)</f>
        <v>4069</v>
      </c>
      <c r="C3" s="645"/>
      <c r="D3" s="645"/>
      <c r="E3" s="645"/>
      <c r="F3" s="645"/>
      <c r="G3" s="645"/>
    </row>
    <row r="4" s="632" customFormat="1" ht="18" customHeight="1" spans="1:14">
      <c r="A4" s="647" t="s">
        <v>1056</v>
      </c>
      <c r="B4" s="648">
        <f ca="1">ROUND(B2*10000/D8,0)</f>
        <v>7826</v>
      </c>
      <c r="C4" s="649"/>
      <c r="D4" s="645"/>
      <c r="E4" s="645"/>
      <c r="F4" s="645"/>
      <c r="G4" s="645"/>
      <c r="K4"/>
      <c r="L4"/>
      <c r="M4"/>
      <c r="N4"/>
    </row>
    <row r="5" s="632" customFormat="1" ht="18" customHeight="1" spans="1:19">
      <c r="A5" s="650"/>
      <c r="B5" s="651">
        <f ca="1">ROUND(B2/(D8/666.67),0)</f>
        <v>522</v>
      </c>
      <c r="C5" s="652" t="s">
        <v>922</v>
      </c>
      <c r="D5" s="645"/>
      <c r="E5" s="645"/>
      <c r="F5" s="645"/>
      <c r="G5" s="645"/>
      <c r="K5"/>
      <c r="L5"/>
      <c r="M5"/>
      <c r="N5"/>
      <c r="O5"/>
      <c r="P5"/>
      <c r="Q5"/>
      <c r="R5"/>
      <c r="S5"/>
    </row>
    <row r="6" s="633" customFormat="1" ht="13.5" customHeight="1" spans="1:19">
      <c r="A6" s="653"/>
      <c r="B6" s="654" t="s">
        <v>850</v>
      </c>
      <c r="C6" s="655" t="s">
        <v>2481</v>
      </c>
      <c r="D6" s="655" t="s">
        <v>2482</v>
      </c>
      <c r="E6" s="656" t="s">
        <v>2483</v>
      </c>
      <c r="F6" s="656" t="s">
        <v>851</v>
      </c>
      <c r="G6" s="657" t="s">
        <v>2484</v>
      </c>
      <c r="K6"/>
      <c r="L6"/>
      <c r="M6"/>
      <c r="N6"/>
      <c r="O6"/>
      <c r="P6"/>
      <c r="Q6"/>
      <c r="R6"/>
      <c r="S6"/>
    </row>
    <row r="7" s="633" customFormat="1" ht="13.5" customHeight="1" spans="1:19">
      <c r="A7" s="658">
        <v>1</v>
      </c>
      <c r="B7" s="659" t="s">
        <v>2485</v>
      </c>
      <c r="C7" s="660">
        <f>C8+C9</f>
        <v>33247.71</v>
      </c>
      <c r="D7" s="660"/>
      <c r="E7" s="661"/>
      <c r="F7" s="661"/>
      <c r="G7" s="662"/>
      <c r="K7"/>
      <c r="L7"/>
      <c r="M7"/>
      <c r="N7"/>
      <c r="O7"/>
      <c r="P7"/>
      <c r="Q7"/>
      <c r="R7"/>
      <c r="S7"/>
    </row>
    <row r="8" s="633" customFormat="1" ht="13.5" customHeight="1" spans="1:19">
      <c r="A8" s="658" t="s">
        <v>2486</v>
      </c>
      <c r="B8" s="663" t="s">
        <v>2487</v>
      </c>
      <c r="C8" s="665">
        <f>ROUND(D8*E8/10000,2)</f>
        <v>33247.71</v>
      </c>
      <c r="D8" s="665">
        <f>地块信息表!D24+地块信息表!D27</f>
        <v>97215.53</v>
      </c>
      <c r="E8" s="666">
        <f>228*10000*3/2000</f>
        <v>3420</v>
      </c>
      <c r="F8" s="661"/>
      <c r="G8" s="667"/>
      <c r="K8"/>
      <c r="L8"/>
      <c r="M8"/>
      <c r="N8"/>
      <c r="O8"/>
      <c r="P8"/>
      <c r="Q8"/>
      <c r="R8"/>
      <c r="S8"/>
    </row>
    <row r="9" s="633" customFormat="1" ht="13.5" customHeight="1" spans="1:19">
      <c r="A9" s="658" t="s">
        <v>2488</v>
      </c>
      <c r="B9" s="663" t="s">
        <v>2489</v>
      </c>
      <c r="C9" s="664">
        <f t="shared" ref="C9:C13" si="0">ROUND(D9*E9/10000,0)</f>
        <v>0</v>
      </c>
      <c r="D9" s="664">
        <v>0</v>
      </c>
      <c r="E9" s="666">
        <v>0</v>
      </c>
      <c r="F9" s="661"/>
      <c r="G9" s="667"/>
      <c r="K9"/>
      <c r="L9"/>
      <c r="M9"/>
      <c r="N9"/>
      <c r="O9"/>
      <c r="P9"/>
      <c r="Q9"/>
      <c r="R9"/>
      <c r="S9"/>
    </row>
    <row r="10" s="633" customFormat="1" ht="36" spans="1:19">
      <c r="A10" s="658">
        <v>2</v>
      </c>
      <c r="B10" s="659" t="s">
        <v>2490</v>
      </c>
      <c r="C10" s="660">
        <f>C11+C14+C15</f>
        <v>27819.96</v>
      </c>
      <c r="D10" s="668"/>
      <c r="E10" s="660"/>
      <c r="F10" s="669"/>
      <c r="G10" s="670" t="s">
        <v>2491</v>
      </c>
      <c r="K10"/>
      <c r="L10"/>
      <c r="M10"/>
      <c r="N10"/>
      <c r="O10"/>
      <c r="P10"/>
      <c r="Q10"/>
      <c r="R10"/>
      <c r="S10"/>
    </row>
    <row r="11" s="633" customFormat="1" ht="13.5" customHeight="1" spans="1:19">
      <c r="A11" s="658" t="s">
        <v>2486</v>
      </c>
      <c r="B11" s="671" t="s">
        <v>2492</v>
      </c>
      <c r="C11" s="672">
        <f>'数据-取费表'!B29</f>
        <v>0</v>
      </c>
      <c r="D11" s="673"/>
      <c r="E11" s="672"/>
      <c r="F11" s="674"/>
      <c r="G11" s="675" t="s">
        <v>2493</v>
      </c>
      <c r="K11"/>
      <c r="L11"/>
      <c r="M11"/>
      <c r="N11"/>
      <c r="O11"/>
      <c r="P11"/>
      <c r="Q11"/>
      <c r="R11"/>
      <c r="S11"/>
    </row>
    <row r="12" s="633" customFormat="1" ht="13.5" customHeight="1" spans="1:19">
      <c r="A12" s="676" t="s">
        <v>2494</v>
      </c>
      <c r="B12" s="677" t="s">
        <v>2495</v>
      </c>
      <c r="C12" s="678">
        <f t="shared" si="0"/>
        <v>0</v>
      </c>
      <c r="D12" s="664">
        <v>0</v>
      </c>
      <c r="E12" s="664">
        <v>0</v>
      </c>
      <c r="F12" s="674"/>
      <c r="G12" s="670"/>
      <c r="K12"/>
      <c r="L12"/>
      <c r="M12"/>
      <c r="N12"/>
      <c r="O12"/>
      <c r="P12"/>
      <c r="Q12"/>
      <c r="R12"/>
      <c r="S12"/>
    </row>
    <row r="13" s="633" customFormat="1" ht="13.5" customHeight="1" spans="1:19">
      <c r="A13" s="676" t="s">
        <v>2496</v>
      </c>
      <c r="B13" s="677" t="s">
        <v>2497</v>
      </c>
      <c r="C13" s="678">
        <f t="shared" si="0"/>
        <v>0</v>
      </c>
      <c r="D13" s="664">
        <f>M9</f>
        <v>0</v>
      </c>
      <c r="E13" s="664">
        <v>0</v>
      </c>
      <c r="F13" s="674"/>
      <c r="G13" s="670"/>
      <c r="K13"/>
      <c r="L13"/>
      <c r="M13"/>
      <c r="N13"/>
      <c r="O13"/>
      <c r="P13"/>
      <c r="Q13"/>
      <c r="R13"/>
      <c r="S13"/>
    </row>
    <row r="14" s="633" customFormat="1" ht="13.5" customHeight="1" spans="1:19">
      <c r="A14" s="658" t="s">
        <v>2488</v>
      </c>
      <c r="B14" s="679" t="s">
        <v>2498</v>
      </c>
      <c r="C14" s="700">
        <f>ROUND(D14*E14/10000,2)</f>
        <v>27819.96</v>
      </c>
      <c r="D14" s="681">
        <f>地块信息表!M23</f>
        <v>186962.11</v>
      </c>
      <c r="E14" s="666">
        <f>分项成本测算!O20+分项成本测算!O21</f>
        <v>1488</v>
      </c>
      <c r="F14" s="682"/>
      <c r="G14" s="683" t="s">
        <v>2499</v>
      </c>
      <c r="L14"/>
      <c r="M14"/>
      <c r="N14"/>
      <c r="O14"/>
      <c r="P14"/>
      <c r="Q14"/>
      <c r="R14"/>
      <c r="S14"/>
    </row>
    <row r="15" s="633" customFormat="1" ht="13.5" customHeight="1" spans="1:19">
      <c r="A15" s="658" t="s">
        <v>2500</v>
      </c>
      <c r="B15" s="679" t="s">
        <v>2501</v>
      </c>
      <c r="C15" s="700"/>
      <c r="D15" s="664"/>
      <c r="E15" s="666"/>
      <c r="F15" s="682"/>
      <c r="G15" s="683" t="s">
        <v>2502</v>
      </c>
      <c r="K15"/>
      <c r="L15"/>
      <c r="M15"/>
      <c r="N15"/>
      <c r="O15"/>
      <c r="P15"/>
      <c r="Q15"/>
      <c r="R15"/>
      <c r="S15"/>
    </row>
    <row r="16" s="634" customFormat="1" ht="48" spans="1:25">
      <c r="A16" s="658">
        <v>3</v>
      </c>
      <c r="B16" s="659" t="s">
        <v>2503</v>
      </c>
      <c r="C16" s="700">
        <f>ROUND(D16*E16/10000,2)</f>
        <v>729.12</v>
      </c>
      <c r="D16" s="681">
        <f>D8</f>
        <v>97215.53</v>
      </c>
      <c r="E16" s="666">
        <f>40+15+20</f>
        <v>75</v>
      </c>
      <c r="F16" s="669"/>
      <c r="G16" s="670" t="s">
        <v>2504</v>
      </c>
      <c r="H16" s="633"/>
      <c r="I16" s="633"/>
      <c r="J16" s="633"/>
      <c r="K16"/>
      <c r="L16"/>
      <c r="M16"/>
      <c r="N16"/>
      <c r="O16"/>
      <c r="P16"/>
      <c r="Q16"/>
      <c r="R16"/>
      <c r="S16"/>
      <c r="T16" s="633"/>
      <c r="U16" s="633"/>
      <c r="V16" s="633"/>
      <c r="W16" s="633"/>
      <c r="X16" s="633"/>
      <c r="Y16" s="633"/>
    </row>
    <row r="17" s="634" customFormat="1" ht="25.5" spans="1:25">
      <c r="A17" s="684">
        <v>4</v>
      </c>
      <c r="B17" s="659" t="s">
        <v>2505</v>
      </c>
      <c r="C17" s="685">
        <f ca="1">ROUND(IF('数据-取费表'!B19&lt;=1,((C7+C16)*'数据-取费表'!B19+C10*'数据-取费表'!B19/2)*F17,((C7+C16)*(POWER((1+F17),'数据-取费表'!B19)-1)+C10*(POWER((1+F17),'数据-取费表'!B19/2)-1))),2)</f>
        <v>2083.08</v>
      </c>
      <c r="D17" s="686"/>
      <c r="E17" s="687"/>
      <c r="F17" s="688">
        <f ca="1">存贷款利率!E3</f>
        <v>0.0435</v>
      </c>
      <c r="G17" s="689" t="str">
        <f>IF('数据-取费表'!B19&lt;=1,"((１＋３)×土地开发期+２×(土地开发期÷２))×利率","((１＋３)×((1+利率)^土地开发期-1)+２×((1+利率)^(土地开发期÷２)-1)")</f>
        <v>((１＋３)×土地开发期+２×(土地开发期÷２))×利率</v>
      </c>
      <c r="H17" s="690"/>
      <c r="I17" s="633"/>
      <c r="J17" s="633"/>
      <c r="K17"/>
      <c r="L17"/>
      <c r="M17"/>
      <c r="N17"/>
      <c r="O17"/>
      <c r="P17"/>
      <c r="Q17"/>
      <c r="R17"/>
      <c r="S17"/>
      <c r="T17" s="633"/>
      <c r="U17" s="633"/>
      <c r="V17" s="633"/>
      <c r="W17" s="633"/>
      <c r="X17" s="633"/>
      <c r="Y17" s="633"/>
    </row>
    <row r="18" s="634" customFormat="1" ht="13.5" customHeight="1" spans="1:25">
      <c r="A18" s="684">
        <v>5</v>
      </c>
      <c r="B18" s="659" t="s">
        <v>2506</v>
      </c>
      <c r="C18" s="668">
        <f>ROUND((C7+C10+C16)*F18,2)</f>
        <v>6797.65</v>
      </c>
      <c r="D18" s="686"/>
      <c r="E18" s="687"/>
      <c r="F18" s="691">
        <v>0.11</v>
      </c>
      <c r="G18" s="689" t="s">
        <v>2507</v>
      </c>
      <c r="H18" s="633"/>
      <c r="I18" s="633"/>
      <c r="J18" s="633"/>
      <c r="K18"/>
      <c r="L18"/>
      <c r="M18"/>
      <c r="N18"/>
      <c r="O18"/>
      <c r="P18"/>
      <c r="Q18"/>
      <c r="R18"/>
      <c r="S18"/>
      <c r="T18" s="633"/>
      <c r="U18" s="633"/>
      <c r="V18" s="633"/>
      <c r="W18" s="633"/>
      <c r="X18" s="633"/>
      <c r="Y18" s="633"/>
    </row>
    <row r="19" s="634" customFormat="1" ht="13.5" customHeight="1" spans="1:25">
      <c r="A19" s="658">
        <v>6</v>
      </c>
      <c r="B19" s="659" t="s">
        <v>2508</v>
      </c>
      <c r="C19" s="668">
        <f ca="1">ROUND(C7+C10+C16+C17+C18,2)</f>
        <v>70677.52</v>
      </c>
      <c r="D19" s="668"/>
      <c r="E19" s="660"/>
      <c r="F19" s="669"/>
      <c r="G19" s="689" t="s">
        <v>2509</v>
      </c>
      <c r="H19" s="633"/>
      <c r="I19" s="633"/>
      <c r="J19" s="633"/>
      <c r="K19"/>
      <c r="L19"/>
      <c r="M19"/>
      <c r="N19"/>
      <c r="O19"/>
      <c r="P19"/>
      <c r="Q19"/>
      <c r="R19"/>
      <c r="S19"/>
      <c r="T19" s="633"/>
      <c r="U19" s="633"/>
      <c r="V19" s="633"/>
      <c r="W19" s="633"/>
      <c r="X19" s="633"/>
      <c r="Y19" s="633"/>
    </row>
    <row r="20" s="634" customFormat="1" ht="13.5" spans="1:25">
      <c r="A20" s="658">
        <v>7</v>
      </c>
      <c r="B20" s="659" t="s">
        <v>2510</v>
      </c>
      <c r="C20" s="668">
        <f ca="1">ROUND(C19*F20,2)</f>
        <v>10601.63</v>
      </c>
      <c r="D20" s="668"/>
      <c r="E20" s="660"/>
      <c r="F20" s="691">
        <v>0.15</v>
      </c>
      <c r="G20" s="689" t="s">
        <v>2511</v>
      </c>
      <c r="H20" s="633"/>
      <c r="I20" s="633"/>
      <c r="J20" s="633"/>
      <c r="K20"/>
      <c r="L20"/>
      <c r="M20"/>
      <c r="N20"/>
      <c r="O20"/>
      <c r="P20"/>
      <c r="Q20"/>
      <c r="R20"/>
      <c r="S20"/>
      <c r="T20" s="633"/>
      <c r="U20" s="633"/>
      <c r="V20" s="633"/>
      <c r="W20" s="633"/>
      <c r="X20" s="633"/>
      <c r="Y20" s="633"/>
    </row>
    <row r="21" s="634" customFormat="1" ht="13.5" spans="1:25">
      <c r="A21" s="658">
        <v>8</v>
      </c>
      <c r="B21" s="659" t="s">
        <v>2512</v>
      </c>
      <c r="C21" s="668">
        <f ca="1">C19+C20</f>
        <v>81279.15</v>
      </c>
      <c r="D21" s="668"/>
      <c r="E21" s="660"/>
      <c r="F21" s="669"/>
      <c r="G21" s="689" t="s">
        <v>2513</v>
      </c>
      <c r="H21" s="633"/>
      <c r="I21" s="633"/>
      <c r="J21" s="633"/>
      <c r="K21"/>
      <c r="L21"/>
      <c r="M21"/>
      <c r="N21"/>
      <c r="O21"/>
      <c r="P21"/>
      <c r="Q21"/>
      <c r="R21"/>
      <c r="S21"/>
      <c r="T21" s="633"/>
      <c r="U21" s="633"/>
      <c r="V21" s="633"/>
      <c r="W21" s="633"/>
      <c r="X21" s="633"/>
      <c r="Y21" s="633"/>
    </row>
    <row r="22" s="634" customFormat="1" ht="13.5" customHeight="1" spans="1:25">
      <c r="A22" s="658">
        <v>9</v>
      </c>
      <c r="B22" s="659" t="s">
        <v>2514</v>
      </c>
      <c r="C22" s="668">
        <f ca="1">ROUND(C21*F22,2)</f>
        <v>76077.28</v>
      </c>
      <c r="D22" s="668"/>
      <c r="E22" s="660"/>
      <c r="F22" s="692">
        <f>'数据-取费表'!AP8</f>
        <v>0.936</v>
      </c>
      <c r="G22" s="689" t="s">
        <v>2515</v>
      </c>
      <c r="H22" s="633"/>
      <c r="I22" s="633"/>
      <c r="J22" s="633"/>
      <c r="K22"/>
      <c r="L22"/>
      <c r="M22"/>
      <c r="N22"/>
      <c r="O22"/>
      <c r="P22"/>
      <c r="Q22"/>
      <c r="R22"/>
      <c r="S22"/>
      <c r="T22" s="633"/>
      <c r="U22" s="633"/>
      <c r="V22" s="633"/>
      <c r="W22" s="633"/>
      <c r="X22" s="633"/>
      <c r="Y22" s="633"/>
    </row>
    <row r="23" s="634" customFormat="1" ht="13.15" customHeight="1" spans="1:25">
      <c r="A23" s="693">
        <v>10</v>
      </c>
      <c r="B23" s="694" t="s">
        <v>2516</v>
      </c>
      <c r="C23" s="696">
        <f ca="1">C22</f>
        <v>76077.28</v>
      </c>
      <c r="D23" s="696"/>
      <c r="E23" s="695"/>
      <c r="F23" s="697"/>
      <c r="G23" s="698"/>
      <c r="H23" s="633"/>
      <c r="I23" s="633"/>
      <c r="J23" s="633"/>
      <c r="K23"/>
      <c r="L23"/>
      <c r="M23"/>
      <c r="N23"/>
      <c r="O23"/>
      <c r="P23"/>
      <c r="Q23"/>
      <c r="R23"/>
      <c r="S23"/>
      <c r="T23" s="633"/>
      <c r="U23" s="633"/>
      <c r="V23" s="633"/>
      <c r="W23" s="633"/>
      <c r="X23" s="633"/>
      <c r="Y23" s="633"/>
    </row>
    <row r="24" s="635" customFormat="1" ht="13.5" spans="1:19">
      <c r="A24" s="699"/>
      <c r="D24" s="73"/>
      <c r="E24" s="73"/>
      <c r="K24"/>
      <c r="L24"/>
      <c r="M24"/>
      <c r="N24"/>
      <c r="O24"/>
      <c r="P24"/>
      <c r="Q24"/>
      <c r="R24"/>
      <c r="S24"/>
    </row>
    <row r="25" s="635" customFormat="1" ht="13.5" spans="1:19">
      <c r="A25" s="699"/>
      <c r="D25" s="73"/>
      <c r="E25" s="73"/>
      <c r="K25"/>
      <c r="L25"/>
      <c r="M25"/>
      <c r="N25"/>
      <c r="O25"/>
      <c r="P25"/>
      <c r="Q25"/>
      <c r="R25"/>
      <c r="S25"/>
    </row>
    <row r="26" s="635" customFormat="1" ht="13.5" spans="1:19">
      <c r="A26" s="699"/>
      <c r="D26" s="73"/>
      <c r="E26" s="73"/>
      <c r="K26"/>
      <c r="L26"/>
      <c r="M26"/>
      <c r="N26"/>
      <c r="O26"/>
      <c r="P26"/>
      <c r="Q26"/>
      <c r="R26"/>
      <c r="S26"/>
    </row>
    <row r="27" s="635" customFormat="1" ht="13.5" spans="1:19">
      <c r="A27" s="699"/>
      <c r="D27" s="73"/>
      <c r="E27" s="73"/>
      <c r="K27"/>
      <c r="L27"/>
      <c r="M27"/>
      <c r="N27"/>
      <c r="O27"/>
      <c r="P27"/>
      <c r="Q27"/>
      <c r="R27"/>
      <c r="S27"/>
    </row>
    <row r="28" s="635" customFormat="1" ht="13.5" spans="1:19">
      <c r="A28" s="699"/>
      <c r="D28" s="73"/>
      <c r="E28" s="73"/>
      <c r="K28"/>
      <c r="L28"/>
      <c r="M28"/>
      <c r="N28"/>
      <c r="O28"/>
      <c r="P28"/>
      <c r="Q28"/>
      <c r="R28"/>
      <c r="S28"/>
    </row>
    <row r="29" s="635" customFormat="1" ht="13.5" spans="1:19">
      <c r="A29" s="699"/>
      <c r="D29" s="73"/>
      <c r="E29" s="73"/>
      <c r="K29"/>
      <c r="L29"/>
      <c r="M29"/>
      <c r="N29"/>
      <c r="O29"/>
      <c r="P29"/>
      <c r="Q29"/>
      <c r="R29"/>
      <c r="S29"/>
    </row>
    <row r="30" s="635" customFormat="1" ht="13.5" spans="1:14">
      <c r="A30" s="699"/>
      <c r="D30" s="73"/>
      <c r="E30" s="73"/>
      <c r="K30"/>
      <c r="L30"/>
      <c r="M30"/>
      <c r="N30"/>
    </row>
    <row r="31" s="635" customFormat="1" ht="13.5" spans="1:14">
      <c r="A31" s="699"/>
      <c r="D31" s="73"/>
      <c r="E31" s="73"/>
      <c r="K31"/>
      <c r="L31"/>
      <c r="M31"/>
      <c r="N31"/>
    </row>
    <row r="32" s="635" customFormat="1" ht="13.5" spans="1:14">
      <c r="A32" s="699"/>
      <c r="D32" s="73"/>
      <c r="E32" s="73"/>
      <c r="K32"/>
      <c r="L32"/>
      <c r="M32"/>
      <c r="N32"/>
    </row>
    <row r="33" s="635" customFormat="1" ht="13.5" spans="1:14">
      <c r="A33" s="699"/>
      <c r="D33" s="73"/>
      <c r="E33" s="73"/>
      <c r="K33"/>
      <c r="L33"/>
      <c r="M33"/>
      <c r="N33"/>
    </row>
    <row r="34" s="635" customFormat="1" ht="13.5" spans="1:14">
      <c r="A34" s="699"/>
      <c r="D34" s="73"/>
      <c r="E34" s="73"/>
      <c r="K34"/>
      <c r="L34"/>
      <c r="M34"/>
      <c r="N34"/>
    </row>
    <row r="35" s="635" customFormat="1" ht="13.5" spans="1:14">
      <c r="A35" s="699"/>
      <c r="D35" s="73"/>
      <c r="E35" s="73"/>
      <c r="K35"/>
      <c r="L35"/>
      <c r="M35"/>
      <c r="N35"/>
    </row>
    <row r="36" s="635" customFormat="1" spans="1:5">
      <c r="A36" s="699"/>
      <c r="D36" s="73"/>
      <c r="E36" s="73"/>
    </row>
    <row r="37" s="635" customFormat="1" spans="1:5">
      <c r="A37" s="699"/>
      <c r="D37" s="73"/>
      <c r="E37" s="73"/>
    </row>
    <row r="38" s="635" customFormat="1" spans="1:5">
      <c r="A38" s="699"/>
      <c r="D38" s="73"/>
      <c r="E38" s="73"/>
    </row>
    <row r="39" s="635" customFormat="1" spans="1:5">
      <c r="A39" s="699"/>
      <c r="D39" s="73"/>
      <c r="E39" s="73"/>
    </row>
    <row r="40" s="635" customFormat="1" spans="1:5">
      <c r="A40" s="699"/>
      <c r="D40" s="73"/>
      <c r="E40" s="73"/>
    </row>
    <row r="41" s="635" customFormat="1" spans="1:5">
      <c r="A41" s="699"/>
      <c r="D41" s="73"/>
      <c r="E41" s="73"/>
    </row>
    <row r="42" s="635" customFormat="1" spans="1:5">
      <c r="A42" s="699"/>
      <c r="D42" s="73"/>
      <c r="E42" s="73"/>
    </row>
    <row r="43" s="635" customFormat="1" spans="1:5">
      <c r="A43" s="699"/>
      <c r="D43" s="73"/>
      <c r="E43" s="73"/>
    </row>
    <row r="44" s="635" customFormat="1" spans="1:5">
      <c r="A44" s="699"/>
      <c r="D44" s="73"/>
      <c r="E44" s="73"/>
    </row>
    <row r="45" s="635" customFormat="1" spans="1:5">
      <c r="A45" s="699"/>
      <c r="D45" s="73"/>
      <c r="E45" s="73"/>
    </row>
    <row r="46" s="635" customFormat="1" spans="1:5">
      <c r="A46" s="699"/>
      <c r="D46" s="73"/>
      <c r="E46" s="73"/>
    </row>
    <row r="47" s="635" customFormat="1" spans="1:5">
      <c r="A47" s="699"/>
      <c r="D47" s="73"/>
      <c r="E47" s="73"/>
    </row>
    <row r="48" s="635" customFormat="1" spans="1:5">
      <c r="A48" s="699"/>
      <c r="D48" s="73"/>
      <c r="E48" s="73"/>
    </row>
    <row r="49" s="635" customFormat="1" spans="1:5">
      <c r="A49" s="699"/>
      <c r="D49" s="73"/>
      <c r="E49" s="73"/>
    </row>
    <row r="50" s="635" customFormat="1" spans="1:5">
      <c r="A50" s="699"/>
      <c r="D50" s="73"/>
      <c r="E50" s="73"/>
    </row>
    <row r="51" s="635" customFormat="1" spans="1:5">
      <c r="A51" s="699"/>
      <c r="D51" s="73"/>
      <c r="E51" s="73"/>
    </row>
    <row r="52" s="635" customFormat="1" spans="1:5">
      <c r="A52" s="699"/>
      <c r="D52" s="73"/>
      <c r="E52" s="73"/>
    </row>
    <row r="53" s="635" customFormat="1" spans="1:5">
      <c r="A53" s="699"/>
      <c r="D53" s="73"/>
      <c r="E53" s="73"/>
    </row>
    <row r="54" s="635" customFormat="1" spans="1:5">
      <c r="A54" s="699"/>
      <c r="D54" s="73"/>
      <c r="E54" s="73"/>
    </row>
    <row r="55" s="635" customFormat="1" spans="1:5">
      <c r="A55" s="699"/>
      <c r="D55" s="73"/>
      <c r="E55" s="73"/>
    </row>
    <row r="56" s="635" customFormat="1" spans="1:5">
      <c r="A56" s="699"/>
      <c r="D56" s="73"/>
      <c r="E56" s="73"/>
    </row>
    <row r="57" s="635" customFormat="1" spans="1:5">
      <c r="A57" s="699"/>
      <c r="D57" s="73"/>
      <c r="E57" s="73"/>
    </row>
    <row r="58" s="635" customFormat="1" spans="1:5">
      <c r="A58" s="699"/>
      <c r="D58" s="73"/>
      <c r="E58" s="73"/>
    </row>
    <row r="59" s="635" customFormat="1" spans="1:5">
      <c r="A59" s="699"/>
      <c r="D59" s="73"/>
      <c r="E59" s="73"/>
    </row>
    <row r="60" s="635" customFormat="1" spans="1:5">
      <c r="A60" s="699"/>
      <c r="D60" s="73"/>
      <c r="E60" s="73"/>
    </row>
    <row r="61" s="635" customFormat="1" spans="1:5">
      <c r="A61" s="699"/>
      <c r="D61" s="73"/>
      <c r="E61" s="73"/>
    </row>
    <row r="62" s="635" customFormat="1" spans="1:5">
      <c r="A62" s="699"/>
      <c r="D62" s="73"/>
      <c r="E62" s="73"/>
    </row>
    <row r="63" s="635" customFormat="1" spans="1:5">
      <c r="A63" s="699"/>
      <c r="D63" s="73"/>
      <c r="E63" s="73"/>
    </row>
  </sheetData>
  <sheetProtection formatCells="0" formatColumns="0" formatRows="0"/>
  <dataValidations count="1">
    <dataValidation type="list" allowBlank="1" showInputMessage="1" showErrorMessage="1" sqref="G7">
      <formula1>"土地开发补偿费,征收补偿安置费"</formula1>
    </dataValidation>
  </dataValidations>
  <pageMargins left="0.7" right="0.7" top="0.75" bottom="0.75" header="0.3" footer="0.3"/>
  <pageSetup paperSize="9" orientation="landscape"/>
  <headerFooter/>
  <drawing r:id="rId1"/>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Y63"/>
  <sheetViews>
    <sheetView view="pageBreakPreview" zoomScaleNormal="80" topLeftCell="A10" workbookViewId="0">
      <selection activeCell="B3" sqref="B3"/>
    </sheetView>
  </sheetViews>
  <sheetFormatPr defaultColWidth="8.36666666666667" defaultRowHeight="12.75"/>
  <cols>
    <col min="1" max="1" width="9.36666666666667" style="636" customWidth="1"/>
    <col min="2" max="2" width="26.6333333333333" style="637" customWidth="1"/>
    <col min="3" max="3" width="11.0916666666667" style="637" customWidth="1"/>
    <col min="4" max="5" width="11.0916666666667" style="638" customWidth="1"/>
    <col min="6" max="6" width="9.45" style="637" customWidth="1"/>
    <col min="7" max="7" width="31.9083333333333" style="637" customWidth="1"/>
    <col min="8" max="10" width="9" style="639" hidden="1" customWidth="1"/>
    <col min="11" max="11" width="15" style="639" customWidth="1"/>
    <col min="12" max="12" width="17.0916666666667" style="639" customWidth="1"/>
    <col min="13" max="13" width="12.9083333333333" style="639" customWidth="1"/>
    <col min="14" max="14" width="15" style="639" customWidth="1"/>
    <col min="15" max="15" width="29.6333333333333" style="639" customWidth="1"/>
    <col min="16" max="25" width="9" style="639" customWidth="1"/>
    <col min="26" max="254" width="9" style="637" customWidth="1"/>
    <col min="255" max="16384" width="8.36666666666667" style="637"/>
  </cols>
  <sheetData>
    <row r="1" s="632" customFormat="1" ht="20.25" spans="1:7">
      <c r="A1" s="640" t="s">
        <v>2480</v>
      </c>
      <c r="B1" s="641"/>
      <c r="C1" s="642"/>
      <c r="D1" s="642"/>
      <c r="E1" s="642"/>
      <c r="F1" s="642"/>
      <c r="G1" s="643"/>
    </row>
    <row r="2" s="632" customFormat="1" ht="18" customHeight="1" spans="1:7">
      <c r="A2" s="204" t="s">
        <v>919</v>
      </c>
      <c r="B2" s="644">
        <f ca="1">C23</f>
        <v>7698.47</v>
      </c>
      <c r="C2" s="645"/>
      <c r="D2" s="645"/>
      <c r="E2" s="645"/>
      <c r="F2" s="645"/>
      <c r="G2" s="645"/>
    </row>
    <row r="3" s="632" customFormat="1" ht="18" customHeight="1" spans="1:7">
      <c r="A3" s="646" t="s">
        <v>920</v>
      </c>
      <c r="B3" s="644">
        <f ca="1">ROUND(B2*10000/D14,0)</f>
        <v>3823</v>
      </c>
      <c r="C3" s="645">
        <f ca="1">ROUND(B2*10000/地块信息表!D26,0)</f>
        <v>28174</v>
      </c>
      <c r="D3" s="645"/>
      <c r="E3" s="645"/>
      <c r="F3" s="645"/>
      <c r="G3" s="645"/>
    </row>
    <row r="4" s="632" customFormat="1" ht="18" customHeight="1" spans="1:14">
      <c r="A4" s="647" t="s">
        <v>1056</v>
      </c>
      <c r="B4" s="648">
        <f ca="1">ROUND(B2*10000/D8,0)</f>
        <v>7596</v>
      </c>
      <c r="C4" s="649"/>
      <c r="D4" s="645"/>
      <c r="E4" s="645"/>
      <c r="F4" s="645"/>
      <c r="G4" s="645"/>
      <c r="K4"/>
      <c r="L4"/>
      <c r="M4"/>
      <c r="N4"/>
    </row>
    <row r="5" s="632" customFormat="1" ht="18" customHeight="1" spans="1:19">
      <c r="A5" s="650"/>
      <c r="B5" s="651">
        <f ca="1">ROUND(B2/(D8/666.67),0)</f>
        <v>506</v>
      </c>
      <c r="C5" s="652" t="s">
        <v>922</v>
      </c>
      <c r="D5" s="645"/>
      <c r="E5" s="645"/>
      <c r="F5" s="645"/>
      <c r="G5" s="645"/>
      <c r="K5"/>
      <c r="L5"/>
      <c r="M5"/>
      <c r="N5"/>
      <c r="O5"/>
      <c r="P5"/>
      <c r="Q5"/>
      <c r="R5"/>
      <c r="S5"/>
    </row>
    <row r="6" s="633" customFormat="1" ht="13.5" customHeight="1" spans="1:19">
      <c r="A6" s="653"/>
      <c r="B6" s="654" t="s">
        <v>850</v>
      </c>
      <c r="C6" s="655" t="s">
        <v>2481</v>
      </c>
      <c r="D6" s="655" t="s">
        <v>2482</v>
      </c>
      <c r="E6" s="656" t="s">
        <v>2483</v>
      </c>
      <c r="F6" s="656" t="s">
        <v>851</v>
      </c>
      <c r="G6" s="657" t="s">
        <v>2484</v>
      </c>
      <c r="K6"/>
      <c r="L6"/>
      <c r="M6"/>
      <c r="N6"/>
      <c r="O6"/>
      <c r="P6"/>
      <c r="Q6"/>
      <c r="R6"/>
      <c r="S6"/>
    </row>
    <row r="7" s="633" customFormat="1" ht="13.5" customHeight="1" spans="1:19">
      <c r="A7" s="658">
        <v>1</v>
      </c>
      <c r="B7" s="659" t="s">
        <v>2485</v>
      </c>
      <c r="C7" s="668">
        <f>C8+C9</f>
        <v>3466.17</v>
      </c>
      <c r="D7" s="660"/>
      <c r="E7" s="661"/>
      <c r="F7" s="661"/>
      <c r="G7" s="662"/>
      <c r="K7"/>
      <c r="L7"/>
      <c r="M7"/>
      <c r="N7"/>
      <c r="O7"/>
      <c r="P7"/>
      <c r="Q7"/>
      <c r="R7"/>
      <c r="S7"/>
    </row>
    <row r="8" s="633" customFormat="1" ht="13.5" customHeight="1" spans="1:19">
      <c r="A8" s="658" t="s">
        <v>2486</v>
      </c>
      <c r="B8" s="663" t="s">
        <v>2487</v>
      </c>
      <c r="C8" s="665">
        <f>ROUND(D8*E8/10000,2)</f>
        <v>3466.17</v>
      </c>
      <c r="D8" s="665">
        <f>地块信息表!D25</f>
        <v>10135</v>
      </c>
      <c r="E8" s="666">
        <f>228*10000*3/2000</f>
        <v>3420</v>
      </c>
      <c r="F8" s="661"/>
      <c r="G8" s="667"/>
      <c r="K8"/>
      <c r="L8"/>
      <c r="M8"/>
      <c r="N8"/>
      <c r="O8"/>
      <c r="P8"/>
      <c r="Q8"/>
      <c r="R8"/>
      <c r="S8"/>
    </row>
    <row r="9" s="633" customFormat="1" ht="13.5" customHeight="1" spans="1:19">
      <c r="A9" s="658" t="s">
        <v>2488</v>
      </c>
      <c r="B9" s="663" t="s">
        <v>2489</v>
      </c>
      <c r="C9" s="664">
        <f t="shared" ref="C9:C13" si="0">ROUND(D9*E9/10000,0)</f>
        <v>0</v>
      </c>
      <c r="D9" s="664">
        <v>0</v>
      </c>
      <c r="E9" s="666">
        <v>0</v>
      </c>
      <c r="F9" s="661"/>
      <c r="G9" s="667"/>
      <c r="K9"/>
      <c r="L9"/>
      <c r="M9"/>
      <c r="N9"/>
      <c r="O9"/>
      <c r="P9"/>
      <c r="Q9"/>
      <c r="R9"/>
      <c r="S9"/>
    </row>
    <row r="10" s="633" customFormat="1" ht="36" spans="1:19">
      <c r="A10" s="658">
        <v>2</v>
      </c>
      <c r="B10" s="659" t="s">
        <v>2490</v>
      </c>
      <c r="C10" s="660">
        <f>C11+C14+C15</f>
        <v>2996.46</v>
      </c>
      <c r="D10" s="668"/>
      <c r="E10" s="660"/>
      <c r="F10" s="669"/>
      <c r="G10" s="670" t="s">
        <v>2491</v>
      </c>
      <c r="K10"/>
      <c r="L10"/>
      <c r="M10"/>
      <c r="N10"/>
      <c r="O10"/>
      <c r="P10"/>
      <c r="Q10"/>
      <c r="R10"/>
      <c r="S10"/>
    </row>
    <row r="11" s="633" customFormat="1" ht="13.5" customHeight="1" spans="1:19">
      <c r="A11" s="658" t="s">
        <v>2486</v>
      </c>
      <c r="B11" s="671" t="s">
        <v>2492</v>
      </c>
      <c r="C11" s="672">
        <f>'数据-取费表'!B29</f>
        <v>0</v>
      </c>
      <c r="D11" s="673"/>
      <c r="E11" s="672"/>
      <c r="F11" s="674"/>
      <c r="G11" s="675" t="s">
        <v>2493</v>
      </c>
      <c r="K11"/>
      <c r="L11"/>
      <c r="M11"/>
      <c r="N11"/>
      <c r="O11"/>
      <c r="P11"/>
      <c r="Q11"/>
      <c r="R11"/>
      <c r="S11"/>
    </row>
    <row r="12" s="633" customFormat="1" ht="13.5" customHeight="1" spans="1:19">
      <c r="A12" s="676" t="s">
        <v>2494</v>
      </c>
      <c r="B12" s="677" t="s">
        <v>2495</v>
      </c>
      <c r="C12" s="678">
        <f t="shared" si="0"/>
        <v>0</v>
      </c>
      <c r="D12" s="664">
        <v>0</v>
      </c>
      <c r="E12" s="664">
        <v>0</v>
      </c>
      <c r="F12" s="674"/>
      <c r="G12" s="670"/>
      <c r="K12"/>
      <c r="L12"/>
      <c r="M12"/>
      <c r="N12"/>
      <c r="O12"/>
      <c r="P12"/>
      <c r="Q12"/>
      <c r="R12"/>
      <c r="S12"/>
    </row>
    <row r="13" s="633" customFormat="1" ht="13.5" customHeight="1" spans="1:19">
      <c r="A13" s="676" t="s">
        <v>2496</v>
      </c>
      <c r="B13" s="677" t="s">
        <v>2497</v>
      </c>
      <c r="C13" s="678">
        <f t="shared" si="0"/>
        <v>0</v>
      </c>
      <c r="D13" s="664">
        <f>M9</f>
        <v>0</v>
      </c>
      <c r="E13" s="664">
        <v>0</v>
      </c>
      <c r="F13" s="674"/>
      <c r="G13" s="670"/>
      <c r="K13"/>
      <c r="L13"/>
      <c r="M13"/>
      <c r="N13"/>
      <c r="O13"/>
      <c r="P13"/>
      <c r="Q13"/>
      <c r="R13"/>
      <c r="S13"/>
    </row>
    <row r="14" s="633" customFormat="1" ht="13.5" customHeight="1" spans="1:19">
      <c r="A14" s="658" t="s">
        <v>2488</v>
      </c>
      <c r="B14" s="679" t="s">
        <v>2498</v>
      </c>
      <c r="C14" s="700">
        <f>ROUND(D14*E14/10000,2)</f>
        <v>2996.46</v>
      </c>
      <c r="D14" s="681">
        <f>地块信息表!M24</f>
        <v>20137.5</v>
      </c>
      <c r="E14" s="666">
        <f>分项成本测算!O20+分项成本测算!O21</f>
        <v>1488</v>
      </c>
      <c r="F14" s="682"/>
      <c r="G14" s="683" t="s">
        <v>2499</v>
      </c>
      <c r="L14"/>
      <c r="M14"/>
      <c r="N14"/>
      <c r="O14"/>
      <c r="P14"/>
      <c r="Q14"/>
      <c r="R14"/>
      <c r="S14"/>
    </row>
    <row r="15" s="633" customFormat="1" ht="13.5" customHeight="1" spans="1:19">
      <c r="A15" s="658" t="s">
        <v>2500</v>
      </c>
      <c r="B15" s="679" t="s">
        <v>2501</v>
      </c>
      <c r="C15" s="700"/>
      <c r="D15" s="664"/>
      <c r="E15" s="666"/>
      <c r="F15" s="682"/>
      <c r="G15" s="683" t="s">
        <v>2502</v>
      </c>
      <c r="K15"/>
      <c r="L15"/>
      <c r="M15"/>
      <c r="N15"/>
      <c r="O15"/>
      <c r="P15"/>
      <c r="Q15"/>
      <c r="R15"/>
      <c r="S15"/>
    </row>
    <row r="16" s="634" customFormat="1" ht="48" spans="1:25">
      <c r="A16" s="658">
        <v>3</v>
      </c>
      <c r="B16" s="659" t="s">
        <v>2503</v>
      </c>
      <c r="C16" s="700">
        <f>ROUND(D16*E16/10000,2)</f>
        <v>76.01</v>
      </c>
      <c r="D16" s="681">
        <f>D8</f>
        <v>10135</v>
      </c>
      <c r="E16" s="666">
        <f>40+15+20</f>
        <v>75</v>
      </c>
      <c r="F16" s="669"/>
      <c r="G16" s="670" t="s">
        <v>2504</v>
      </c>
      <c r="H16" s="633"/>
      <c r="I16" s="633"/>
      <c r="J16" s="633"/>
      <c r="K16"/>
      <c r="L16"/>
      <c r="M16"/>
      <c r="N16"/>
      <c r="O16"/>
      <c r="P16"/>
      <c r="Q16"/>
      <c r="R16"/>
      <c r="S16"/>
      <c r="T16" s="633"/>
      <c r="U16" s="633"/>
      <c r="V16" s="633"/>
      <c r="W16" s="633"/>
      <c r="X16" s="633"/>
      <c r="Y16" s="633"/>
    </row>
    <row r="17" s="634" customFormat="1" ht="25.5" spans="1:25">
      <c r="A17" s="684">
        <v>4</v>
      </c>
      <c r="B17" s="659" t="s">
        <v>2505</v>
      </c>
      <c r="C17" s="685">
        <f ca="1">ROUND(IF('数据-取费表'!B19&lt;=1,((C7+C16)*'数据-取费表'!B19+C10*'数据-取费表'!B19/2)*F17,((C7+C16)*(POWER((1+F17),'数据-取费表'!B19)-1)+C10*(POWER((1+F17),'数据-取费表'!B19/2)-1))),2)</f>
        <v>219.26</v>
      </c>
      <c r="D17" s="686"/>
      <c r="E17" s="687"/>
      <c r="F17" s="688">
        <f ca="1">存贷款利率!E3</f>
        <v>0.0435</v>
      </c>
      <c r="G17" s="689" t="str">
        <f>IF('数据-取费表'!B19&lt;=1,"((１＋３)×土地开发期+２×(土地开发期÷２))×利率","((１＋３)×((1+利率)^土地开发期-1)+２×((1+利率)^(土地开发期÷２)-1)")</f>
        <v>((１＋３)×土地开发期+２×(土地开发期÷２))×利率</v>
      </c>
      <c r="H17" s="690"/>
      <c r="I17" s="633"/>
      <c r="J17" s="633"/>
      <c r="K17"/>
      <c r="L17"/>
      <c r="M17"/>
      <c r="N17"/>
      <c r="O17"/>
      <c r="P17"/>
      <c r="Q17"/>
      <c r="R17"/>
      <c r="S17"/>
      <c r="T17" s="633"/>
      <c r="U17" s="633"/>
      <c r="V17" s="633"/>
      <c r="W17" s="633"/>
      <c r="X17" s="633"/>
      <c r="Y17" s="633"/>
    </row>
    <row r="18" s="634" customFormat="1" ht="13.5" customHeight="1" spans="1:25">
      <c r="A18" s="684">
        <v>5</v>
      </c>
      <c r="B18" s="659" t="s">
        <v>2506</v>
      </c>
      <c r="C18" s="668">
        <f>ROUND((C7+C10+C16)*F18,2)</f>
        <v>719.25</v>
      </c>
      <c r="D18" s="686"/>
      <c r="E18" s="687"/>
      <c r="F18" s="691">
        <v>0.11</v>
      </c>
      <c r="G18" s="689" t="s">
        <v>2507</v>
      </c>
      <c r="H18" s="633"/>
      <c r="I18" s="633"/>
      <c r="J18" s="633"/>
      <c r="K18"/>
      <c r="L18"/>
      <c r="M18"/>
      <c r="N18"/>
      <c r="O18"/>
      <c r="P18"/>
      <c r="Q18"/>
      <c r="R18"/>
      <c r="S18"/>
      <c r="T18" s="633"/>
      <c r="U18" s="633"/>
      <c r="V18" s="633"/>
      <c r="W18" s="633"/>
      <c r="X18" s="633"/>
      <c r="Y18" s="633"/>
    </row>
    <row r="19" s="634" customFormat="1" ht="13.5" customHeight="1" spans="1:25">
      <c r="A19" s="658">
        <v>6</v>
      </c>
      <c r="B19" s="659" t="s">
        <v>2508</v>
      </c>
      <c r="C19" s="668">
        <f ca="1">C7+C10+C16+C17+C18</f>
        <v>7477.15</v>
      </c>
      <c r="D19" s="668"/>
      <c r="E19" s="660"/>
      <c r="F19" s="669"/>
      <c r="G19" s="689" t="s">
        <v>2509</v>
      </c>
      <c r="H19" s="633"/>
      <c r="I19" s="633"/>
      <c r="J19" s="633"/>
      <c r="K19"/>
      <c r="L19"/>
      <c r="M19"/>
      <c r="N19"/>
      <c r="O19"/>
      <c r="P19"/>
      <c r="Q19"/>
      <c r="R19"/>
      <c r="S19"/>
      <c r="T19" s="633"/>
      <c r="U19" s="633"/>
      <c r="V19" s="633"/>
      <c r="W19" s="633"/>
      <c r="X19" s="633"/>
      <c r="Y19" s="633"/>
    </row>
    <row r="20" s="634" customFormat="1" ht="13.5" spans="1:25">
      <c r="A20" s="658">
        <v>7</v>
      </c>
      <c r="B20" s="659" t="s">
        <v>2510</v>
      </c>
      <c r="C20" s="668">
        <f ca="1">ROUND(C19*F20,2)</f>
        <v>1495.43</v>
      </c>
      <c r="D20" s="668"/>
      <c r="E20" s="660"/>
      <c r="F20" s="691">
        <v>0.2</v>
      </c>
      <c r="G20" s="689" t="s">
        <v>2511</v>
      </c>
      <c r="H20" s="633"/>
      <c r="I20" s="633"/>
      <c r="J20" s="633"/>
      <c r="K20"/>
      <c r="L20"/>
      <c r="M20"/>
      <c r="N20"/>
      <c r="O20"/>
      <c r="P20"/>
      <c r="Q20"/>
      <c r="R20"/>
      <c r="S20"/>
      <c r="T20" s="633"/>
      <c r="U20" s="633"/>
      <c r="V20" s="633"/>
      <c r="W20" s="633"/>
      <c r="X20" s="633"/>
      <c r="Y20" s="633"/>
    </row>
    <row r="21" s="634" customFormat="1" ht="13.5" spans="1:25">
      <c r="A21" s="658">
        <v>8</v>
      </c>
      <c r="B21" s="659" t="s">
        <v>2512</v>
      </c>
      <c r="C21" s="668">
        <f ca="1">C19+C20</f>
        <v>8972.58</v>
      </c>
      <c r="D21" s="668"/>
      <c r="E21" s="660"/>
      <c r="F21" s="669"/>
      <c r="G21" s="689" t="s">
        <v>2513</v>
      </c>
      <c r="H21" s="633"/>
      <c r="I21" s="633"/>
      <c r="J21" s="633"/>
      <c r="K21"/>
      <c r="L21"/>
      <c r="M21"/>
      <c r="N21"/>
      <c r="O21"/>
      <c r="P21"/>
      <c r="Q21"/>
      <c r="R21"/>
      <c r="S21"/>
      <c r="T21" s="633"/>
      <c r="U21" s="633"/>
      <c r="V21" s="633"/>
      <c r="W21" s="633"/>
      <c r="X21" s="633"/>
      <c r="Y21" s="633"/>
    </row>
    <row r="22" s="634" customFormat="1" ht="13.5" customHeight="1" spans="1:25">
      <c r="A22" s="658">
        <v>9</v>
      </c>
      <c r="B22" s="659" t="s">
        <v>2514</v>
      </c>
      <c r="C22" s="668">
        <f ca="1">ROUND(C21*F22,2)</f>
        <v>7698.47</v>
      </c>
      <c r="D22" s="668"/>
      <c r="E22" s="660"/>
      <c r="F22" s="692">
        <f>'数据-取费表'!AP9</f>
        <v>0.858</v>
      </c>
      <c r="G22" s="689" t="s">
        <v>2515</v>
      </c>
      <c r="H22" s="633"/>
      <c r="I22" s="633"/>
      <c r="J22" s="633"/>
      <c r="K22"/>
      <c r="L22"/>
      <c r="M22"/>
      <c r="N22"/>
      <c r="O22"/>
      <c r="P22"/>
      <c r="Q22"/>
      <c r="R22"/>
      <c r="S22"/>
      <c r="T22" s="633"/>
      <c r="U22" s="633"/>
      <c r="V22" s="633"/>
      <c r="W22" s="633"/>
      <c r="X22" s="633"/>
      <c r="Y22" s="633"/>
    </row>
    <row r="23" s="634" customFormat="1" ht="13.15" customHeight="1" spans="1:25">
      <c r="A23" s="693">
        <v>10</v>
      </c>
      <c r="B23" s="694" t="s">
        <v>2516</v>
      </c>
      <c r="C23" s="696">
        <f ca="1">C22</f>
        <v>7698.47</v>
      </c>
      <c r="D23" s="696"/>
      <c r="E23" s="695"/>
      <c r="F23" s="697"/>
      <c r="G23" s="698"/>
      <c r="H23" s="633"/>
      <c r="I23" s="633"/>
      <c r="J23" s="633"/>
      <c r="K23"/>
      <c r="L23"/>
      <c r="M23"/>
      <c r="N23"/>
      <c r="O23"/>
      <c r="P23"/>
      <c r="Q23"/>
      <c r="R23"/>
      <c r="S23"/>
      <c r="T23" s="633"/>
      <c r="U23" s="633"/>
      <c r="V23" s="633"/>
      <c r="W23" s="633"/>
      <c r="X23" s="633"/>
      <c r="Y23" s="633"/>
    </row>
    <row r="24" s="635" customFormat="1" ht="13.5" spans="1:19">
      <c r="A24" s="699"/>
      <c r="D24" s="73"/>
      <c r="E24" s="73"/>
      <c r="K24"/>
      <c r="L24"/>
      <c r="M24"/>
      <c r="N24"/>
      <c r="O24"/>
      <c r="P24"/>
      <c r="Q24"/>
      <c r="R24"/>
      <c r="S24"/>
    </row>
    <row r="25" s="635" customFormat="1" ht="13.5" spans="1:19">
      <c r="A25" s="699"/>
      <c r="D25" s="73"/>
      <c r="E25" s="73"/>
      <c r="K25"/>
      <c r="L25"/>
      <c r="M25"/>
      <c r="N25"/>
      <c r="O25"/>
      <c r="P25"/>
      <c r="Q25"/>
      <c r="R25"/>
      <c r="S25"/>
    </row>
    <row r="26" s="635" customFormat="1" ht="13.5" spans="1:19">
      <c r="A26" s="699"/>
      <c r="D26" s="73"/>
      <c r="E26" s="73"/>
      <c r="K26"/>
      <c r="L26"/>
      <c r="M26"/>
      <c r="N26"/>
      <c r="O26"/>
      <c r="P26"/>
      <c r="Q26"/>
      <c r="R26"/>
      <c r="S26"/>
    </row>
    <row r="27" s="635" customFormat="1" ht="13.5" spans="1:19">
      <c r="A27" s="699"/>
      <c r="D27" s="73"/>
      <c r="E27" s="73"/>
      <c r="K27"/>
      <c r="L27"/>
      <c r="M27"/>
      <c r="N27"/>
      <c r="O27"/>
      <c r="P27"/>
      <c r="Q27"/>
      <c r="R27"/>
      <c r="S27"/>
    </row>
    <row r="28" s="635" customFormat="1" ht="13.5" spans="1:19">
      <c r="A28" s="699"/>
      <c r="D28" s="73"/>
      <c r="E28" s="73"/>
      <c r="K28"/>
      <c r="L28"/>
      <c r="M28"/>
      <c r="N28"/>
      <c r="O28"/>
      <c r="P28"/>
      <c r="Q28"/>
      <c r="R28"/>
      <c r="S28"/>
    </row>
    <row r="29" s="635" customFormat="1" ht="13.5" spans="1:19">
      <c r="A29" s="699"/>
      <c r="D29" s="73"/>
      <c r="E29" s="73"/>
      <c r="K29"/>
      <c r="L29"/>
      <c r="M29"/>
      <c r="N29"/>
      <c r="O29"/>
      <c r="P29"/>
      <c r="Q29"/>
      <c r="R29"/>
      <c r="S29"/>
    </row>
    <row r="30" s="635" customFormat="1" ht="13.5" spans="1:14">
      <c r="A30" s="699"/>
      <c r="D30" s="73"/>
      <c r="E30" s="73"/>
      <c r="K30"/>
      <c r="L30"/>
      <c r="M30"/>
      <c r="N30"/>
    </row>
    <row r="31" s="635" customFormat="1" ht="13.5" spans="1:14">
      <c r="A31" s="699"/>
      <c r="D31" s="73"/>
      <c r="E31" s="73"/>
      <c r="K31"/>
      <c r="L31"/>
      <c r="M31"/>
      <c r="N31"/>
    </row>
    <row r="32" s="635" customFormat="1" ht="13.5" spans="1:14">
      <c r="A32" s="699"/>
      <c r="D32" s="73"/>
      <c r="E32" s="73"/>
      <c r="K32"/>
      <c r="L32"/>
      <c r="M32"/>
      <c r="N32"/>
    </row>
    <row r="33" s="635" customFormat="1" ht="13.5" spans="1:14">
      <c r="A33" s="699"/>
      <c r="D33" s="73"/>
      <c r="E33" s="73"/>
      <c r="K33"/>
      <c r="L33"/>
      <c r="M33"/>
      <c r="N33"/>
    </row>
    <row r="34" s="635" customFormat="1" ht="13.5" spans="1:14">
      <c r="A34" s="699"/>
      <c r="D34" s="73"/>
      <c r="E34" s="73"/>
      <c r="K34"/>
      <c r="L34"/>
      <c r="M34"/>
      <c r="N34"/>
    </row>
    <row r="35" s="635" customFormat="1" ht="13.5" spans="1:14">
      <c r="A35" s="699"/>
      <c r="D35" s="73"/>
      <c r="E35" s="73"/>
      <c r="K35"/>
      <c r="L35"/>
      <c r="M35"/>
      <c r="N35"/>
    </row>
    <row r="36" s="635" customFormat="1" spans="1:5">
      <c r="A36" s="699"/>
      <c r="D36" s="73"/>
      <c r="E36" s="73"/>
    </row>
    <row r="37" s="635" customFormat="1" spans="1:5">
      <c r="A37" s="699"/>
      <c r="D37" s="73"/>
      <c r="E37" s="73"/>
    </row>
    <row r="38" s="635" customFormat="1" spans="1:5">
      <c r="A38" s="699"/>
      <c r="D38" s="73"/>
      <c r="E38" s="73"/>
    </row>
    <row r="39" s="635" customFormat="1" spans="1:5">
      <c r="A39" s="699"/>
      <c r="D39" s="73"/>
      <c r="E39" s="73"/>
    </row>
    <row r="40" s="635" customFormat="1" spans="1:5">
      <c r="A40" s="699"/>
      <c r="D40" s="73"/>
      <c r="E40" s="73"/>
    </row>
    <row r="41" s="635" customFormat="1" spans="1:5">
      <c r="A41" s="699"/>
      <c r="D41" s="73"/>
      <c r="E41" s="73"/>
    </row>
    <row r="42" s="635" customFormat="1" spans="1:5">
      <c r="A42" s="699"/>
      <c r="D42" s="73"/>
      <c r="E42" s="73"/>
    </row>
    <row r="43" s="635" customFormat="1" spans="1:5">
      <c r="A43" s="699"/>
      <c r="D43" s="73"/>
      <c r="E43" s="73"/>
    </row>
    <row r="44" s="635" customFormat="1" spans="1:5">
      <c r="A44" s="699"/>
      <c r="D44" s="73"/>
      <c r="E44" s="73"/>
    </row>
    <row r="45" s="635" customFormat="1" spans="1:5">
      <c r="A45" s="699"/>
      <c r="D45" s="73"/>
      <c r="E45" s="73"/>
    </row>
    <row r="46" s="635" customFormat="1" spans="1:5">
      <c r="A46" s="699"/>
      <c r="D46" s="73"/>
      <c r="E46" s="73"/>
    </row>
    <row r="47" s="635" customFormat="1" spans="1:5">
      <c r="A47" s="699"/>
      <c r="D47" s="73"/>
      <c r="E47" s="73"/>
    </row>
    <row r="48" s="635" customFormat="1" spans="1:5">
      <c r="A48" s="699"/>
      <c r="D48" s="73"/>
      <c r="E48" s="73"/>
    </row>
    <row r="49" s="635" customFormat="1" spans="1:5">
      <c r="A49" s="699"/>
      <c r="D49" s="73"/>
      <c r="E49" s="73"/>
    </row>
    <row r="50" s="635" customFormat="1" spans="1:5">
      <c r="A50" s="699"/>
      <c r="D50" s="73"/>
      <c r="E50" s="73"/>
    </row>
    <row r="51" s="635" customFormat="1" spans="1:5">
      <c r="A51" s="699"/>
      <c r="D51" s="73"/>
      <c r="E51" s="73"/>
    </row>
    <row r="52" s="635" customFormat="1" spans="1:5">
      <c r="A52" s="699"/>
      <c r="D52" s="73"/>
      <c r="E52" s="73"/>
    </row>
    <row r="53" s="635" customFormat="1" spans="1:5">
      <c r="A53" s="699"/>
      <c r="D53" s="73"/>
      <c r="E53" s="73"/>
    </row>
    <row r="54" s="635" customFormat="1" spans="1:5">
      <c r="A54" s="699"/>
      <c r="D54" s="73"/>
      <c r="E54" s="73"/>
    </row>
    <row r="55" s="635" customFormat="1" spans="1:5">
      <c r="A55" s="699"/>
      <c r="D55" s="73"/>
      <c r="E55" s="73"/>
    </row>
    <row r="56" s="635" customFormat="1" spans="1:5">
      <c r="A56" s="699"/>
      <c r="D56" s="73"/>
      <c r="E56" s="73"/>
    </row>
    <row r="57" s="635" customFormat="1" spans="1:5">
      <c r="A57" s="699"/>
      <c r="D57" s="73"/>
      <c r="E57" s="73"/>
    </row>
    <row r="58" s="635" customFormat="1" spans="1:5">
      <c r="A58" s="699"/>
      <c r="D58" s="73"/>
      <c r="E58" s="73"/>
    </row>
    <row r="59" s="635" customFormat="1" spans="1:5">
      <c r="A59" s="699"/>
      <c r="D59" s="73"/>
      <c r="E59" s="73"/>
    </row>
    <row r="60" s="635" customFormat="1" spans="1:5">
      <c r="A60" s="699"/>
      <c r="D60" s="73"/>
      <c r="E60" s="73"/>
    </row>
    <row r="61" s="635" customFormat="1" spans="1:5">
      <c r="A61" s="699"/>
      <c r="D61" s="73"/>
      <c r="E61" s="73"/>
    </row>
    <row r="62" s="635" customFormat="1" spans="1:5">
      <c r="A62" s="699"/>
      <c r="D62" s="73"/>
      <c r="E62" s="73"/>
    </row>
    <row r="63" s="635" customFormat="1" spans="1:5">
      <c r="A63" s="699"/>
      <c r="D63" s="73"/>
      <c r="E63" s="73"/>
    </row>
  </sheetData>
  <sheetProtection formatCells="0" formatColumns="0" formatRows="0"/>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headerFooter/>
  <drawing r:id="rId1"/>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Y63"/>
  <sheetViews>
    <sheetView view="pageBreakPreview" zoomScaleNormal="80" workbookViewId="0">
      <selection activeCell="F20" sqref="F20"/>
    </sheetView>
  </sheetViews>
  <sheetFormatPr defaultColWidth="8.36666666666667" defaultRowHeight="12.75"/>
  <cols>
    <col min="1" max="1" width="9.36666666666667" style="636" customWidth="1"/>
    <col min="2" max="2" width="26.6333333333333" style="637" customWidth="1"/>
    <col min="3" max="3" width="11.0916666666667" style="637" customWidth="1"/>
    <col min="4" max="5" width="11.0916666666667" style="638" customWidth="1"/>
    <col min="6" max="6" width="9.45" style="637" customWidth="1"/>
    <col min="7" max="7" width="31.9083333333333" style="637" customWidth="1"/>
    <col min="8" max="10" width="9" style="639" hidden="1" customWidth="1"/>
    <col min="11" max="11" width="15" style="639" customWidth="1"/>
    <col min="12" max="12" width="17.0916666666667" style="639" customWidth="1"/>
    <col min="13" max="13" width="12.9083333333333" style="639" customWidth="1"/>
    <col min="14" max="14" width="15" style="639" customWidth="1"/>
    <col min="15" max="15" width="29.6333333333333" style="639" customWidth="1"/>
    <col min="16" max="25" width="9" style="639" customWidth="1"/>
    <col min="26" max="254" width="9" style="637" customWidth="1"/>
    <col min="255" max="16384" width="8.36666666666667" style="637"/>
  </cols>
  <sheetData>
    <row r="1" s="632" customFormat="1" ht="20.25" spans="1:7">
      <c r="A1" s="640" t="s">
        <v>2480</v>
      </c>
      <c r="B1" s="641"/>
      <c r="C1" s="642"/>
      <c r="D1" s="642"/>
      <c r="E1" s="642"/>
      <c r="F1" s="642"/>
      <c r="G1" s="643"/>
    </row>
    <row r="2" s="632" customFormat="1" ht="18" customHeight="1" spans="1:7">
      <c r="A2" s="204" t="s">
        <v>919</v>
      </c>
      <c r="B2" s="644" t="e">
        <f ca="1">C23</f>
        <v>#REF!</v>
      </c>
      <c r="C2" s="645"/>
      <c r="D2" s="645"/>
      <c r="E2" s="645"/>
      <c r="F2" s="645"/>
      <c r="G2" s="645"/>
    </row>
    <row r="3" s="632" customFormat="1" ht="18" customHeight="1" spans="1:7">
      <c r="A3" s="646" t="s">
        <v>920</v>
      </c>
      <c r="B3" s="644" t="e">
        <f ca="1">ROUND(B2*10000/D14,0)</f>
        <v>#REF!</v>
      </c>
      <c r="C3" s="645" t="e">
        <f ca="1">ROUND(B2*10000/地块信息表!D26,0)</f>
        <v>#REF!</v>
      </c>
      <c r="D3" s="645"/>
      <c r="E3" s="645"/>
      <c r="F3" s="645"/>
      <c r="G3" s="645"/>
    </row>
    <row r="4" s="632" customFormat="1" ht="18" customHeight="1" spans="1:14">
      <c r="A4" s="647" t="s">
        <v>1056</v>
      </c>
      <c r="B4" s="648" t="e">
        <f ca="1">ROUND(B2*10000/D8,0)</f>
        <v>#REF!</v>
      </c>
      <c r="C4" s="649"/>
      <c r="D4" s="645"/>
      <c r="E4" s="645"/>
      <c r="F4" s="645"/>
      <c r="G4" s="645"/>
      <c r="K4"/>
      <c r="L4"/>
      <c r="M4"/>
      <c r="N4"/>
    </row>
    <row r="5" s="632" customFormat="1" ht="18" customHeight="1" spans="1:19">
      <c r="A5" s="650"/>
      <c r="B5" s="651" t="e">
        <f ca="1">ROUND(B2/(D8/666.67),0)</f>
        <v>#REF!</v>
      </c>
      <c r="C5" s="652" t="s">
        <v>922</v>
      </c>
      <c r="D5" s="645"/>
      <c r="E5" s="645"/>
      <c r="F5" s="645"/>
      <c r="G5" s="645"/>
      <c r="K5"/>
      <c r="L5"/>
      <c r="M5"/>
      <c r="N5"/>
      <c r="O5"/>
      <c r="P5"/>
      <c r="Q5"/>
      <c r="R5"/>
      <c r="S5"/>
    </row>
    <row r="6" s="633" customFormat="1" ht="13.5" customHeight="1" spans="1:19">
      <c r="A6" s="653"/>
      <c r="B6" s="654" t="s">
        <v>850</v>
      </c>
      <c r="C6" s="655" t="s">
        <v>2481</v>
      </c>
      <c r="D6" s="655" t="s">
        <v>2482</v>
      </c>
      <c r="E6" s="656" t="s">
        <v>2483</v>
      </c>
      <c r="F6" s="656" t="s">
        <v>851</v>
      </c>
      <c r="G6" s="657" t="s">
        <v>2484</v>
      </c>
      <c r="K6"/>
      <c r="L6"/>
      <c r="M6"/>
      <c r="N6"/>
      <c r="O6"/>
      <c r="P6"/>
      <c r="Q6"/>
      <c r="R6"/>
      <c r="S6"/>
    </row>
    <row r="7" s="633" customFormat="1" ht="13.5" customHeight="1" spans="1:19">
      <c r="A7" s="658">
        <v>1</v>
      </c>
      <c r="B7" s="659" t="s">
        <v>2485</v>
      </c>
      <c r="C7" s="660" t="e">
        <f>C8+C9</f>
        <v>#REF!</v>
      </c>
      <c r="D7" s="660"/>
      <c r="E7" s="661"/>
      <c r="F7" s="661"/>
      <c r="G7" s="662"/>
      <c r="K7"/>
      <c r="L7"/>
      <c r="M7"/>
      <c r="N7"/>
      <c r="O7"/>
      <c r="P7"/>
      <c r="Q7"/>
      <c r="R7"/>
      <c r="S7"/>
    </row>
    <row r="8" s="633" customFormat="1" ht="13.5" customHeight="1" spans="1:19">
      <c r="A8" s="658" t="s">
        <v>2486</v>
      </c>
      <c r="B8" s="663" t="s">
        <v>2487</v>
      </c>
      <c r="C8" s="664" t="e">
        <f>D8*E8/10000</f>
        <v>#REF!</v>
      </c>
      <c r="D8" s="665" t="e">
        <f>地块信息表!#REF!</f>
        <v>#REF!</v>
      </c>
      <c r="E8" s="666">
        <f>228*10000*3/2000</f>
        <v>3420</v>
      </c>
      <c r="F8" s="661"/>
      <c r="G8" s="667"/>
      <c r="K8"/>
      <c r="L8"/>
      <c r="M8"/>
      <c r="N8"/>
      <c r="O8"/>
      <c r="P8"/>
      <c r="Q8"/>
      <c r="R8"/>
      <c r="S8"/>
    </row>
    <row r="9" s="633" customFormat="1" ht="13.5" customHeight="1" spans="1:19">
      <c r="A9" s="658" t="s">
        <v>2488</v>
      </c>
      <c r="B9" s="663" t="s">
        <v>2489</v>
      </c>
      <c r="C9" s="664">
        <f t="shared" ref="C9:C14" si="0">ROUND(D9*E9/10000,0)</f>
        <v>0</v>
      </c>
      <c r="D9" s="664">
        <v>0</v>
      </c>
      <c r="E9" s="666">
        <v>0</v>
      </c>
      <c r="F9" s="661"/>
      <c r="G9" s="667"/>
      <c r="K9"/>
      <c r="L9"/>
      <c r="M9"/>
      <c r="N9"/>
      <c r="O9"/>
      <c r="P9"/>
      <c r="Q9"/>
      <c r="R9"/>
      <c r="S9"/>
    </row>
    <row r="10" s="633" customFormat="1" ht="36" spans="1:19">
      <c r="A10" s="658">
        <v>2</v>
      </c>
      <c r="B10" s="659" t="s">
        <v>2490</v>
      </c>
      <c r="C10" s="660" t="e">
        <f>C11+C14+C15</f>
        <v>#REF!</v>
      </c>
      <c r="D10" s="668"/>
      <c r="E10" s="660"/>
      <c r="F10" s="669"/>
      <c r="G10" s="670" t="s">
        <v>2491</v>
      </c>
      <c r="K10"/>
      <c r="L10"/>
      <c r="M10"/>
      <c r="N10"/>
      <c r="O10"/>
      <c r="P10"/>
      <c r="Q10"/>
      <c r="R10"/>
      <c r="S10"/>
    </row>
    <row r="11" s="633" customFormat="1" ht="13.5" customHeight="1" spans="1:19">
      <c r="A11" s="658" t="s">
        <v>2486</v>
      </c>
      <c r="B11" s="671" t="s">
        <v>2492</v>
      </c>
      <c r="C11" s="672">
        <f>'数据-取费表'!B29</f>
        <v>0</v>
      </c>
      <c r="D11" s="673"/>
      <c r="E11" s="672"/>
      <c r="F11" s="674"/>
      <c r="G11" s="675" t="s">
        <v>2493</v>
      </c>
      <c r="K11"/>
      <c r="L11"/>
      <c r="M11"/>
      <c r="N11"/>
      <c r="O11"/>
      <c r="P11"/>
      <c r="Q11"/>
      <c r="R11"/>
      <c r="S11"/>
    </row>
    <row r="12" s="633" customFormat="1" ht="13.5" customHeight="1" spans="1:19">
      <c r="A12" s="676" t="s">
        <v>2494</v>
      </c>
      <c r="B12" s="677" t="s">
        <v>2495</v>
      </c>
      <c r="C12" s="678">
        <f t="shared" si="0"/>
        <v>0</v>
      </c>
      <c r="D12" s="664">
        <v>0</v>
      </c>
      <c r="E12" s="664">
        <v>0</v>
      </c>
      <c r="F12" s="674"/>
      <c r="G12" s="670"/>
      <c r="K12"/>
      <c r="L12"/>
      <c r="M12"/>
      <c r="N12"/>
      <c r="O12"/>
      <c r="P12"/>
      <c r="Q12"/>
      <c r="R12"/>
      <c r="S12"/>
    </row>
    <row r="13" s="633" customFormat="1" ht="13.5" customHeight="1" spans="1:19">
      <c r="A13" s="676" t="s">
        <v>2496</v>
      </c>
      <c r="B13" s="677" t="s">
        <v>2497</v>
      </c>
      <c r="C13" s="678">
        <f t="shared" si="0"/>
        <v>0</v>
      </c>
      <c r="D13" s="664">
        <f>M9</f>
        <v>0</v>
      </c>
      <c r="E13" s="664">
        <v>0</v>
      </c>
      <c r="F13" s="674"/>
      <c r="G13" s="670"/>
      <c r="K13"/>
      <c r="L13"/>
      <c r="M13"/>
      <c r="N13"/>
      <c r="O13"/>
      <c r="P13"/>
      <c r="Q13"/>
      <c r="R13"/>
      <c r="S13"/>
    </row>
    <row r="14" s="633" customFormat="1" ht="13.5" customHeight="1" spans="1:19">
      <c r="A14" s="658" t="s">
        <v>2488</v>
      </c>
      <c r="B14" s="679" t="s">
        <v>2498</v>
      </c>
      <c r="C14" s="680" t="e">
        <f t="shared" si="0"/>
        <v>#REF!</v>
      </c>
      <c r="D14" s="681" t="e">
        <f>地块信息表!#REF!</f>
        <v>#REF!</v>
      </c>
      <c r="E14" s="666">
        <f>分项成本测算!O20+分项成本测算!O21</f>
        <v>1488</v>
      </c>
      <c r="F14" s="682"/>
      <c r="G14" s="683" t="s">
        <v>2499</v>
      </c>
      <c r="L14"/>
      <c r="M14"/>
      <c r="N14"/>
      <c r="O14"/>
      <c r="P14"/>
      <c r="Q14"/>
      <c r="R14"/>
      <c r="S14"/>
    </row>
    <row r="15" s="633" customFormat="1" ht="13.5" customHeight="1" spans="1:19">
      <c r="A15" s="658" t="s">
        <v>2500</v>
      </c>
      <c r="B15" s="679" t="s">
        <v>2501</v>
      </c>
      <c r="C15" s="680"/>
      <c r="D15" s="664"/>
      <c r="E15" s="666"/>
      <c r="F15" s="682"/>
      <c r="G15" s="683" t="s">
        <v>2502</v>
      </c>
      <c r="K15"/>
      <c r="L15"/>
      <c r="M15"/>
      <c r="N15"/>
      <c r="O15"/>
      <c r="P15"/>
      <c r="Q15"/>
      <c r="R15"/>
      <c r="S15"/>
    </row>
    <row r="16" s="634" customFormat="1" ht="48" spans="1:25">
      <c r="A16" s="658">
        <v>3</v>
      </c>
      <c r="B16" s="659" t="s">
        <v>2503</v>
      </c>
      <c r="C16" s="680" t="e">
        <f>ROUND(D16*E16/10000,0)</f>
        <v>#REF!</v>
      </c>
      <c r="D16" s="681" t="e">
        <f>D8</f>
        <v>#REF!</v>
      </c>
      <c r="E16" s="666">
        <f>40+15+20</f>
        <v>75</v>
      </c>
      <c r="F16" s="669"/>
      <c r="G16" s="670" t="s">
        <v>2504</v>
      </c>
      <c r="H16" s="633"/>
      <c r="I16" s="633"/>
      <c r="J16" s="633"/>
      <c r="K16"/>
      <c r="L16"/>
      <c r="M16"/>
      <c r="N16"/>
      <c r="O16"/>
      <c r="P16"/>
      <c r="Q16"/>
      <c r="R16"/>
      <c r="S16"/>
      <c r="T16" s="633"/>
      <c r="U16" s="633"/>
      <c r="V16" s="633"/>
      <c r="W16" s="633"/>
      <c r="X16" s="633"/>
      <c r="Y16" s="633"/>
    </row>
    <row r="17" s="634" customFormat="1" ht="25.5" spans="1:25">
      <c r="A17" s="684">
        <v>4</v>
      </c>
      <c r="B17" s="659" t="s">
        <v>2505</v>
      </c>
      <c r="C17" s="685" t="e">
        <f ca="1">ROUND(IF('数据-取费表'!B19&lt;=1,((C7+C16)*'数据-取费表'!B19+C10*'数据-取费表'!B19/2)*F17,((C7+C16)*(POWER((1+F17),'数据-取费表'!B19)-1)+C10*(POWER((1+F17),'数据-取费表'!B19/2)-1))),0)</f>
        <v>#REF!</v>
      </c>
      <c r="D17" s="686"/>
      <c r="E17" s="687"/>
      <c r="F17" s="688">
        <f ca="1">存贷款利率!E3</f>
        <v>0.0435</v>
      </c>
      <c r="G17" s="689" t="str">
        <f>IF('数据-取费表'!B19&lt;=1,"((１＋３)×土地开发期+２×(土地开发期÷２))×利率","((１＋３)×((1+利率)^土地开发期-1)+２×((1+利率)^(土地开发期÷２)-1)")</f>
        <v>((１＋３)×土地开发期+２×(土地开发期÷２))×利率</v>
      </c>
      <c r="H17" s="690"/>
      <c r="I17" s="633"/>
      <c r="J17" s="633"/>
      <c r="K17"/>
      <c r="L17"/>
      <c r="M17"/>
      <c r="N17"/>
      <c r="O17"/>
      <c r="P17"/>
      <c r="Q17"/>
      <c r="R17"/>
      <c r="S17"/>
      <c r="T17" s="633"/>
      <c r="U17" s="633"/>
      <c r="V17" s="633"/>
      <c r="W17" s="633"/>
      <c r="X17" s="633"/>
      <c r="Y17" s="633"/>
    </row>
    <row r="18" s="634" customFormat="1" ht="13.5" customHeight="1" spans="1:25">
      <c r="A18" s="684">
        <v>5</v>
      </c>
      <c r="B18" s="659" t="s">
        <v>2506</v>
      </c>
      <c r="C18" s="660" t="e">
        <f>ROUND((C7+C10+C16)*F18,0)</f>
        <v>#REF!</v>
      </c>
      <c r="D18" s="686"/>
      <c r="E18" s="687"/>
      <c r="F18" s="691">
        <v>0.11</v>
      </c>
      <c r="G18" s="689" t="s">
        <v>2507</v>
      </c>
      <c r="H18" s="633"/>
      <c r="I18" s="633"/>
      <c r="J18" s="633"/>
      <c r="K18"/>
      <c r="L18"/>
      <c r="M18"/>
      <c r="N18"/>
      <c r="O18"/>
      <c r="P18"/>
      <c r="Q18"/>
      <c r="R18"/>
      <c r="S18"/>
      <c r="T18" s="633"/>
      <c r="U18" s="633"/>
      <c r="V18" s="633"/>
      <c r="W18" s="633"/>
      <c r="X18" s="633"/>
      <c r="Y18" s="633"/>
    </row>
    <row r="19" s="634" customFormat="1" ht="13.5" customHeight="1" spans="1:25">
      <c r="A19" s="658">
        <v>6</v>
      </c>
      <c r="B19" s="659" t="s">
        <v>2508</v>
      </c>
      <c r="C19" s="660" t="e">
        <f ca="1">C7+C10+C16+C17+C18</f>
        <v>#REF!</v>
      </c>
      <c r="D19" s="668"/>
      <c r="E19" s="660"/>
      <c r="F19" s="669"/>
      <c r="G19" s="689" t="s">
        <v>2509</v>
      </c>
      <c r="H19" s="633"/>
      <c r="I19" s="633"/>
      <c r="J19" s="633"/>
      <c r="K19"/>
      <c r="L19"/>
      <c r="M19"/>
      <c r="N19"/>
      <c r="O19"/>
      <c r="P19"/>
      <c r="Q19"/>
      <c r="R19"/>
      <c r="S19"/>
      <c r="T19" s="633"/>
      <c r="U19" s="633"/>
      <c r="V19" s="633"/>
      <c r="W19" s="633"/>
      <c r="X19" s="633"/>
      <c r="Y19" s="633"/>
    </row>
    <row r="20" s="634" customFormat="1" ht="13.5" spans="1:25">
      <c r="A20" s="658">
        <v>7</v>
      </c>
      <c r="B20" s="659" t="s">
        <v>2510</v>
      </c>
      <c r="C20" s="660" t="e">
        <f ca="1">ROUND(C19*F20,0)</f>
        <v>#REF!</v>
      </c>
      <c r="D20" s="668"/>
      <c r="E20" s="660"/>
      <c r="F20" s="691">
        <v>0.1</v>
      </c>
      <c r="G20" s="689" t="s">
        <v>2511</v>
      </c>
      <c r="H20" s="633"/>
      <c r="I20" s="633"/>
      <c r="J20" s="633"/>
      <c r="K20"/>
      <c r="L20"/>
      <c r="M20"/>
      <c r="N20"/>
      <c r="O20"/>
      <c r="P20"/>
      <c r="Q20"/>
      <c r="R20"/>
      <c r="S20"/>
      <c r="T20" s="633"/>
      <c r="U20" s="633"/>
      <c r="V20" s="633"/>
      <c r="W20" s="633"/>
      <c r="X20" s="633"/>
      <c r="Y20" s="633"/>
    </row>
    <row r="21" s="634" customFormat="1" ht="13.5" spans="1:25">
      <c r="A21" s="658">
        <v>8</v>
      </c>
      <c r="B21" s="659" t="s">
        <v>2512</v>
      </c>
      <c r="C21" s="660" t="e">
        <f ca="1">C19+C20</f>
        <v>#REF!</v>
      </c>
      <c r="D21" s="668"/>
      <c r="E21" s="660"/>
      <c r="F21" s="669"/>
      <c r="G21" s="689" t="s">
        <v>2513</v>
      </c>
      <c r="H21" s="633"/>
      <c r="I21" s="633"/>
      <c r="J21" s="633"/>
      <c r="K21"/>
      <c r="L21"/>
      <c r="M21"/>
      <c r="N21"/>
      <c r="O21"/>
      <c r="P21"/>
      <c r="Q21"/>
      <c r="R21"/>
      <c r="S21"/>
      <c r="T21" s="633"/>
      <c r="U21" s="633"/>
      <c r="V21" s="633"/>
      <c r="W21" s="633"/>
      <c r="X21" s="633"/>
      <c r="Y21" s="633"/>
    </row>
    <row r="22" s="634" customFormat="1" ht="13.5" customHeight="1" spans="1:25">
      <c r="A22" s="658">
        <v>9</v>
      </c>
      <c r="B22" s="659" t="s">
        <v>2514</v>
      </c>
      <c r="C22" s="660" t="e">
        <f ca="1">ROUND(C21*F22,0)</f>
        <v>#REF!</v>
      </c>
      <c r="D22" s="668"/>
      <c r="E22" s="660"/>
      <c r="F22" s="692">
        <f>'数据-取费表'!AP10</f>
        <v>0</v>
      </c>
      <c r="G22" s="689" t="s">
        <v>2515</v>
      </c>
      <c r="H22" s="633"/>
      <c r="I22" s="633"/>
      <c r="J22" s="633"/>
      <c r="K22"/>
      <c r="L22"/>
      <c r="M22"/>
      <c r="N22"/>
      <c r="O22"/>
      <c r="P22"/>
      <c r="Q22"/>
      <c r="R22"/>
      <c r="S22"/>
      <c r="T22" s="633"/>
      <c r="U22" s="633"/>
      <c r="V22" s="633"/>
      <c r="W22" s="633"/>
      <c r="X22" s="633"/>
      <c r="Y22" s="633"/>
    </row>
    <row r="23" s="634" customFormat="1" ht="13.15" customHeight="1" spans="1:25">
      <c r="A23" s="693">
        <v>10</v>
      </c>
      <c r="B23" s="694" t="s">
        <v>2516</v>
      </c>
      <c r="C23" s="695" t="e">
        <f ca="1">C22</f>
        <v>#REF!</v>
      </c>
      <c r="D23" s="696"/>
      <c r="E23" s="695"/>
      <c r="F23" s="697"/>
      <c r="G23" s="698"/>
      <c r="H23" s="633"/>
      <c r="I23" s="633"/>
      <c r="J23" s="633"/>
      <c r="K23"/>
      <c r="L23"/>
      <c r="M23"/>
      <c r="N23"/>
      <c r="O23"/>
      <c r="P23"/>
      <c r="Q23"/>
      <c r="R23"/>
      <c r="S23"/>
      <c r="T23" s="633"/>
      <c r="U23" s="633"/>
      <c r="V23" s="633"/>
      <c r="W23" s="633"/>
      <c r="X23" s="633"/>
      <c r="Y23" s="633"/>
    </row>
    <row r="24" s="635" customFormat="1" ht="13.5" spans="1:19">
      <c r="A24" s="699"/>
      <c r="D24" s="73"/>
      <c r="E24" s="73"/>
      <c r="K24"/>
      <c r="L24"/>
      <c r="M24"/>
      <c r="N24"/>
      <c r="O24"/>
      <c r="P24"/>
      <c r="Q24"/>
      <c r="R24"/>
      <c r="S24"/>
    </row>
    <row r="25" s="635" customFormat="1" ht="13.5" spans="1:19">
      <c r="A25" s="699"/>
      <c r="D25" s="73"/>
      <c r="E25" s="73"/>
      <c r="K25"/>
      <c r="L25"/>
      <c r="M25"/>
      <c r="N25"/>
      <c r="O25"/>
      <c r="P25"/>
      <c r="Q25"/>
      <c r="R25"/>
      <c r="S25"/>
    </row>
    <row r="26" s="635" customFormat="1" ht="13.5" spans="1:19">
      <c r="A26" s="699"/>
      <c r="D26" s="73"/>
      <c r="E26" s="73"/>
      <c r="K26"/>
      <c r="L26"/>
      <c r="M26"/>
      <c r="N26"/>
      <c r="O26"/>
      <c r="P26"/>
      <c r="Q26"/>
      <c r="R26"/>
      <c r="S26"/>
    </row>
    <row r="27" s="635" customFormat="1" ht="13.5" spans="1:19">
      <c r="A27" s="699"/>
      <c r="D27" s="73"/>
      <c r="E27" s="73"/>
      <c r="K27"/>
      <c r="L27"/>
      <c r="M27"/>
      <c r="N27"/>
      <c r="O27"/>
      <c r="P27"/>
      <c r="Q27"/>
      <c r="R27"/>
      <c r="S27"/>
    </row>
    <row r="28" s="635" customFormat="1" ht="13.5" spans="1:19">
      <c r="A28" s="699"/>
      <c r="D28" s="73"/>
      <c r="E28" s="73"/>
      <c r="K28"/>
      <c r="L28"/>
      <c r="M28"/>
      <c r="N28"/>
      <c r="O28"/>
      <c r="P28"/>
      <c r="Q28"/>
      <c r="R28"/>
      <c r="S28"/>
    </row>
    <row r="29" s="635" customFormat="1" ht="13.5" spans="1:19">
      <c r="A29" s="699"/>
      <c r="D29" s="73"/>
      <c r="E29" s="73"/>
      <c r="K29"/>
      <c r="L29"/>
      <c r="M29"/>
      <c r="N29"/>
      <c r="O29"/>
      <c r="P29"/>
      <c r="Q29"/>
      <c r="R29"/>
      <c r="S29"/>
    </row>
    <row r="30" s="635" customFormat="1" ht="13.5" spans="1:14">
      <c r="A30" s="699"/>
      <c r="D30" s="73"/>
      <c r="E30" s="73"/>
      <c r="K30"/>
      <c r="L30"/>
      <c r="M30"/>
      <c r="N30"/>
    </row>
    <row r="31" s="635" customFormat="1" ht="13.5" spans="1:14">
      <c r="A31" s="699"/>
      <c r="D31" s="73"/>
      <c r="E31" s="73"/>
      <c r="K31"/>
      <c r="L31"/>
      <c r="M31"/>
      <c r="N31"/>
    </row>
    <row r="32" s="635" customFormat="1" ht="13.5" spans="1:14">
      <c r="A32" s="699"/>
      <c r="D32" s="73"/>
      <c r="E32" s="73"/>
      <c r="K32"/>
      <c r="L32"/>
      <c r="M32"/>
      <c r="N32"/>
    </row>
    <row r="33" s="635" customFormat="1" ht="13.5" spans="1:14">
      <c r="A33" s="699"/>
      <c r="D33" s="73"/>
      <c r="E33" s="73"/>
      <c r="K33"/>
      <c r="L33"/>
      <c r="M33"/>
      <c r="N33"/>
    </row>
    <row r="34" s="635" customFormat="1" ht="13.5" spans="1:14">
      <c r="A34" s="699"/>
      <c r="D34" s="73"/>
      <c r="E34" s="73"/>
      <c r="K34"/>
      <c r="L34"/>
      <c r="M34"/>
      <c r="N34"/>
    </row>
    <row r="35" s="635" customFormat="1" ht="13.5" spans="1:14">
      <c r="A35" s="699"/>
      <c r="D35" s="73"/>
      <c r="E35" s="73"/>
      <c r="K35"/>
      <c r="L35"/>
      <c r="M35"/>
      <c r="N35"/>
    </row>
    <row r="36" s="635" customFormat="1" spans="1:5">
      <c r="A36" s="699"/>
      <c r="D36" s="73"/>
      <c r="E36" s="73"/>
    </row>
    <row r="37" s="635" customFormat="1" spans="1:5">
      <c r="A37" s="699"/>
      <c r="D37" s="73"/>
      <c r="E37" s="73"/>
    </row>
    <row r="38" s="635" customFormat="1" spans="1:5">
      <c r="A38" s="699"/>
      <c r="D38" s="73"/>
      <c r="E38" s="73"/>
    </row>
    <row r="39" s="635" customFormat="1" spans="1:5">
      <c r="A39" s="699"/>
      <c r="D39" s="73"/>
      <c r="E39" s="73"/>
    </row>
    <row r="40" s="635" customFormat="1" spans="1:5">
      <c r="A40" s="699"/>
      <c r="D40" s="73"/>
      <c r="E40" s="73"/>
    </row>
    <row r="41" s="635" customFormat="1" spans="1:5">
      <c r="A41" s="699"/>
      <c r="D41" s="73"/>
      <c r="E41" s="73"/>
    </row>
    <row r="42" s="635" customFormat="1" spans="1:5">
      <c r="A42" s="699"/>
      <c r="D42" s="73"/>
      <c r="E42" s="73"/>
    </row>
    <row r="43" s="635" customFormat="1" spans="1:5">
      <c r="A43" s="699"/>
      <c r="D43" s="73"/>
      <c r="E43" s="73"/>
    </row>
    <row r="44" s="635" customFormat="1" spans="1:5">
      <c r="A44" s="699"/>
      <c r="D44" s="73"/>
      <c r="E44" s="73"/>
    </row>
    <row r="45" s="635" customFormat="1" spans="1:5">
      <c r="A45" s="699"/>
      <c r="D45" s="73"/>
      <c r="E45" s="73"/>
    </row>
    <row r="46" s="635" customFormat="1" spans="1:5">
      <c r="A46" s="699"/>
      <c r="D46" s="73"/>
      <c r="E46" s="73"/>
    </row>
    <row r="47" s="635" customFormat="1" spans="1:5">
      <c r="A47" s="699"/>
      <c r="D47" s="73"/>
      <c r="E47" s="73"/>
    </row>
    <row r="48" s="635" customFormat="1" spans="1:5">
      <c r="A48" s="699"/>
      <c r="D48" s="73"/>
      <c r="E48" s="73"/>
    </row>
    <row r="49" s="635" customFormat="1" spans="1:5">
      <c r="A49" s="699"/>
      <c r="D49" s="73"/>
      <c r="E49" s="73"/>
    </row>
    <row r="50" s="635" customFormat="1" spans="1:5">
      <c r="A50" s="699"/>
      <c r="D50" s="73"/>
      <c r="E50" s="73"/>
    </row>
    <row r="51" s="635" customFormat="1" spans="1:5">
      <c r="A51" s="699"/>
      <c r="D51" s="73"/>
      <c r="E51" s="73"/>
    </row>
    <row r="52" s="635" customFormat="1" spans="1:5">
      <c r="A52" s="699"/>
      <c r="D52" s="73"/>
      <c r="E52" s="73"/>
    </row>
    <row r="53" s="635" customFormat="1" spans="1:5">
      <c r="A53" s="699"/>
      <c r="D53" s="73"/>
      <c r="E53" s="73"/>
    </row>
    <row r="54" s="635" customFormat="1" spans="1:5">
      <c r="A54" s="699"/>
      <c r="D54" s="73"/>
      <c r="E54" s="73"/>
    </row>
    <row r="55" s="635" customFormat="1" spans="1:5">
      <c r="A55" s="699"/>
      <c r="D55" s="73"/>
      <c r="E55" s="73"/>
    </row>
    <row r="56" s="635" customFormat="1" spans="1:5">
      <c r="A56" s="699"/>
      <c r="D56" s="73"/>
      <c r="E56" s="73"/>
    </row>
    <row r="57" s="635" customFormat="1" spans="1:5">
      <c r="A57" s="699"/>
      <c r="D57" s="73"/>
      <c r="E57" s="73"/>
    </row>
    <row r="58" s="635" customFormat="1" spans="1:5">
      <c r="A58" s="699"/>
      <c r="D58" s="73"/>
      <c r="E58" s="73"/>
    </row>
    <row r="59" s="635" customFormat="1" spans="1:5">
      <c r="A59" s="699"/>
      <c r="D59" s="73"/>
      <c r="E59" s="73"/>
    </row>
    <row r="60" s="635" customFormat="1" spans="1:5">
      <c r="A60" s="699"/>
      <c r="D60" s="73"/>
      <c r="E60" s="73"/>
    </row>
    <row r="61" s="635" customFormat="1" spans="1:5">
      <c r="A61" s="699"/>
      <c r="D61" s="73"/>
      <c r="E61" s="73"/>
    </row>
    <row r="62" s="635" customFormat="1" spans="1:5">
      <c r="A62" s="699"/>
      <c r="D62" s="73"/>
      <c r="E62" s="73"/>
    </row>
    <row r="63" s="635" customFormat="1" spans="1:5">
      <c r="A63" s="699"/>
      <c r="D63" s="73"/>
      <c r="E63" s="73"/>
    </row>
  </sheetData>
  <sheetProtection formatCells="0" formatColumns="0" formatRows="0"/>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headerFooter/>
  <drawing r:id="rId1"/>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B2:T26"/>
  <sheetViews>
    <sheetView zoomScale="85" zoomScaleNormal="85" topLeftCell="E1" workbookViewId="0">
      <selection activeCell="O29" sqref="O29"/>
    </sheetView>
  </sheetViews>
  <sheetFormatPr defaultColWidth="9" defaultRowHeight="12"/>
  <cols>
    <col min="1" max="1" width="3" style="619" customWidth="1"/>
    <col min="2" max="2" width="9" style="619"/>
    <col min="3" max="3" width="11.2666666666667" style="619" customWidth="1"/>
    <col min="4" max="4" width="9" style="619"/>
    <col min="5" max="5" width="11.2666666666667" style="619" customWidth="1"/>
    <col min="6" max="9" width="6.63333333333333" style="619" customWidth="1"/>
    <col min="10" max="10" width="16.9083333333333" style="619" customWidth="1"/>
    <col min="11" max="11" width="8" style="619" customWidth="1"/>
    <col min="12" max="12" width="11.9083333333333" style="619" customWidth="1"/>
    <col min="13" max="13" width="12.2666666666667" style="619" customWidth="1"/>
    <col min="14" max="16" width="11.9083333333333" style="619" customWidth="1"/>
    <col min="17" max="17" width="11.2666666666667" style="619" customWidth="1"/>
    <col min="18" max="18" width="11.9083333333333" style="619" customWidth="1"/>
    <col min="19" max="21" width="11.2666666666667" style="619" customWidth="1"/>
    <col min="22" max="22" width="11.3666666666667" style="619" customWidth="1"/>
    <col min="23" max="16384" width="9" style="619"/>
  </cols>
  <sheetData>
    <row r="2" ht="24" customHeight="1" spans="2:14">
      <c r="B2" s="620" t="s">
        <v>2518</v>
      </c>
      <c r="C2" s="620" t="s">
        <v>2519</v>
      </c>
      <c r="D2" s="620" t="s">
        <v>2520</v>
      </c>
      <c r="E2" s="620" t="s">
        <v>2521</v>
      </c>
      <c r="F2" s="620"/>
      <c r="G2" s="620"/>
      <c r="H2" s="620"/>
      <c r="I2" s="620"/>
      <c r="J2" s="623" t="s">
        <v>2522</v>
      </c>
      <c r="K2" s="623"/>
      <c r="L2" s="623"/>
      <c r="M2" s="624" t="s">
        <v>2523</v>
      </c>
      <c r="N2" s="624"/>
    </row>
    <row r="3" ht="24" customHeight="1" spans="2:14">
      <c r="B3" s="620"/>
      <c r="C3" s="620"/>
      <c r="D3" s="620"/>
      <c r="E3" s="620" t="s">
        <v>449</v>
      </c>
      <c r="F3" s="620" t="s">
        <v>1300</v>
      </c>
      <c r="G3" s="620" t="s">
        <v>2524</v>
      </c>
      <c r="H3" s="620" t="s">
        <v>2525</v>
      </c>
      <c r="I3" s="620" t="s">
        <v>2526</v>
      </c>
      <c r="J3" s="620" t="s">
        <v>2527</v>
      </c>
      <c r="K3" s="620" t="s">
        <v>2528</v>
      </c>
      <c r="L3" s="620" t="s">
        <v>2529</v>
      </c>
      <c r="M3" s="620" t="s">
        <v>2528</v>
      </c>
      <c r="N3" s="620" t="s">
        <v>2529</v>
      </c>
    </row>
    <row r="4" ht="24" spans="2:14">
      <c r="B4" s="620" t="s">
        <v>2530</v>
      </c>
      <c r="C4" s="620">
        <v>38</v>
      </c>
      <c r="D4" s="620">
        <v>26</v>
      </c>
      <c r="E4" s="620">
        <f>SUM(F4:I4)</f>
        <v>2800</v>
      </c>
      <c r="F4" s="620">
        <v>910</v>
      </c>
      <c r="G4" s="620">
        <v>1505</v>
      </c>
      <c r="H4" s="620">
        <v>245</v>
      </c>
      <c r="I4" s="620">
        <v>140</v>
      </c>
      <c r="J4" s="620">
        <f>ROUND([46]起步区土地成本测算!K4*C4/D4,2)</f>
        <v>83.64</v>
      </c>
      <c r="K4" s="620">
        <f>J4*D4*1500</f>
        <v>3261960</v>
      </c>
      <c r="L4" s="625">
        <f>ROUND(K4/E4,0)</f>
        <v>1165</v>
      </c>
      <c r="M4" s="626"/>
      <c r="N4" s="626">
        <f>ROUND(M4/E4,0)</f>
        <v>0</v>
      </c>
    </row>
    <row r="5" ht="36" spans="2:14">
      <c r="B5" s="621" t="s">
        <v>2531</v>
      </c>
      <c r="C5" s="620">
        <v>38</v>
      </c>
      <c r="D5" s="620">
        <v>26</v>
      </c>
      <c r="E5" s="622">
        <f>ROUND(28931279.2699999/10000,0)</f>
        <v>2893</v>
      </c>
      <c r="F5" s="620" t="s">
        <v>138</v>
      </c>
      <c r="G5" s="620" t="s">
        <v>138</v>
      </c>
      <c r="H5" s="620" t="s">
        <v>138</v>
      </c>
      <c r="I5" s="620" t="s">
        <v>138</v>
      </c>
      <c r="J5" s="620">
        <f>ROUND([46]起步区土地成本测算!K4*C4/D4,2)</f>
        <v>83.64</v>
      </c>
      <c r="K5" s="620">
        <f>J5*D5*1500</f>
        <v>3261960</v>
      </c>
      <c r="L5" s="625">
        <f>ROUND(K5/E5,0)</f>
        <v>1128</v>
      </c>
      <c r="M5" s="626"/>
      <c r="N5" s="626">
        <f>ROUND(M5/E5,0)</f>
        <v>0</v>
      </c>
    </row>
    <row r="6" spans="2:14">
      <c r="B6" s="620"/>
      <c r="C6" s="620"/>
      <c r="D6" s="620"/>
      <c r="E6" s="620"/>
      <c r="F6" s="620"/>
      <c r="G6" s="620"/>
      <c r="H6" s="620"/>
      <c r="I6" s="620"/>
      <c r="J6" s="620"/>
      <c r="K6" s="620"/>
      <c r="L6" s="620"/>
      <c r="M6" s="626"/>
      <c r="N6" s="626"/>
    </row>
    <row r="9" spans="12:16">
      <c r="L9" s="627" t="s">
        <v>2532</v>
      </c>
      <c r="M9" s="627"/>
      <c r="N9" s="627"/>
      <c r="O9" s="627"/>
      <c r="P9" s="627"/>
    </row>
    <row r="10" spans="12:16">
      <c r="L10" s="2" t="s">
        <v>409</v>
      </c>
      <c r="M10" s="2" t="s">
        <v>2533</v>
      </c>
      <c r="N10" s="2" t="s">
        <v>2534</v>
      </c>
      <c r="O10" s="2"/>
      <c r="P10" s="2"/>
    </row>
    <row r="11" spans="12:16">
      <c r="L11" s="2"/>
      <c r="M11" s="2"/>
      <c r="N11" s="2" t="s">
        <v>2535</v>
      </c>
      <c r="O11" s="2" t="s">
        <v>2536</v>
      </c>
      <c r="P11" s="2" t="s">
        <v>2537</v>
      </c>
    </row>
    <row r="12" spans="12:16">
      <c r="L12" s="2" t="s">
        <v>2538</v>
      </c>
      <c r="M12" s="628">
        <f t="shared" ref="M12:M15" si="0">SUM(N12:P12)</f>
        <v>2557800</v>
      </c>
      <c r="N12" s="628">
        <f>'[46]2020年启动项目投资'!H4+'[46]2021年启动项目投资'!H4</f>
        <v>1593000</v>
      </c>
      <c r="O12" s="628">
        <f>'[46]2020年启动项目投资'!I4+'[46]2021年启动项目投资'!I4</f>
        <v>960000</v>
      </c>
      <c r="P12" s="628">
        <f>'[46]2020年启动项目投资'!J4+'[46]2021年启动项目投资'!J4</f>
        <v>4800</v>
      </c>
    </row>
    <row r="13" spans="12:16">
      <c r="L13" s="2" t="s">
        <v>2370</v>
      </c>
      <c r="M13" s="628">
        <f t="shared" si="0"/>
        <v>4040670</v>
      </c>
      <c r="N13" s="628">
        <f>'[46]2020年启动项目投资'!H11+'[46]2021年启动项目投资'!H10</f>
        <v>1445452</v>
      </c>
      <c r="O13" s="628">
        <f>'[46]2020年启动项目投资'!I11+'[46]2021年启动项目投资'!I10</f>
        <v>609698</v>
      </c>
      <c r="P13" s="628">
        <f>'[46]2020年启动项目投资'!J11+'[46]2021年启动项目投资'!J10</f>
        <v>1985520</v>
      </c>
    </row>
    <row r="14" spans="12:16">
      <c r="L14" s="2" t="s">
        <v>2445</v>
      </c>
      <c r="M14" s="628">
        <f t="shared" si="0"/>
        <v>1994375.7</v>
      </c>
      <c r="N14" s="628">
        <f>'[46]2020年启动项目投资'!H29+'[46]2021年启动项目投资'!H18+'[46]2022年启动项目投资'!H4</f>
        <v>1839335.7</v>
      </c>
      <c r="O14" s="628">
        <f>'[46]2020年启动项目投资'!I29+'[46]2021年启动项目投资'!I18+'[46]2022年启动项目投资'!I4</f>
        <v>155040</v>
      </c>
      <c r="P14" s="628">
        <f>'[46]2020年启动项目投资'!J29+'[46]2021年启动项目投资'!J18+'[46]2022年启动项目投资'!J4</f>
        <v>0</v>
      </c>
    </row>
    <row r="15" spans="12:16">
      <c r="L15" s="2" t="s">
        <v>2539</v>
      </c>
      <c r="M15" s="628">
        <f t="shared" si="0"/>
        <v>415710.815</v>
      </c>
      <c r="N15" s="628">
        <f>'[46]2020年启动项目投资'!H41+'[46]2021年启动项目投资'!H39</f>
        <v>415710.815</v>
      </c>
      <c r="O15" s="628">
        <f>'[46]2020年启动项目投资'!I41+'[46]2021年启动项目投资'!I39</f>
        <v>0</v>
      </c>
      <c r="P15" s="628">
        <f>'[46]2020年启动项目投资'!J41+'[46]2021年启动项目投资'!J39</f>
        <v>0</v>
      </c>
    </row>
    <row r="16" spans="12:16">
      <c r="L16" s="2" t="s">
        <v>449</v>
      </c>
      <c r="M16" s="628">
        <f t="shared" ref="M16:P16" si="1">SUM(M12:M15)</f>
        <v>9008556.515</v>
      </c>
      <c r="N16" s="628">
        <f t="shared" si="1"/>
        <v>5293498.515</v>
      </c>
      <c r="O16" s="628">
        <f t="shared" si="1"/>
        <v>1724738</v>
      </c>
      <c r="P16" s="628">
        <f t="shared" si="1"/>
        <v>1990320</v>
      </c>
    </row>
    <row r="18" spans="12:15">
      <c r="L18" s="627" t="s">
        <v>2540</v>
      </c>
      <c r="M18" s="627"/>
      <c r="N18" s="627"/>
      <c r="O18" s="627"/>
    </row>
    <row r="19" ht="36" spans="12:20">
      <c r="L19" s="2" t="s">
        <v>2541</v>
      </c>
      <c r="M19" s="2" t="s">
        <v>2542</v>
      </c>
      <c r="N19" s="2" t="s">
        <v>2543</v>
      </c>
      <c r="O19" s="2" t="s">
        <v>690</v>
      </c>
      <c r="Q19" s="619" t="s">
        <v>2544</v>
      </c>
      <c r="R19" s="619" t="s">
        <v>392</v>
      </c>
      <c r="T19" s="619" t="s">
        <v>389</v>
      </c>
    </row>
    <row r="20" ht="15" customHeight="1" spans="12:17">
      <c r="L20" s="2" t="s">
        <v>2538</v>
      </c>
      <c r="M20" s="629">
        <f>N12+O12</f>
        <v>2553000</v>
      </c>
      <c r="N20" s="2">
        <f t="shared" ref="N20:N22" si="2">ROUND(19945385.7/10000,0)</f>
        <v>1995</v>
      </c>
      <c r="O20" s="2">
        <f t="shared" ref="O20:O24" si="3">ROUND(M20/N20,0)</f>
        <v>1280</v>
      </c>
      <c r="P20" s="619">
        <f>ROUND(M20/$D$4/1500,2)</f>
        <v>65.46</v>
      </c>
      <c r="Q20" s="619">
        <f t="shared" ref="Q20:Q24" si="4">P20*10000*3/2000</f>
        <v>981.9</v>
      </c>
    </row>
    <row r="21" spans="12:17">
      <c r="L21" s="2" t="s">
        <v>2539</v>
      </c>
      <c r="M21" s="629">
        <f>N15+O15</f>
        <v>415710.815</v>
      </c>
      <c r="N21" s="2">
        <f t="shared" si="2"/>
        <v>1995</v>
      </c>
      <c r="O21" s="2">
        <f t="shared" si="3"/>
        <v>208</v>
      </c>
      <c r="P21" s="619">
        <f>ROUND(M21/$D$4/1500,2)</f>
        <v>10.66</v>
      </c>
      <c r="Q21" s="619">
        <f t="shared" si="4"/>
        <v>159.9</v>
      </c>
    </row>
    <row r="22" spans="12:17">
      <c r="L22" s="2" t="s">
        <v>2445</v>
      </c>
      <c r="M22" s="629">
        <f>N14+O14</f>
        <v>1994375.7</v>
      </c>
      <c r="N22" s="2">
        <f t="shared" si="2"/>
        <v>1995</v>
      </c>
      <c r="O22" s="2">
        <f t="shared" si="3"/>
        <v>1000</v>
      </c>
      <c r="P22" s="619">
        <f>ROUND(M22/$D$4/1500,2)</f>
        <v>51.14</v>
      </c>
      <c r="Q22" s="619">
        <f t="shared" si="4"/>
        <v>767.1</v>
      </c>
    </row>
    <row r="23" spans="12:17">
      <c r="L23" s="620" t="s">
        <v>2370</v>
      </c>
      <c r="M23" s="630">
        <f>N13+O13</f>
        <v>2055150</v>
      </c>
      <c r="N23" s="620">
        <f>ROUND(28931279.2699999/10000,0)</f>
        <v>2893</v>
      </c>
      <c r="O23" s="620">
        <f t="shared" si="3"/>
        <v>710</v>
      </c>
      <c r="P23" s="619">
        <f>ROUND(M23/$D$4/1500,2)</f>
        <v>52.7</v>
      </c>
      <c r="Q23" s="619">
        <f t="shared" si="4"/>
        <v>790.5</v>
      </c>
    </row>
    <row r="24" spans="12:17">
      <c r="L24" s="620" t="s">
        <v>2545</v>
      </c>
      <c r="M24" s="630">
        <f>K4</f>
        <v>3261960</v>
      </c>
      <c r="N24" s="620">
        <f>ROUND(28931279.2699999/10000,0)</f>
        <v>2893</v>
      </c>
      <c r="O24" s="620">
        <f t="shared" si="3"/>
        <v>1128</v>
      </c>
      <c r="P24" s="619">
        <f>ROUND(M24/$D$4/1500,2)</f>
        <v>83.64</v>
      </c>
      <c r="Q24" s="619">
        <f t="shared" si="4"/>
        <v>1254.6</v>
      </c>
    </row>
    <row r="25" spans="12:15">
      <c r="L25" s="2" t="s">
        <v>449</v>
      </c>
      <c r="M25" s="629">
        <f>SUM(M20:M24)</f>
        <v>10280196.515</v>
      </c>
      <c r="N25" s="2" t="s">
        <v>138</v>
      </c>
      <c r="O25" s="2" t="s">
        <v>138</v>
      </c>
    </row>
    <row r="26" ht="51" customHeight="1" spans="12:15">
      <c r="L26" s="2" t="s">
        <v>2484</v>
      </c>
      <c r="M26" s="631" t="s">
        <v>2546</v>
      </c>
      <c r="N26" s="631"/>
      <c r="O26" s="631"/>
    </row>
  </sheetData>
  <mergeCells count="12">
    <mergeCell ref="E2:I2"/>
    <mergeCell ref="J2:L2"/>
    <mergeCell ref="M2:N2"/>
    <mergeCell ref="L9:P9"/>
    <mergeCell ref="N10:P10"/>
    <mergeCell ref="L18:O18"/>
    <mergeCell ref="M26:O26"/>
    <mergeCell ref="B2:B3"/>
    <mergeCell ref="C2:C3"/>
    <mergeCell ref="D2:D3"/>
    <mergeCell ref="L10:L11"/>
    <mergeCell ref="M10:M11"/>
  </mergeCells>
  <pageMargins left="0.7" right="0.7" top="0.75" bottom="0.75" header="0.3" footer="0.3"/>
  <pageSetup paperSize="9" orientation="portrait"/>
  <headerFooter/>
  <drawing r:id="rId2"/>
  <legacyDrawing r:id="rId3"/>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B3" sqref="B3"/>
    </sheetView>
  </sheetViews>
  <sheetFormatPr defaultColWidth="9" defaultRowHeight="13.5"/>
  <sheetData/>
  <pageMargins left="0.75" right="0.75" top="1" bottom="1" header="0.5" footer="0.5"/>
  <headerFooter/>
  <drawing r:id="rId1"/>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C59" sqref="C59"/>
    </sheetView>
  </sheetViews>
  <sheetFormatPr defaultColWidth="9" defaultRowHeight="13.5"/>
  <sheetData/>
  <pageMargins left="0.75" right="0.75" top="1" bottom="1" header="0.5" footer="0.5"/>
  <headerFooter/>
  <drawing r:id="rId1"/>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D4:O23"/>
  <sheetViews>
    <sheetView topLeftCell="E1" workbookViewId="0">
      <selection activeCell="K23" sqref="K23"/>
    </sheetView>
  </sheetViews>
  <sheetFormatPr defaultColWidth="9" defaultRowHeight="13.5"/>
  <cols>
    <col min="1" max="3" width="9" style="606"/>
    <col min="4" max="5" width="13.6333333333333" style="606" customWidth="1"/>
    <col min="6" max="6" width="13.3666666666667" style="606" customWidth="1"/>
    <col min="7" max="7" width="10.3666666666667" style="606" customWidth="1"/>
    <col min="8" max="8" width="11.9083333333333" style="606" customWidth="1"/>
    <col min="9" max="9" width="11.6333333333333" style="606" customWidth="1"/>
    <col min="10" max="10" width="10.9083333333333" style="606" customWidth="1"/>
    <col min="11" max="11" width="12.6333333333333" style="606"/>
    <col min="12" max="12" width="23.0916666666667" style="606" customWidth="1"/>
    <col min="13" max="15" width="12.6333333333333" style="606"/>
    <col min="16" max="16384" width="9" style="606"/>
  </cols>
  <sheetData>
    <row r="4" spans="4:15">
      <c r="D4" s="607" t="s">
        <v>698</v>
      </c>
      <c r="E4" s="607" t="s">
        <v>368</v>
      </c>
      <c r="F4" s="607" t="s">
        <v>2547</v>
      </c>
      <c r="G4" s="607" t="s">
        <v>392</v>
      </c>
      <c r="H4" s="607" t="s">
        <v>2292</v>
      </c>
      <c r="I4" s="607" t="s">
        <v>2548</v>
      </c>
      <c r="J4" s="607" t="s">
        <v>2549</v>
      </c>
      <c r="K4" s="607" t="s">
        <v>2517</v>
      </c>
      <c r="L4" s="607" t="s">
        <v>354</v>
      </c>
      <c r="M4" s="607" t="s">
        <v>105</v>
      </c>
      <c r="N4" s="607" t="s">
        <v>2484</v>
      </c>
      <c r="O4" s="606" t="s">
        <v>920</v>
      </c>
    </row>
    <row r="5" spans="4:15">
      <c r="D5" s="607" t="s">
        <v>2550</v>
      </c>
      <c r="E5" s="607"/>
      <c r="F5" s="608"/>
      <c r="G5" s="607">
        <v>307300</v>
      </c>
      <c r="H5" s="607"/>
      <c r="I5" s="607"/>
      <c r="J5" s="607">
        <v>19180</v>
      </c>
      <c r="K5" s="607">
        <v>96760</v>
      </c>
      <c r="L5" s="607" t="s">
        <v>2551</v>
      </c>
      <c r="M5" s="607">
        <v>1.84</v>
      </c>
      <c r="N5" s="607"/>
      <c r="O5" s="606">
        <f>ROUND(K5*10000/G5/M5,0)</f>
        <v>1711</v>
      </c>
    </row>
    <row r="6" spans="4:15">
      <c r="D6" s="607" t="s">
        <v>2552</v>
      </c>
      <c r="E6" s="607"/>
      <c r="F6" s="608"/>
      <c r="G6" s="607">
        <v>359895</v>
      </c>
      <c r="H6" s="607"/>
      <c r="I6" s="607"/>
      <c r="J6" s="607">
        <v>27124</v>
      </c>
      <c r="K6" s="607">
        <v>136830</v>
      </c>
      <c r="L6" s="607" t="s">
        <v>2551</v>
      </c>
      <c r="M6" s="607">
        <v>2.13</v>
      </c>
      <c r="N6" s="607"/>
      <c r="O6" s="606">
        <f>ROUND(K6*10000/G6/M6,0)</f>
        <v>1785</v>
      </c>
    </row>
    <row r="7" ht="27" spans="4:15">
      <c r="D7" s="607" t="s">
        <v>2553</v>
      </c>
      <c r="E7" s="607" t="s">
        <v>2554</v>
      </c>
      <c r="F7" s="608">
        <v>44172</v>
      </c>
      <c r="G7" s="607">
        <v>358322</v>
      </c>
      <c r="H7" s="607"/>
      <c r="I7" s="607"/>
      <c r="J7" s="607">
        <v>25316</v>
      </c>
      <c r="K7" s="607">
        <v>127710</v>
      </c>
      <c r="L7" s="607" t="s">
        <v>2551</v>
      </c>
      <c r="M7" s="607">
        <v>2.04</v>
      </c>
      <c r="N7" s="607"/>
      <c r="O7" s="606">
        <f>ROUND(K7*10000/G7/M7,0)</f>
        <v>1747</v>
      </c>
    </row>
    <row r="8" ht="27" spans="4:15">
      <c r="D8" s="607" t="s">
        <v>2555</v>
      </c>
      <c r="E8" s="609" t="s">
        <v>2556</v>
      </c>
      <c r="F8" s="610">
        <v>44172</v>
      </c>
      <c r="G8" s="607">
        <v>667529</v>
      </c>
      <c r="H8" s="607"/>
      <c r="I8" s="607"/>
      <c r="J8" s="609" t="s">
        <v>2557</v>
      </c>
      <c r="K8" s="609" t="s">
        <v>2558</v>
      </c>
      <c r="L8" s="607" t="s">
        <v>2559</v>
      </c>
      <c r="M8" s="607">
        <v>2.3</v>
      </c>
      <c r="N8" s="607" t="s">
        <v>2560</v>
      </c>
      <c r="O8" s="618"/>
    </row>
    <row r="9" spans="4:15">
      <c r="D9" s="607" t="s">
        <v>2561</v>
      </c>
      <c r="E9" s="611"/>
      <c r="F9" s="612"/>
      <c r="G9" s="607">
        <v>108005</v>
      </c>
      <c r="H9" s="607"/>
      <c r="I9" s="607"/>
      <c r="J9" s="611"/>
      <c r="K9" s="611"/>
      <c r="L9" s="607" t="s">
        <v>2562</v>
      </c>
      <c r="M9" s="607">
        <v>2.11</v>
      </c>
      <c r="N9" s="607"/>
      <c r="O9" s="618"/>
    </row>
    <row r="10" spans="4:15">
      <c r="D10" s="607" t="s">
        <v>2563</v>
      </c>
      <c r="E10" s="613"/>
      <c r="F10" s="614"/>
      <c r="G10" s="607">
        <v>278665</v>
      </c>
      <c r="H10" s="607"/>
      <c r="I10" s="607"/>
      <c r="J10" s="613"/>
      <c r="K10" s="613"/>
      <c r="L10" s="607" t="s">
        <v>2562</v>
      </c>
      <c r="M10" s="607">
        <v>1.77</v>
      </c>
      <c r="N10" s="607"/>
      <c r="O10" s="618"/>
    </row>
    <row r="11" spans="4:15">
      <c r="D11" s="607" t="s">
        <v>2564</v>
      </c>
      <c r="E11" s="609" t="s">
        <v>2565</v>
      </c>
      <c r="F11" s="610">
        <v>44172</v>
      </c>
      <c r="G11" s="607">
        <v>88871.98</v>
      </c>
      <c r="H11" s="607"/>
      <c r="I11" s="607"/>
      <c r="J11" s="609">
        <v>55505</v>
      </c>
      <c r="K11" s="607">
        <v>277523</v>
      </c>
      <c r="L11" s="609" t="s">
        <v>2566</v>
      </c>
      <c r="M11" s="607">
        <v>2.6</v>
      </c>
      <c r="N11" s="607"/>
      <c r="O11" s="618"/>
    </row>
    <row r="12" spans="4:15">
      <c r="D12" s="607" t="s">
        <v>2567</v>
      </c>
      <c r="E12" s="611"/>
      <c r="F12" s="612"/>
      <c r="G12" s="607">
        <v>135969.86</v>
      </c>
      <c r="H12" s="607"/>
      <c r="I12" s="607"/>
      <c r="J12" s="611"/>
      <c r="K12" s="607"/>
      <c r="L12" s="611"/>
      <c r="M12" s="607"/>
      <c r="N12" s="607"/>
      <c r="O12" s="618"/>
    </row>
    <row r="13" spans="4:15">
      <c r="D13" s="607" t="s">
        <v>2568</v>
      </c>
      <c r="E13" s="613"/>
      <c r="F13" s="614"/>
      <c r="G13" s="607">
        <v>362729.19</v>
      </c>
      <c r="H13" s="607"/>
      <c r="I13" s="607"/>
      <c r="J13" s="613"/>
      <c r="K13" s="607"/>
      <c r="L13" s="613"/>
      <c r="M13" s="607"/>
      <c r="N13" s="607"/>
      <c r="O13" s="618"/>
    </row>
    <row r="14" spans="4:15">
      <c r="D14" s="607" t="s">
        <v>2569</v>
      </c>
      <c r="E14" s="609" t="s">
        <v>2570</v>
      </c>
      <c r="F14" s="610">
        <v>44295</v>
      </c>
      <c r="G14" s="607">
        <v>127940.77</v>
      </c>
      <c r="H14" s="607">
        <v>203130</v>
      </c>
      <c r="I14" s="607"/>
      <c r="J14" s="609">
        <v>31803</v>
      </c>
      <c r="K14" s="607">
        <v>159014</v>
      </c>
      <c r="L14" s="607" t="s">
        <v>2571</v>
      </c>
      <c r="M14" s="607">
        <v>3.2</v>
      </c>
      <c r="N14" s="607"/>
      <c r="O14" s="618"/>
    </row>
    <row r="15" spans="4:15">
      <c r="D15" s="607" t="s">
        <v>2572</v>
      </c>
      <c r="E15" s="613"/>
      <c r="F15" s="614"/>
      <c r="G15" s="607">
        <v>141361.36</v>
      </c>
      <c r="H15" s="607">
        <v>360260</v>
      </c>
      <c r="I15" s="607"/>
      <c r="J15" s="613"/>
      <c r="K15" s="607"/>
      <c r="L15" s="607"/>
      <c r="M15" s="607"/>
      <c r="N15" s="607"/>
      <c r="O15" s="618"/>
    </row>
    <row r="16" s="605" customFormat="1" spans="4:15">
      <c r="D16" s="615" t="s">
        <v>2573</v>
      </c>
      <c r="E16" s="615" t="s">
        <v>2574</v>
      </c>
      <c r="F16" s="616">
        <v>44299</v>
      </c>
      <c r="G16" s="615">
        <v>120582.44</v>
      </c>
      <c r="H16" s="615">
        <v>208900</v>
      </c>
      <c r="I16" s="615"/>
      <c r="J16" s="615"/>
      <c r="K16" s="615">
        <v>75928</v>
      </c>
      <c r="L16" s="615" t="s">
        <v>377</v>
      </c>
      <c r="M16" s="615">
        <v>1.87</v>
      </c>
      <c r="N16" s="615"/>
      <c r="O16" s="606">
        <f>ROUND(K16*10000/H16,0)</f>
        <v>3635</v>
      </c>
    </row>
    <row r="17" s="605" customFormat="1" spans="4:15">
      <c r="D17" s="615" t="s">
        <v>2575</v>
      </c>
      <c r="E17" s="615" t="s">
        <v>2574</v>
      </c>
      <c r="F17" s="616">
        <v>44299</v>
      </c>
      <c r="G17" s="615">
        <v>149012.3</v>
      </c>
      <c r="H17" s="615">
        <v>241560</v>
      </c>
      <c r="I17" s="615"/>
      <c r="J17" s="615">
        <v>18350</v>
      </c>
      <c r="K17" s="615">
        <v>91737</v>
      </c>
      <c r="L17" s="615" t="s">
        <v>377</v>
      </c>
      <c r="M17" s="615">
        <v>1.93</v>
      </c>
      <c r="N17" s="615"/>
      <c r="O17" s="606">
        <f>ROUND(K17*10000/H17,0)</f>
        <v>3798</v>
      </c>
    </row>
    <row r="18" spans="4:15">
      <c r="D18" s="607" t="s">
        <v>2576</v>
      </c>
      <c r="E18" s="609" t="s">
        <v>2577</v>
      </c>
      <c r="F18" s="617">
        <v>44309</v>
      </c>
      <c r="G18" s="607">
        <v>92091.42</v>
      </c>
      <c r="H18" s="607">
        <v>127730</v>
      </c>
      <c r="I18" s="607"/>
      <c r="J18" s="607"/>
      <c r="K18" s="607">
        <v>67048</v>
      </c>
      <c r="L18" s="607" t="s">
        <v>2578</v>
      </c>
      <c r="M18" s="607">
        <v>2.15</v>
      </c>
      <c r="N18" s="609"/>
      <c r="O18" s="618"/>
    </row>
    <row r="19" spans="4:15">
      <c r="D19" s="607" t="s">
        <v>2579</v>
      </c>
      <c r="E19" s="613"/>
      <c r="F19" s="613"/>
      <c r="G19" s="607">
        <v>37359.45</v>
      </c>
      <c r="H19" s="607">
        <v>68050</v>
      </c>
      <c r="I19" s="607"/>
      <c r="J19" s="607"/>
      <c r="K19" s="607"/>
      <c r="L19" s="607"/>
      <c r="M19" s="607"/>
      <c r="N19" s="613"/>
      <c r="O19" s="618"/>
    </row>
    <row r="20" s="605" customFormat="1" spans="4:15">
      <c r="D20" s="615" t="s">
        <v>1048</v>
      </c>
      <c r="E20" s="615" t="s">
        <v>2580</v>
      </c>
      <c r="F20" s="616">
        <v>44468</v>
      </c>
      <c r="G20" s="615">
        <v>130592.62</v>
      </c>
      <c r="H20" s="615">
        <v>211745</v>
      </c>
      <c r="I20" s="615">
        <v>93255</v>
      </c>
      <c r="J20" s="615"/>
      <c r="K20" s="615">
        <v>93255</v>
      </c>
      <c r="L20" s="615" t="s">
        <v>377</v>
      </c>
      <c r="M20" s="615">
        <v>1.96</v>
      </c>
      <c r="N20" s="615"/>
      <c r="O20" s="606">
        <f>ROUND(K20*10000/H20,0)</f>
        <v>4404</v>
      </c>
    </row>
    <row r="23" spans="11:11">
      <c r="K23" s="606">
        <f>K20/(G20/666.67)</f>
        <v>476.062972394612</v>
      </c>
    </row>
  </sheetData>
  <mergeCells count="29">
    <mergeCell ref="E8:E10"/>
    <mergeCell ref="E11:E13"/>
    <mergeCell ref="E14:E15"/>
    <mergeCell ref="E18:E19"/>
    <mergeCell ref="F8:F10"/>
    <mergeCell ref="F11:F13"/>
    <mergeCell ref="F14:F15"/>
    <mergeCell ref="F18:F19"/>
    <mergeCell ref="J8:J10"/>
    <mergeCell ref="J11:J13"/>
    <mergeCell ref="J14:J15"/>
    <mergeCell ref="K8:K10"/>
    <mergeCell ref="K11:K13"/>
    <mergeCell ref="K14:K15"/>
    <mergeCell ref="K18:K19"/>
    <mergeCell ref="L11:L13"/>
    <mergeCell ref="L14:L15"/>
    <mergeCell ref="L18:L19"/>
    <mergeCell ref="M11:M13"/>
    <mergeCell ref="M14:M15"/>
    <mergeCell ref="M18:M19"/>
    <mergeCell ref="N8:N10"/>
    <mergeCell ref="N11:N13"/>
    <mergeCell ref="N14:N15"/>
    <mergeCell ref="N18:N19"/>
    <mergeCell ref="O8:O10"/>
    <mergeCell ref="O11:O13"/>
    <mergeCell ref="O14:O15"/>
    <mergeCell ref="O18:O19"/>
  </mergeCells>
  <pageMargins left="0.75" right="0.75" top="1" bottom="1" header="0.5" footer="0.5"/>
  <headerFooter/>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853"/>
  <sheetViews>
    <sheetView view="pageBreakPreview" zoomScale="60" zoomScaleNormal="60" workbookViewId="0">
      <selection activeCell="F7" sqref="F7:F46"/>
    </sheetView>
  </sheetViews>
  <sheetFormatPr defaultColWidth="9" defaultRowHeight="14.25"/>
  <cols>
    <col min="1" max="1" width="10.45" style="194" customWidth="1"/>
    <col min="2" max="2" width="15.725" style="194" customWidth="1"/>
    <col min="3" max="3" width="14.366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570"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2345</v>
      </c>
      <c r="B1" s="539" t="s">
        <v>2581</v>
      </c>
      <c r="C1" s="199" t="s">
        <v>2347</v>
      </c>
      <c r="D1" s="200"/>
      <c r="E1" s="201"/>
      <c r="F1" s="202"/>
      <c r="G1" s="203" t="s">
        <v>2349</v>
      </c>
      <c r="H1" s="201"/>
      <c r="I1" s="201"/>
      <c r="J1" s="201"/>
      <c r="K1" s="377"/>
      <c r="L1" s="378"/>
      <c r="M1" s="379"/>
      <c r="N1" s="379"/>
      <c r="O1" s="379"/>
      <c r="P1" s="584"/>
      <c r="Q1" s="380"/>
      <c r="R1" s="380"/>
      <c r="S1" s="380"/>
      <c r="T1" s="380"/>
      <c r="U1" s="380"/>
      <c r="V1" s="380"/>
      <c r="W1" s="380"/>
      <c r="X1" s="380"/>
      <c r="Y1" s="380"/>
      <c r="Z1" s="380"/>
      <c r="AA1" s="380"/>
      <c r="AB1" s="380"/>
      <c r="AC1" s="477"/>
    </row>
    <row r="2" s="188" customFormat="1" ht="28.5" customHeight="1" spans="1:29">
      <c r="A2" s="204" t="s">
        <v>919</v>
      </c>
      <c r="B2" s="205" t="e">
        <f>ROUND(B3*D3/10000,0)</f>
        <v>#DIV/0!</v>
      </c>
      <c r="C2" s="206"/>
      <c r="D2" s="206"/>
      <c r="E2" s="477"/>
      <c r="F2" s="208"/>
      <c r="G2" s="207"/>
      <c r="H2" s="207"/>
      <c r="I2" s="207"/>
      <c r="J2" s="207"/>
      <c r="K2" s="207"/>
      <c r="L2" s="382"/>
      <c r="M2" s="380"/>
      <c r="N2" s="380"/>
      <c r="O2" s="380"/>
      <c r="P2" s="584"/>
      <c r="Q2" s="380"/>
      <c r="R2" s="380"/>
      <c r="S2" s="380"/>
      <c r="T2" s="380"/>
      <c r="U2" s="380"/>
      <c r="V2" s="380"/>
      <c r="W2" s="380"/>
      <c r="X2" s="380"/>
      <c r="Y2" s="380"/>
      <c r="Z2" s="380"/>
      <c r="AA2" s="380"/>
      <c r="AB2" s="380"/>
      <c r="AC2" s="477"/>
    </row>
    <row r="3" s="188" customFormat="1" ht="28.5" customHeight="1" spans="1:29">
      <c r="A3" s="209" t="s">
        <v>2350</v>
      </c>
      <c r="B3" s="210" t="e">
        <f>C50</f>
        <v>#DIV/0!</v>
      </c>
      <c r="C3" s="211" t="s">
        <v>2351</v>
      </c>
      <c r="D3" s="212">
        <f>SUMIF('数据-汇总表'!$C19:$C33,D1,'数据-汇总表'!$E19:$E33)</f>
        <v>0</v>
      </c>
      <c r="E3" s="477"/>
      <c r="F3" s="208"/>
      <c r="G3" s="207"/>
      <c r="H3" s="207"/>
      <c r="I3" s="207"/>
      <c r="J3" s="207"/>
      <c r="K3" s="381"/>
      <c r="L3" s="382"/>
      <c r="M3" s="380"/>
      <c r="N3" s="380"/>
      <c r="O3" s="380"/>
      <c r="P3" s="584"/>
      <c r="Q3" s="380"/>
      <c r="R3" s="380"/>
      <c r="S3" s="380"/>
      <c r="T3" s="380"/>
      <c r="U3" s="380"/>
      <c r="V3" s="380"/>
      <c r="W3" s="380"/>
      <c r="X3" s="380"/>
      <c r="Y3" s="380"/>
      <c r="Z3" s="380"/>
      <c r="AA3" s="380"/>
      <c r="AB3" s="380"/>
      <c r="AC3" s="477"/>
    </row>
    <row r="4" ht="15" spans="1:29">
      <c r="A4" s="213" t="s">
        <v>923</v>
      </c>
      <c r="B4" s="214"/>
      <c r="C4" s="215" t="s">
        <v>924</v>
      </c>
      <c r="D4" s="216"/>
      <c r="E4" s="217" t="s">
        <v>925</v>
      </c>
      <c r="F4" s="218"/>
      <c r="G4" s="215" t="s">
        <v>926</v>
      </c>
      <c r="H4" s="216"/>
      <c r="I4" s="215" t="s">
        <v>927</v>
      </c>
      <c r="J4" s="216"/>
      <c r="K4" s="383" t="s">
        <v>928</v>
      </c>
      <c r="L4" s="384"/>
      <c r="M4" s="338"/>
      <c r="N4" s="338"/>
      <c r="O4" s="338"/>
      <c r="P4" s="585" t="s">
        <v>929</v>
      </c>
      <c r="Q4" s="450"/>
      <c r="R4" s="451" t="s">
        <v>925</v>
      </c>
      <c r="S4" s="452"/>
      <c r="T4" s="451" t="s">
        <v>926</v>
      </c>
      <c r="U4" s="452"/>
      <c r="V4" s="453" t="s">
        <v>927</v>
      </c>
      <c r="W4" s="453"/>
      <c r="X4" s="454"/>
      <c r="Y4" s="451" t="s">
        <v>929</v>
      </c>
      <c r="Z4" s="452"/>
      <c r="AA4" s="479" t="s">
        <v>925</v>
      </c>
      <c r="AB4" s="479" t="s">
        <v>926</v>
      </c>
      <c r="AC4" s="479" t="s">
        <v>927</v>
      </c>
    </row>
    <row r="5" ht="15" spans="1:29">
      <c r="A5" s="219"/>
      <c r="B5" s="220"/>
      <c r="C5" s="221" t="s">
        <v>930</v>
      </c>
      <c r="D5" s="222"/>
      <c r="E5" s="223" t="s">
        <v>1099</v>
      </c>
      <c r="F5" s="224"/>
      <c r="G5" s="221" t="s">
        <v>1100</v>
      </c>
      <c r="H5" s="222"/>
      <c r="I5" s="221" t="s">
        <v>1101</v>
      </c>
      <c r="J5" s="222"/>
      <c r="K5" s="383"/>
      <c r="L5" s="384"/>
      <c r="M5" s="338"/>
      <c r="N5" s="338"/>
      <c r="O5" s="338"/>
      <c r="P5" s="586"/>
      <c r="Q5" s="455"/>
      <c r="R5" s="456"/>
      <c r="S5" s="457"/>
      <c r="T5" s="456"/>
      <c r="U5" s="457"/>
      <c r="V5" s="453"/>
      <c r="W5" s="453"/>
      <c r="X5" s="454"/>
      <c r="Y5" s="456"/>
      <c r="Z5" s="457"/>
      <c r="AA5" s="454"/>
      <c r="AB5" s="454"/>
      <c r="AC5" s="454"/>
    </row>
    <row r="6" ht="15.75" spans="1:29">
      <c r="A6" s="225"/>
      <c r="B6" s="226"/>
      <c r="C6" s="227" t="s">
        <v>931</v>
      </c>
      <c r="D6" s="228"/>
      <c r="E6" s="229" t="s">
        <v>931</v>
      </c>
      <c r="F6" s="230"/>
      <c r="G6" s="227" t="s">
        <v>931</v>
      </c>
      <c r="H6" s="228"/>
      <c r="I6" s="227" t="s">
        <v>931</v>
      </c>
      <c r="J6" s="228"/>
      <c r="K6" s="383" t="s">
        <v>932</v>
      </c>
      <c r="L6" s="384"/>
      <c r="M6" s="338"/>
      <c r="N6" s="338"/>
      <c r="O6" s="338"/>
      <c r="P6" s="587"/>
      <c r="Q6" s="458"/>
      <c r="R6" s="456"/>
      <c r="S6" s="457"/>
      <c r="T6" s="459"/>
      <c r="U6" s="460"/>
      <c r="V6" s="453"/>
      <c r="W6" s="453"/>
      <c r="X6" s="454"/>
      <c r="Y6" s="459"/>
      <c r="Z6" s="460"/>
      <c r="AA6" s="480"/>
      <c r="AB6" s="480"/>
      <c r="AC6" s="480"/>
    </row>
    <row r="7" s="189" customFormat="1" ht="15.75" spans="1:29">
      <c r="A7" s="231"/>
      <c r="B7" s="232" t="s">
        <v>933</v>
      </c>
      <c r="C7" s="233">
        <f>'数据-取费表'!B2</f>
        <v>45252</v>
      </c>
      <c r="D7" s="234">
        <v>100</v>
      </c>
      <c r="E7" s="235"/>
      <c r="F7" s="236">
        <f>SUMIF(59:59,YEAR(E7)&amp;"-"&amp;MONTH(E7),60:60)</f>
        <v>0</v>
      </c>
      <c r="G7" s="235"/>
      <c r="H7" s="234">
        <f>SUMIF(59:59,YEAR(G7)&amp;"-"&amp;MONTH(G7),60:60)</f>
        <v>0</v>
      </c>
      <c r="I7" s="235"/>
      <c r="J7" s="234">
        <f>SUMIF(59:59,YEAR(I7)&amp;"-"&amp;MONTH(I7),60:60)</f>
        <v>0</v>
      </c>
      <c r="K7" s="385"/>
      <c r="L7" s="386"/>
      <c r="M7" s="387"/>
      <c r="N7" s="387"/>
      <c r="O7" s="387"/>
      <c r="P7" s="461" t="s">
        <v>934</v>
      </c>
      <c r="Q7" s="461"/>
      <c r="R7" s="462" t="s">
        <v>935</v>
      </c>
      <c r="S7" s="463">
        <f t="shared" ref="S7:S15" si="0">F7</f>
        <v>0</v>
      </c>
      <c r="T7" s="462" t="s">
        <v>935</v>
      </c>
      <c r="U7" s="463">
        <f t="shared" ref="U7:U15" si="1">H7</f>
        <v>0</v>
      </c>
      <c r="V7" s="462" t="s">
        <v>935</v>
      </c>
      <c r="W7" s="463">
        <f t="shared" ref="W7:W15" si="2">J7</f>
        <v>0</v>
      </c>
      <c r="X7" s="464"/>
      <c r="Y7" s="388" t="s">
        <v>934</v>
      </c>
      <c r="Z7" s="465"/>
      <c r="AA7" s="481" t="e">
        <f>D7/F7</f>
        <v>#DIV/0!</v>
      </c>
      <c r="AB7" s="481" t="e">
        <f>D7/H7</f>
        <v>#DIV/0!</v>
      </c>
      <c r="AC7" s="481" t="e">
        <f>D7/J7</f>
        <v>#DIV/0!</v>
      </c>
    </row>
    <row r="8" s="189" customFormat="1" ht="15.75" spans="1:29">
      <c r="A8" s="238"/>
      <c r="B8" s="239" t="s">
        <v>936</v>
      </c>
      <c r="C8" s="240" t="s">
        <v>937</v>
      </c>
      <c r="D8" s="234">
        <v>100</v>
      </c>
      <c r="E8" s="240"/>
      <c r="F8" s="236">
        <f>SUMIF(62:62,E8,63:63)-SUMIF(62:62,C8,63:63)+100</f>
        <v>0</v>
      </c>
      <c r="G8" s="240"/>
      <c r="H8" s="234">
        <f>SUMIF(62:62,G8,63:63)-SUMIF(62:62,C8,63:63)+100</f>
        <v>0</v>
      </c>
      <c r="I8" s="240"/>
      <c r="J8" s="234">
        <f>SUMIF(62:62,I8,63:63)-SUMIF(62:62,C8,63:63)+100</f>
        <v>0</v>
      </c>
      <c r="K8" s="385"/>
      <c r="L8" s="386"/>
      <c r="M8" s="387"/>
      <c r="N8" s="387"/>
      <c r="O8" s="387"/>
      <c r="P8" s="461" t="s">
        <v>939</v>
      </c>
      <c r="Q8" s="465"/>
      <c r="R8" s="462" t="s">
        <v>935</v>
      </c>
      <c r="S8" s="463">
        <f t="shared" si="0"/>
        <v>0</v>
      </c>
      <c r="T8" s="462" t="s">
        <v>935</v>
      </c>
      <c r="U8" s="463">
        <f t="shared" si="1"/>
        <v>0</v>
      </c>
      <c r="V8" s="462" t="s">
        <v>935</v>
      </c>
      <c r="W8" s="463">
        <f t="shared" si="2"/>
        <v>0</v>
      </c>
      <c r="X8" s="464"/>
      <c r="Y8" s="388" t="s">
        <v>939</v>
      </c>
      <c r="Z8" s="465"/>
      <c r="AA8" s="481" t="e">
        <f t="shared" ref="AA8:AA47" si="3">D8/F8</f>
        <v>#DIV/0!</v>
      </c>
      <c r="AB8" s="481" t="e">
        <f t="shared" ref="AB8:AB47" si="4">D8/H8</f>
        <v>#DIV/0!</v>
      </c>
      <c r="AC8" s="481" t="e">
        <f t="shared" ref="AC8:AC47" si="5">D8/J8</f>
        <v>#DIV/0!</v>
      </c>
    </row>
    <row r="9" s="189" customFormat="1" ht="15" spans="1:29">
      <c r="A9" s="241"/>
      <c r="B9" s="242" t="s">
        <v>940</v>
      </c>
      <c r="C9" s="243"/>
      <c r="D9" s="244">
        <v>100</v>
      </c>
      <c r="E9" s="245"/>
      <c r="F9" s="244">
        <f>SUMIF(64:64,E9,65:65)-SUMIF(64:64,C9,65:65)+100</f>
        <v>100</v>
      </c>
      <c r="G9" s="511"/>
      <c r="H9" s="244">
        <f>SUMIF(64:64,G9,65:65)-SUMIF(64:64,C9,65:65)+100</f>
        <v>100</v>
      </c>
      <c r="I9" s="511"/>
      <c r="J9" s="244">
        <f>SUMIF(64:64,I9,65:65)-SUMIF(64:64,C9,65:65)+100</f>
        <v>100</v>
      </c>
      <c r="K9" s="385"/>
      <c r="L9" s="386"/>
      <c r="M9" s="387"/>
      <c r="N9" s="387"/>
      <c r="O9" s="387"/>
      <c r="P9" s="390" t="s">
        <v>941</v>
      </c>
      <c r="Q9" s="466" t="str">
        <f t="shared" ref="Q9:Q15" si="6">B9</f>
        <v>用途</v>
      </c>
      <c r="R9" s="462" t="s">
        <v>935</v>
      </c>
      <c r="S9" s="463">
        <f t="shared" si="0"/>
        <v>100</v>
      </c>
      <c r="T9" s="462" t="s">
        <v>935</v>
      </c>
      <c r="U9" s="463">
        <f t="shared" si="1"/>
        <v>100</v>
      </c>
      <c r="V9" s="462" t="s">
        <v>935</v>
      </c>
      <c r="W9" s="463">
        <f t="shared" si="2"/>
        <v>100</v>
      </c>
      <c r="X9" s="464"/>
      <c r="Y9" s="466" t="s">
        <v>942</v>
      </c>
      <c r="Z9" s="481" t="str">
        <f t="shared" ref="Z9:Z15" si="7">Q9</f>
        <v>用途</v>
      </c>
      <c r="AA9" s="481">
        <f t="shared" si="3"/>
        <v>1</v>
      </c>
      <c r="AB9" s="481">
        <f t="shared" si="4"/>
        <v>1</v>
      </c>
      <c r="AC9" s="481">
        <f t="shared" si="5"/>
        <v>1</v>
      </c>
    </row>
    <row r="10" s="190" customFormat="1" ht="27" spans="1:29">
      <c r="A10" s="246"/>
      <c r="B10" s="239" t="s">
        <v>943</v>
      </c>
      <c r="C10" s="247"/>
      <c r="D10" s="248">
        <v>100</v>
      </c>
      <c r="E10" s="247"/>
      <c r="F10" s="248">
        <f>SUMIF(66:66,E10,67:67)-SUMIF(66:66,C10,67:67)+100</f>
        <v>100</v>
      </c>
      <c r="G10" s="249"/>
      <c r="H10" s="248">
        <f>SUMIF(66:66,G10,67:67)-SUMIF(66:66,C10,67:67)+100</f>
        <v>100</v>
      </c>
      <c r="I10" s="247"/>
      <c r="J10" s="248">
        <f>SUMIF(66:66,I10,67:67)-SUMIF(66:66,C10,67:67)+100</f>
        <v>100</v>
      </c>
      <c r="K10" s="391"/>
      <c r="L10" s="392"/>
      <c r="M10" s="393"/>
      <c r="N10" s="393"/>
      <c r="O10" s="393"/>
      <c r="P10" s="390"/>
      <c r="Q10" s="466" t="str">
        <f t="shared" si="6"/>
        <v>土地使用年限（年）</v>
      </c>
      <c r="R10" s="462" t="s">
        <v>935</v>
      </c>
      <c r="S10" s="463">
        <f t="shared" si="0"/>
        <v>100</v>
      </c>
      <c r="T10" s="462" t="s">
        <v>935</v>
      </c>
      <c r="U10" s="463">
        <f t="shared" si="1"/>
        <v>100</v>
      </c>
      <c r="V10" s="462" t="s">
        <v>935</v>
      </c>
      <c r="W10" s="463">
        <f t="shared" si="2"/>
        <v>100</v>
      </c>
      <c r="X10" s="464"/>
      <c r="Y10" s="466"/>
      <c r="Z10" s="481" t="str">
        <f t="shared" si="7"/>
        <v>土地使用年限（年）</v>
      </c>
      <c r="AA10" s="481">
        <f t="shared" si="3"/>
        <v>1</v>
      </c>
      <c r="AB10" s="481">
        <f t="shared" si="4"/>
        <v>1</v>
      </c>
      <c r="AC10" s="481">
        <f t="shared" si="5"/>
        <v>1</v>
      </c>
    </row>
    <row r="11" ht="15" spans="1:29">
      <c r="A11" s="540"/>
      <c r="B11" s="239" t="s">
        <v>944</v>
      </c>
      <c r="C11" s="541"/>
      <c r="D11" s="248">
        <v>100</v>
      </c>
      <c r="E11" s="541"/>
      <c r="F11" s="248" t="e">
        <f>LOOKUP(E11,69:69,70:70)-LOOKUP(C11,69:69,70:70)+100</f>
        <v>#N/A</v>
      </c>
      <c r="G11" s="542"/>
      <c r="H11" s="248" t="e">
        <f>LOOKUP(G11,69:69,70:70)-LOOKUP(C11,69:69,70:70)+100</f>
        <v>#N/A</v>
      </c>
      <c r="I11" s="541"/>
      <c r="J11" s="248" t="e">
        <f>LOOKUP(I11,69:69,70:70)-LOOKUP(C11,69:69,70:70)+100</f>
        <v>#N/A</v>
      </c>
      <c r="K11" s="391"/>
      <c r="L11" s="396"/>
      <c r="M11" s="338"/>
      <c r="N11" s="338"/>
      <c r="O11" s="338"/>
      <c r="P11" s="390"/>
      <c r="Q11" s="466" t="str">
        <f t="shared" si="6"/>
        <v>容积率</v>
      </c>
      <c r="R11" s="462" t="s">
        <v>935</v>
      </c>
      <c r="S11" s="463" t="e">
        <f t="shared" si="0"/>
        <v>#N/A</v>
      </c>
      <c r="T11" s="462" t="s">
        <v>935</v>
      </c>
      <c r="U11" s="463" t="e">
        <f t="shared" si="1"/>
        <v>#N/A</v>
      </c>
      <c r="V11" s="462" t="s">
        <v>935</v>
      </c>
      <c r="W11" s="463" t="e">
        <f t="shared" si="2"/>
        <v>#N/A</v>
      </c>
      <c r="X11" s="464"/>
      <c r="Y11" s="466"/>
      <c r="Z11" s="481" t="str">
        <f t="shared" si="7"/>
        <v>容积率</v>
      </c>
      <c r="AA11" s="481" t="e">
        <f t="shared" si="3"/>
        <v>#N/A</v>
      </c>
      <c r="AB11" s="481" t="e">
        <f t="shared" si="4"/>
        <v>#N/A</v>
      </c>
      <c r="AC11" s="481" t="e">
        <f t="shared" si="5"/>
        <v>#N/A</v>
      </c>
    </row>
    <row r="12" s="189" customFormat="1" ht="15" spans="1:29">
      <c r="A12" s="250"/>
      <c r="B12" s="251">
        <v>111</v>
      </c>
      <c r="C12" s="252"/>
      <c r="D12" s="254">
        <v>100</v>
      </c>
      <c r="E12" s="252"/>
      <c r="F12" s="248">
        <f>SUMIF(71:71,E12,72:72)-SUMIF(71:71,C12,72:72)+100</f>
        <v>100</v>
      </c>
      <c r="G12" s="571"/>
      <c r="H12" s="248">
        <f>SUMIF(71:71,G12,72:72)-SUMIF(71:71,C12,72:72)+100</f>
        <v>100</v>
      </c>
      <c r="I12" s="252"/>
      <c r="J12" s="248">
        <f>SUMIF(71:71,I12,72:72)-SUMIF(71:71,C12,72:72)+100</f>
        <v>100</v>
      </c>
      <c r="K12" s="395"/>
      <c r="L12" s="386"/>
      <c r="M12" s="387"/>
      <c r="N12" s="387"/>
      <c r="O12" s="387"/>
      <c r="P12" s="390"/>
      <c r="Q12" s="466">
        <f t="shared" si="6"/>
        <v>111</v>
      </c>
      <c r="R12" s="462" t="s">
        <v>935</v>
      </c>
      <c r="S12" s="463">
        <f t="shared" si="0"/>
        <v>100</v>
      </c>
      <c r="T12" s="462" t="s">
        <v>935</v>
      </c>
      <c r="U12" s="463">
        <f t="shared" si="1"/>
        <v>100</v>
      </c>
      <c r="V12" s="462" t="s">
        <v>935</v>
      </c>
      <c r="W12" s="463">
        <f t="shared" si="2"/>
        <v>100</v>
      </c>
      <c r="X12" s="464"/>
      <c r="Y12" s="466"/>
      <c r="Z12" s="481">
        <f t="shared" si="7"/>
        <v>111</v>
      </c>
      <c r="AA12" s="481">
        <f t="shared" si="3"/>
        <v>1</v>
      </c>
      <c r="AB12" s="481">
        <f t="shared" si="4"/>
        <v>1</v>
      </c>
      <c r="AC12" s="481">
        <f t="shared" si="5"/>
        <v>1</v>
      </c>
    </row>
    <row r="13" ht="15" spans="1:29">
      <c r="A13" s="250"/>
      <c r="B13" s="251">
        <v>111</v>
      </c>
      <c r="C13" s="257"/>
      <c r="D13" s="258">
        <v>100</v>
      </c>
      <c r="E13" s="252"/>
      <c r="F13" s="248">
        <f>SUMIF(73:73,E13,74:74)-SUMIF(73:73,C13,74:74)+100</f>
        <v>100</v>
      </c>
      <c r="G13" s="571"/>
      <c r="H13" s="258">
        <f>SUMIF(73:73,G13,74:74)-SUMIF(73:73,C13,74:74)+100</f>
        <v>100</v>
      </c>
      <c r="I13" s="252"/>
      <c r="J13" s="258">
        <f>SUMIF(73:73,I13,74:74)-SUMIF(73:73,C13,74:74)+100</f>
        <v>100</v>
      </c>
      <c r="K13" s="395"/>
      <c r="L13" s="398"/>
      <c r="M13" s="338"/>
      <c r="N13" s="338"/>
      <c r="O13" s="338"/>
      <c r="P13" s="390"/>
      <c r="Q13" s="466">
        <f t="shared" si="6"/>
        <v>111</v>
      </c>
      <c r="R13" s="462" t="s">
        <v>935</v>
      </c>
      <c r="S13" s="463">
        <f t="shared" si="0"/>
        <v>100</v>
      </c>
      <c r="T13" s="462" t="s">
        <v>935</v>
      </c>
      <c r="U13" s="463">
        <f t="shared" si="1"/>
        <v>100</v>
      </c>
      <c r="V13" s="462" t="s">
        <v>935</v>
      </c>
      <c r="W13" s="463">
        <f t="shared" si="2"/>
        <v>100</v>
      </c>
      <c r="X13" s="464"/>
      <c r="Y13" s="466"/>
      <c r="Z13" s="481">
        <f t="shared" si="7"/>
        <v>111</v>
      </c>
      <c r="AA13" s="481">
        <f t="shared" si="3"/>
        <v>1</v>
      </c>
      <c r="AB13" s="481">
        <f t="shared" si="4"/>
        <v>1</v>
      </c>
      <c r="AC13" s="481">
        <f t="shared" si="5"/>
        <v>1</v>
      </c>
    </row>
    <row r="14" ht="15.75" spans="1:29">
      <c r="A14" s="255"/>
      <c r="B14" s="256">
        <v>111</v>
      </c>
      <c r="C14" s="307"/>
      <c r="D14" s="308">
        <v>100</v>
      </c>
      <c r="E14" s="517"/>
      <c r="F14" s="308">
        <f>SUMIF(75:75,E14,76:76)-SUMIF(75:75,C14,76:76)+100</f>
        <v>100</v>
      </c>
      <c r="G14" s="571"/>
      <c r="H14" s="308">
        <f>SUMIF(75:75,G14,76:76)-SUMIF(75:75,C14,76:76)+100</f>
        <v>100</v>
      </c>
      <c r="I14" s="252"/>
      <c r="J14" s="308">
        <f>SUMIF(75:75,I14,76:76)-SUMIF(75:75,C14,76:76)+100</f>
        <v>100</v>
      </c>
      <c r="K14" s="395"/>
      <c r="L14" s="398"/>
      <c r="M14" s="338"/>
      <c r="N14" s="338"/>
      <c r="O14" s="338"/>
      <c r="P14" s="390"/>
      <c r="Q14" s="466">
        <f t="shared" si="6"/>
        <v>111</v>
      </c>
      <c r="R14" s="462" t="s">
        <v>935</v>
      </c>
      <c r="S14" s="463">
        <f t="shared" si="0"/>
        <v>100</v>
      </c>
      <c r="T14" s="462" t="s">
        <v>935</v>
      </c>
      <c r="U14" s="463">
        <f t="shared" si="1"/>
        <v>100</v>
      </c>
      <c r="V14" s="462" t="s">
        <v>935</v>
      </c>
      <c r="W14" s="463">
        <f t="shared" si="2"/>
        <v>100</v>
      </c>
      <c r="X14" s="464"/>
      <c r="Y14" s="466"/>
      <c r="Z14" s="481">
        <f t="shared" si="7"/>
        <v>111</v>
      </c>
      <c r="AA14" s="481">
        <f t="shared" si="3"/>
        <v>1</v>
      </c>
      <c r="AB14" s="481">
        <f t="shared" si="4"/>
        <v>1</v>
      </c>
      <c r="AC14" s="481">
        <f t="shared" si="5"/>
        <v>1</v>
      </c>
    </row>
    <row r="15" ht="68.25" spans="1:29">
      <c r="A15" s="259" t="s">
        <v>946</v>
      </c>
      <c r="B15" s="512" t="s">
        <v>227</v>
      </c>
      <c r="C15" s="572" t="str">
        <f>估价对象房地状况!C5</f>
        <v>估价对象位于XX商圈，周边办公楼项目较多，入驻率高，办公集聚程度较好</v>
      </c>
      <c r="D15" s="262">
        <v>100</v>
      </c>
      <c r="E15" s="265"/>
      <c r="F15" s="262">
        <f>SUMIF(77:77,E16,78:78)-SUMIF(77:77,C16,78:78)+100</f>
        <v>100</v>
      </c>
      <c r="G15" s="263"/>
      <c r="H15" s="262">
        <f>SUMIF(77:77,G16,78:78)-SUMIF(77:77,C16,78:78)+100</f>
        <v>100</v>
      </c>
      <c r="I15" s="263"/>
      <c r="J15" s="262">
        <f>SUMIF(77:77,I16,78:78)-SUMIF(77:77,C16,78:78)+100</f>
        <v>100</v>
      </c>
      <c r="K15" s="399"/>
      <c r="L15" s="398"/>
      <c r="M15" s="338"/>
      <c r="N15" s="338"/>
      <c r="O15" s="338"/>
      <c r="P15" s="400" t="s">
        <v>947</v>
      </c>
      <c r="Q15" s="390" t="str">
        <f t="shared" si="6"/>
        <v>办公集聚程度</v>
      </c>
      <c r="R15" s="467" t="s">
        <v>935</v>
      </c>
      <c r="S15" s="468">
        <f t="shared" si="0"/>
        <v>100</v>
      </c>
      <c r="T15" s="467" t="s">
        <v>935</v>
      </c>
      <c r="U15" s="468">
        <f t="shared" si="1"/>
        <v>100</v>
      </c>
      <c r="V15" s="467" t="s">
        <v>935</v>
      </c>
      <c r="W15" s="468">
        <f t="shared" si="2"/>
        <v>100</v>
      </c>
      <c r="X15" s="454"/>
      <c r="Y15" s="400" t="s">
        <v>947</v>
      </c>
      <c r="Z15" s="453" t="str">
        <f t="shared" si="7"/>
        <v>办公集聚程度</v>
      </c>
      <c r="AA15" s="453">
        <f t="shared" si="3"/>
        <v>1</v>
      </c>
      <c r="AB15" s="453">
        <f t="shared" si="4"/>
        <v>1</v>
      </c>
      <c r="AC15" s="453">
        <f t="shared" si="5"/>
        <v>1</v>
      </c>
    </row>
    <row r="16" ht="15" spans="1:29">
      <c r="A16" s="266"/>
      <c r="B16" s="573"/>
      <c r="C16" s="574"/>
      <c r="D16" s="269"/>
      <c r="E16" s="268"/>
      <c r="F16" s="269"/>
      <c r="G16" s="574"/>
      <c r="H16" s="271"/>
      <c r="I16" s="268"/>
      <c r="J16" s="269"/>
      <c r="K16" s="401"/>
      <c r="L16" s="398"/>
      <c r="M16" s="338"/>
      <c r="N16" s="338"/>
      <c r="O16" s="338"/>
      <c r="P16" s="367"/>
      <c r="Q16" s="390"/>
      <c r="R16" s="467"/>
      <c r="S16" s="468"/>
      <c r="T16" s="467"/>
      <c r="U16" s="468"/>
      <c r="V16" s="467"/>
      <c r="W16" s="468"/>
      <c r="X16" s="454"/>
      <c r="Y16" s="367"/>
      <c r="Z16" s="453"/>
      <c r="AA16" s="453">
        <v>1</v>
      </c>
      <c r="AB16" s="453">
        <v>1</v>
      </c>
      <c r="AC16" s="453">
        <v>1</v>
      </c>
    </row>
    <row r="17" ht="81" spans="1:29">
      <c r="A17" s="266"/>
      <c r="B17" s="514" t="s">
        <v>229</v>
      </c>
      <c r="C17" s="450" t="str">
        <f>估价对象房地状况!C6</f>
        <v>估价对象周边道路状况、公共交通通达情况、停车便捷程度，综合评价交通便捷度较好</v>
      </c>
      <c r="D17" s="271">
        <v>100</v>
      </c>
      <c r="E17" s="283"/>
      <c r="F17" s="271">
        <f>SUMIF(79:79,E18,80:80)-SUMIF(79:79,C18,80:80)+100</f>
        <v>100</v>
      </c>
      <c r="G17" s="281"/>
      <c r="H17" s="274">
        <f>SUMIF(79:79,G18,80:80)-SUMIF(79:79,C18,80:80)+100</f>
        <v>100</v>
      </c>
      <c r="I17" s="281"/>
      <c r="J17" s="274">
        <f>SUMIF(79:79,I18,80:80)-SUMIF(79:79,C18,80:80)+100</f>
        <v>100</v>
      </c>
      <c r="K17" s="399"/>
      <c r="L17" s="398"/>
      <c r="M17" s="338"/>
      <c r="N17" s="338"/>
      <c r="O17" s="338"/>
      <c r="P17" s="367"/>
      <c r="Q17" s="390" t="str">
        <f>B17</f>
        <v>交通便捷度</v>
      </c>
      <c r="R17" s="467" t="s">
        <v>935</v>
      </c>
      <c r="S17" s="468">
        <f>F17</f>
        <v>100</v>
      </c>
      <c r="T17" s="467" t="s">
        <v>935</v>
      </c>
      <c r="U17" s="468">
        <f>H17</f>
        <v>100</v>
      </c>
      <c r="V17" s="467" t="s">
        <v>935</v>
      </c>
      <c r="W17" s="468">
        <f>J17</f>
        <v>100</v>
      </c>
      <c r="X17" s="454"/>
      <c r="Y17" s="367"/>
      <c r="Z17" s="453" t="str">
        <f>Q17</f>
        <v>交通便捷度</v>
      </c>
      <c r="AA17" s="453">
        <f t="shared" si="3"/>
        <v>1</v>
      </c>
      <c r="AB17" s="453">
        <f t="shared" si="4"/>
        <v>1</v>
      </c>
      <c r="AC17" s="453">
        <f t="shared" si="5"/>
        <v>1</v>
      </c>
    </row>
    <row r="18" ht="15" spans="1:29">
      <c r="A18" s="266"/>
      <c r="B18" s="278"/>
      <c r="C18" s="575"/>
      <c r="D18" s="271"/>
      <c r="E18" s="545"/>
      <c r="F18" s="271"/>
      <c r="G18" s="544"/>
      <c r="H18" s="269"/>
      <c r="I18" s="544"/>
      <c r="J18" s="269"/>
      <c r="K18" s="401"/>
      <c r="L18" s="398"/>
      <c r="M18" s="338"/>
      <c r="N18" s="338"/>
      <c r="O18" s="338"/>
      <c r="P18" s="367"/>
      <c r="Q18" s="390"/>
      <c r="R18" s="467"/>
      <c r="S18" s="468"/>
      <c r="T18" s="467"/>
      <c r="U18" s="468"/>
      <c r="V18" s="467"/>
      <c r="W18" s="468"/>
      <c r="X18" s="454"/>
      <c r="Y18" s="367"/>
      <c r="Z18" s="453"/>
      <c r="AA18" s="453">
        <v>1</v>
      </c>
      <c r="AB18" s="453">
        <v>1</v>
      </c>
      <c r="AC18" s="453">
        <v>1</v>
      </c>
    </row>
    <row r="19" ht="40.5" spans="1:29">
      <c r="A19" s="266"/>
      <c r="B19" s="272" t="s">
        <v>231</v>
      </c>
      <c r="C19" s="450" t="str">
        <f>估价对象房地状况!C7</f>
        <v>估价对象所在区域公共配套设施齐备情况</v>
      </c>
      <c r="D19" s="274">
        <v>100</v>
      </c>
      <c r="E19" s="277"/>
      <c r="F19" s="274">
        <f>SUMIF(81:81,E20,82:82)-SUMIF(81:81,C20,82:82)+100</f>
        <v>100</v>
      </c>
      <c r="G19" s="275"/>
      <c r="H19" s="271">
        <f>SUMIF(81:81,G20,82:82)-SUMIF(81:81,C20,82:82)+100</f>
        <v>100</v>
      </c>
      <c r="I19" s="275"/>
      <c r="J19" s="271">
        <f>SUMIF(81:81,I20,82:82)-SUMIF(81:81,C20,82:82)+100</f>
        <v>100</v>
      </c>
      <c r="K19" s="399"/>
      <c r="L19" s="398"/>
      <c r="M19" s="338"/>
      <c r="N19" s="338"/>
      <c r="O19" s="338"/>
      <c r="P19" s="367"/>
      <c r="Q19" s="390" t="str">
        <f>B19</f>
        <v>公共配套设施</v>
      </c>
      <c r="R19" s="467" t="s">
        <v>935</v>
      </c>
      <c r="S19" s="468">
        <f>F19</f>
        <v>100</v>
      </c>
      <c r="T19" s="467" t="s">
        <v>935</v>
      </c>
      <c r="U19" s="468">
        <f>H19</f>
        <v>100</v>
      </c>
      <c r="V19" s="467" t="s">
        <v>935</v>
      </c>
      <c r="W19" s="468">
        <f>J19</f>
        <v>100</v>
      </c>
      <c r="X19" s="454"/>
      <c r="Y19" s="367"/>
      <c r="Z19" s="453" t="str">
        <f>Q19</f>
        <v>公共配套设施</v>
      </c>
      <c r="AA19" s="453">
        <f t="shared" si="3"/>
        <v>1</v>
      </c>
      <c r="AB19" s="453">
        <f t="shared" si="4"/>
        <v>1</v>
      </c>
      <c r="AC19" s="453">
        <f t="shared" si="5"/>
        <v>1</v>
      </c>
    </row>
    <row r="20" ht="15" spans="1:29">
      <c r="A20" s="266"/>
      <c r="B20" s="278"/>
      <c r="C20" s="574"/>
      <c r="D20" s="269"/>
      <c r="E20" s="547"/>
      <c r="F20" s="269"/>
      <c r="G20" s="546"/>
      <c r="H20" s="269"/>
      <c r="I20" s="546"/>
      <c r="J20" s="269"/>
      <c r="K20" s="401"/>
      <c r="L20" s="398"/>
      <c r="M20" s="338"/>
      <c r="N20" s="338"/>
      <c r="O20" s="338"/>
      <c r="P20" s="367"/>
      <c r="Q20" s="390"/>
      <c r="R20" s="467"/>
      <c r="S20" s="468"/>
      <c r="T20" s="467"/>
      <c r="U20" s="468"/>
      <c r="V20" s="467"/>
      <c r="W20" s="468"/>
      <c r="X20" s="454"/>
      <c r="Y20" s="367"/>
      <c r="Z20" s="453"/>
      <c r="AA20" s="453">
        <v>1</v>
      </c>
      <c r="AB20" s="453">
        <v>1</v>
      </c>
      <c r="AC20" s="453">
        <v>1</v>
      </c>
    </row>
    <row r="21" ht="27" spans="1:29">
      <c r="A21" s="266"/>
      <c r="B21" s="280" t="s">
        <v>232</v>
      </c>
      <c r="C21" s="450" t="str">
        <f>估价对象房地状况!C8</f>
        <v>估价对象所在区域基础设施水平</v>
      </c>
      <c r="D21" s="274">
        <v>100</v>
      </c>
      <c r="E21" s="277"/>
      <c r="F21" s="274">
        <f>SUMIF(83:83,E22,84:84)-SUMIF(83:83,C22,84:84)+100</f>
        <v>100</v>
      </c>
      <c r="G21" s="275"/>
      <c r="H21" s="274">
        <f>SUMIF(83:83,G22,84:84)-SUMIF(83:83,C22,84:84)+100</f>
        <v>100</v>
      </c>
      <c r="I21" s="275"/>
      <c r="J21" s="274">
        <f>SUMIF(83:83,I22,84:84)-SUMIF(83:83,C22,84:84)+100</f>
        <v>100</v>
      </c>
      <c r="K21" s="399"/>
      <c r="L21" s="398"/>
      <c r="M21" s="338"/>
      <c r="N21" s="338"/>
      <c r="O21" s="338"/>
      <c r="P21" s="367"/>
      <c r="Q21" s="390" t="str">
        <f>B21</f>
        <v>基础设施水平</v>
      </c>
      <c r="R21" s="467" t="s">
        <v>935</v>
      </c>
      <c r="S21" s="468">
        <f>F21</f>
        <v>100</v>
      </c>
      <c r="T21" s="467" t="s">
        <v>935</v>
      </c>
      <c r="U21" s="468">
        <f>H21</f>
        <v>100</v>
      </c>
      <c r="V21" s="467" t="s">
        <v>935</v>
      </c>
      <c r="W21" s="468">
        <f>J21</f>
        <v>100</v>
      </c>
      <c r="X21" s="454"/>
      <c r="Y21" s="367"/>
      <c r="Z21" s="453" t="str">
        <f>Q21</f>
        <v>基础设施水平</v>
      </c>
      <c r="AA21" s="453">
        <f t="shared" ref="AA21" si="8">D21/F21</f>
        <v>1</v>
      </c>
      <c r="AB21" s="453">
        <f t="shared" ref="AB21" si="9">D21/H21</f>
        <v>1</v>
      </c>
      <c r="AC21" s="453">
        <f t="shared" ref="AC21" si="10">D21/J21</f>
        <v>1</v>
      </c>
    </row>
    <row r="22" ht="15" spans="1:29">
      <c r="A22" s="266"/>
      <c r="B22" s="284"/>
      <c r="C22" s="575"/>
      <c r="D22" s="269"/>
      <c r="E22" s="268"/>
      <c r="F22" s="269"/>
      <c r="G22" s="574"/>
      <c r="H22" s="269"/>
      <c r="I22" s="574"/>
      <c r="J22" s="269"/>
      <c r="K22" s="402"/>
      <c r="L22" s="398"/>
      <c r="M22" s="338"/>
      <c r="N22" s="338"/>
      <c r="O22" s="338"/>
      <c r="P22" s="367"/>
      <c r="Q22" s="390"/>
      <c r="R22" s="467"/>
      <c r="S22" s="468"/>
      <c r="T22" s="467"/>
      <c r="U22" s="468"/>
      <c r="V22" s="467"/>
      <c r="W22" s="468"/>
      <c r="X22" s="454"/>
      <c r="Y22" s="367"/>
      <c r="Z22" s="453"/>
      <c r="AA22" s="453">
        <v>1</v>
      </c>
      <c r="AB22" s="453">
        <v>1</v>
      </c>
      <c r="AC22" s="453">
        <v>1</v>
      </c>
    </row>
    <row r="23" ht="54" spans="1:29">
      <c r="A23" s="266"/>
      <c r="B23" s="514" t="s">
        <v>233</v>
      </c>
      <c r="C23" s="450" t="str">
        <f>估价对象房地状况!C9</f>
        <v>区域自然环境：；人文环境；综合评价环境状况一般</v>
      </c>
      <c r="D23" s="271">
        <v>100</v>
      </c>
      <c r="E23" s="283"/>
      <c r="F23" s="271">
        <f>SUMIF(85:85,E24,86:86)-SUMIF(85:85,C24,86:86)+100</f>
        <v>100</v>
      </c>
      <c r="G23" s="281"/>
      <c r="H23" s="271">
        <f>SUMIF(85:85,G24,86:86)-SUMIF(85:85,C24,86:86)+100</f>
        <v>100</v>
      </c>
      <c r="I23" s="281"/>
      <c r="J23" s="271">
        <f>SUMIF(85:85,I24,86:86)-SUMIF(85:85,C24,86:86)+100</f>
        <v>100</v>
      </c>
      <c r="K23" s="399"/>
      <c r="L23" s="398"/>
      <c r="M23" s="338"/>
      <c r="N23" s="338"/>
      <c r="O23" s="338"/>
      <c r="P23" s="367"/>
      <c r="Q23" s="390" t="str">
        <f>B23</f>
        <v>环境质量</v>
      </c>
      <c r="R23" s="467" t="s">
        <v>935</v>
      </c>
      <c r="S23" s="468">
        <f>F23</f>
        <v>100</v>
      </c>
      <c r="T23" s="467" t="s">
        <v>935</v>
      </c>
      <c r="U23" s="468">
        <f>H23</f>
        <v>100</v>
      </c>
      <c r="V23" s="467" t="s">
        <v>935</v>
      </c>
      <c r="W23" s="468">
        <f>J23</f>
        <v>100</v>
      </c>
      <c r="X23" s="454"/>
      <c r="Y23" s="367"/>
      <c r="Z23" s="453" t="str">
        <f>Q23</f>
        <v>环境质量</v>
      </c>
      <c r="AA23" s="453">
        <f t="shared" si="3"/>
        <v>1</v>
      </c>
      <c r="AB23" s="453">
        <f t="shared" si="4"/>
        <v>1</v>
      </c>
      <c r="AC23" s="453">
        <f t="shared" si="5"/>
        <v>1</v>
      </c>
    </row>
    <row r="24" ht="15" spans="1:29">
      <c r="A24" s="266"/>
      <c r="B24" s="284"/>
      <c r="C24" s="574"/>
      <c r="D24" s="269"/>
      <c r="E24" s="547"/>
      <c r="F24" s="269"/>
      <c r="G24" s="546"/>
      <c r="H24" s="269"/>
      <c r="I24" s="546"/>
      <c r="J24" s="269"/>
      <c r="K24" s="401"/>
      <c r="L24" s="398"/>
      <c r="M24" s="338"/>
      <c r="N24" s="338"/>
      <c r="O24" s="338"/>
      <c r="P24" s="367"/>
      <c r="Q24" s="390"/>
      <c r="R24" s="467"/>
      <c r="S24" s="468"/>
      <c r="T24" s="467"/>
      <c r="U24" s="468"/>
      <c r="V24" s="467"/>
      <c r="W24" s="468"/>
      <c r="X24" s="454"/>
      <c r="Y24" s="367"/>
      <c r="Z24" s="453"/>
      <c r="AA24" s="453">
        <v>1</v>
      </c>
      <c r="AB24" s="453">
        <v>1</v>
      </c>
      <c r="AC24" s="453">
        <v>1</v>
      </c>
    </row>
    <row r="25" ht="27" spans="1:29">
      <c r="A25" s="219"/>
      <c r="B25" s="514" t="s">
        <v>952</v>
      </c>
      <c r="C25" s="576"/>
      <c r="D25" s="258">
        <v>100</v>
      </c>
      <c r="E25" s="257"/>
      <c r="F25" s="258">
        <f>SUMIF(87:87,E26,88:88)-SUMIF(87:87,C26,88:88)+100</f>
        <v>100</v>
      </c>
      <c r="G25" s="576"/>
      <c r="H25" s="258">
        <f>SUMIF(87:87,G26,88:88)-SUMIF(87:87,C26,88:88)+100</f>
        <v>100</v>
      </c>
      <c r="I25" s="257"/>
      <c r="J25" s="258">
        <f>SUMIF(87:87,I26,88:88)-SUMIF(87:87,C26,88:88)+100</f>
        <v>100</v>
      </c>
      <c r="K25" s="399"/>
      <c r="L25" s="398"/>
      <c r="M25" s="338"/>
      <c r="N25" s="338"/>
      <c r="O25" s="338"/>
      <c r="P25" s="367"/>
      <c r="Q25" s="390" t="str">
        <f>B25</f>
        <v>毗邻道路的类型与等级</v>
      </c>
      <c r="R25" s="467" t="s">
        <v>935</v>
      </c>
      <c r="S25" s="468">
        <f>F25</f>
        <v>100</v>
      </c>
      <c r="T25" s="467" t="s">
        <v>935</v>
      </c>
      <c r="U25" s="468">
        <f>H25</f>
        <v>100</v>
      </c>
      <c r="V25" s="467" t="s">
        <v>935</v>
      </c>
      <c r="W25" s="468">
        <f>J25</f>
        <v>100</v>
      </c>
      <c r="X25" s="454"/>
      <c r="Y25" s="367"/>
      <c r="Z25" s="453" t="str">
        <f>Q25</f>
        <v>毗邻道路的类型与等级</v>
      </c>
      <c r="AA25" s="453">
        <f t="shared" si="3"/>
        <v>1</v>
      </c>
      <c r="AB25" s="453">
        <f t="shared" si="4"/>
        <v>1</v>
      </c>
      <c r="AC25" s="453">
        <f t="shared" si="5"/>
        <v>1</v>
      </c>
    </row>
    <row r="26" ht="15" spans="1:29">
      <c r="A26" s="219"/>
      <c r="B26" s="278"/>
      <c r="C26" s="577"/>
      <c r="D26" s="258"/>
      <c r="E26" s="287"/>
      <c r="F26" s="258"/>
      <c r="G26" s="577"/>
      <c r="H26" s="258"/>
      <c r="I26" s="287"/>
      <c r="J26" s="258"/>
      <c r="K26" s="401"/>
      <c r="L26" s="398"/>
      <c r="M26" s="338"/>
      <c r="N26" s="338"/>
      <c r="O26" s="338"/>
      <c r="P26" s="367"/>
      <c r="Q26" s="390"/>
      <c r="R26" s="467"/>
      <c r="S26" s="468"/>
      <c r="T26" s="467"/>
      <c r="U26" s="468"/>
      <c r="V26" s="467"/>
      <c r="W26" s="468"/>
      <c r="X26" s="454"/>
      <c r="Y26" s="367"/>
      <c r="Z26" s="453"/>
      <c r="AA26" s="453">
        <v>1</v>
      </c>
      <c r="AB26" s="453">
        <v>1</v>
      </c>
      <c r="AC26" s="453">
        <v>1</v>
      </c>
    </row>
    <row r="27" ht="15" spans="1:29">
      <c r="A27" s="266"/>
      <c r="B27" s="278" t="s">
        <v>2460</v>
      </c>
      <c r="C27" s="577"/>
      <c r="D27" s="258">
        <v>100</v>
      </c>
      <c r="E27" s="287"/>
      <c r="F27" s="258">
        <f>SUMIF(89:89,E27,90:90)-SUMIF(89:89,C27,90:90)+100</f>
        <v>100</v>
      </c>
      <c r="G27" s="577"/>
      <c r="H27" s="258">
        <f>SUMIF(89:89,G27,90:90)-SUMIF(89:89,C27,90:90)+100</f>
        <v>100</v>
      </c>
      <c r="I27" s="287"/>
      <c r="J27" s="258">
        <f>SUMIF(89:89,I27,90:90)-SUMIF(89:89,C27,90:90)+100</f>
        <v>100</v>
      </c>
      <c r="K27" s="391"/>
      <c r="L27" s="398"/>
      <c r="M27" s="338"/>
      <c r="N27" s="338"/>
      <c r="O27" s="338"/>
      <c r="P27" s="367"/>
      <c r="Q27" s="390" t="str">
        <f t="shared" ref="Q27:Q47" si="11">B27</f>
        <v>楼层</v>
      </c>
      <c r="R27" s="467" t="s">
        <v>935</v>
      </c>
      <c r="S27" s="468">
        <f>F27</f>
        <v>100</v>
      </c>
      <c r="T27" s="467" t="s">
        <v>935</v>
      </c>
      <c r="U27" s="468">
        <f>H27</f>
        <v>100</v>
      </c>
      <c r="V27" s="467" t="s">
        <v>935</v>
      </c>
      <c r="W27" s="468">
        <f>J27</f>
        <v>100</v>
      </c>
      <c r="X27" s="454"/>
      <c r="Y27" s="367"/>
      <c r="Z27" s="453" t="str">
        <f>Q27</f>
        <v>楼层</v>
      </c>
      <c r="AA27" s="453">
        <f t="shared" si="3"/>
        <v>1</v>
      </c>
      <c r="AB27" s="453">
        <f t="shared" si="4"/>
        <v>1</v>
      </c>
      <c r="AC27" s="453">
        <f t="shared" si="5"/>
        <v>1</v>
      </c>
    </row>
    <row r="28" s="189" customFormat="1" ht="15" spans="1:29">
      <c r="A28" s="290"/>
      <c r="B28" s="514" t="s">
        <v>2358</v>
      </c>
      <c r="C28" s="578"/>
      <c r="D28" s="278">
        <v>100</v>
      </c>
      <c r="E28" s="579"/>
      <c r="F28" s="278">
        <f>SUMIF(91:91,E28,92:92)-SUMIF(91:91,C28,92:92)+100</f>
        <v>100</v>
      </c>
      <c r="G28" s="578"/>
      <c r="H28" s="278">
        <f>SUMIF(91:91,G28,92:92)-SUMIF(91:91,C28,92:92)+100</f>
        <v>100</v>
      </c>
      <c r="I28" s="579"/>
      <c r="J28" s="278">
        <f>SUMIF(91:91,I28,92:92)-SUMIF(91:91,C28,92:92)+100</f>
        <v>100</v>
      </c>
      <c r="K28" s="391"/>
      <c r="L28" s="386"/>
      <c r="M28" s="387"/>
      <c r="N28" s="387"/>
      <c r="O28" s="387"/>
      <c r="P28" s="367"/>
      <c r="Q28" s="466" t="str">
        <f t="shared" si="11"/>
        <v>朝向</v>
      </c>
      <c r="R28" s="462" t="s">
        <v>935</v>
      </c>
      <c r="S28" s="463">
        <f>F28</f>
        <v>100</v>
      </c>
      <c r="T28" s="462" t="s">
        <v>935</v>
      </c>
      <c r="U28" s="463">
        <f>H28</f>
        <v>100</v>
      </c>
      <c r="V28" s="462" t="s">
        <v>935</v>
      </c>
      <c r="W28" s="463">
        <f>J28</f>
        <v>100</v>
      </c>
      <c r="X28" s="464"/>
      <c r="Y28" s="367"/>
      <c r="Z28" s="481" t="str">
        <f>Q28</f>
        <v>朝向</v>
      </c>
      <c r="AA28" s="453">
        <f t="shared" si="3"/>
        <v>1</v>
      </c>
      <c r="AB28" s="453">
        <f t="shared" si="4"/>
        <v>1</v>
      </c>
      <c r="AC28" s="453">
        <f t="shared" si="5"/>
        <v>1</v>
      </c>
    </row>
    <row r="29" ht="15" spans="1:29">
      <c r="A29" s="266"/>
      <c r="B29" s="580">
        <v>111</v>
      </c>
      <c r="C29" s="576"/>
      <c r="D29" s="258">
        <v>100</v>
      </c>
      <c r="E29" s="252"/>
      <c r="F29" s="258">
        <f>SUMIF(93:93,E29,94:94)-SUMIF(93:93,C29,94:94)+100</f>
        <v>100</v>
      </c>
      <c r="G29" s="571"/>
      <c r="H29" s="258">
        <f>SUMIF(93:93,G29,94:94)-SUMIF(93:93,C29,94:94)+100</f>
        <v>100</v>
      </c>
      <c r="I29" s="252"/>
      <c r="J29" s="258">
        <f>SUMIF(93:93,I29,94:94)-SUMIF(93:93,C29,94:94)+100</f>
        <v>100</v>
      </c>
      <c r="K29" s="395"/>
      <c r="L29" s="398"/>
      <c r="M29" s="338"/>
      <c r="N29" s="338"/>
      <c r="O29" s="338"/>
      <c r="P29" s="367"/>
      <c r="Q29" s="390">
        <f t="shared" si="11"/>
        <v>111</v>
      </c>
      <c r="R29" s="467" t="s">
        <v>935</v>
      </c>
      <c r="S29" s="468">
        <f t="shared" ref="S29:S47" si="12">F29</f>
        <v>100</v>
      </c>
      <c r="T29" s="467" t="s">
        <v>935</v>
      </c>
      <c r="U29" s="468">
        <f t="shared" ref="U29:U47" si="13">H29</f>
        <v>100</v>
      </c>
      <c r="V29" s="467" t="s">
        <v>935</v>
      </c>
      <c r="W29" s="468">
        <f t="shared" ref="W29:W47" si="14">J29</f>
        <v>100</v>
      </c>
      <c r="X29" s="454"/>
      <c r="Y29" s="367"/>
      <c r="Z29" s="453">
        <f t="shared" ref="Z29:Z47" si="15">Q29</f>
        <v>111</v>
      </c>
      <c r="AA29" s="453">
        <f t="shared" si="3"/>
        <v>1</v>
      </c>
      <c r="AB29" s="453">
        <f t="shared" si="4"/>
        <v>1</v>
      </c>
      <c r="AC29" s="453">
        <f t="shared" si="5"/>
        <v>1</v>
      </c>
    </row>
    <row r="30" ht="15" spans="1:29">
      <c r="A30" s="266"/>
      <c r="B30" s="580">
        <v>111</v>
      </c>
      <c r="C30" s="576"/>
      <c r="D30" s="258">
        <v>100</v>
      </c>
      <c r="E30" s="252"/>
      <c r="F30" s="258">
        <f>SUMIF(95:95,E30,96:96)-SUMIF(95:95,C30,96:96)+100</f>
        <v>100</v>
      </c>
      <c r="G30" s="571"/>
      <c r="H30" s="258">
        <f>SUMIF(95:95,G30,96:96)-SUMIF(95:95,C30,96:96)+100</f>
        <v>100</v>
      </c>
      <c r="I30" s="252"/>
      <c r="J30" s="258">
        <f>SUMIF(95:95,I30,96:96)-SUMIF(95:95,C30,96:96)+100</f>
        <v>100</v>
      </c>
      <c r="K30" s="395"/>
      <c r="L30" s="398"/>
      <c r="M30" s="338"/>
      <c r="N30" s="338"/>
      <c r="O30" s="338"/>
      <c r="P30" s="367"/>
      <c r="Q30" s="390">
        <f t="shared" si="11"/>
        <v>111</v>
      </c>
      <c r="R30" s="467" t="s">
        <v>935</v>
      </c>
      <c r="S30" s="468">
        <f t="shared" si="12"/>
        <v>100</v>
      </c>
      <c r="T30" s="467" t="s">
        <v>935</v>
      </c>
      <c r="U30" s="468">
        <f t="shared" si="13"/>
        <v>100</v>
      </c>
      <c r="V30" s="467" t="s">
        <v>935</v>
      </c>
      <c r="W30" s="468">
        <f t="shared" si="14"/>
        <v>100</v>
      </c>
      <c r="X30" s="454"/>
      <c r="Y30" s="367"/>
      <c r="Z30" s="453">
        <f t="shared" si="15"/>
        <v>111</v>
      </c>
      <c r="AA30" s="453">
        <f t="shared" si="3"/>
        <v>1</v>
      </c>
      <c r="AB30" s="453">
        <f t="shared" si="4"/>
        <v>1</v>
      </c>
      <c r="AC30" s="453">
        <f t="shared" si="5"/>
        <v>1</v>
      </c>
    </row>
    <row r="31" ht="15" spans="1:29">
      <c r="A31" s="266"/>
      <c r="B31" s="580">
        <v>111</v>
      </c>
      <c r="C31" s="576"/>
      <c r="D31" s="258">
        <v>100</v>
      </c>
      <c r="E31" s="252"/>
      <c r="F31" s="258">
        <f>SUMIF(97:97,E31,98:98)-SUMIF(97:97,C31,98:98)+100</f>
        <v>100</v>
      </c>
      <c r="G31" s="571"/>
      <c r="H31" s="258">
        <f>SUMIF(97:97,G31,98:98)-SUMIF(97:97,C31,98:98)+100</f>
        <v>100</v>
      </c>
      <c r="I31" s="252"/>
      <c r="J31" s="258">
        <f>SUMIF(97:97,I31,98:98)-SUMIF(97:97,C31,98:98)+100</f>
        <v>100</v>
      </c>
      <c r="K31" s="395"/>
      <c r="L31" s="398"/>
      <c r="M31" s="338"/>
      <c r="N31" s="338"/>
      <c r="O31" s="338"/>
      <c r="P31" s="367"/>
      <c r="Q31" s="390">
        <f t="shared" si="11"/>
        <v>111</v>
      </c>
      <c r="R31" s="467" t="s">
        <v>935</v>
      </c>
      <c r="S31" s="468">
        <f t="shared" si="12"/>
        <v>100</v>
      </c>
      <c r="T31" s="467" t="s">
        <v>935</v>
      </c>
      <c r="U31" s="468">
        <f t="shared" si="13"/>
        <v>100</v>
      </c>
      <c r="V31" s="467" t="s">
        <v>935</v>
      </c>
      <c r="W31" s="468">
        <f t="shared" si="14"/>
        <v>100</v>
      </c>
      <c r="X31" s="454"/>
      <c r="Y31" s="367"/>
      <c r="Z31" s="453">
        <f t="shared" si="15"/>
        <v>111</v>
      </c>
      <c r="AA31" s="453">
        <f t="shared" si="3"/>
        <v>1</v>
      </c>
      <c r="AB31" s="453">
        <f t="shared" si="4"/>
        <v>1</v>
      </c>
      <c r="AC31" s="453">
        <f t="shared" si="5"/>
        <v>1</v>
      </c>
    </row>
    <row r="32" ht="15.75" spans="1:29">
      <c r="A32" s="549"/>
      <c r="B32" s="515">
        <v>111</v>
      </c>
      <c r="C32" s="581"/>
      <c r="D32" s="308">
        <v>100</v>
      </c>
      <c r="E32" s="517"/>
      <c r="F32" s="308">
        <f>SUMIF(99:99,E32,100:100)-SUMIF(99:99,C32,100:100)+100</f>
        <v>100</v>
      </c>
      <c r="G32" s="571"/>
      <c r="H32" s="308">
        <f>SUMIF(99:99,G32,100:100)-SUMIF(99:99,C32,100:100)+100</f>
        <v>100</v>
      </c>
      <c r="I32" s="252"/>
      <c r="J32" s="308">
        <f>SUMIF(99:99,I32,100:100)-SUMIF(99:99,C32,100:100)+100</f>
        <v>100</v>
      </c>
      <c r="K32" s="395"/>
      <c r="L32" s="398"/>
      <c r="M32" s="338"/>
      <c r="N32" s="338"/>
      <c r="O32" s="338"/>
      <c r="P32" s="367"/>
      <c r="Q32" s="390">
        <f t="shared" si="11"/>
        <v>111</v>
      </c>
      <c r="R32" s="467" t="s">
        <v>935</v>
      </c>
      <c r="S32" s="468">
        <f t="shared" si="12"/>
        <v>100</v>
      </c>
      <c r="T32" s="467" t="s">
        <v>935</v>
      </c>
      <c r="U32" s="468">
        <f t="shared" si="13"/>
        <v>100</v>
      </c>
      <c r="V32" s="467" t="s">
        <v>935</v>
      </c>
      <c r="W32" s="468">
        <f t="shared" si="14"/>
        <v>100</v>
      </c>
      <c r="X32" s="454"/>
      <c r="Y32" s="367"/>
      <c r="Z32" s="453">
        <f t="shared" si="15"/>
        <v>111</v>
      </c>
      <c r="AA32" s="453">
        <f t="shared" si="3"/>
        <v>1</v>
      </c>
      <c r="AB32" s="453">
        <f t="shared" si="4"/>
        <v>1</v>
      </c>
      <c r="AC32" s="453">
        <f t="shared" si="5"/>
        <v>1</v>
      </c>
    </row>
    <row r="33" ht="15" spans="1:29">
      <c r="A33" s="293" t="s">
        <v>955</v>
      </c>
      <c r="B33" s="294" t="s">
        <v>2360</v>
      </c>
      <c r="C33" s="295"/>
      <c r="D33" s="216">
        <v>100</v>
      </c>
      <c r="E33" s="295"/>
      <c r="F33" s="288">
        <f>SUMIF(101:101,E33,102:102)-SUMIF(101:101,C33,102:102)+100</f>
        <v>100</v>
      </c>
      <c r="G33" s="295"/>
      <c r="H33" s="258">
        <f>SUMIF(101:101,G33,102:102)-SUMIF(101:101,C33,102:102)+100</f>
        <v>100</v>
      </c>
      <c r="I33" s="295"/>
      <c r="J33" s="216">
        <f>SUMIF(101:101,I33,102:102)-SUMIF(101:101,C33,102:102)+100</f>
        <v>100</v>
      </c>
      <c r="K33" s="391"/>
      <c r="L33" s="398"/>
      <c r="M33" s="338"/>
      <c r="N33" s="338"/>
      <c r="O33" s="338"/>
      <c r="P33" s="403" t="s">
        <v>954</v>
      </c>
      <c r="Q33" s="390" t="str">
        <f t="shared" si="11"/>
        <v>建筑类型</v>
      </c>
      <c r="R33" s="467" t="s">
        <v>935</v>
      </c>
      <c r="S33" s="468">
        <f t="shared" si="12"/>
        <v>100</v>
      </c>
      <c r="T33" s="467" t="s">
        <v>935</v>
      </c>
      <c r="U33" s="468">
        <f t="shared" si="13"/>
        <v>100</v>
      </c>
      <c r="V33" s="467" t="s">
        <v>935</v>
      </c>
      <c r="W33" s="468">
        <f t="shared" si="14"/>
        <v>100</v>
      </c>
      <c r="X33" s="454"/>
      <c r="Y33" s="406" t="s">
        <v>954</v>
      </c>
      <c r="Z33" s="453" t="str">
        <f t="shared" si="15"/>
        <v>建筑类型</v>
      </c>
      <c r="AA33" s="453">
        <f t="shared" si="3"/>
        <v>1</v>
      </c>
      <c r="AB33" s="453">
        <f t="shared" si="4"/>
        <v>1</v>
      </c>
      <c r="AC33" s="453">
        <f t="shared" si="5"/>
        <v>1</v>
      </c>
    </row>
    <row r="34" s="191" customFormat="1" ht="15" spans="1:29">
      <c r="A34" s="296"/>
      <c r="B34" s="297" t="s">
        <v>2362</v>
      </c>
      <c r="C34" s="253"/>
      <c r="D34" s="248">
        <v>100</v>
      </c>
      <c r="E34" s="542"/>
      <c r="F34" s="297" t="e">
        <f>LOOKUP(E34,104:104,105:105)-LOOKUP(C34,104:104,105:105)+100</f>
        <v>#N/A</v>
      </c>
      <c r="G34" s="541"/>
      <c r="H34" s="248" t="e">
        <f>LOOKUP(G34,104:104,105:105)-LOOKUP(C34,104:104,105:105)+100</f>
        <v>#N/A</v>
      </c>
      <c r="I34" s="541"/>
      <c r="J34" s="248" t="e">
        <f>LOOKUP(I34,104:104,105:105)-LOOKUP(C34,104:104,105:105)+100</f>
        <v>#N/A</v>
      </c>
      <c r="K34" s="395"/>
      <c r="L34" s="396"/>
      <c r="M34" s="404"/>
      <c r="N34" s="404"/>
      <c r="O34" s="404"/>
      <c r="P34" s="406"/>
      <c r="Q34" s="469" t="str">
        <f t="shared" si="11"/>
        <v>项目建筑规模</v>
      </c>
      <c r="R34" s="470" t="s">
        <v>935</v>
      </c>
      <c r="S34" s="471" t="e">
        <f t="shared" si="12"/>
        <v>#N/A</v>
      </c>
      <c r="T34" s="470" t="s">
        <v>935</v>
      </c>
      <c r="U34" s="471" t="e">
        <f t="shared" si="13"/>
        <v>#N/A</v>
      </c>
      <c r="V34" s="470" t="s">
        <v>935</v>
      </c>
      <c r="W34" s="471" t="e">
        <f t="shared" si="14"/>
        <v>#N/A</v>
      </c>
      <c r="X34" s="472"/>
      <c r="Y34" s="406"/>
      <c r="Z34" s="482" t="str">
        <f t="shared" si="15"/>
        <v>项目建筑规模</v>
      </c>
      <c r="AA34" s="453" t="e">
        <f t="shared" si="3"/>
        <v>#N/A</v>
      </c>
      <c r="AB34" s="453" t="e">
        <f t="shared" si="4"/>
        <v>#N/A</v>
      </c>
      <c r="AC34" s="453" t="e">
        <f t="shared" si="5"/>
        <v>#N/A</v>
      </c>
    </row>
    <row r="35" ht="15" spans="1:29">
      <c r="A35" s="301"/>
      <c r="B35" s="297" t="s">
        <v>2363</v>
      </c>
      <c r="C35" s="302"/>
      <c r="D35" s="258">
        <v>100</v>
      </c>
      <c r="E35" s="302"/>
      <c r="F35" s="288">
        <f>SUMIF(106:106,E35,107:107)-SUMIF(106:106,C35,107:107)+100</f>
        <v>100</v>
      </c>
      <c r="G35" s="302"/>
      <c r="H35" s="258">
        <f>SUMIF(106:106,G35,107:107)-SUMIF(106:106,C35,107:107)+100</f>
        <v>100</v>
      </c>
      <c r="I35" s="302"/>
      <c r="J35" s="258">
        <f>SUMIF(106:106,I35,107:107)-SUMIF(106:106,C35,107:107)+100</f>
        <v>100</v>
      </c>
      <c r="K35" s="391"/>
      <c r="L35" s="398"/>
      <c r="M35" s="338"/>
      <c r="N35" s="338"/>
      <c r="O35" s="338"/>
      <c r="P35" s="406"/>
      <c r="Q35" s="390" t="str">
        <f t="shared" si="11"/>
        <v>建筑结构</v>
      </c>
      <c r="R35" s="467" t="s">
        <v>935</v>
      </c>
      <c r="S35" s="468">
        <f t="shared" si="12"/>
        <v>100</v>
      </c>
      <c r="T35" s="467" t="s">
        <v>935</v>
      </c>
      <c r="U35" s="468">
        <f t="shared" si="13"/>
        <v>100</v>
      </c>
      <c r="V35" s="467" t="s">
        <v>935</v>
      </c>
      <c r="W35" s="468">
        <f t="shared" si="14"/>
        <v>100</v>
      </c>
      <c r="X35" s="454"/>
      <c r="Y35" s="406"/>
      <c r="Z35" s="453" t="str">
        <f t="shared" si="15"/>
        <v>建筑结构</v>
      </c>
      <c r="AA35" s="453">
        <f t="shared" si="3"/>
        <v>1</v>
      </c>
      <c r="AB35" s="453">
        <f t="shared" si="4"/>
        <v>1</v>
      </c>
      <c r="AC35" s="453">
        <f t="shared" si="5"/>
        <v>1</v>
      </c>
    </row>
    <row r="36" ht="15" spans="1:29">
      <c r="A36" s="301"/>
      <c r="B36" s="297" t="s">
        <v>2365</v>
      </c>
      <c r="C36" s="302"/>
      <c r="D36" s="258">
        <v>100</v>
      </c>
      <c r="E36" s="302"/>
      <c r="F36" s="288">
        <f>SUMIF(108:108,E36,109:109)-SUMIF(108:108,C36,109:109)+100</f>
        <v>100</v>
      </c>
      <c r="G36" s="302"/>
      <c r="H36" s="258">
        <f>SUMIF(108:108,G36,109:109)-SUMIF(108:108,C36,109:109)+100</f>
        <v>100</v>
      </c>
      <c r="I36" s="302"/>
      <c r="J36" s="258">
        <f>SUMIF(108:108,I36,109:109)-SUMIF(108:108,C36,109:109)+100</f>
        <v>100</v>
      </c>
      <c r="K36" s="391"/>
      <c r="L36" s="398"/>
      <c r="M36" s="338"/>
      <c r="N36" s="338"/>
      <c r="O36" s="338"/>
      <c r="P36" s="406"/>
      <c r="Q36" s="390" t="str">
        <f t="shared" si="11"/>
        <v>公共部分装修</v>
      </c>
      <c r="R36" s="467" t="s">
        <v>935</v>
      </c>
      <c r="S36" s="468">
        <f t="shared" si="12"/>
        <v>100</v>
      </c>
      <c r="T36" s="467" t="s">
        <v>935</v>
      </c>
      <c r="U36" s="468">
        <f t="shared" si="13"/>
        <v>100</v>
      </c>
      <c r="V36" s="467" t="s">
        <v>935</v>
      </c>
      <c r="W36" s="468">
        <f t="shared" si="14"/>
        <v>100</v>
      </c>
      <c r="X36" s="454"/>
      <c r="Y36" s="406"/>
      <c r="Z36" s="453" t="str">
        <f t="shared" si="15"/>
        <v>公共部分装修</v>
      </c>
      <c r="AA36" s="453">
        <f t="shared" si="3"/>
        <v>1</v>
      </c>
      <c r="AB36" s="453">
        <f t="shared" si="4"/>
        <v>1</v>
      </c>
      <c r="AC36" s="453">
        <f t="shared" si="5"/>
        <v>1</v>
      </c>
    </row>
    <row r="37" ht="15" spans="1:29">
      <c r="A37" s="301"/>
      <c r="B37" s="297" t="s">
        <v>2367</v>
      </c>
      <c r="C37" s="298"/>
      <c r="D37" s="258">
        <v>100</v>
      </c>
      <c r="E37" s="298"/>
      <c r="F37" s="288" t="e">
        <f>LOOKUP(E37,111:111,112:112)-LOOKUP(C37,111:111,112:112)+100</f>
        <v>#N/A</v>
      </c>
      <c r="G37" s="298"/>
      <c r="H37" s="288" t="e">
        <f>LOOKUP(G37,111:111,112:112)-LOOKUP(C37,111:111,112:112)+100</f>
        <v>#N/A</v>
      </c>
      <c r="I37" s="298"/>
      <c r="J37" s="258" t="e">
        <f>LOOKUP(I37,111:111,112:112)-LOOKUP(C37,111:111,112:112)+100</f>
        <v>#N/A</v>
      </c>
      <c r="K37" s="391"/>
      <c r="L37" s="398"/>
      <c r="M37" s="338"/>
      <c r="N37" s="338"/>
      <c r="O37" s="338"/>
      <c r="P37" s="406"/>
      <c r="Q37" s="390" t="str">
        <f t="shared" si="11"/>
        <v>成新度</v>
      </c>
      <c r="R37" s="467" t="s">
        <v>935</v>
      </c>
      <c r="S37" s="468" t="e">
        <f t="shared" si="12"/>
        <v>#N/A</v>
      </c>
      <c r="T37" s="467" t="s">
        <v>935</v>
      </c>
      <c r="U37" s="468" t="e">
        <f t="shared" si="13"/>
        <v>#N/A</v>
      </c>
      <c r="V37" s="467" t="s">
        <v>935</v>
      </c>
      <c r="W37" s="468" t="e">
        <f t="shared" si="14"/>
        <v>#N/A</v>
      </c>
      <c r="X37" s="454"/>
      <c r="Y37" s="406"/>
      <c r="Z37" s="453" t="str">
        <f t="shared" si="15"/>
        <v>成新度</v>
      </c>
      <c r="AA37" s="453" t="e">
        <f t="shared" si="3"/>
        <v>#N/A</v>
      </c>
      <c r="AB37" s="453" t="e">
        <f t="shared" si="4"/>
        <v>#N/A</v>
      </c>
      <c r="AC37" s="453" t="e">
        <f t="shared" si="5"/>
        <v>#N/A</v>
      </c>
    </row>
    <row r="38" s="189" customFormat="1" ht="15" spans="1:29">
      <c r="A38" s="304"/>
      <c r="B38" s="297" t="s">
        <v>2582</v>
      </c>
      <c r="C38" s="302"/>
      <c r="D38" s="248">
        <v>100</v>
      </c>
      <c r="E38" s="302"/>
      <c r="F38" s="288">
        <f>SUMIF(113:113,E38,114:114)-SUMIF(113:113,C38,114:114)+100</f>
        <v>100</v>
      </c>
      <c r="G38" s="302"/>
      <c r="H38" s="258">
        <f>SUMIF(113:113,G38,114:114)-SUMIF(113:113,C38,114:114)+100</f>
        <v>100</v>
      </c>
      <c r="I38" s="302"/>
      <c r="J38" s="258">
        <f>SUMIF(113:113,I38,114:114)-SUMIF(113:113,C38,114:114)+100</f>
        <v>100</v>
      </c>
      <c r="K38" s="391"/>
      <c r="L38" s="386"/>
      <c r="M38" s="387"/>
      <c r="N38" s="387"/>
      <c r="O38" s="387"/>
      <c r="P38" s="406"/>
      <c r="Q38" s="466" t="str">
        <f t="shared" si="11"/>
        <v>写字楼等级</v>
      </c>
      <c r="R38" s="462" t="s">
        <v>935</v>
      </c>
      <c r="S38" s="463">
        <f t="shared" si="12"/>
        <v>100</v>
      </c>
      <c r="T38" s="462" t="s">
        <v>935</v>
      </c>
      <c r="U38" s="463">
        <f t="shared" si="13"/>
        <v>100</v>
      </c>
      <c r="V38" s="462" t="s">
        <v>935</v>
      </c>
      <c r="W38" s="463">
        <f t="shared" si="14"/>
        <v>100</v>
      </c>
      <c r="X38" s="464"/>
      <c r="Y38" s="406"/>
      <c r="Z38" s="481" t="str">
        <f t="shared" si="15"/>
        <v>写字楼等级</v>
      </c>
      <c r="AA38" s="481">
        <f t="shared" si="3"/>
        <v>1</v>
      </c>
      <c r="AB38" s="481">
        <f t="shared" si="4"/>
        <v>1</v>
      </c>
      <c r="AC38" s="481">
        <f t="shared" si="5"/>
        <v>1</v>
      </c>
    </row>
    <row r="39" ht="15" spans="1:29">
      <c r="A39" s="301"/>
      <c r="B39" s="297" t="s">
        <v>2368</v>
      </c>
      <c r="C39" s="302"/>
      <c r="D39" s="258">
        <v>100</v>
      </c>
      <c r="E39" s="302"/>
      <c r="F39" s="288">
        <f>SUMIF(115:115,E39,116:116)-SUMIF(115:115,C39,116:116)+100</f>
        <v>100</v>
      </c>
      <c r="G39" s="302"/>
      <c r="H39" s="258">
        <f>SUMIF(115:115,G39,116:116)-SUMIF(115:115,C39,116:116)+100</f>
        <v>100</v>
      </c>
      <c r="I39" s="302"/>
      <c r="J39" s="258">
        <f>SUMIF(115:115,I39,116:116)-SUMIF(115:115,C39,116:116)+100</f>
        <v>100</v>
      </c>
      <c r="K39" s="391"/>
      <c r="L39" s="398"/>
      <c r="M39" s="338"/>
      <c r="N39" s="338"/>
      <c r="O39" s="338"/>
      <c r="P39" s="406" t="s">
        <v>954</v>
      </c>
      <c r="Q39" s="390" t="str">
        <f t="shared" si="11"/>
        <v>物业管理</v>
      </c>
      <c r="R39" s="467" t="s">
        <v>935</v>
      </c>
      <c r="S39" s="468">
        <f t="shared" si="12"/>
        <v>100</v>
      </c>
      <c r="T39" s="467" t="s">
        <v>935</v>
      </c>
      <c r="U39" s="468">
        <f t="shared" si="13"/>
        <v>100</v>
      </c>
      <c r="V39" s="467" t="s">
        <v>935</v>
      </c>
      <c r="W39" s="468">
        <f t="shared" si="14"/>
        <v>100</v>
      </c>
      <c r="X39" s="454"/>
      <c r="Y39" s="406" t="s">
        <v>954</v>
      </c>
      <c r="Z39" s="453" t="str">
        <f t="shared" si="15"/>
        <v>物业管理</v>
      </c>
      <c r="AA39" s="453">
        <f t="shared" si="3"/>
        <v>1</v>
      </c>
      <c r="AB39" s="453">
        <f t="shared" si="4"/>
        <v>1</v>
      </c>
      <c r="AC39" s="453">
        <f t="shared" si="5"/>
        <v>1</v>
      </c>
    </row>
    <row r="40" ht="15" spans="1:29">
      <c r="A40" s="301"/>
      <c r="B40" s="550" t="s">
        <v>2370</v>
      </c>
      <c r="C40" s="302"/>
      <c r="D40" s="258">
        <v>100</v>
      </c>
      <c r="E40" s="302"/>
      <c r="F40" s="288">
        <f>SUMIF(117:117,E40,118:118)-SUMIF(117:117,C40,118:118)+100</f>
        <v>100</v>
      </c>
      <c r="G40" s="302"/>
      <c r="H40" s="258">
        <f>SUMIF(117:117,G40,118:118)-SUMIF(117:117,C40,118:118)+100</f>
        <v>100</v>
      </c>
      <c r="I40" s="302"/>
      <c r="J40" s="258">
        <f>SUMIF(117:117,I40,118:118)-SUMIF(117:117,C40,118:118)+100</f>
        <v>100</v>
      </c>
      <c r="K40" s="391"/>
      <c r="L40" s="398"/>
      <c r="M40" s="338"/>
      <c r="N40" s="338"/>
      <c r="O40" s="338"/>
      <c r="P40" s="406"/>
      <c r="Q40" s="390" t="str">
        <f t="shared" si="11"/>
        <v>市政基础设施</v>
      </c>
      <c r="R40" s="467" t="s">
        <v>935</v>
      </c>
      <c r="S40" s="468">
        <f t="shared" si="12"/>
        <v>100</v>
      </c>
      <c r="T40" s="467" t="s">
        <v>935</v>
      </c>
      <c r="U40" s="468">
        <f t="shared" si="13"/>
        <v>100</v>
      </c>
      <c r="V40" s="467" t="s">
        <v>935</v>
      </c>
      <c r="W40" s="468">
        <f t="shared" si="14"/>
        <v>100</v>
      </c>
      <c r="X40" s="454"/>
      <c r="Y40" s="406"/>
      <c r="Z40" s="453" t="str">
        <f t="shared" si="15"/>
        <v>市政基础设施</v>
      </c>
      <c r="AA40" s="453">
        <f t="shared" si="3"/>
        <v>1</v>
      </c>
      <c r="AB40" s="453">
        <f t="shared" si="4"/>
        <v>1</v>
      </c>
      <c r="AC40" s="453">
        <f t="shared" si="5"/>
        <v>1</v>
      </c>
    </row>
    <row r="41" ht="15" spans="1:29">
      <c r="A41" s="301"/>
      <c r="B41" s="297" t="s">
        <v>2467</v>
      </c>
      <c r="C41" s="287"/>
      <c r="D41" s="258">
        <v>100</v>
      </c>
      <c r="E41" s="287"/>
      <c r="F41" s="288">
        <f>SUMIF(119:119,E41,120:120)-SUMIF(119:119,C41,120:120)+100</f>
        <v>100</v>
      </c>
      <c r="G41" s="287"/>
      <c r="H41" s="258">
        <f>SUMIF(119:119,G41,120:120)-SUMIF(119:119,C41,120:120)+100</f>
        <v>100</v>
      </c>
      <c r="I41" s="287"/>
      <c r="J41" s="258">
        <f>SUMIF(119:119,I41,120:120)-SUMIF(119:119,C41,120:120)+100</f>
        <v>100</v>
      </c>
      <c r="K41" s="391"/>
      <c r="L41" s="398"/>
      <c r="M41" s="338"/>
      <c r="N41" s="338"/>
      <c r="O41" s="338"/>
      <c r="P41" s="406"/>
      <c r="Q41" s="390" t="str">
        <f t="shared" si="11"/>
        <v>层高</v>
      </c>
      <c r="R41" s="467" t="s">
        <v>935</v>
      </c>
      <c r="S41" s="468">
        <f t="shared" si="12"/>
        <v>100</v>
      </c>
      <c r="T41" s="467" t="s">
        <v>935</v>
      </c>
      <c r="U41" s="468">
        <f t="shared" si="13"/>
        <v>100</v>
      </c>
      <c r="V41" s="467" t="s">
        <v>935</v>
      </c>
      <c r="W41" s="468">
        <f t="shared" si="14"/>
        <v>100</v>
      </c>
      <c r="X41" s="454"/>
      <c r="Y41" s="406"/>
      <c r="Z41" s="453" t="str">
        <f t="shared" si="15"/>
        <v>层高</v>
      </c>
      <c r="AA41" s="453">
        <f t="shared" si="3"/>
        <v>1</v>
      </c>
      <c r="AB41" s="453">
        <f t="shared" si="4"/>
        <v>1</v>
      </c>
      <c r="AC41" s="453">
        <f t="shared" si="5"/>
        <v>1</v>
      </c>
    </row>
    <row r="42" s="191" customFormat="1" ht="15" spans="1:29">
      <c r="A42" s="296"/>
      <c r="B42" s="288" t="s">
        <v>2583</v>
      </c>
      <c r="C42" s="257"/>
      <c r="D42" s="258">
        <v>100</v>
      </c>
      <c r="E42" s="257"/>
      <c r="F42" s="288">
        <f>SUMIF(121:121,E42,122:122)-SUMIF(121:121,C42,122:122)+100</f>
        <v>100</v>
      </c>
      <c r="G42" s="257"/>
      <c r="H42" s="258">
        <f>SUMIF(121:121,G42,122:122)-SUMIF(121:121,C42,122:122)+100</f>
        <v>100</v>
      </c>
      <c r="I42" s="257"/>
      <c r="J42" s="258">
        <f>SUMIF(121:121,I42,122:122)-SUMIF(121:121,C42,122:122)+100</f>
        <v>100</v>
      </c>
      <c r="K42" s="395"/>
      <c r="L42" s="396"/>
      <c r="M42" s="404"/>
      <c r="N42" s="404"/>
      <c r="O42" s="404"/>
      <c r="P42" s="406"/>
      <c r="Q42" s="469" t="str">
        <f t="shared" si="11"/>
        <v>单套建筑面积</v>
      </c>
      <c r="R42" s="470" t="s">
        <v>935</v>
      </c>
      <c r="S42" s="471">
        <f t="shared" si="12"/>
        <v>100</v>
      </c>
      <c r="T42" s="470" t="s">
        <v>935</v>
      </c>
      <c r="U42" s="471">
        <f t="shared" si="13"/>
        <v>100</v>
      </c>
      <c r="V42" s="470" t="s">
        <v>935</v>
      </c>
      <c r="W42" s="471">
        <f t="shared" si="14"/>
        <v>100</v>
      </c>
      <c r="X42" s="472"/>
      <c r="Y42" s="406"/>
      <c r="Z42" s="482" t="str">
        <f t="shared" si="15"/>
        <v>单套建筑面积</v>
      </c>
      <c r="AA42" s="453">
        <f t="shared" si="3"/>
        <v>1</v>
      </c>
      <c r="AB42" s="453">
        <f t="shared" si="4"/>
        <v>1</v>
      </c>
      <c r="AC42" s="453">
        <f t="shared" si="5"/>
        <v>1</v>
      </c>
    </row>
    <row r="43" ht="15" spans="1:29">
      <c r="A43" s="301"/>
      <c r="B43" s="297" t="s">
        <v>2373</v>
      </c>
      <c r="C43" s="302"/>
      <c r="D43" s="258">
        <v>100</v>
      </c>
      <c r="E43" s="302"/>
      <c r="F43" s="288">
        <f>SUMIF(123:123,E43,124:124)-SUMIF(123:123,C43,124:124)+100</f>
        <v>100</v>
      </c>
      <c r="G43" s="302"/>
      <c r="H43" s="258">
        <f>SUMIF(123:123,G43,124:124)-SUMIF(123:123,C43,124:124)+100</f>
        <v>100</v>
      </c>
      <c r="I43" s="302"/>
      <c r="J43" s="258">
        <f>SUMIF(123:123,I43,124:124)-SUMIF(123:123,C43,124:124)+100</f>
        <v>100</v>
      </c>
      <c r="K43" s="391"/>
      <c r="L43" s="398"/>
      <c r="M43" s="338"/>
      <c r="N43" s="338"/>
      <c r="O43" s="338"/>
      <c r="P43" s="406"/>
      <c r="Q43" s="390" t="str">
        <f t="shared" si="11"/>
        <v>内部装修</v>
      </c>
      <c r="R43" s="467" t="s">
        <v>935</v>
      </c>
      <c r="S43" s="468">
        <f t="shared" si="12"/>
        <v>100</v>
      </c>
      <c r="T43" s="467" t="s">
        <v>935</v>
      </c>
      <c r="U43" s="468">
        <f t="shared" si="13"/>
        <v>100</v>
      </c>
      <c r="V43" s="467" t="s">
        <v>935</v>
      </c>
      <c r="W43" s="468">
        <f t="shared" si="14"/>
        <v>100</v>
      </c>
      <c r="X43" s="454"/>
      <c r="Y43" s="406"/>
      <c r="Z43" s="453" t="str">
        <f t="shared" si="15"/>
        <v>内部装修</v>
      </c>
      <c r="AA43" s="453">
        <f t="shared" si="3"/>
        <v>1</v>
      </c>
      <c r="AB43" s="453">
        <f t="shared" si="4"/>
        <v>1</v>
      </c>
      <c r="AC43" s="453">
        <f t="shared" si="5"/>
        <v>1</v>
      </c>
    </row>
    <row r="44" ht="15" spans="1:29">
      <c r="A44" s="301"/>
      <c r="B44" s="297" t="s">
        <v>235</v>
      </c>
      <c r="C44" s="302"/>
      <c r="D44" s="258">
        <v>100</v>
      </c>
      <c r="E44" s="582"/>
      <c r="F44" s="288">
        <f>SUMIF(125:125,E44,126:126)-SUMIF(125:125,C44,126:126)+100</f>
        <v>100</v>
      </c>
      <c r="G44" s="582"/>
      <c r="H44" s="258">
        <f>SUMIF(125:125,G44,126:126)-SUMIF(125:125,C44,126:126)+100</f>
        <v>100</v>
      </c>
      <c r="I44" s="582"/>
      <c r="J44" s="258">
        <f>SUMIF(125:125,I44,126:126)-SUMIF(125:125,C44,126:126)+100</f>
        <v>100</v>
      </c>
      <c r="K44" s="391"/>
      <c r="L44" s="398"/>
      <c r="M44" s="338"/>
      <c r="N44" s="338"/>
      <c r="O44" s="338"/>
      <c r="P44" s="406"/>
      <c r="Q44" s="390" t="str">
        <f t="shared" si="11"/>
        <v>内部装修维护情况</v>
      </c>
      <c r="R44" s="467" t="s">
        <v>935</v>
      </c>
      <c r="S44" s="468">
        <f t="shared" si="12"/>
        <v>100</v>
      </c>
      <c r="T44" s="467" t="s">
        <v>935</v>
      </c>
      <c r="U44" s="468">
        <f t="shared" si="13"/>
        <v>100</v>
      </c>
      <c r="V44" s="467" t="s">
        <v>935</v>
      </c>
      <c r="W44" s="468">
        <f t="shared" si="14"/>
        <v>100</v>
      </c>
      <c r="X44" s="454"/>
      <c r="Y44" s="406"/>
      <c r="Z44" s="453" t="str">
        <f t="shared" si="15"/>
        <v>内部装修维护情况</v>
      </c>
      <c r="AA44" s="453">
        <f t="shared" si="3"/>
        <v>1</v>
      </c>
      <c r="AB44" s="453">
        <f t="shared" si="4"/>
        <v>1</v>
      </c>
      <c r="AC44" s="453">
        <f t="shared" si="5"/>
        <v>1</v>
      </c>
    </row>
    <row r="45" s="189" customFormat="1" ht="15" spans="1:29">
      <c r="A45" s="304"/>
      <c r="B45" s="548">
        <v>111</v>
      </c>
      <c r="C45" s="253"/>
      <c r="D45" s="248">
        <v>100</v>
      </c>
      <c r="E45" s="252"/>
      <c r="F45" s="297">
        <f>SUMIF(127:127,E45,128:128)-SUMIF(127:127,C45,128:128)+100</f>
        <v>100</v>
      </c>
      <c r="G45" s="252"/>
      <c r="H45" s="248">
        <f>SUMIF(127:127,G45,128:128)-SUMIF(127:127,C45,128:128)+100</f>
        <v>100</v>
      </c>
      <c r="I45" s="252"/>
      <c r="J45" s="248">
        <f>SUMIF(127:127,I45,128:128)-SUMIF(127:127,C45,128:128)+100</f>
        <v>100</v>
      </c>
      <c r="K45" s="395"/>
      <c r="L45" s="386"/>
      <c r="M45" s="387"/>
      <c r="N45" s="387"/>
      <c r="O45" s="387"/>
      <c r="P45" s="406"/>
      <c r="Q45" s="466">
        <f t="shared" si="11"/>
        <v>111</v>
      </c>
      <c r="R45" s="462" t="s">
        <v>935</v>
      </c>
      <c r="S45" s="463">
        <f t="shared" si="12"/>
        <v>100</v>
      </c>
      <c r="T45" s="462" t="s">
        <v>935</v>
      </c>
      <c r="U45" s="463">
        <f t="shared" si="13"/>
        <v>100</v>
      </c>
      <c r="V45" s="462" t="s">
        <v>935</v>
      </c>
      <c r="W45" s="463">
        <f t="shared" si="14"/>
        <v>100</v>
      </c>
      <c r="X45" s="464"/>
      <c r="Y45" s="406"/>
      <c r="Z45" s="481">
        <f t="shared" si="15"/>
        <v>111</v>
      </c>
      <c r="AA45" s="481">
        <f t="shared" si="3"/>
        <v>1</v>
      </c>
      <c r="AB45" s="481">
        <f t="shared" si="4"/>
        <v>1</v>
      </c>
      <c r="AC45" s="481">
        <f t="shared" si="5"/>
        <v>1</v>
      </c>
    </row>
    <row r="46" ht="15" spans="1:29">
      <c r="A46" s="301"/>
      <c r="B46" s="548">
        <v>111</v>
      </c>
      <c r="C46" s="257"/>
      <c r="D46" s="258">
        <v>100</v>
      </c>
      <c r="E46" s="252"/>
      <c r="F46" s="288">
        <f>SUMIF(129:129,E46,130:130)-SUMIF(129:129,C46,130:130)+100</f>
        <v>100</v>
      </c>
      <c r="G46" s="252"/>
      <c r="H46" s="258">
        <f>SUMIF(129:129,G46,130:130)-SUMIF(129:129,C46,130:130)+100</f>
        <v>100</v>
      </c>
      <c r="I46" s="252"/>
      <c r="J46" s="258">
        <f>SUMIF(129:129,I46,130:130)-SUMIF(129:129,C46,130:130)+100</f>
        <v>100</v>
      </c>
      <c r="K46" s="395"/>
      <c r="L46" s="398"/>
      <c r="M46" s="338"/>
      <c r="N46" s="338"/>
      <c r="O46" s="338"/>
      <c r="P46" s="406"/>
      <c r="Q46" s="390">
        <f t="shared" si="11"/>
        <v>111</v>
      </c>
      <c r="R46" s="467" t="s">
        <v>935</v>
      </c>
      <c r="S46" s="468">
        <f t="shared" si="12"/>
        <v>100</v>
      </c>
      <c r="T46" s="467" t="s">
        <v>935</v>
      </c>
      <c r="U46" s="468">
        <f t="shared" si="13"/>
        <v>100</v>
      </c>
      <c r="V46" s="467" t="s">
        <v>935</v>
      </c>
      <c r="W46" s="468">
        <f t="shared" si="14"/>
        <v>100</v>
      </c>
      <c r="X46" s="454"/>
      <c r="Y46" s="406"/>
      <c r="Z46" s="453">
        <f t="shared" si="15"/>
        <v>111</v>
      </c>
      <c r="AA46" s="453">
        <f t="shared" si="3"/>
        <v>1</v>
      </c>
      <c r="AB46" s="453">
        <f t="shared" si="4"/>
        <v>1</v>
      </c>
      <c r="AC46" s="453">
        <f t="shared" si="5"/>
        <v>1</v>
      </c>
    </row>
    <row r="47" ht="15.75" spans="1:29">
      <c r="A47" s="305"/>
      <c r="B47" s="306">
        <v>111</v>
      </c>
      <c r="C47" s="307"/>
      <c r="D47" s="308">
        <v>100</v>
      </c>
      <c r="E47" s="252"/>
      <c r="F47" s="310">
        <f>SUMIF(131:131,E47,132:132)-SUMIF(131:131,C47,132:132)+100</f>
        <v>100</v>
      </c>
      <c r="G47" s="252"/>
      <c r="H47" s="308">
        <f>SUMIF(131:131,G47,132:132)-SUMIF(131:131,C47,132:132)+100</f>
        <v>100</v>
      </c>
      <c r="I47" s="252"/>
      <c r="J47" s="308">
        <f>SUMIF(131:131,I47,132:132)-SUMIF(131:131,C47,132:132)+100</f>
        <v>100</v>
      </c>
      <c r="K47" s="395"/>
      <c r="L47" s="398"/>
      <c r="M47" s="338"/>
      <c r="N47" s="338"/>
      <c r="O47" s="338"/>
      <c r="P47" s="553"/>
      <c r="Q47" s="390">
        <f t="shared" si="11"/>
        <v>111</v>
      </c>
      <c r="R47" s="467" t="s">
        <v>935</v>
      </c>
      <c r="S47" s="468">
        <f t="shared" si="12"/>
        <v>100</v>
      </c>
      <c r="T47" s="467" t="s">
        <v>935</v>
      </c>
      <c r="U47" s="468">
        <f t="shared" si="13"/>
        <v>100</v>
      </c>
      <c r="V47" s="467" t="s">
        <v>935</v>
      </c>
      <c r="W47" s="468">
        <f t="shared" si="14"/>
        <v>100</v>
      </c>
      <c r="X47" s="454"/>
      <c r="Y47" s="553"/>
      <c r="Z47" s="453">
        <f t="shared" si="15"/>
        <v>111</v>
      </c>
      <c r="AA47" s="453">
        <f t="shared" si="3"/>
        <v>1</v>
      </c>
      <c r="AB47" s="453">
        <f t="shared" si="4"/>
        <v>1</v>
      </c>
      <c r="AC47" s="453">
        <f t="shared" si="5"/>
        <v>1</v>
      </c>
    </row>
    <row r="48" ht="15" spans="1:29">
      <c r="A48" s="311" t="s">
        <v>2375</v>
      </c>
      <c r="B48" s="312"/>
      <c r="C48" s="313" t="s">
        <v>138</v>
      </c>
      <c r="D48" s="314"/>
      <c r="E48" s="315"/>
      <c r="F48" s="316"/>
      <c r="G48" s="317"/>
      <c r="H48" s="318"/>
      <c r="I48" s="315"/>
      <c r="J48" s="318"/>
      <c r="K48" s="407"/>
      <c r="L48" s="408"/>
      <c r="M48" s="338"/>
      <c r="N48" s="338"/>
      <c r="O48" s="338"/>
      <c r="P48" s="473" t="str">
        <f>A48</f>
        <v>成交单价（元/平方米）</v>
      </c>
      <c r="Q48" s="390"/>
      <c r="R48" s="453">
        <f>E48</f>
        <v>0</v>
      </c>
      <c r="S48" s="453"/>
      <c r="T48" s="453">
        <f>G48</f>
        <v>0</v>
      </c>
      <c r="U48" s="453"/>
      <c r="V48" s="453">
        <f>I48</f>
        <v>0</v>
      </c>
      <c r="W48" s="453"/>
      <c r="X48" s="267"/>
      <c r="Y48" s="483"/>
      <c r="Z48" s="267"/>
      <c r="AA48" s="267"/>
      <c r="AB48" s="267"/>
      <c r="AC48" s="267"/>
    </row>
    <row r="49" ht="15.75" spans="1:29">
      <c r="A49" s="319" t="s">
        <v>963</v>
      </c>
      <c r="B49" s="320"/>
      <c r="C49" s="321" t="e">
        <f>R50</f>
        <v>#DIV/0!</v>
      </c>
      <c r="D49" s="322" t="s">
        <v>964</v>
      </c>
      <c r="E49" s="323" t="e">
        <f>R49</f>
        <v>#DIV/0!</v>
      </c>
      <c r="F49" s="324"/>
      <c r="G49" s="321" t="e">
        <f>T49</f>
        <v>#DIV/0!</v>
      </c>
      <c r="H49" s="324"/>
      <c r="I49" s="323" t="e">
        <f>V49</f>
        <v>#DIV/0!</v>
      </c>
      <c r="J49" s="324"/>
      <c r="K49" s="409">
        <f>F49+H49+J49</f>
        <v>0</v>
      </c>
      <c r="L49" s="408"/>
      <c r="M49" s="338"/>
      <c r="N49" s="338"/>
      <c r="O49" s="338"/>
      <c r="P49" s="473" t="str">
        <f>A49</f>
        <v>比较价格（元/平方米）</v>
      </c>
      <c r="Q49" s="390"/>
      <c r="R49" s="453" t="e">
        <f>IF(F1="售价",ROUND(PRODUCT(R48,AA7:AA47),0),ROUND(PRODUCT(R48,AA7:AA47),1))</f>
        <v>#DIV/0!</v>
      </c>
      <c r="S49" s="453"/>
      <c r="T49" s="453" t="e">
        <f>IF(F1="售价",ROUND(PRODUCT(T48,AB7:AB47),0),ROUND(PRODUCT(T48,AB7:AB47),1))</f>
        <v>#DIV/0!</v>
      </c>
      <c r="U49" s="453"/>
      <c r="V49" s="453" t="e">
        <f>IF(F1="售价",ROUND(PRODUCT(V48,AC7:AC47),0),ROUND(PRODUCT(V48,AC7:AC47),1))</f>
        <v>#DIV/0!</v>
      </c>
      <c r="W49" s="453"/>
      <c r="X49" s="267"/>
      <c r="Y49" s="267"/>
      <c r="Z49" s="267"/>
      <c r="AA49" s="267"/>
      <c r="AB49" s="267"/>
      <c r="AC49" s="267"/>
    </row>
    <row r="50" ht="15.75" spans="1:29">
      <c r="A50" s="325" t="s">
        <v>965</v>
      </c>
      <c r="B50" s="326"/>
      <c r="C50" s="226" t="e">
        <f>R50</f>
        <v>#DIV/0!</v>
      </c>
      <c r="D50" s="226"/>
      <c r="E50" s="226"/>
      <c r="F50" s="226"/>
      <c r="G50" s="226"/>
      <c r="H50" s="226"/>
      <c r="I50" s="226"/>
      <c r="J50" s="226"/>
      <c r="K50" s="410"/>
      <c r="L50" s="408"/>
      <c r="M50" s="338"/>
      <c r="N50" s="338"/>
      <c r="O50" s="338"/>
      <c r="P50" s="588" t="str">
        <f>A50</f>
        <v>估价对象XX用房的比较价格（楼面单价，元/平方米）</v>
      </c>
      <c r="Q50" s="473"/>
      <c r="R50" s="474" t="e">
        <f>IF(F1="售价",ROUND(IF(D49="简单平均",AVERAGE(R49:V49),R49*F49+T49*H49+V49*J49),0),ROUND(IF(D49="简单平均",AVERAGE(R49:V49),R49*F49+T49*H49+V49*J49),1))</f>
        <v>#DIV/0!</v>
      </c>
      <c r="S50" s="474"/>
      <c r="T50" s="474"/>
      <c r="U50" s="474"/>
      <c r="V50" s="474"/>
      <c r="W50" s="474"/>
      <c r="X50" s="267"/>
      <c r="Y50" s="267"/>
      <c r="Z50" s="267"/>
      <c r="AA50" s="267"/>
      <c r="AB50" s="267"/>
      <c r="AC50" s="267"/>
    </row>
    <row r="51" spans="1:29">
      <c r="A51" s="327"/>
      <c r="B51" s="327"/>
      <c r="C51" s="327"/>
      <c r="D51" s="327"/>
      <c r="E51" s="327"/>
      <c r="F51" s="327"/>
      <c r="G51" s="328"/>
      <c r="H51" s="327"/>
      <c r="I51" s="327"/>
      <c r="J51" s="327"/>
      <c r="K51" s="411"/>
      <c r="L51" s="412"/>
      <c r="M51" s="338"/>
      <c r="N51" s="338"/>
      <c r="O51" s="338"/>
      <c r="P51" s="589"/>
      <c r="Q51" s="338"/>
      <c r="R51" s="338"/>
      <c r="S51" s="338"/>
      <c r="T51" s="338"/>
      <c r="U51" s="338"/>
      <c r="V51" s="338"/>
      <c r="W51" s="338"/>
      <c r="X51" s="338"/>
      <c r="Y51" s="338"/>
      <c r="Z51" s="338"/>
      <c r="AA51" s="338"/>
      <c r="AB51" s="338"/>
      <c r="AC51" s="338"/>
    </row>
    <row r="52" spans="1:29">
      <c r="A52" s="327"/>
      <c r="B52" s="327"/>
      <c r="C52" s="327"/>
      <c r="D52" s="327"/>
      <c r="E52" s="327"/>
      <c r="F52" s="327"/>
      <c r="G52" s="327"/>
      <c r="H52" s="327"/>
      <c r="I52" s="327"/>
      <c r="J52" s="327"/>
      <c r="K52" s="411"/>
      <c r="L52" s="412"/>
      <c r="M52" s="338"/>
      <c r="N52" s="338"/>
      <c r="O52" s="338"/>
      <c r="P52" s="589"/>
      <c r="Q52" s="338"/>
      <c r="R52" s="338"/>
      <c r="S52" s="338"/>
      <c r="T52" s="338"/>
      <c r="U52" s="338"/>
      <c r="V52" s="338"/>
      <c r="W52" s="338"/>
      <c r="X52" s="338"/>
      <c r="Y52" s="338"/>
      <c r="Z52" s="338"/>
      <c r="AA52" s="338"/>
      <c r="AB52" s="338"/>
      <c r="AC52" s="338"/>
    </row>
    <row r="53" ht="13.5" customHeight="1" spans="1:29">
      <c r="A53" s="327"/>
      <c r="B53" s="327"/>
      <c r="C53" s="329" t="s">
        <v>966</v>
      </c>
      <c r="D53" s="330"/>
      <c r="E53" s="331" t="e">
        <f>IF(E48&lt;E49,E49/E48-1,E48/E49-1)</f>
        <v>#DIV/0!</v>
      </c>
      <c r="F53" s="332" t="e">
        <f>IF(OR(E53&gt;=0.3,E53&lt;=-0.3),"超过30%","")</f>
        <v>#DIV/0!</v>
      </c>
      <c r="G53" s="331" t="e">
        <f>IF(G48&lt;G49,G49/G48-1,G48/G49-1)</f>
        <v>#DIV/0!</v>
      </c>
      <c r="H53" s="332" t="e">
        <f>IF(OR(G53&gt;=0.3,G53&lt;=-0.3),"超过30%","")</f>
        <v>#DIV/0!</v>
      </c>
      <c r="I53" s="331" t="e">
        <f>IF(I48&lt;I49,I49/I48-1,I48/I49-1)</f>
        <v>#DIV/0!</v>
      </c>
      <c r="J53" s="332" t="e">
        <f>IF(OR(I53&gt;=0.3,I53&lt;=-0.3),"超过30%","")</f>
        <v>#DIV/0!</v>
      </c>
      <c r="K53" s="411"/>
      <c r="L53" s="412"/>
      <c r="M53" s="338"/>
      <c r="N53" s="338"/>
      <c r="O53" s="338"/>
      <c r="P53" s="589"/>
      <c r="Q53" s="338"/>
      <c r="R53" s="338"/>
      <c r="S53" s="338"/>
      <c r="T53" s="338"/>
      <c r="U53" s="338"/>
      <c r="V53" s="338"/>
      <c r="W53" s="338"/>
      <c r="X53" s="338"/>
      <c r="Y53" s="338"/>
      <c r="Z53" s="338"/>
      <c r="AA53" s="338"/>
      <c r="AB53" s="338"/>
      <c r="AC53" s="338"/>
    </row>
    <row r="54" ht="13.5" customHeight="1" spans="1:29">
      <c r="A54" s="327"/>
      <c r="B54" s="327"/>
      <c r="C54" s="329" t="s">
        <v>967</v>
      </c>
      <c r="D54" s="333"/>
      <c r="E54" s="331" t="e">
        <f>IF(E49&lt;G49,G49/E49-1,E49/G49-1)</f>
        <v>#DIV/0!</v>
      </c>
      <c r="F54" s="332" t="e">
        <f>IF(OR(E54&gt;=0.2,E54&lt;=-0.2),"超过20%","")</f>
        <v>#DIV/0!</v>
      </c>
      <c r="G54" s="331" t="e">
        <f>IF(G49&lt;I49,I49/G49-1,G49/I49-1)</f>
        <v>#DIV/0!</v>
      </c>
      <c r="H54" s="332" t="e">
        <f>IF(OR(G54&gt;=0.2,G54&lt;=-0.2),"超过20%","")</f>
        <v>#DIV/0!</v>
      </c>
      <c r="I54" s="331" t="e">
        <f>IF(I49&lt;E49,E49/I49-1,I49/E49-1)</f>
        <v>#DIV/0!</v>
      </c>
      <c r="J54" s="332" t="e">
        <f>IF(OR(I54&gt;=0.2,I54&lt;=-0.2),"超过20%","")</f>
        <v>#DIV/0!</v>
      </c>
      <c r="K54" s="411"/>
      <c r="L54" s="412"/>
      <c r="M54" s="338"/>
      <c r="N54" s="338"/>
      <c r="O54" s="338"/>
      <c r="P54" s="589"/>
      <c r="Q54" s="338"/>
      <c r="R54" s="338"/>
      <c r="S54" s="338"/>
      <c r="T54" s="338"/>
      <c r="U54" s="338"/>
      <c r="V54" s="338"/>
      <c r="W54" s="338"/>
      <c r="X54" s="338"/>
      <c r="Y54" s="338"/>
      <c r="Z54" s="338"/>
      <c r="AA54" s="338"/>
      <c r="AB54" s="338"/>
      <c r="AC54" s="338"/>
    </row>
    <row r="55" s="192" customFormat="1" ht="13.5" customHeight="1" spans="1:29">
      <c r="A55" s="334"/>
      <c r="B55" s="334"/>
      <c r="C55" s="329" t="s">
        <v>968</v>
      </c>
      <c r="D55" s="333"/>
      <c r="E55" s="331" t="e">
        <f>IF(E48&lt;G48,G48/E48-1,E48/G48-1)</f>
        <v>#DIV/0!</v>
      </c>
      <c r="F55" s="332" t="e">
        <f>IF(OR(E55&gt;=0.3,E55&lt;=-0.3),"超过30%","")</f>
        <v>#DIV/0!</v>
      </c>
      <c r="G55" s="331" t="e">
        <f>IF(G48&lt;I48,I48/G48-1,G48/I48-1)</f>
        <v>#DIV/0!</v>
      </c>
      <c r="H55" s="332" t="e">
        <f>IF(OR(G55&gt;=0.3,G55&lt;=-0.3),"超过30%","")</f>
        <v>#DIV/0!</v>
      </c>
      <c r="I55" s="331" t="e">
        <f>IF(I48&lt;E48,E48/I48-1,I48/E48-1)</f>
        <v>#DIV/0!</v>
      </c>
      <c r="J55" s="332" t="e">
        <f>IF(OR(I55&gt;=0.3,I55&lt;=-0.3),"超过30%","")</f>
        <v>#DIV/0!</v>
      </c>
      <c r="K55" s="413"/>
      <c r="L55" s="414"/>
      <c r="M55" s="335"/>
      <c r="N55" s="335"/>
      <c r="O55" s="335"/>
      <c r="P55" s="590"/>
      <c r="Q55" s="335"/>
      <c r="R55" s="335"/>
      <c r="S55" s="335"/>
      <c r="T55" s="335"/>
      <c r="U55" s="335"/>
      <c r="V55" s="335"/>
      <c r="W55" s="335"/>
      <c r="X55" s="335"/>
      <c r="Y55" s="335"/>
      <c r="Z55" s="335"/>
      <c r="AA55" s="335"/>
      <c r="AB55" s="335"/>
      <c r="AC55" s="335"/>
    </row>
    <row r="56" s="192" customFormat="1" spans="1:29">
      <c r="A56" s="335"/>
      <c r="B56" s="336"/>
      <c r="C56" s="337"/>
      <c r="D56" s="335"/>
      <c r="E56" s="335"/>
      <c r="F56" s="335"/>
      <c r="G56" s="335"/>
      <c r="H56" s="335"/>
      <c r="I56" s="335"/>
      <c r="J56" s="335"/>
      <c r="K56" s="415"/>
      <c r="L56" s="414"/>
      <c r="M56" s="335"/>
      <c r="N56" s="335"/>
      <c r="O56" s="335"/>
      <c r="P56" s="590"/>
      <c r="Q56" s="335"/>
      <c r="R56" s="335"/>
      <c r="S56" s="335"/>
      <c r="T56" s="335"/>
      <c r="U56" s="335"/>
      <c r="V56" s="335"/>
      <c r="W56" s="335"/>
      <c r="X56" s="335"/>
      <c r="Y56" s="335"/>
      <c r="Z56" s="335"/>
      <c r="AA56" s="335"/>
      <c r="AB56" s="335"/>
      <c r="AC56" s="335"/>
    </row>
    <row r="57" spans="1:29">
      <c r="A57" s="338"/>
      <c r="B57" s="336"/>
      <c r="C57" s="337"/>
      <c r="D57" s="338"/>
      <c r="E57" s="338"/>
      <c r="F57" s="338"/>
      <c r="G57" s="338"/>
      <c r="H57" s="338"/>
      <c r="I57" s="338"/>
      <c r="J57" s="338"/>
      <c r="K57" s="416"/>
      <c r="L57" s="412"/>
      <c r="M57" s="338"/>
      <c r="N57" s="338"/>
      <c r="O57" s="338"/>
      <c r="P57" s="589"/>
      <c r="Q57" s="338"/>
      <c r="R57" s="338"/>
      <c r="S57" s="338"/>
      <c r="T57" s="338"/>
      <c r="U57" s="338"/>
      <c r="V57" s="338"/>
      <c r="W57" s="338"/>
      <c r="X57" s="338"/>
      <c r="Y57" s="338"/>
      <c r="Z57" s="338"/>
      <c r="AA57" s="338"/>
      <c r="AB57" s="338"/>
      <c r="AC57" s="338"/>
    </row>
    <row r="58" ht="21" spans="1:29">
      <c r="A58" s="339" t="s">
        <v>990</v>
      </c>
      <c r="B58" s="267"/>
      <c r="C58" s="340"/>
      <c r="D58" s="340"/>
      <c r="E58" s="340"/>
      <c r="F58" s="341"/>
      <c r="G58" s="341"/>
      <c r="H58" s="340"/>
      <c r="I58" s="340"/>
      <c r="J58" s="340"/>
      <c r="K58" s="417"/>
      <c r="L58" s="418"/>
      <c r="M58" s="340"/>
      <c r="N58" s="419"/>
      <c r="O58" s="419"/>
      <c r="P58" s="591"/>
      <c r="Q58" s="422"/>
      <c r="R58" s="338"/>
      <c r="S58" s="338"/>
      <c r="T58" s="338"/>
      <c r="U58" s="338"/>
      <c r="V58" s="338"/>
      <c r="W58" s="338"/>
      <c r="X58" s="338"/>
      <c r="Y58" s="338"/>
      <c r="Z58" s="338"/>
      <c r="AA58" s="338"/>
      <c r="AB58" s="338"/>
      <c r="AC58" s="338"/>
    </row>
    <row r="59" s="193" customFormat="1" ht="15" spans="1:29">
      <c r="A59" s="342" t="s">
        <v>933</v>
      </c>
      <c r="B59" s="343"/>
      <c r="C59" s="344" t="str">
        <f>YEAR(C7)&amp;"-"&amp;MONTH(C7)</f>
        <v>2023-11</v>
      </c>
      <c r="D59" s="345">
        <f>EDATE(C59,-1)</f>
        <v>45200</v>
      </c>
      <c r="E59" s="345">
        <f t="shared" ref="E59:O59" si="16">EDATE(D59,-1)</f>
        <v>45170</v>
      </c>
      <c r="F59" s="345">
        <f t="shared" si="16"/>
        <v>45139</v>
      </c>
      <c r="G59" s="345">
        <f t="shared" si="16"/>
        <v>45108</v>
      </c>
      <c r="H59" s="345">
        <f t="shared" si="16"/>
        <v>45078</v>
      </c>
      <c r="I59" s="345">
        <f t="shared" si="16"/>
        <v>45047</v>
      </c>
      <c r="J59" s="345">
        <f t="shared" si="16"/>
        <v>45017</v>
      </c>
      <c r="K59" s="345">
        <f t="shared" si="16"/>
        <v>44986</v>
      </c>
      <c r="L59" s="345">
        <f t="shared" si="16"/>
        <v>44958</v>
      </c>
      <c r="M59" s="345">
        <f t="shared" si="16"/>
        <v>44927</v>
      </c>
      <c r="N59" s="345">
        <f t="shared" si="16"/>
        <v>44896</v>
      </c>
      <c r="O59" s="345">
        <f t="shared" si="16"/>
        <v>44866</v>
      </c>
      <c r="P59" s="592"/>
      <c r="Q59" s="420"/>
      <c r="R59" s="420"/>
      <c r="S59" s="420"/>
      <c r="T59" s="420"/>
      <c r="U59" s="420"/>
      <c r="V59" s="420"/>
      <c r="W59" s="420"/>
      <c r="X59" s="420"/>
      <c r="Y59" s="420"/>
      <c r="Z59" s="420"/>
      <c r="AA59" s="420"/>
      <c r="AB59" s="420"/>
      <c r="AC59" s="420"/>
    </row>
    <row r="60" s="189" customFormat="1" ht="15" spans="1:29">
      <c r="A60" s="346"/>
      <c r="B60" s="347"/>
      <c r="C60" s="348">
        <v>100</v>
      </c>
      <c r="D60" s="349"/>
      <c r="E60" s="349"/>
      <c r="F60" s="349"/>
      <c r="G60" s="349"/>
      <c r="H60" s="349"/>
      <c r="I60" s="349"/>
      <c r="J60" s="349"/>
      <c r="K60" s="349"/>
      <c r="L60" s="349"/>
      <c r="M60" s="289"/>
      <c r="N60" s="349"/>
      <c r="O60" s="289"/>
      <c r="P60" s="593"/>
      <c r="Q60" s="387"/>
      <c r="R60" s="387"/>
      <c r="S60" s="387"/>
      <c r="T60" s="387"/>
      <c r="U60" s="387"/>
      <c r="V60" s="387"/>
      <c r="W60" s="387"/>
      <c r="X60" s="387"/>
      <c r="Y60" s="387"/>
      <c r="Z60" s="387"/>
      <c r="AA60" s="387"/>
      <c r="AB60" s="387"/>
      <c r="AC60" s="387"/>
    </row>
    <row r="61" s="189" customFormat="1" ht="15.75" spans="1:29">
      <c r="A61" s="350" t="s">
        <v>1105</v>
      </c>
      <c r="B61" s="351"/>
      <c r="C61" s="352"/>
      <c r="D61" s="353"/>
      <c r="E61" s="353"/>
      <c r="F61" s="353"/>
      <c r="G61" s="353"/>
      <c r="H61" s="353"/>
      <c r="I61" s="353"/>
      <c r="J61" s="353"/>
      <c r="K61" s="353"/>
      <c r="L61" s="353"/>
      <c r="M61" s="423"/>
      <c r="N61" s="353"/>
      <c r="O61" s="423"/>
      <c r="P61" s="593"/>
      <c r="Q61" s="422"/>
      <c r="R61" s="387"/>
      <c r="S61" s="387"/>
      <c r="T61" s="387"/>
      <c r="U61" s="387"/>
      <c r="V61" s="387"/>
      <c r="W61" s="387"/>
      <c r="X61" s="387"/>
      <c r="Y61" s="387"/>
      <c r="Z61" s="387"/>
      <c r="AA61" s="387"/>
      <c r="AB61" s="387"/>
      <c r="AC61" s="387"/>
    </row>
    <row r="62" s="189" customFormat="1" ht="15" spans="1:29">
      <c r="A62" s="354" t="s">
        <v>936</v>
      </c>
      <c r="B62" s="347"/>
      <c r="C62" s="355" t="s">
        <v>937</v>
      </c>
      <c r="D62" s="356"/>
      <c r="E62" s="356"/>
      <c r="F62" s="356"/>
      <c r="G62" s="356"/>
      <c r="H62" s="356"/>
      <c r="I62" s="356"/>
      <c r="J62" s="356"/>
      <c r="K62" s="356"/>
      <c r="L62" s="425"/>
      <c r="M62" s="426"/>
      <c r="N62" s="427"/>
      <c r="O62" s="427"/>
      <c r="P62" s="594"/>
      <c r="Q62" s="422"/>
      <c r="R62" s="387"/>
      <c r="S62" s="387"/>
      <c r="T62" s="387"/>
      <c r="U62" s="387"/>
      <c r="V62" s="387"/>
      <c r="W62" s="387"/>
      <c r="X62" s="387"/>
      <c r="Y62" s="387"/>
      <c r="Z62" s="387"/>
      <c r="AA62" s="387"/>
      <c r="AB62" s="387"/>
      <c r="AC62" s="387"/>
    </row>
    <row r="63" s="189" customFormat="1" ht="15.75" spans="1:29">
      <c r="A63" s="354"/>
      <c r="B63" s="347"/>
      <c r="C63" s="583">
        <v>100</v>
      </c>
      <c r="D63" s="349"/>
      <c r="E63" s="349"/>
      <c r="F63" s="349"/>
      <c r="G63" s="349"/>
      <c r="H63" s="349"/>
      <c r="I63" s="349"/>
      <c r="J63" s="349"/>
      <c r="K63" s="349"/>
      <c r="L63" s="349"/>
      <c r="M63" s="421"/>
      <c r="N63" s="427"/>
      <c r="O63" s="427"/>
      <c r="P63" s="593"/>
      <c r="Q63" s="422"/>
      <c r="R63" s="387"/>
      <c r="S63" s="387"/>
      <c r="T63" s="387"/>
      <c r="U63" s="387"/>
      <c r="V63" s="387"/>
      <c r="W63" s="387"/>
      <c r="X63" s="387"/>
      <c r="Y63" s="387"/>
      <c r="Z63" s="387"/>
      <c r="AA63" s="387"/>
      <c r="AB63" s="387"/>
      <c r="AC63" s="387"/>
    </row>
    <row r="64" spans="1:29">
      <c r="A64" s="357" t="s">
        <v>993</v>
      </c>
      <c r="B64" s="358" t="s">
        <v>994</v>
      </c>
      <c r="C64" s="359">
        <f>C9</f>
        <v>0</v>
      </c>
      <c r="D64" s="360"/>
      <c r="E64" s="360"/>
      <c r="F64" s="360"/>
      <c r="G64" s="360"/>
      <c r="H64" s="360"/>
      <c r="I64" s="360"/>
      <c r="J64" s="360"/>
      <c r="K64" s="429"/>
      <c r="L64" s="430"/>
      <c r="M64" s="431"/>
      <c r="N64" s="432"/>
      <c r="O64" s="432"/>
      <c r="P64" s="595"/>
      <c r="Q64" s="422"/>
      <c r="R64" s="338"/>
      <c r="S64" s="338"/>
      <c r="T64" s="338"/>
      <c r="U64" s="338"/>
      <c r="V64" s="338"/>
      <c r="W64" s="338"/>
      <c r="X64" s="338"/>
      <c r="Y64" s="338"/>
      <c r="Z64" s="338"/>
      <c r="AA64" s="338"/>
      <c r="AB64" s="338"/>
      <c r="AC64" s="338"/>
    </row>
    <row r="65" ht="15.75" spans="1:29">
      <c r="A65" s="266"/>
      <c r="B65" s="361"/>
      <c r="C65" s="362"/>
      <c r="D65" s="362"/>
      <c r="E65" s="362"/>
      <c r="F65" s="362"/>
      <c r="G65" s="362"/>
      <c r="H65" s="362"/>
      <c r="I65" s="362"/>
      <c r="J65" s="362"/>
      <c r="K65" s="362"/>
      <c r="L65" s="362"/>
      <c r="M65" s="433"/>
      <c r="N65" s="434"/>
      <c r="O65" s="434"/>
      <c r="P65" s="595"/>
      <c r="Q65" s="422"/>
      <c r="R65" s="338"/>
      <c r="S65" s="338"/>
      <c r="T65" s="338"/>
      <c r="U65" s="338"/>
      <c r="V65" s="338"/>
      <c r="W65" s="338"/>
      <c r="X65" s="338"/>
      <c r="Y65" s="338"/>
      <c r="Z65" s="338"/>
      <c r="AA65" s="338"/>
      <c r="AB65" s="338"/>
      <c r="AC65" s="338"/>
    </row>
    <row r="66" ht="27.75" spans="1:29">
      <c r="A66" s="266"/>
      <c r="B66" s="363" t="s">
        <v>995</v>
      </c>
      <c r="C66" s="364" t="s">
        <v>2376</v>
      </c>
      <c r="D66" s="364" t="s">
        <v>2377</v>
      </c>
      <c r="E66" s="364" t="s">
        <v>2378</v>
      </c>
      <c r="F66" s="364" t="s">
        <v>2379</v>
      </c>
      <c r="G66" s="364" t="s">
        <v>2380</v>
      </c>
      <c r="H66" s="364" t="s">
        <v>2381</v>
      </c>
      <c r="I66" s="364" t="s">
        <v>2382</v>
      </c>
      <c r="J66" s="364"/>
      <c r="K66" s="435"/>
      <c r="L66" s="436"/>
      <c r="M66" s="437"/>
      <c r="N66" s="432"/>
      <c r="O66" s="432"/>
      <c r="P66" s="595"/>
      <c r="Q66" s="422"/>
      <c r="R66" s="338"/>
      <c r="S66" s="338"/>
      <c r="T66" s="338"/>
      <c r="U66" s="338"/>
      <c r="V66" s="338"/>
      <c r="W66" s="338"/>
      <c r="X66" s="338"/>
      <c r="Y66" s="338"/>
      <c r="Z66" s="338"/>
      <c r="AA66" s="338"/>
      <c r="AB66" s="338"/>
      <c r="AC66" s="338"/>
    </row>
    <row r="67" ht="15.75" spans="1:29">
      <c r="A67" s="266"/>
      <c r="B67" s="365"/>
      <c r="C67" s="366" t="s">
        <v>989</v>
      </c>
      <c r="D67" s="366" t="s">
        <v>989</v>
      </c>
      <c r="E67" s="366">
        <v>100</v>
      </c>
      <c r="F67" s="366">
        <f>E67-$K10</f>
        <v>100</v>
      </c>
      <c r="G67" s="366">
        <f>F67-$K10</f>
        <v>100</v>
      </c>
      <c r="H67" s="366">
        <f>G67-$K10</f>
        <v>100</v>
      </c>
      <c r="I67" s="366">
        <f>H67-$K10</f>
        <v>100</v>
      </c>
      <c r="J67" s="366"/>
      <c r="K67" s="366"/>
      <c r="L67" s="366"/>
      <c r="M67" s="438"/>
      <c r="N67" s="434"/>
      <c r="O67" s="434"/>
      <c r="P67" s="595"/>
      <c r="Q67" s="422"/>
      <c r="R67" s="338"/>
      <c r="S67" s="338"/>
      <c r="T67" s="338"/>
      <c r="U67" s="338"/>
      <c r="V67" s="338"/>
      <c r="W67" s="338"/>
      <c r="X67" s="338"/>
      <c r="Y67" s="338"/>
      <c r="Z67" s="338"/>
      <c r="AA67" s="338"/>
      <c r="AB67" s="338"/>
      <c r="AC67" s="338"/>
    </row>
    <row r="68" ht="15.75" spans="1:29">
      <c r="A68" s="266"/>
      <c r="B68" s="486" t="s">
        <v>996</v>
      </c>
      <c r="C68" s="551" t="str">
        <f>C69&amp;"（含）"&amp;"-"&amp;D69</f>
        <v>（含）-</v>
      </c>
      <c r="D68" s="551" t="str">
        <f t="shared" ref="D68:L68" si="17">D69&amp;"（含）"&amp;"-"&amp;E69</f>
        <v>（含）-</v>
      </c>
      <c r="E68" s="551" t="str">
        <f t="shared" si="17"/>
        <v>（含）-</v>
      </c>
      <c r="F68" s="551" t="str">
        <f t="shared" si="17"/>
        <v>（含）-</v>
      </c>
      <c r="G68" s="551" t="str">
        <f t="shared" si="17"/>
        <v>（含）-</v>
      </c>
      <c r="H68" s="551" t="str">
        <f t="shared" si="17"/>
        <v>（含）-</v>
      </c>
      <c r="I68" s="551" t="str">
        <f t="shared" si="17"/>
        <v>（含）-</v>
      </c>
      <c r="J68" s="551" t="str">
        <f t="shared" si="17"/>
        <v>（含）-</v>
      </c>
      <c r="K68" s="551" t="str">
        <f t="shared" si="17"/>
        <v>（含）-</v>
      </c>
      <c r="L68" s="551" t="str">
        <f t="shared" si="17"/>
        <v>（含）-</v>
      </c>
      <c r="M68" s="269" t="str">
        <f>M69&amp;"（含）"&amp;"-"&amp;P69</f>
        <v>（含）-</v>
      </c>
      <c r="N68" s="434"/>
      <c r="O68" s="434"/>
      <c r="P68" s="595"/>
      <c r="Q68" s="422"/>
      <c r="R68" s="338"/>
      <c r="S68" s="338"/>
      <c r="T68" s="338"/>
      <c r="U68" s="338"/>
      <c r="V68" s="338"/>
      <c r="W68" s="338"/>
      <c r="X68" s="338"/>
      <c r="Y68" s="338"/>
      <c r="Z68" s="338"/>
      <c r="AA68" s="338"/>
      <c r="AB68" s="338"/>
      <c r="AC68" s="338"/>
    </row>
    <row r="69" ht="15" spans="1:29">
      <c r="A69" s="266"/>
      <c r="B69" s="552"/>
      <c r="C69" s="368"/>
      <c r="D69" s="368"/>
      <c r="E69" s="368"/>
      <c r="F69" s="368"/>
      <c r="G69" s="368"/>
      <c r="H69" s="368"/>
      <c r="I69" s="368"/>
      <c r="J69" s="368"/>
      <c r="K69" s="439"/>
      <c r="L69" s="440"/>
      <c r="M69" s="441"/>
      <c r="N69" s="432"/>
      <c r="O69" s="432"/>
      <c r="P69" s="595"/>
      <c r="Q69" s="422"/>
      <c r="R69" s="338"/>
      <c r="S69" s="338"/>
      <c r="T69" s="338"/>
      <c r="U69" s="338"/>
      <c r="V69" s="338"/>
      <c r="W69" s="338"/>
      <c r="X69" s="338"/>
      <c r="Y69" s="338"/>
      <c r="Z69" s="338"/>
      <c r="AA69" s="338"/>
      <c r="AB69" s="338"/>
      <c r="AC69" s="338"/>
    </row>
    <row r="70" ht="15.75" spans="1:29">
      <c r="A70" s="266"/>
      <c r="B70" s="361"/>
      <c r="C70" s="366">
        <v>100</v>
      </c>
      <c r="D70" s="366">
        <f t="shared" ref="D70:M70" si="18">C70-$K11</f>
        <v>100</v>
      </c>
      <c r="E70" s="366">
        <f t="shared" si="18"/>
        <v>100</v>
      </c>
      <c r="F70" s="366">
        <f t="shared" si="18"/>
        <v>100</v>
      </c>
      <c r="G70" s="366">
        <f t="shared" si="18"/>
        <v>100</v>
      </c>
      <c r="H70" s="366">
        <f t="shared" si="18"/>
        <v>100</v>
      </c>
      <c r="I70" s="366">
        <f t="shared" si="18"/>
        <v>100</v>
      </c>
      <c r="J70" s="366">
        <f t="shared" si="18"/>
        <v>100</v>
      </c>
      <c r="K70" s="366">
        <f t="shared" si="18"/>
        <v>100</v>
      </c>
      <c r="L70" s="366">
        <f t="shared" si="18"/>
        <v>100</v>
      </c>
      <c r="M70" s="438">
        <f t="shared" si="18"/>
        <v>100</v>
      </c>
      <c r="N70" s="434"/>
      <c r="O70" s="434"/>
      <c r="P70" s="595"/>
      <c r="Q70" s="422"/>
      <c r="R70" s="338"/>
      <c r="S70" s="338"/>
      <c r="T70" s="338"/>
      <c r="U70" s="338"/>
      <c r="V70" s="338"/>
      <c r="W70" s="338"/>
      <c r="X70" s="338"/>
      <c r="Y70" s="338"/>
      <c r="Z70" s="338"/>
      <c r="AA70" s="338"/>
      <c r="AB70" s="338"/>
      <c r="AC70" s="338"/>
    </row>
    <row r="71" s="191" customFormat="1" ht="15.75" spans="1:29">
      <c r="A71" s="370"/>
      <c r="B71" s="363">
        <f>B12</f>
        <v>111</v>
      </c>
      <c r="C71" s="371"/>
      <c r="D71" s="371"/>
      <c r="E71" s="371"/>
      <c r="F71" s="371"/>
      <c r="G71" s="371"/>
      <c r="H71" s="372"/>
      <c r="I71" s="372"/>
      <c r="J71" s="372"/>
      <c r="K71" s="372"/>
      <c r="L71" s="442"/>
      <c r="M71" s="443"/>
      <c r="N71" s="444"/>
      <c r="O71" s="444"/>
      <c r="P71" s="597"/>
      <c r="Q71" s="475"/>
      <c r="R71" s="404"/>
      <c r="S71" s="404"/>
      <c r="T71" s="404"/>
      <c r="U71" s="404"/>
      <c r="V71" s="404"/>
      <c r="W71" s="404"/>
      <c r="X71" s="404"/>
      <c r="Y71" s="404"/>
      <c r="Z71" s="404"/>
      <c r="AA71" s="404"/>
      <c r="AB71" s="404"/>
      <c r="AC71" s="404"/>
    </row>
    <row r="72" s="191" customFormat="1" ht="15.75" spans="1:29">
      <c r="A72" s="370"/>
      <c r="B72" s="365"/>
      <c r="C72" s="369"/>
      <c r="D72" s="362"/>
      <c r="E72" s="362"/>
      <c r="F72" s="362"/>
      <c r="G72" s="362"/>
      <c r="H72" s="362"/>
      <c r="I72" s="362"/>
      <c r="J72" s="362"/>
      <c r="K72" s="362"/>
      <c r="L72" s="362"/>
      <c r="M72" s="433"/>
      <c r="N72" s="434"/>
      <c r="O72" s="434"/>
      <c r="P72" s="597"/>
      <c r="Q72" s="475"/>
      <c r="R72" s="404"/>
      <c r="S72" s="404"/>
      <c r="T72" s="404"/>
      <c r="U72" s="404"/>
      <c r="V72" s="404"/>
      <c r="W72" s="404"/>
      <c r="X72" s="404"/>
      <c r="Y72" s="404"/>
      <c r="Z72" s="404"/>
      <c r="AA72" s="404"/>
      <c r="AB72" s="404"/>
      <c r="AC72" s="404"/>
    </row>
    <row r="73" s="191" customFormat="1" ht="15.75" spans="1:29">
      <c r="A73" s="370"/>
      <c r="B73" s="363">
        <f>B13</f>
        <v>111</v>
      </c>
      <c r="C73" s="371"/>
      <c r="D73" s="371"/>
      <c r="E73" s="371"/>
      <c r="F73" s="371"/>
      <c r="G73" s="371"/>
      <c r="H73" s="372"/>
      <c r="I73" s="372"/>
      <c r="J73" s="372"/>
      <c r="K73" s="372"/>
      <c r="L73" s="442"/>
      <c r="M73" s="443"/>
      <c r="N73" s="444"/>
      <c r="O73" s="444"/>
      <c r="P73" s="598"/>
      <c r="Q73" s="476"/>
      <c r="R73" s="404"/>
      <c r="S73" s="404"/>
      <c r="T73" s="404"/>
      <c r="U73" s="404"/>
      <c r="V73" s="404"/>
      <c r="W73" s="404"/>
      <c r="X73" s="404"/>
      <c r="Y73" s="404"/>
      <c r="Z73" s="404"/>
      <c r="AA73" s="404"/>
      <c r="AB73" s="404"/>
      <c r="AC73" s="404"/>
    </row>
    <row r="74" s="191" customFormat="1" ht="15.75" spans="1:29">
      <c r="A74" s="370"/>
      <c r="B74" s="365"/>
      <c r="C74" s="369"/>
      <c r="D74" s="369"/>
      <c r="E74" s="369"/>
      <c r="F74" s="369"/>
      <c r="G74" s="369"/>
      <c r="H74" s="373"/>
      <c r="I74" s="373"/>
      <c r="J74" s="373"/>
      <c r="K74" s="373"/>
      <c r="L74" s="373"/>
      <c r="M74" s="445"/>
      <c r="N74" s="444"/>
      <c r="O74" s="444"/>
      <c r="P74" s="597"/>
      <c r="Q74" s="475"/>
      <c r="R74" s="404"/>
      <c r="S74" s="404"/>
      <c r="T74" s="404"/>
      <c r="U74" s="404"/>
      <c r="V74" s="404"/>
      <c r="W74" s="404"/>
      <c r="X74" s="404"/>
      <c r="Y74" s="404"/>
      <c r="Z74" s="404"/>
      <c r="AA74" s="404"/>
      <c r="AB74" s="404"/>
      <c r="AC74" s="404"/>
    </row>
    <row r="75" s="191" customFormat="1" ht="15.75" spans="1:29">
      <c r="A75" s="370"/>
      <c r="B75" s="486">
        <f>B14</f>
        <v>111</v>
      </c>
      <c r="C75" s="356"/>
      <c r="D75" s="356"/>
      <c r="E75" s="356"/>
      <c r="F75" s="356"/>
      <c r="G75" s="356"/>
      <c r="H75" s="554"/>
      <c r="I75" s="554"/>
      <c r="J75" s="554"/>
      <c r="K75" s="554"/>
      <c r="L75" s="562"/>
      <c r="M75" s="563"/>
      <c r="N75" s="444"/>
      <c r="O75" s="444"/>
      <c r="P75" s="599"/>
      <c r="Q75" s="475"/>
      <c r="R75" s="404"/>
      <c r="S75" s="404"/>
      <c r="T75" s="404"/>
      <c r="U75" s="404"/>
      <c r="V75" s="404"/>
      <c r="W75" s="404"/>
      <c r="X75" s="404"/>
      <c r="Y75" s="404"/>
      <c r="Z75" s="404"/>
      <c r="AA75" s="404"/>
      <c r="AB75" s="404"/>
      <c r="AC75" s="404"/>
    </row>
    <row r="76" s="191" customFormat="1" ht="15.75" spans="1:29">
      <c r="A76" s="555"/>
      <c r="B76" s="556"/>
      <c r="C76" s="557"/>
      <c r="D76" s="557"/>
      <c r="E76" s="557"/>
      <c r="F76" s="557"/>
      <c r="G76" s="557"/>
      <c r="H76" s="558"/>
      <c r="I76" s="558"/>
      <c r="J76" s="558"/>
      <c r="K76" s="558"/>
      <c r="L76" s="558"/>
      <c r="M76" s="565"/>
      <c r="N76" s="444"/>
      <c r="O76" s="444"/>
      <c r="P76" s="597"/>
      <c r="Q76" s="475"/>
      <c r="R76" s="404"/>
      <c r="S76" s="404"/>
      <c r="T76" s="404"/>
      <c r="U76" s="404"/>
      <c r="V76" s="404"/>
      <c r="W76" s="404"/>
      <c r="X76" s="404"/>
      <c r="Y76" s="404"/>
      <c r="Z76" s="404"/>
      <c r="AA76" s="404"/>
      <c r="AB76" s="404"/>
      <c r="AC76" s="404"/>
    </row>
    <row r="77" spans="1:29">
      <c r="A77" s="357" t="s">
        <v>997</v>
      </c>
      <c r="B77" s="358" t="s">
        <v>227</v>
      </c>
      <c r="C77" s="374" t="s">
        <v>246</v>
      </c>
      <c r="D77" s="374" t="s">
        <v>258</v>
      </c>
      <c r="E77" s="374" t="s">
        <v>269</v>
      </c>
      <c r="F77" s="374" t="s">
        <v>279</v>
      </c>
      <c r="G77" s="374" t="s">
        <v>287</v>
      </c>
      <c r="H77" s="359"/>
      <c r="I77" s="359"/>
      <c r="J77" s="359"/>
      <c r="K77" s="446"/>
      <c r="L77" s="447"/>
      <c r="M77" s="448"/>
      <c r="N77" s="432"/>
      <c r="O77" s="432"/>
      <c r="P77" s="600"/>
      <c r="Q77" s="422"/>
      <c r="R77" s="338"/>
      <c r="S77" s="338"/>
      <c r="T77" s="338"/>
      <c r="U77" s="338"/>
      <c r="V77" s="338"/>
      <c r="W77" s="338"/>
      <c r="X77" s="338"/>
      <c r="Y77" s="338"/>
      <c r="Z77" s="338"/>
      <c r="AA77" s="338"/>
      <c r="AB77" s="338"/>
      <c r="AC77" s="338"/>
    </row>
    <row r="78" ht="15.75" spans="1:29">
      <c r="A78" s="266"/>
      <c r="B78" s="365"/>
      <c r="C78" s="366">
        <v>100</v>
      </c>
      <c r="D78" s="366">
        <f>C78-$K15</f>
        <v>100</v>
      </c>
      <c r="E78" s="366">
        <f>D78-$K15</f>
        <v>100</v>
      </c>
      <c r="F78" s="366">
        <f>E78-$K15</f>
        <v>100</v>
      </c>
      <c r="G78" s="366">
        <f>F78-$K15</f>
        <v>100</v>
      </c>
      <c r="H78" s="366"/>
      <c r="I78" s="366"/>
      <c r="J78" s="366"/>
      <c r="K78" s="366"/>
      <c r="L78" s="366"/>
      <c r="M78" s="438"/>
      <c r="N78" s="434"/>
      <c r="O78" s="434"/>
      <c r="P78" s="595"/>
      <c r="Q78" s="422"/>
      <c r="R78" s="338"/>
      <c r="S78" s="338"/>
      <c r="T78" s="338"/>
      <c r="U78" s="338"/>
      <c r="V78" s="338"/>
      <c r="W78" s="338"/>
      <c r="X78" s="338"/>
      <c r="Y78" s="338"/>
      <c r="Z78" s="338"/>
      <c r="AA78" s="338"/>
      <c r="AB78" s="338"/>
      <c r="AC78" s="338"/>
    </row>
    <row r="79" ht="15.75" spans="1:29">
      <c r="A79" s="266"/>
      <c r="B79" s="363" t="s">
        <v>229</v>
      </c>
      <c r="C79" s="376" t="s">
        <v>246</v>
      </c>
      <c r="D79" s="376" t="s">
        <v>258</v>
      </c>
      <c r="E79" s="376" t="s">
        <v>269</v>
      </c>
      <c r="F79" s="376" t="s">
        <v>279</v>
      </c>
      <c r="G79" s="376" t="s">
        <v>287</v>
      </c>
      <c r="H79" s="364"/>
      <c r="I79" s="364"/>
      <c r="J79" s="364"/>
      <c r="K79" s="435"/>
      <c r="L79" s="436"/>
      <c r="M79" s="437"/>
      <c r="N79" s="432"/>
      <c r="O79" s="432"/>
      <c r="P79" s="595"/>
      <c r="Q79" s="422"/>
      <c r="R79" s="338"/>
      <c r="S79" s="338"/>
      <c r="T79" s="338"/>
      <c r="U79" s="338"/>
      <c r="V79" s="338"/>
      <c r="W79" s="338"/>
      <c r="X79" s="338"/>
      <c r="Y79" s="338"/>
      <c r="Z79" s="338"/>
      <c r="AA79" s="338"/>
      <c r="AB79" s="338"/>
      <c r="AC79" s="338"/>
    </row>
    <row r="80" ht="15.75" spans="1:29">
      <c r="A80" s="266"/>
      <c r="B80" s="365"/>
      <c r="C80" s="366">
        <v>100</v>
      </c>
      <c r="D80" s="366">
        <f>C80-$K17</f>
        <v>100</v>
      </c>
      <c r="E80" s="366">
        <f>D80-$K17</f>
        <v>100</v>
      </c>
      <c r="F80" s="366">
        <f>E80-$K17</f>
        <v>100</v>
      </c>
      <c r="G80" s="366">
        <f>F80-$K17</f>
        <v>100</v>
      </c>
      <c r="H80" s="366"/>
      <c r="I80" s="366"/>
      <c r="J80" s="366"/>
      <c r="K80" s="366"/>
      <c r="L80" s="366"/>
      <c r="M80" s="438"/>
      <c r="N80" s="434"/>
      <c r="O80" s="434"/>
      <c r="P80" s="595"/>
      <c r="Q80" s="422"/>
      <c r="R80" s="338"/>
      <c r="S80" s="338"/>
      <c r="T80" s="338"/>
      <c r="U80" s="338"/>
      <c r="V80" s="338"/>
      <c r="W80" s="338"/>
      <c r="X80" s="338"/>
      <c r="Y80" s="338"/>
      <c r="Z80" s="338"/>
      <c r="AA80" s="338"/>
      <c r="AB80" s="338"/>
      <c r="AC80" s="338"/>
    </row>
    <row r="81" ht="15.75" spans="1:29">
      <c r="A81" s="266"/>
      <c r="B81" s="375" t="s">
        <v>231</v>
      </c>
      <c r="C81" s="376" t="s">
        <v>246</v>
      </c>
      <c r="D81" s="376" t="s">
        <v>258</v>
      </c>
      <c r="E81" s="376" t="s">
        <v>269</v>
      </c>
      <c r="F81" s="376" t="s">
        <v>279</v>
      </c>
      <c r="G81" s="376" t="s">
        <v>287</v>
      </c>
      <c r="H81" s="364"/>
      <c r="I81" s="364"/>
      <c r="J81" s="364"/>
      <c r="K81" s="435"/>
      <c r="L81" s="436"/>
      <c r="M81" s="437"/>
      <c r="N81" s="432"/>
      <c r="O81" s="432"/>
      <c r="P81" s="595"/>
      <c r="Q81" s="422"/>
      <c r="R81" s="338"/>
      <c r="S81" s="338"/>
      <c r="T81" s="338"/>
      <c r="U81" s="338"/>
      <c r="V81" s="338"/>
      <c r="W81" s="338"/>
      <c r="X81" s="338"/>
      <c r="Y81" s="338"/>
      <c r="Z81" s="338"/>
      <c r="AA81" s="338"/>
      <c r="AB81" s="338"/>
      <c r="AC81" s="338"/>
    </row>
    <row r="82" ht="15.75" spans="1:29">
      <c r="A82" s="266"/>
      <c r="B82" s="365"/>
      <c r="C82" s="366">
        <v>100</v>
      </c>
      <c r="D82" s="366">
        <f>C82-$K19</f>
        <v>100</v>
      </c>
      <c r="E82" s="366">
        <f>D82-$K19</f>
        <v>100</v>
      </c>
      <c r="F82" s="366">
        <f>E82-$K19</f>
        <v>100</v>
      </c>
      <c r="G82" s="366">
        <f>F82-$K19</f>
        <v>100</v>
      </c>
      <c r="H82" s="366"/>
      <c r="I82" s="366"/>
      <c r="J82" s="366"/>
      <c r="K82" s="366"/>
      <c r="L82" s="366"/>
      <c r="M82" s="438"/>
      <c r="N82" s="434"/>
      <c r="O82" s="434"/>
      <c r="P82" s="595"/>
      <c r="Q82" s="422"/>
      <c r="R82" s="338"/>
      <c r="S82" s="338"/>
      <c r="T82" s="338"/>
      <c r="U82" s="338"/>
      <c r="V82" s="338"/>
      <c r="W82" s="338"/>
      <c r="X82" s="338"/>
      <c r="Y82" s="338"/>
      <c r="Z82" s="338"/>
      <c r="AA82" s="338"/>
      <c r="AB82" s="338"/>
      <c r="AC82" s="338"/>
    </row>
    <row r="83" ht="15.75" spans="1:29">
      <c r="A83" s="266"/>
      <c r="B83" s="484" t="s">
        <v>232</v>
      </c>
      <c r="C83" s="485" t="s">
        <v>247</v>
      </c>
      <c r="D83" s="485" t="s">
        <v>259</v>
      </c>
      <c r="E83" s="485" t="s">
        <v>270</v>
      </c>
      <c r="F83" s="485" t="s">
        <v>280</v>
      </c>
      <c r="G83" s="485" t="s">
        <v>288</v>
      </c>
      <c r="H83" s="364"/>
      <c r="I83" s="364"/>
      <c r="J83" s="364"/>
      <c r="K83" s="364"/>
      <c r="L83" s="364"/>
      <c r="M83" s="492"/>
      <c r="N83" s="434"/>
      <c r="O83" s="434"/>
      <c r="P83" s="595"/>
      <c r="Q83" s="422"/>
      <c r="R83" s="338"/>
      <c r="S83" s="338"/>
      <c r="T83" s="338"/>
      <c r="U83" s="338"/>
      <c r="V83" s="338"/>
      <c r="W83" s="338"/>
      <c r="X83" s="338"/>
      <c r="Y83" s="338"/>
      <c r="Z83" s="338"/>
      <c r="AA83" s="338"/>
      <c r="AB83" s="338"/>
      <c r="AC83" s="338"/>
    </row>
    <row r="84" ht="15.75" spans="1:29">
      <c r="A84" s="266"/>
      <c r="B84" s="486"/>
      <c r="C84" s="366">
        <v>100</v>
      </c>
      <c r="D84" s="366">
        <f>C84-$K21</f>
        <v>100</v>
      </c>
      <c r="E84" s="366">
        <f>D84-$K21</f>
        <v>100</v>
      </c>
      <c r="F84" s="366">
        <f>E84-$K21</f>
        <v>100</v>
      </c>
      <c r="G84" s="366">
        <f>F84-$K21</f>
        <v>100</v>
      </c>
      <c r="H84" s="367"/>
      <c r="I84" s="367"/>
      <c r="J84" s="367"/>
      <c r="K84" s="367"/>
      <c r="L84" s="367"/>
      <c r="M84" s="271"/>
      <c r="N84" s="434"/>
      <c r="O84" s="434"/>
      <c r="P84" s="595"/>
      <c r="Q84" s="422"/>
      <c r="R84" s="338"/>
      <c r="S84" s="338"/>
      <c r="T84" s="338"/>
      <c r="U84" s="338"/>
      <c r="V84" s="338"/>
      <c r="W84" s="338"/>
      <c r="X84" s="338"/>
      <c r="Y84" s="338"/>
      <c r="Z84" s="338"/>
      <c r="AA84" s="338"/>
      <c r="AB84" s="338"/>
      <c r="AC84" s="338"/>
    </row>
    <row r="85" ht="15.75" spans="1:29">
      <c r="A85" s="266"/>
      <c r="B85" s="363" t="s">
        <v>233</v>
      </c>
      <c r="C85" s="376" t="s">
        <v>246</v>
      </c>
      <c r="D85" s="376" t="s">
        <v>258</v>
      </c>
      <c r="E85" s="376" t="s">
        <v>269</v>
      </c>
      <c r="F85" s="376" t="s">
        <v>279</v>
      </c>
      <c r="G85" s="376" t="s">
        <v>287</v>
      </c>
      <c r="H85" s="364"/>
      <c r="I85" s="364"/>
      <c r="J85" s="364"/>
      <c r="K85" s="435"/>
      <c r="L85" s="436"/>
      <c r="M85" s="437"/>
      <c r="N85" s="432"/>
      <c r="O85" s="432"/>
      <c r="P85" s="595"/>
      <c r="Q85" s="422"/>
      <c r="R85" s="338"/>
      <c r="S85" s="338"/>
      <c r="T85" s="338"/>
      <c r="U85" s="338"/>
      <c r="V85" s="338"/>
      <c r="W85" s="338"/>
      <c r="X85" s="338"/>
      <c r="Y85" s="338"/>
      <c r="Z85" s="338"/>
      <c r="AA85" s="338"/>
      <c r="AB85" s="338"/>
      <c r="AC85" s="338"/>
    </row>
    <row r="86" ht="15.75" spans="1:29">
      <c r="A86" s="266"/>
      <c r="B86" s="365"/>
      <c r="C86" s="366">
        <v>100</v>
      </c>
      <c r="D86" s="366">
        <f>C86-$K23</f>
        <v>100</v>
      </c>
      <c r="E86" s="366">
        <f>D86-$K23</f>
        <v>100</v>
      </c>
      <c r="F86" s="366">
        <f>E86-$K23</f>
        <v>100</v>
      </c>
      <c r="G86" s="366">
        <f>F86-$K23</f>
        <v>100</v>
      </c>
      <c r="H86" s="366"/>
      <c r="I86" s="366"/>
      <c r="J86" s="366"/>
      <c r="K86" s="366"/>
      <c r="L86" s="366"/>
      <c r="M86" s="438"/>
      <c r="N86" s="434"/>
      <c r="O86" s="434"/>
      <c r="P86" s="595"/>
      <c r="Q86" s="422"/>
      <c r="R86" s="338"/>
      <c r="S86" s="338"/>
      <c r="T86" s="338"/>
      <c r="U86" s="338"/>
      <c r="V86" s="338"/>
      <c r="W86" s="338"/>
      <c r="X86" s="338"/>
      <c r="Y86" s="338"/>
      <c r="Z86" s="338"/>
      <c r="AA86" s="338"/>
      <c r="AB86" s="338"/>
      <c r="AC86" s="338"/>
    </row>
    <row r="87" s="189" customFormat="1" ht="27.75" spans="1:29">
      <c r="A87" s="290"/>
      <c r="B87" s="363" t="s">
        <v>952</v>
      </c>
      <c r="C87" s="371"/>
      <c r="D87" s="371"/>
      <c r="E87" s="371"/>
      <c r="F87" s="371"/>
      <c r="G87" s="371"/>
      <c r="H87" s="371"/>
      <c r="I87" s="371"/>
      <c r="J87" s="371"/>
      <c r="K87" s="371"/>
      <c r="L87" s="496"/>
      <c r="M87" s="497"/>
      <c r="N87" s="427"/>
      <c r="O87" s="427"/>
      <c r="P87" s="595"/>
      <c r="Q87" s="422"/>
      <c r="R87" s="387"/>
      <c r="S87" s="387"/>
      <c r="T87" s="387"/>
      <c r="U87" s="387"/>
      <c r="V87" s="387"/>
      <c r="W87" s="387"/>
      <c r="X87" s="387"/>
      <c r="Y87" s="387"/>
      <c r="Z87" s="387"/>
      <c r="AA87" s="387"/>
      <c r="AB87" s="387"/>
      <c r="AC87" s="387"/>
    </row>
    <row r="88" s="189" customFormat="1" ht="15.75" spans="1:29">
      <c r="A88" s="290"/>
      <c r="B88" s="365"/>
      <c r="C88" s="488">
        <v>100</v>
      </c>
      <c r="D88" s="366">
        <f t="shared" ref="D88:M88" si="19">C88-$K25</f>
        <v>100</v>
      </c>
      <c r="E88" s="366">
        <f t="shared" si="19"/>
        <v>100</v>
      </c>
      <c r="F88" s="366">
        <f t="shared" si="19"/>
        <v>100</v>
      </c>
      <c r="G88" s="366">
        <f t="shared" si="19"/>
        <v>100</v>
      </c>
      <c r="H88" s="366">
        <f t="shared" si="19"/>
        <v>100</v>
      </c>
      <c r="I88" s="366">
        <f t="shared" si="19"/>
        <v>100</v>
      </c>
      <c r="J88" s="366">
        <f t="shared" si="19"/>
        <v>100</v>
      </c>
      <c r="K88" s="366">
        <f t="shared" si="19"/>
        <v>100</v>
      </c>
      <c r="L88" s="366">
        <f t="shared" si="19"/>
        <v>100</v>
      </c>
      <c r="M88" s="366">
        <f t="shared" si="19"/>
        <v>100</v>
      </c>
      <c r="N88" s="434"/>
      <c r="O88" s="434"/>
      <c r="P88" s="595"/>
      <c r="Q88" s="422"/>
      <c r="R88" s="387"/>
      <c r="S88" s="387"/>
      <c r="T88" s="387"/>
      <c r="U88" s="387"/>
      <c r="V88" s="387"/>
      <c r="W88" s="387"/>
      <c r="X88" s="387"/>
      <c r="Y88" s="387"/>
      <c r="Z88" s="387"/>
      <c r="AA88" s="387"/>
      <c r="AB88" s="387"/>
      <c r="AC88" s="387"/>
    </row>
    <row r="89" s="189" customFormat="1" ht="15.75" spans="1:29">
      <c r="A89" s="290"/>
      <c r="B89" s="363" t="str">
        <f>B27</f>
        <v>楼层</v>
      </c>
      <c r="C89" s="371"/>
      <c r="D89" s="371"/>
      <c r="E89" s="371"/>
      <c r="F89" s="596"/>
      <c r="G89" s="371"/>
      <c r="H89" s="371"/>
      <c r="I89" s="371"/>
      <c r="J89" s="371"/>
      <c r="K89" s="371"/>
      <c r="L89" s="371"/>
      <c r="M89" s="497"/>
      <c r="N89" s="427"/>
      <c r="O89" s="427"/>
      <c r="P89" s="595"/>
      <c r="Q89" s="422"/>
      <c r="R89" s="387"/>
      <c r="S89" s="387"/>
      <c r="T89" s="387"/>
      <c r="U89" s="387"/>
      <c r="V89" s="387"/>
      <c r="W89" s="387"/>
      <c r="X89" s="387"/>
      <c r="Y89" s="387"/>
      <c r="Z89" s="387"/>
      <c r="AA89" s="387"/>
      <c r="AB89" s="387"/>
      <c r="AC89" s="387"/>
    </row>
    <row r="90" s="189" customFormat="1" ht="15.75" spans="1:29">
      <c r="A90" s="290"/>
      <c r="B90" s="365"/>
      <c r="C90" s="488">
        <v>100</v>
      </c>
      <c r="D90" s="366">
        <f>C90-$K27</f>
        <v>100</v>
      </c>
      <c r="E90" s="366">
        <f t="shared" ref="E90:M90" si="20">D90-$K27</f>
        <v>100</v>
      </c>
      <c r="F90" s="366">
        <f t="shared" si="20"/>
        <v>100</v>
      </c>
      <c r="G90" s="366">
        <f t="shared" si="20"/>
        <v>100</v>
      </c>
      <c r="H90" s="366">
        <f t="shared" si="20"/>
        <v>100</v>
      </c>
      <c r="I90" s="366">
        <f t="shared" si="20"/>
        <v>100</v>
      </c>
      <c r="J90" s="366">
        <f t="shared" si="20"/>
        <v>100</v>
      </c>
      <c r="K90" s="366">
        <f t="shared" si="20"/>
        <v>100</v>
      </c>
      <c r="L90" s="366">
        <f t="shared" si="20"/>
        <v>100</v>
      </c>
      <c r="M90" s="366">
        <f t="shared" si="20"/>
        <v>100</v>
      </c>
      <c r="N90" s="434"/>
      <c r="O90" s="434"/>
      <c r="P90" s="595"/>
      <c r="Q90" s="422"/>
      <c r="R90" s="387"/>
      <c r="S90" s="387"/>
      <c r="T90" s="387"/>
      <c r="U90" s="387"/>
      <c r="V90" s="387"/>
      <c r="W90" s="387"/>
      <c r="X90" s="387"/>
      <c r="Y90" s="387"/>
      <c r="Z90" s="387"/>
      <c r="AA90" s="387"/>
      <c r="AB90" s="387"/>
      <c r="AC90" s="387"/>
    </row>
    <row r="91" s="191" customFormat="1" ht="15.75" spans="1:29">
      <c r="A91" s="370"/>
      <c r="B91" s="363" t="str">
        <f>B28</f>
        <v>朝向</v>
      </c>
      <c r="C91" s="371"/>
      <c r="D91" s="371"/>
      <c r="E91" s="371"/>
      <c r="F91" s="371"/>
      <c r="G91" s="371"/>
      <c r="H91" s="372"/>
      <c r="I91" s="372"/>
      <c r="J91" s="372"/>
      <c r="K91" s="372"/>
      <c r="L91" s="442"/>
      <c r="M91" s="443"/>
      <c r="N91" s="444"/>
      <c r="O91" s="444"/>
      <c r="P91" s="597"/>
      <c r="Q91" s="475"/>
      <c r="R91" s="404"/>
      <c r="S91" s="404"/>
      <c r="T91" s="404"/>
      <c r="U91" s="404"/>
      <c r="V91" s="404"/>
      <c r="W91" s="404"/>
      <c r="X91" s="404"/>
      <c r="Y91" s="404"/>
      <c r="Z91" s="404"/>
      <c r="AA91" s="404"/>
      <c r="AB91" s="404"/>
      <c r="AC91" s="404"/>
    </row>
    <row r="92" s="191" customFormat="1" ht="15.75" spans="1:29">
      <c r="A92" s="370"/>
      <c r="B92" s="365"/>
      <c r="C92" s="488">
        <v>100</v>
      </c>
      <c r="D92" s="366">
        <f t="shared" ref="D92:M92" si="21">C92-$K28</f>
        <v>100</v>
      </c>
      <c r="E92" s="366">
        <f t="shared" si="21"/>
        <v>100</v>
      </c>
      <c r="F92" s="366">
        <f t="shared" si="21"/>
        <v>100</v>
      </c>
      <c r="G92" s="366">
        <f t="shared" si="21"/>
        <v>100</v>
      </c>
      <c r="H92" s="366">
        <f t="shared" si="21"/>
        <v>100</v>
      </c>
      <c r="I92" s="366">
        <f t="shared" si="21"/>
        <v>100</v>
      </c>
      <c r="J92" s="366">
        <f t="shared" si="21"/>
        <v>100</v>
      </c>
      <c r="K92" s="366">
        <f t="shared" si="21"/>
        <v>100</v>
      </c>
      <c r="L92" s="366">
        <f t="shared" si="21"/>
        <v>100</v>
      </c>
      <c r="M92" s="366">
        <f t="shared" si="21"/>
        <v>100</v>
      </c>
      <c r="N92" s="444"/>
      <c r="O92" s="444"/>
      <c r="P92" s="597"/>
      <c r="Q92" s="475"/>
      <c r="R92" s="404"/>
      <c r="S92" s="404"/>
      <c r="T92" s="404"/>
      <c r="U92" s="404"/>
      <c r="V92" s="404"/>
      <c r="W92" s="404"/>
      <c r="X92" s="404"/>
      <c r="Y92" s="404"/>
      <c r="Z92" s="404"/>
      <c r="AA92" s="404"/>
      <c r="AB92" s="404"/>
      <c r="AC92" s="404"/>
    </row>
    <row r="93" ht="15.75" spans="1:29">
      <c r="A93" s="266"/>
      <c r="B93" s="363">
        <f>B29</f>
        <v>111</v>
      </c>
      <c r="C93" s="371"/>
      <c r="D93" s="371"/>
      <c r="E93" s="371"/>
      <c r="F93" s="371"/>
      <c r="G93" s="371"/>
      <c r="H93" s="371"/>
      <c r="I93" s="371"/>
      <c r="J93" s="371"/>
      <c r="K93" s="371"/>
      <c r="L93" s="496"/>
      <c r="M93" s="497"/>
      <c r="N93" s="432"/>
      <c r="O93" s="432"/>
      <c r="P93" s="595"/>
      <c r="Q93" s="422"/>
      <c r="R93" s="338"/>
      <c r="S93" s="338"/>
      <c r="T93" s="338"/>
      <c r="U93" s="338"/>
      <c r="V93" s="338"/>
      <c r="W93" s="338"/>
      <c r="X93" s="338"/>
      <c r="Y93" s="338"/>
      <c r="Z93" s="338"/>
      <c r="AA93" s="338"/>
      <c r="AB93" s="338"/>
      <c r="AC93" s="338"/>
    </row>
    <row r="94" ht="15.75" spans="1:29">
      <c r="A94" s="266"/>
      <c r="B94" s="365"/>
      <c r="C94" s="369"/>
      <c r="D94" s="362"/>
      <c r="E94" s="362"/>
      <c r="F94" s="362"/>
      <c r="G94" s="362"/>
      <c r="H94" s="362"/>
      <c r="I94" s="362"/>
      <c r="J94" s="362"/>
      <c r="K94" s="362"/>
      <c r="L94" s="362"/>
      <c r="M94" s="433"/>
      <c r="N94" s="434"/>
      <c r="O94" s="434"/>
      <c r="P94" s="595"/>
      <c r="Q94" s="422"/>
      <c r="R94" s="338"/>
      <c r="S94" s="338"/>
      <c r="T94" s="338"/>
      <c r="U94" s="338"/>
      <c r="V94" s="338"/>
      <c r="W94" s="338"/>
      <c r="X94" s="338"/>
      <c r="Y94" s="338"/>
      <c r="Z94" s="338"/>
      <c r="AA94" s="338"/>
      <c r="AB94" s="338"/>
      <c r="AC94" s="338"/>
    </row>
    <row r="95" ht="15.75" spans="1:29">
      <c r="A95" s="266"/>
      <c r="B95" s="363">
        <f>B30</f>
        <v>111</v>
      </c>
      <c r="C95" s="371"/>
      <c r="D95" s="371"/>
      <c r="E95" s="371"/>
      <c r="F95" s="371"/>
      <c r="G95" s="487"/>
      <c r="H95" s="487"/>
      <c r="I95" s="487"/>
      <c r="J95" s="487"/>
      <c r="K95" s="493"/>
      <c r="L95" s="494"/>
      <c r="M95" s="495"/>
      <c r="N95" s="432"/>
      <c r="O95" s="432"/>
      <c r="P95" s="595"/>
      <c r="Q95" s="422"/>
      <c r="R95" s="338"/>
      <c r="S95" s="338"/>
      <c r="T95" s="338"/>
      <c r="U95" s="338"/>
      <c r="V95" s="338"/>
      <c r="W95" s="338"/>
      <c r="X95" s="338"/>
      <c r="Y95" s="338"/>
      <c r="Z95" s="338"/>
      <c r="AA95" s="338"/>
      <c r="AB95" s="338"/>
      <c r="AC95" s="338"/>
    </row>
    <row r="96" ht="15.75" spans="1:29">
      <c r="A96" s="266"/>
      <c r="B96" s="365"/>
      <c r="C96" s="369"/>
      <c r="D96" s="369"/>
      <c r="E96" s="369"/>
      <c r="F96" s="369"/>
      <c r="G96" s="362"/>
      <c r="H96" s="362"/>
      <c r="I96" s="362"/>
      <c r="J96" s="362"/>
      <c r="K96" s="362"/>
      <c r="L96" s="362"/>
      <c r="M96" s="433"/>
      <c r="N96" s="434"/>
      <c r="O96" s="434"/>
      <c r="P96" s="595"/>
      <c r="Q96" s="422"/>
      <c r="R96" s="338"/>
      <c r="S96" s="338"/>
      <c r="T96" s="338"/>
      <c r="U96" s="338"/>
      <c r="V96" s="338"/>
      <c r="W96" s="338"/>
      <c r="X96" s="338"/>
      <c r="Y96" s="338"/>
      <c r="Z96" s="338"/>
      <c r="AA96" s="338"/>
      <c r="AB96" s="338"/>
      <c r="AC96" s="338"/>
    </row>
    <row r="97" ht="15.75" spans="1:29">
      <c r="A97" s="266"/>
      <c r="B97" s="363">
        <f>B31</f>
        <v>111</v>
      </c>
      <c r="C97" s="371"/>
      <c r="D97" s="371"/>
      <c r="E97" s="371"/>
      <c r="F97" s="371"/>
      <c r="G97" s="487"/>
      <c r="H97" s="487"/>
      <c r="I97" s="487"/>
      <c r="J97" s="487"/>
      <c r="K97" s="493"/>
      <c r="L97" s="494"/>
      <c r="M97" s="495"/>
      <c r="N97" s="432"/>
      <c r="O97" s="432"/>
      <c r="P97" s="595"/>
      <c r="Q97" s="422"/>
      <c r="R97" s="338"/>
      <c r="S97" s="338"/>
      <c r="T97" s="338"/>
      <c r="U97" s="338"/>
      <c r="V97" s="338"/>
      <c r="W97" s="338"/>
      <c r="X97" s="338"/>
      <c r="Y97" s="338"/>
      <c r="Z97" s="338"/>
      <c r="AA97" s="338"/>
      <c r="AB97" s="338"/>
      <c r="AC97" s="338"/>
    </row>
    <row r="98" ht="15.75" spans="1:29">
      <c r="A98" s="266"/>
      <c r="B98" s="365"/>
      <c r="C98" s="369"/>
      <c r="D98" s="362"/>
      <c r="E98" s="362"/>
      <c r="F98" s="362"/>
      <c r="G98" s="362"/>
      <c r="H98" s="362"/>
      <c r="I98" s="362"/>
      <c r="J98" s="362"/>
      <c r="K98" s="362"/>
      <c r="L98" s="362"/>
      <c r="M98" s="433"/>
      <c r="N98" s="434"/>
      <c r="O98" s="434"/>
      <c r="P98" s="595"/>
      <c r="Q98" s="422"/>
      <c r="R98" s="338"/>
      <c r="S98" s="338"/>
      <c r="T98" s="338"/>
      <c r="U98" s="338"/>
      <c r="V98" s="338"/>
      <c r="W98" s="338"/>
      <c r="X98" s="338"/>
      <c r="Y98" s="338"/>
      <c r="Z98" s="338"/>
      <c r="AA98" s="338"/>
      <c r="AB98" s="338"/>
      <c r="AC98" s="338"/>
    </row>
    <row r="99" ht="15.75" spans="1:29">
      <c r="A99" s="266"/>
      <c r="B99" s="486">
        <f>B32</f>
        <v>111</v>
      </c>
      <c r="C99" s="356"/>
      <c r="D99" s="356"/>
      <c r="E99" s="356"/>
      <c r="F99" s="356"/>
      <c r="G99" s="559"/>
      <c r="H99" s="559"/>
      <c r="I99" s="559"/>
      <c r="J99" s="559"/>
      <c r="K99" s="566"/>
      <c r="L99" s="567"/>
      <c r="M99" s="568"/>
      <c r="N99" s="432"/>
      <c r="O99" s="432"/>
      <c r="P99" s="595"/>
      <c r="Q99" s="422"/>
      <c r="R99" s="338"/>
      <c r="S99" s="338"/>
      <c r="T99" s="338"/>
      <c r="U99" s="338"/>
      <c r="V99" s="338"/>
      <c r="W99" s="338"/>
      <c r="X99" s="338"/>
      <c r="Y99" s="338"/>
      <c r="Z99" s="338"/>
      <c r="AA99" s="338"/>
      <c r="AB99" s="338"/>
      <c r="AC99" s="338"/>
    </row>
    <row r="100" ht="15.75" spans="1:29">
      <c r="A100" s="549"/>
      <c r="B100" s="556"/>
      <c r="C100" s="557"/>
      <c r="D100" s="557"/>
      <c r="E100" s="557"/>
      <c r="F100" s="557"/>
      <c r="G100" s="560"/>
      <c r="H100" s="560"/>
      <c r="I100" s="560"/>
      <c r="J100" s="560"/>
      <c r="K100" s="560"/>
      <c r="L100" s="560"/>
      <c r="M100" s="569"/>
      <c r="N100" s="434"/>
      <c r="O100" s="434"/>
      <c r="P100" s="595"/>
      <c r="Q100" s="422"/>
      <c r="R100" s="338"/>
      <c r="S100" s="338"/>
      <c r="T100" s="338"/>
      <c r="U100" s="338"/>
      <c r="V100" s="338"/>
      <c r="W100" s="338"/>
      <c r="X100" s="338"/>
      <c r="Y100" s="338"/>
      <c r="Z100" s="338"/>
      <c r="AA100" s="338"/>
      <c r="AB100" s="338"/>
      <c r="AC100" s="338"/>
    </row>
    <row r="101" spans="1:29">
      <c r="A101" s="357" t="s">
        <v>1002</v>
      </c>
      <c r="B101" s="358" t="s">
        <v>2360</v>
      </c>
      <c r="C101" s="360"/>
      <c r="D101" s="360"/>
      <c r="E101" s="360"/>
      <c r="F101" s="360"/>
      <c r="G101" s="360"/>
      <c r="H101" s="360"/>
      <c r="I101" s="360"/>
      <c r="J101" s="360"/>
      <c r="K101" s="429"/>
      <c r="L101" s="430"/>
      <c r="M101" s="431"/>
      <c r="N101" s="432"/>
      <c r="O101" s="432"/>
      <c r="P101" s="595"/>
      <c r="Q101" s="422"/>
      <c r="R101" s="338"/>
      <c r="S101" s="338"/>
      <c r="T101" s="338"/>
      <c r="U101" s="338"/>
      <c r="V101" s="338"/>
      <c r="W101" s="338"/>
      <c r="X101" s="338"/>
      <c r="Y101" s="338"/>
      <c r="Z101" s="338"/>
      <c r="AA101" s="338"/>
      <c r="AB101" s="338"/>
      <c r="AC101" s="338"/>
    </row>
    <row r="102" ht="15.75" spans="1:29">
      <c r="A102" s="266"/>
      <c r="B102" s="365"/>
      <c r="C102" s="366">
        <v>100</v>
      </c>
      <c r="D102" s="366">
        <f t="shared" ref="D102:M102" si="22">C102-$K33</f>
        <v>100</v>
      </c>
      <c r="E102" s="366">
        <f t="shared" si="22"/>
        <v>100</v>
      </c>
      <c r="F102" s="366">
        <f t="shared" si="22"/>
        <v>100</v>
      </c>
      <c r="G102" s="366">
        <f t="shared" si="22"/>
        <v>100</v>
      </c>
      <c r="H102" s="366">
        <f t="shared" si="22"/>
        <v>100</v>
      </c>
      <c r="I102" s="366">
        <f t="shared" si="22"/>
        <v>100</v>
      </c>
      <c r="J102" s="366">
        <f t="shared" si="22"/>
        <v>100</v>
      </c>
      <c r="K102" s="366">
        <f t="shared" si="22"/>
        <v>100</v>
      </c>
      <c r="L102" s="366">
        <f t="shared" si="22"/>
        <v>100</v>
      </c>
      <c r="M102" s="438">
        <f t="shared" si="22"/>
        <v>100</v>
      </c>
      <c r="N102" s="434"/>
      <c r="O102" s="434"/>
      <c r="P102" s="595"/>
      <c r="Q102" s="422"/>
      <c r="R102" s="338"/>
      <c r="S102" s="338"/>
      <c r="T102" s="338"/>
      <c r="U102" s="338"/>
      <c r="V102" s="338"/>
      <c r="W102" s="338"/>
      <c r="X102" s="338"/>
      <c r="Y102" s="338"/>
      <c r="Z102" s="338"/>
      <c r="AA102" s="338"/>
      <c r="AB102" s="338"/>
      <c r="AC102" s="338"/>
    </row>
    <row r="103" ht="15.75" spans="1:29">
      <c r="A103" s="266"/>
      <c r="B103" s="363" t="s">
        <v>2362</v>
      </c>
      <c r="C103" s="376" t="str">
        <f>C104&amp;"(含)"&amp;"-"&amp;D104</f>
        <v>(含)-</v>
      </c>
      <c r="D103" s="376" t="str">
        <f t="shared" ref="D103:L103" si="23">D104&amp;"(含)"&amp;"-"&amp;E104</f>
        <v>(含)-</v>
      </c>
      <c r="E103" s="376" t="str">
        <f t="shared" si="23"/>
        <v>(含)-</v>
      </c>
      <c r="F103" s="376" t="str">
        <f t="shared" si="23"/>
        <v>(含)-</v>
      </c>
      <c r="G103" s="376" t="str">
        <f t="shared" si="23"/>
        <v>(含)-</v>
      </c>
      <c r="H103" s="376" t="str">
        <f t="shared" si="23"/>
        <v>(含)-</v>
      </c>
      <c r="I103" s="376" t="str">
        <f t="shared" si="23"/>
        <v>(含)-</v>
      </c>
      <c r="J103" s="376" t="str">
        <f t="shared" si="23"/>
        <v>(含)-</v>
      </c>
      <c r="K103" s="376" t="str">
        <f t="shared" si="23"/>
        <v>(含)-</v>
      </c>
      <c r="L103" s="376" t="str">
        <f t="shared" si="23"/>
        <v>(含)-</v>
      </c>
      <c r="M103" s="501" t="str">
        <f>M104&amp;"(含)"&amp;"-"&amp;P104</f>
        <v>(含)-</v>
      </c>
      <c r="N103" s="427"/>
      <c r="O103" s="427"/>
      <c r="P103" s="595"/>
      <c r="Q103" s="422"/>
      <c r="R103" s="338"/>
      <c r="S103" s="338"/>
      <c r="T103" s="338"/>
      <c r="U103" s="338"/>
      <c r="V103" s="338"/>
      <c r="W103" s="338"/>
      <c r="X103" s="338"/>
      <c r="Y103" s="338"/>
      <c r="Z103" s="338"/>
      <c r="AA103" s="338"/>
      <c r="AB103" s="338"/>
      <c r="AC103" s="338"/>
    </row>
    <row r="104" s="191" customFormat="1" ht="15" spans="1:29">
      <c r="A104" s="296"/>
      <c r="B104" s="561"/>
      <c r="C104" s="489"/>
      <c r="D104" s="489"/>
      <c r="E104" s="489"/>
      <c r="F104" s="489"/>
      <c r="G104" s="489"/>
      <c r="H104" s="489"/>
      <c r="I104" s="489"/>
      <c r="J104" s="502"/>
      <c r="K104" s="502"/>
      <c r="L104" s="503"/>
      <c r="M104" s="504"/>
      <c r="N104" s="444"/>
      <c r="O104" s="444"/>
      <c r="P104" s="597"/>
      <c r="Q104" s="475"/>
      <c r="R104" s="404"/>
      <c r="S104" s="404"/>
      <c r="T104" s="404"/>
      <c r="U104" s="404"/>
      <c r="V104" s="404"/>
      <c r="W104" s="404"/>
      <c r="X104" s="404"/>
      <c r="Y104" s="404"/>
      <c r="Z104" s="404"/>
      <c r="AA104" s="404"/>
      <c r="AB104" s="404"/>
      <c r="AC104" s="404"/>
    </row>
    <row r="105" s="191" customFormat="1" ht="15.75" spans="1:29">
      <c r="A105" s="370"/>
      <c r="B105" s="365"/>
      <c r="C105" s="369"/>
      <c r="D105" s="362"/>
      <c r="E105" s="362"/>
      <c r="F105" s="362"/>
      <c r="G105" s="362"/>
      <c r="H105" s="362"/>
      <c r="I105" s="362"/>
      <c r="J105" s="362"/>
      <c r="K105" s="362"/>
      <c r="L105" s="362"/>
      <c r="M105" s="433"/>
      <c r="N105" s="434"/>
      <c r="O105" s="434"/>
      <c r="P105" s="597"/>
      <c r="Q105" s="475"/>
      <c r="R105" s="404"/>
      <c r="S105" s="404"/>
      <c r="T105" s="404"/>
      <c r="U105" s="404"/>
      <c r="V105" s="404"/>
      <c r="W105" s="404"/>
      <c r="X105" s="404"/>
      <c r="Y105" s="404"/>
      <c r="Z105" s="404"/>
      <c r="AA105" s="404"/>
      <c r="AB105" s="404"/>
      <c r="AC105" s="404"/>
    </row>
    <row r="106" ht="15.75" spans="1:29">
      <c r="A106" s="301"/>
      <c r="B106" s="363" t="s">
        <v>2363</v>
      </c>
      <c r="C106" s="371"/>
      <c r="D106" s="371"/>
      <c r="E106" s="487"/>
      <c r="F106" s="487"/>
      <c r="G106" s="487"/>
      <c r="H106" s="487"/>
      <c r="I106" s="487"/>
      <c r="J106" s="487"/>
      <c r="K106" s="493"/>
      <c r="L106" s="494"/>
      <c r="M106" s="495"/>
      <c r="N106" s="432"/>
      <c r="O106" s="432"/>
      <c r="P106" s="595"/>
      <c r="Q106" s="422"/>
      <c r="R106" s="338"/>
      <c r="S106" s="338"/>
      <c r="T106" s="338"/>
      <c r="U106" s="338"/>
      <c r="V106" s="338"/>
      <c r="W106" s="338"/>
      <c r="X106" s="338"/>
      <c r="Y106" s="338"/>
      <c r="Z106" s="338"/>
      <c r="AA106" s="338"/>
      <c r="AB106" s="338"/>
      <c r="AC106" s="338"/>
    </row>
    <row r="107" ht="15.75" spans="1:29">
      <c r="A107" s="266"/>
      <c r="B107" s="365"/>
      <c r="C107" s="366">
        <v>100</v>
      </c>
      <c r="D107" s="366">
        <f t="shared" ref="D107:M107" si="24">C107-$K35</f>
        <v>100</v>
      </c>
      <c r="E107" s="366">
        <f t="shared" si="24"/>
        <v>100</v>
      </c>
      <c r="F107" s="366">
        <f t="shared" si="24"/>
        <v>100</v>
      </c>
      <c r="G107" s="366">
        <f t="shared" si="24"/>
        <v>100</v>
      </c>
      <c r="H107" s="366">
        <f t="shared" si="24"/>
        <v>100</v>
      </c>
      <c r="I107" s="366">
        <f t="shared" si="24"/>
        <v>100</v>
      </c>
      <c r="J107" s="366">
        <f t="shared" si="24"/>
        <v>100</v>
      </c>
      <c r="K107" s="366">
        <f t="shared" si="24"/>
        <v>100</v>
      </c>
      <c r="L107" s="366">
        <f t="shared" si="24"/>
        <v>100</v>
      </c>
      <c r="M107" s="438">
        <f t="shared" si="24"/>
        <v>100</v>
      </c>
      <c r="N107" s="434"/>
      <c r="O107" s="434"/>
      <c r="P107" s="595"/>
      <c r="Q107" s="422"/>
      <c r="R107" s="338"/>
      <c r="S107" s="338"/>
      <c r="T107" s="338"/>
      <c r="U107" s="338"/>
      <c r="V107" s="338"/>
      <c r="W107" s="338"/>
      <c r="X107" s="338"/>
      <c r="Y107" s="338"/>
      <c r="Z107" s="338"/>
      <c r="AA107" s="338"/>
      <c r="AB107" s="338"/>
      <c r="AC107" s="338"/>
    </row>
    <row r="108" ht="15.75" spans="1:29">
      <c r="A108" s="301"/>
      <c r="B108" s="363" t="s">
        <v>2365</v>
      </c>
      <c r="C108" s="371"/>
      <c r="D108" s="371"/>
      <c r="E108" s="371"/>
      <c r="F108" s="487"/>
      <c r="G108" s="487"/>
      <c r="H108" s="487"/>
      <c r="I108" s="487"/>
      <c r="J108" s="487"/>
      <c r="K108" s="493"/>
      <c r="L108" s="494"/>
      <c r="M108" s="495"/>
      <c r="N108" s="432"/>
      <c r="O108" s="432"/>
      <c r="P108" s="595"/>
      <c r="Q108" s="422"/>
      <c r="R108" s="338"/>
      <c r="S108" s="338"/>
      <c r="T108" s="338"/>
      <c r="U108" s="338"/>
      <c r="V108" s="338"/>
      <c r="W108" s="338"/>
      <c r="X108" s="338"/>
      <c r="Y108" s="338"/>
      <c r="Z108" s="338"/>
      <c r="AA108" s="338"/>
      <c r="AB108" s="338"/>
      <c r="AC108" s="338"/>
    </row>
    <row r="109" ht="15.75" spans="1:29">
      <c r="A109" s="266"/>
      <c r="B109" s="365"/>
      <c r="C109" s="366">
        <v>100</v>
      </c>
      <c r="D109" s="366">
        <f t="shared" ref="D109:M109" si="25">C109-$K36</f>
        <v>100</v>
      </c>
      <c r="E109" s="366">
        <f t="shared" si="25"/>
        <v>100</v>
      </c>
      <c r="F109" s="366">
        <f t="shared" si="25"/>
        <v>100</v>
      </c>
      <c r="G109" s="366">
        <f t="shared" si="25"/>
        <v>100</v>
      </c>
      <c r="H109" s="366">
        <f t="shared" si="25"/>
        <v>100</v>
      </c>
      <c r="I109" s="366">
        <f t="shared" si="25"/>
        <v>100</v>
      </c>
      <c r="J109" s="366">
        <f t="shared" si="25"/>
        <v>100</v>
      </c>
      <c r="K109" s="366">
        <f t="shared" si="25"/>
        <v>100</v>
      </c>
      <c r="L109" s="366">
        <f t="shared" si="25"/>
        <v>100</v>
      </c>
      <c r="M109" s="438">
        <f t="shared" si="25"/>
        <v>100</v>
      </c>
      <c r="N109" s="434"/>
      <c r="O109" s="434"/>
      <c r="P109" s="595"/>
      <c r="Q109" s="422"/>
      <c r="R109" s="338"/>
      <c r="S109" s="338"/>
      <c r="T109" s="338"/>
      <c r="U109" s="338"/>
      <c r="V109" s="338"/>
      <c r="W109" s="338"/>
      <c r="X109" s="338"/>
      <c r="Y109" s="338"/>
      <c r="Z109" s="338"/>
      <c r="AA109" s="338"/>
      <c r="AB109" s="338"/>
      <c r="AC109" s="338"/>
    </row>
    <row r="110" ht="15.75" spans="1:29">
      <c r="A110" s="301"/>
      <c r="B110" s="363" t="s">
        <v>2367</v>
      </c>
      <c r="C110" s="376" t="str">
        <f>C111&amp;"(含)"&amp;"-"&amp;D111</f>
        <v>0.5(含)-0.6</v>
      </c>
      <c r="D110" s="376" t="str">
        <f>D111&amp;"(含)"&amp;"-"&amp;E111</f>
        <v>0.6(含)-0.7</v>
      </c>
      <c r="E110" s="376" t="str">
        <f>E111&amp;"(含)"&amp;"-"&amp;F111</f>
        <v>0.7(含)-0.8</v>
      </c>
      <c r="F110" s="376" t="str">
        <f>F111&amp;"(含)"&amp;"-"&amp;G111</f>
        <v>0.8(含)-0.9</v>
      </c>
      <c r="G110" s="376" t="str">
        <f>G111&amp;"(含)"&amp;"-"&amp;ROUND(H111,0)</f>
        <v>0.9(含)-1</v>
      </c>
      <c r="H110" s="376"/>
      <c r="I110" s="487"/>
      <c r="J110" s="487"/>
      <c r="K110" s="493"/>
      <c r="L110" s="494"/>
      <c r="M110" s="495"/>
      <c r="N110" s="432"/>
      <c r="O110" s="432"/>
      <c r="P110" s="595"/>
      <c r="Q110" s="422"/>
      <c r="R110" s="338"/>
      <c r="S110" s="338"/>
      <c r="T110" s="338"/>
      <c r="U110" s="338"/>
      <c r="V110" s="338"/>
      <c r="W110" s="338"/>
      <c r="X110" s="338"/>
      <c r="Y110" s="338"/>
      <c r="Z110" s="338"/>
      <c r="AA110" s="338"/>
      <c r="AB110" s="338"/>
      <c r="AC110" s="338"/>
    </row>
    <row r="111" ht="15" spans="1:29">
      <c r="A111" s="301"/>
      <c r="B111" s="486"/>
      <c r="C111" s="466">
        <v>0.5</v>
      </c>
      <c r="D111" s="466">
        <v>0.6</v>
      </c>
      <c r="E111" s="466">
        <v>0.7</v>
      </c>
      <c r="F111" s="466">
        <v>0.8</v>
      </c>
      <c r="G111" s="466">
        <v>0.9</v>
      </c>
      <c r="H111" s="466">
        <v>1.0001</v>
      </c>
      <c r="I111" s="535"/>
      <c r="J111" s="535"/>
      <c r="K111" s="536"/>
      <c r="L111" s="537"/>
      <c r="M111" s="538"/>
      <c r="N111" s="432"/>
      <c r="O111" s="432"/>
      <c r="P111" s="595"/>
      <c r="Q111" s="422"/>
      <c r="R111" s="338"/>
      <c r="S111" s="338"/>
      <c r="T111" s="338"/>
      <c r="U111" s="338"/>
      <c r="V111" s="338"/>
      <c r="W111" s="338"/>
      <c r="X111" s="338"/>
      <c r="Y111" s="338"/>
      <c r="Z111" s="338"/>
      <c r="AA111" s="338"/>
      <c r="AB111" s="338"/>
      <c r="AC111" s="338"/>
    </row>
    <row r="112" ht="15.75" spans="1:29">
      <c r="A112" s="266"/>
      <c r="B112" s="365"/>
      <c r="C112" s="488">
        <v>100</v>
      </c>
      <c r="D112" s="366">
        <f>C112+$K37</f>
        <v>100</v>
      </c>
      <c r="E112" s="366">
        <f t="shared" ref="E112:M112" si="26">D112+$K37</f>
        <v>100</v>
      </c>
      <c r="F112" s="366">
        <f t="shared" si="26"/>
        <v>100</v>
      </c>
      <c r="G112" s="366">
        <f t="shared" si="26"/>
        <v>100</v>
      </c>
      <c r="H112" s="366">
        <f t="shared" si="26"/>
        <v>100</v>
      </c>
      <c r="I112" s="366">
        <f t="shared" si="26"/>
        <v>100</v>
      </c>
      <c r="J112" s="366">
        <f t="shared" si="26"/>
        <v>100</v>
      </c>
      <c r="K112" s="366">
        <f t="shared" si="26"/>
        <v>100</v>
      </c>
      <c r="L112" s="366">
        <f t="shared" si="26"/>
        <v>100</v>
      </c>
      <c r="M112" s="366">
        <f t="shared" si="26"/>
        <v>100</v>
      </c>
      <c r="N112" s="434"/>
      <c r="O112" s="434"/>
      <c r="P112" s="595"/>
      <c r="Q112" s="422"/>
      <c r="R112" s="338"/>
      <c r="S112" s="338"/>
      <c r="T112" s="338"/>
      <c r="U112" s="338"/>
      <c r="V112" s="338"/>
      <c r="W112" s="338"/>
      <c r="X112" s="338"/>
      <c r="Y112" s="338"/>
      <c r="Z112" s="338"/>
      <c r="AA112" s="338"/>
      <c r="AB112" s="338"/>
      <c r="AC112" s="338"/>
    </row>
    <row r="113" s="191" customFormat="1" ht="15.75" spans="1:29">
      <c r="A113" s="296"/>
      <c r="B113" s="363" t="s">
        <v>2582</v>
      </c>
      <c r="C113" s="371"/>
      <c r="D113" s="371"/>
      <c r="E113" s="371"/>
      <c r="F113" s="371"/>
      <c r="G113" s="371"/>
      <c r="H113" s="487"/>
      <c r="I113" s="487"/>
      <c r="J113" s="487"/>
      <c r="K113" s="493"/>
      <c r="L113" s="494"/>
      <c r="M113" s="495"/>
      <c r="N113" s="444"/>
      <c r="O113" s="444"/>
      <c r="P113" s="597"/>
      <c r="Q113" s="475"/>
      <c r="R113" s="404"/>
      <c r="S113" s="404"/>
      <c r="T113" s="404"/>
      <c r="U113" s="404"/>
      <c r="V113" s="404"/>
      <c r="W113" s="404"/>
      <c r="X113" s="404"/>
      <c r="Y113" s="404"/>
      <c r="Z113" s="404"/>
      <c r="AA113" s="404"/>
      <c r="AB113" s="404"/>
      <c r="AC113" s="404"/>
    </row>
    <row r="114" s="191" customFormat="1" ht="15.75" spans="1:29">
      <c r="A114" s="370"/>
      <c r="B114" s="365"/>
      <c r="C114" s="366">
        <v>100</v>
      </c>
      <c r="D114" s="366">
        <f>C114-$K38</f>
        <v>100</v>
      </c>
      <c r="E114" s="366">
        <f t="shared" ref="E114:M114" si="27">D114-$K38</f>
        <v>100</v>
      </c>
      <c r="F114" s="366">
        <f t="shared" si="27"/>
        <v>100</v>
      </c>
      <c r="G114" s="366">
        <f t="shared" si="27"/>
        <v>100</v>
      </c>
      <c r="H114" s="366">
        <f t="shared" si="27"/>
        <v>100</v>
      </c>
      <c r="I114" s="366">
        <f t="shared" si="27"/>
        <v>100</v>
      </c>
      <c r="J114" s="366">
        <f t="shared" si="27"/>
        <v>100</v>
      </c>
      <c r="K114" s="366">
        <f t="shared" si="27"/>
        <v>100</v>
      </c>
      <c r="L114" s="366">
        <f t="shared" si="27"/>
        <v>100</v>
      </c>
      <c r="M114" s="366">
        <f t="shared" si="27"/>
        <v>100</v>
      </c>
      <c r="N114" s="444"/>
      <c r="O114" s="444"/>
      <c r="P114" s="597"/>
      <c r="Q114" s="475"/>
      <c r="R114" s="404"/>
      <c r="S114" s="404"/>
      <c r="T114" s="404"/>
      <c r="U114" s="404"/>
      <c r="V114" s="404"/>
      <c r="W114" s="404"/>
      <c r="X114" s="404"/>
      <c r="Y114" s="404"/>
      <c r="Z114" s="404"/>
      <c r="AA114" s="404"/>
      <c r="AB114" s="404"/>
      <c r="AC114" s="404"/>
    </row>
    <row r="115" ht="15.75" spans="1:29">
      <c r="A115" s="301"/>
      <c r="B115" s="363" t="s">
        <v>2368</v>
      </c>
      <c r="C115" s="371"/>
      <c r="D115" s="371"/>
      <c r="E115" s="487"/>
      <c r="F115" s="487"/>
      <c r="G115" s="487"/>
      <c r="H115" s="487"/>
      <c r="I115" s="487"/>
      <c r="J115" s="487"/>
      <c r="K115" s="493"/>
      <c r="L115" s="494"/>
      <c r="M115" s="495"/>
      <c r="N115" s="432"/>
      <c r="O115" s="432"/>
      <c r="P115" s="595"/>
      <c r="Q115" s="422"/>
      <c r="R115" s="338"/>
      <c r="S115" s="338"/>
      <c r="T115" s="338"/>
      <c r="U115" s="338"/>
      <c r="V115" s="338"/>
      <c r="W115" s="338"/>
      <c r="X115" s="338"/>
      <c r="Y115" s="338"/>
      <c r="Z115" s="338"/>
      <c r="AA115" s="338"/>
      <c r="AB115" s="338"/>
      <c r="AC115" s="338"/>
    </row>
    <row r="116" ht="15.75" spans="1:29">
      <c r="A116" s="266"/>
      <c r="B116" s="365"/>
      <c r="C116" s="366">
        <v>100</v>
      </c>
      <c r="D116" s="366">
        <f t="shared" ref="D116:M116" si="28">C116-$K39</f>
        <v>100</v>
      </c>
      <c r="E116" s="366">
        <f t="shared" si="28"/>
        <v>100</v>
      </c>
      <c r="F116" s="366">
        <f t="shared" si="28"/>
        <v>100</v>
      </c>
      <c r="G116" s="366">
        <f t="shared" si="28"/>
        <v>100</v>
      </c>
      <c r="H116" s="366">
        <f t="shared" si="28"/>
        <v>100</v>
      </c>
      <c r="I116" s="366">
        <f t="shared" si="28"/>
        <v>100</v>
      </c>
      <c r="J116" s="366">
        <f t="shared" si="28"/>
        <v>100</v>
      </c>
      <c r="K116" s="366">
        <f t="shared" si="28"/>
        <v>100</v>
      </c>
      <c r="L116" s="366">
        <f t="shared" si="28"/>
        <v>100</v>
      </c>
      <c r="M116" s="438">
        <f t="shared" si="28"/>
        <v>100</v>
      </c>
      <c r="N116" s="434"/>
      <c r="O116" s="434"/>
      <c r="P116" s="595"/>
      <c r="Q116" s="422"/>
      <c r="R116" s="338"/>
      <c r="S116" s="338"/>
      <c r="T116" s="338"/>
      <c r="U116" s="338"/>
      <c r="V116" s="338"/>
      <c r="W116" s="338"/>
      <c r="X116" s="338"/>
      <c r="Y116" s="338"/>
      <c r="Z116" s="338"/>
      <c r="AA116" s="338"/>
      <c r="AB116" s="338"/>
      <c r="AC116" s="338"/>
    </row>
    <row r="117" ht="15.75" spans="1:29">
      <c r="A117" s="301"/>
      <c r="B117" s="375" t="s">
        <v>2370</v>
      </c>
      <c r="C117" s="371"/>
      <c r="D117" s="371"/>
      <c r="E117" s="371"/>
      <c r="F117" s="371"/>
      <c r="G117" s="371"/>
      <c r="H117" s="487"/>
      <c r="I117" s="487"/>
      <c r="J117" s="487"/>
      <c r="K117" s="493"/>
      <c r="L117" s="494"/>
      <c r="M117" s="495"/>
      <c r="N117" s="432"/>
      <c r="O117" s="432"/>
      <c r="P117" s="595"/>
      <c r="Q117" s="422"/>
      <c r="R117" s="338"/>
      <c r="S117" s="338"/>
      <c r="T117" s="338"/>
      <c r="U117" s="338"/>
      <c r="V117" s="338"/>
      <c r="W117" s="338"/>
      <c r="X117" s="338"/>
      <c r="Y117" s="338"/>
      <c r="Z117" s="338"/>
      <c r="AA117" s="338"/>
      <c r="AB117" s="338"/>
      <c r="AC117" s="338"/>
    </row>
    <row r="118" ht="15.75" spans="1:29">
      <c r="A118" s="266"/>
      <c r="B118" s="365"/>
      <c r="C118" s="366">
        <v>100</v>
      </c>
      <c r="D118" s="366">
        <f>C118-$K40</f>
        <v>100</v>
      </c>
      <c r="E118" s="366">
        <f>D118-$K40</f>
        <v>100</v>
      </c>
      <c r="F118" s="366">
        <f>E118-$K40</f>
        <v>100</v>
      </c>
      <c r="G118" s="366">
        <f>F118-$K40</f>
        <v>100</v>
      </c>
      <c r="H118" s="366"/>
      <c r="I118" s="366"/>
      <c r="J118" s="366"/>
      <c r="K118" s="366"/>
      <c r="L118" s="366"/>
      <c r="M118" s="438"/>
      <c r="N118" s="434"/>
      <c r="O118" s="434"/>
      <c r="P118" s="595"/>
      <c r="Q118" s="422"/>
      <c r="R118" s="338"/>
      <c r="S118" s="338"/>
      <c r="T118" s="338"/>
      <c r="U118" s="338"/>
      <c r="V118" s="338"/>
      <c r="W118" s="338"/>
      <c r="X118" s="338"/>
      <c r="Y118" s="338"/>
      <c r="Z118" s="338"/>
      <c r="AA118" s="338"/>
      <c r="AB118" s="338"/>
      <c r="AC118" s="338"/>
    </row>
    <row r="119" ht="15.75" spans="1:29">
      <c r="A119" s="301"/>
      <c r="B119" s="490" t="s">
        <v>2584</v>
      </c>
      <c r="C119" s="487"/>
      <c r="D119" s="487"/>
      <c r="E119" s="487"/>
      <c r="F119" s="487"/>
      <c r="G119" s="487"/>
      <c r="H119" s="487"/>
      <c r="I119" s="487"/>
      <c r="J119" s="487"/>
      <c r="K119" s="487"/>
      <c r="L119" s="601"/>
      <c r="M119" s="602"/>
      <c r="N119" s="434"/>
      <c r="O119" s="434"/>
      <c r="P119" s="603"/>
      <c r="Q119" s="507"/>
      <c r="R119" s="338"/>
      <c r="S119" s="338"/>
      <c r="T119" s="338"/>
      <c r="U119" s="338"/>
      <c r="V119" s="338"/>
      <c r="W119" s="338"/>
      <c r="X119" s="338"/>
      <c r="Y119" s="338"/>
      <c r="Z119" s="338"/>
      <c r="AA119" s="338"/>
      <c r="AB119" s="338"/>
      <c r="AC119" s="338"/>
    </row>
    <row r="120" ht="15.75" spans="1:29">
      <c r="A120" s="266"/>
      <c r="B120" s="365"/>
      <c r="C120" s="488">
        <v>100</v>
      </c>
      <c r="D120" s="366">
        <f>C120-$K41</f>
        <v>100</v>
      </c>
      <c r="E120" s="366">
        <f t="shared" ref="E120:M120" si="29">D120-$K41</f>
        <v>100</v>
      </c>
      <c r="F120" s="366">
        <f t="shared" si="29"/>
        <v>100</v>
      </c>
      <c r="G120" s="366">
        <f t="shared" si="29"/>
        <v>100</v>
      </c>
      <c r="H120" s="366">
        <f t="shared" si="29"/>
        <v>100</v>
      </c>
      <c r="I120" s="366">
        <f t="shared" si="29"/>
        <v>100</v>
      </c>
      <c r="J120" s="366">
        <f t="shared" si="29"/>
        <v>100</v>
      </c>
      <c r="K120" s="366">
        <f t="shared" si="29"/>
        <v>100</v>
      </c>
      <c r="L120" s="366">
        <f t="shared" si="29"/>
        <v>100</v>
      </c>
      <c r="M120" s="366">
        <f t="shared" si="29"/>
        <v>100</v>
      </c>
      <c r="N120" s="434"/>
      <c r="O120" s="434"/>
      <c r="P120" s="595"/>
      <c r="Q120" s="422"/>
      <c r="R120" s="338"/>
      <c r="S120" s="338"/>
      <c r="T120" s="338"/>
      <c r="U120" s="338"/>
      <c r="V120" s="338"/>
      <c r="W120" s="338"/>
      <c r="X120" s="338"/>
      <c r="Y120" s="338"/>
      <c r="Z120" s="338"/>
      <c r="AA120" s="338"/>
      <c r="AB120" s="338"/>
      <c r="AC120" s="338"/>
    </row>
    <row r="121" s="191" customFormat="1" ht="15.75" spans="1:29">
      <c r="A121" s="296"/>
      <c r="B121" s="363" t="s">
        <v>2468</v>
      </c>
      <c r="C121" s="371"/>
      <c r="D121" s="371"/>
      <c r="E121" s="371"/>
      <c r="F121" s="487"/>
      <c r="G121" s="372"/>
      <c r="H121" s="372"/>
      <c r="I121" s="372"/>
      <c r="J121" s="372"/>
      <c r="K121" s="372"/>
      <c r="L121" s="442"/>
      <c r="M121" s="443"/>
      <c r="N121" s="444"/>
      <c r="O121" s="444"/>
      <c r="P121" s="597"/>
      <c r="Q121" s="475"/>
      <c r="R121" s="404"/>
      <c r="S121" s="404"/>
      <c r="T121" s="404"/>
      <c r="U121" s="404"/>
      <c r="V121" s="404"/>
      <c r="W121" s="404"/>
      <c r="X121" s="404"/>
      <c r="Y121" s="404"/>
      <c r="Z121" s="404"/>
      <c r="AA121" s="404"/>
      <c r="AB121" s="404"/>
      <c r="AC121" s="404"/>
    </row>
    <row r="122" s="191" customFormat="1" ht="15.75" spans="1:29">
      <c r="A122" s="370"/>
      <c r="B122" s="361"/>
      <c r="C122" s="369"/>
      <c r="D122" s="369"/>
      <c r="E122" s="369"/>
      <c r="F122" s="369"/>
      <c r="G122" s="369"/>
      <c r="H122" s="369"/>
      <c r="I122" s="369"/>
      <c r="J122" s="369"/>
      <c r="K122" s="369"/>
      <c r="L122" s="369"/>
      <c r="M122" s="369"/>
      <c r="N122" s="444"/>
      <c r="O122" s="444"/>
      <c r="P122" s="597"/>
      <c r="Q122" s="475"/>
      <c r="R122" s="404"/>
      <c r="S122" s="404"/>
      <c r="T122" s="404"/>
      <c r="U122" s="404"/>
      <c r="V122" s="404"/>
      <c r="W122" s="404"/>
      <c r="X122" s="404"/>
      <c r="Y122" s="404"/>
      <c r="Z122" s="404"/>
      <c r="AA122" s="404"/>
      <c r="AB122" s="404"/>
      <c r="AC122" s="404"/>
    </row>
    <row r="123" ht="15.75" spans="1:29">
      <c r="A123" s="301"/>
      <c r="B123" s="363" t="s">
        <v>2373</v>
      </c>
      <c r="C123" s="371"/>
      <c r="D123" s="371"/>
      <c r="E123" s="371"/>
      <c r="F123" s="487"/>
      <c r="G123" s="487"/>
      <c r="H123" s="487"/>
      <c r="I123" s="487"/>
      <c r="J123" s="487"/>
      <c r="K123" s="493"/>
      <c r="L123" s="494"/>
      <c r="M123" s="495"/>
      <c r="N123" s="432"/>
      <c r="O123" s="432"/>
      <c r="P123" s="595"/>
      <c r="Q123" s="422"/>
      <c r="R123" s="338"/>
      <c r="S123" s="338"/>
      <c r="T123" s="338"/>
      <c r="U123" s="338"/>
      <c r="V123" s="338"/>
      <c r="W123" s="338"/>
      <c r="X123" s="338"/>
      <c r="Y123" s="338"/>
      <c r="Z123" s="338"/>
      <c r="AA123" s="338"/>
      <c r="AB123" s="338"/>
      <c r="AC123" s="338"/>
    </row>
    <row r="124" ht="15.75" spans="1:29">
      <c r="A124" s="266"/>
      <c r="B124" s="365"/>
      <c r="C124" s="366">
        <v>100</v>
      </c>
      <c r="D124" s="366">
        <f t="shared" ref="D124:M124" si="30">C124-$K43</f>
        <v>100</v>
      </c>
      <c r="E124" s="366">
        <f t="shared" si="30"/>
        <v>100</v>
      </c>
      <c r="F124" s="366">
        <f t="shared" si="30"/>
        <v>100</v>
      </c>
      <c r="G124" s="366">
        <f t="shared" si="30"/>
        <v>100</v>
      </c>
      <c r="H124" s="366">
        <f t="shared" si="30"/>
        <v>100</v>
      </c>
      <c r="I124" s="366">
        <f t="shared" si="30"/>
        <v>100</v>
      </c>
      <c r="J124" s="366">
        <f t="shared" si="30"/>
        <v>100</v>
      </c>
      <c r="K124" s="366">
        <f t="shared" si="30"/>
        <v>100</v>
      </c>
      <c r="L124" s="366">
        <f t="shared" si="30"/>
        <v>100</v>
      </c>
      <c r="M124" s="438">
        <f t="shared" si="30"/>
        <v>100</v>
      </c>
      <c r="N124" s="434"/>
      <c r="O124" s="434"/>
      <c r="P124" s="595"/>
      <c r="Q124" s="422"/>
      <c r="R124" s="338"/>
      <c r="S124" s="338"/>
      <c r="T124" s="338"/>
      <c r="U124" s="338"/>
      <c r="V124" s="338"/>
      <c r="W124" s="338"/>
      <c r="X124" s="338"/>
      <c r="Y124" s="338"/>
      <c r="Z124" s="338"/>
      <c r="AA124" s="338"/>
      <c r="AB124" s="338"/>
      <c r="AC124" s="338"/>
    </row>
    <row r="125" ht="15.75" spans="1:29">
      <c r="A125" s="301"/>
      <c r="B125" s="363" t="s">
        <v>235</v>
      </c>
      <c r="C125" s="376" t="s">
        <v>246</v>
      </c>
      <c r="D125" s="376" t="s">
        <v>258</v>
      </c>
      <c r="E125" s="376" t="s">
        <v>269</v>
      </c>
      <c r="F125" s="376" t="s">
        <v>279</v>
      </c>
      <c r="G125" s="376" t="s">
        <v>287</v>
      </c>
      <c r="H125" s="364"/>
      <c r="I125" s="364"/>
      <c r="J125" s="364"/>
      <c r="K125" s="435"/>
      <c r="L125" s="436"/>
      <c r="M125" s="437"/>
      <c r="N125" s="432"/>
      <c r="O125" s="432"/>
      <c r="P125" s="597"/>
      <c r="Q125" s="422"/>
      <c r="R125" s="338"/>
      <c r="S125" s="338"/>
      <c r="T125" s="338"/>
      <c r="U125" s="338"/>
      <c r="V125" s="338"/>
      <c r="W125" s="338"/>
      <c r="X125" s="338"/>
      <c r="Y125" s="338"/>
      <c r="Z125" s="338"/>
      <c r="AA125" s="338"/>
      <c r="AB125" s="338"/>
      <c r="AC125" s="338"/>
    </row>
    <row r="126" ht="15.75" spans="1:29">
      <c r="A126" s="266"/>
      <c r="B126" s="365"/>
      <c r="C126" s="366">
        <v>100</v>
      </c>
      <c r="D126" s="366">
        <f>C126-$K44</f>
        <v>100</v>
      </c>
      <c r="E126" s="366">
        <f>D126-$K44</f>
        <v>100</v>
      </c>
      <c r="F126" s="366">
        <f>E126-$K44</f>
        <v>100</v>
      </c>
      <c r="G126" s="366">
        <f>F126-$K44</f>
        <v>100</v>
      </c>
      <c r="H126" s="366"/>
      <c r="I126" s="366"/>
      <c r="J126" s="366"/>
      <c r="K126" s="366"/>
      <c r="L126" s="366"/>
      <c r="M126" s="438"/>
      <c r="N126" s="434"/>
      <c r="O126" s="434"/>
      <c r="P126" s="595"/>
      <c r="Q126" s="422"/>
      <c r="R126" s="338"/>
      <c r="S126" s="338"/>
      <c r="T126" s="338"/>
      <c r="U126" s="338"/>
      <c r="V126" s="338"/>
      <c r="W126" s="338"/>
      <c r="X126" s="338"/>
      <c r="Y126" s="338"/>
      <c r="Z126" s="338"/>
      <c r="AA126" s="338"/>
      <c r="AB126" s="338"/>
      <c r="AC126" s="338"/>
    </row>
    <row r="127" s="191" customFormat="1" ht="15.75" spans="1:29">
      <c r="A127" s="296"/>
      <c r="B127" s="363">
        <f>B45</f>
        <v>111</v>
      </c>
      <c r="C127" s="371"/>
      <c r="D127" s="371"/>
      <c r="E127" s="371"/>
      <c r="F127" s="371"/>
      <c r="G127" s="371"/>
      <c r="H127" s="372"/>
      <c r="I127" s="372"/>
      <c r="J127" s="372"/>
      <c r="K127" s="372"/>
      <c r="L127" s="442"/>
      <c r="M127" s="443"/>
      <c r="N127" s="444"/>
      <c r="O127" s="444"/>
      <c r="P127" s="597"/>
      <c r="Q127" s="475"/>
      <c r="R127" s="404"/>
      <c r="S127" s="404"/>
      <c r="T127" s="404"/>
      <c r="U127" s="404"/>
      <c r="V127" s="404"/>
      <c r="W127" s="404"/>
      <c r="X127" s="404"/>
      <c r="Y127" s="404"/>
      <c r="Z127" s="404"/>
      <c r="AA127" s="404"/>
      <c r="AB127" s="404"/>
      <c r="AC127" s="404"/>
    </row>
    <row r="128" s="191" customFormat="1" ht="15.75" spans="1:29">
      <c r="A128" s="370"/>
      <c r="B128" s="365"/>
      <c r="C128" s="369"/>
      <c r="D128" s="362"/>
      <c r="E128" s="362"/>
      <c r="F128" s="362"/>
      <c r="G128" s="369"/>
      <c r="H128" s="373"/>
      <c r="I128" s="373"/>
      <c r="J128" s="373"/>
      <c r="K128" s="373"/>
      <c r="L128" s="373"/>
      <c r="M128" s="445"/>
      <c r="N128" s="444"/>
      <c r="O128" s="444"/>
      <c r="P128" s="597"/>
      <c r="Q128" s="475"/>
      <c r="R128" s="404"/>
      <c r="S128" s="404"/>
      <c r="T128" s="404"/>
      <c r="U128" s="404"/>
      <c r="V128" s="404"/>
      <c r="W128" s="404"/>
      <c r="X128" s="404"/>
      <c r="Y128" s="404"/>
      <c r="Z128" s="404"/>
      <c r="AA128" s="404"/>
      <c r="AB128" s="404"/>
      <c r="AC128" s="404"/>
    </row>
    <row r="129" ht="15.75" spans="1:29">
      <c r="A129" s="301"/>
      <c r="B129" s="363">
        <f>B46</f>
        <v>111</v>
      </c>
      <c r="C129" s="371"/>
      <c r="D129" s="371"/>
      <c r="E129" s="371"/>
      <c r="F129" s="371"/>
      <c r="G129" s="487"/>
      <c r="H129" s="487"/>
      <c r="I129" s="487"/>
      <c r="J129" s="487"/>
      <c r="K129" s="493"/>
      <c r="L129" s="494"/>
      <c r="M129" s="495"/>
      <c r="N129" s="432"/>
      <c r="O129" s="432"/>
      <c r="P129" s="595"/>
      <c r="Q129" s="422"/>
      <c r="R129" s="338"/>
      <c r="S129" s="338"/>
      <c r="T129" s="338"/>
      <c r="U129" s="338"/>
      <c r="V129" s="338"/>
      <c r="W129" s="338"/>
      <c r="X129" s="338"/>
      <c r="Y129" s="338"/>
      <c r="Z129" s="338"/>
      <c r="AA129" s="338"/>
      <c r="AB129" s="338"/>
      <c r="AC129" s="338"/>
    </row>
    <row r="130" ht="15.75" spans="1:29">
      <c r="A130" s="266"/>
      <c r="B130" s="365"/>
      <c r="C130" s="369"/>
      <c r="D130" s="369"/>
      <c r="E130" s="369"/>
      <c r="F130" s="369"/>
      <c r="G130" s="362"/>
      <c r="H130" s="362"/>
      <c r="I130" s="362"/>
      <c r="J130" s="362"/>
      <c r="K130" s="362"/>
      <c r="L130" s="362"/>
      <c r="M130" s="433"/>
      <c r="N130" s="434"/>
      <c r="O130" s="434"/>
      <c r="P130" s="595"/>
      <c r="Q130" s="422"/>
      <c r="R130" s="338"/>
      <c r="S130" s="338"/>
      <c r="T130" s="338"/>
      <c r="U130" s="338"/>
      <c r="V130" s="338"/>
      <c r="W130" s="338"/>
      <c r="X130" s="338"/>
      <c r="Y130" s="338"/>
      <c r="Z130" s="338"/>
      <c r="AA130" s="338"/>
      <c r="AB130" s="338"/>
      <c r="AC130" s="338"/>
    </row>
    <row r="131" ht="15.75" spans="1:29">
      <c r="A131" s="301"/>
      <c r="B131" s="486">
        <f>B47</f>
        <v>111</v>
      </c>
      <c r="C131" s="356"/>
      <c r="D131" s="356"/>
      <c r="E131" s="356"/>
      <c r="F131" s="356"/>
      <c r="G131" s="559"/>
      <c r="H131" s="559"/>
      <c r="I131" s="559"/>
      <c r="J131" s="559"/>
      <c r="K131" s="356"/>
      <c r="L131" s="425"/>
      <c r="M131" s="568"/>
      <c r="N131" s="432"/>
      <c r="O131" s="432"/>
      <c r="P131" s="595"/>
      <c r="Q131" s="422"/>
      <c r="R131" s="338"/>
      <c r="S131" s="338"/>
      <c r="T131" s="338"/>
      <c r="U131" s="338"/>
      <c r="V131" s="338"/>
      <c r="W131" s="338"/>
      <c r="X131" s="338"/>
      <c r="Y131" s="338"/>
      <c r="Z131" s="338"/>
      <c r="AA131" s="338"/>
      <c r="AB131" s="338"/>
      <c r="AC131" s="338"/>
    </row>
    <row r="132" ht="15.75" spans="1:29">
      <c r="A132" s="549"/>
      <c r="B132" s="556"/>
      <c r="C132" s="557"/>
      <c r="D132" s="557"/>
      <c r="E132" s="557"/>
      <c r="F132" s="557"/>
      <c r="G132" s="560"/>
      <c r="H132" s="560"/>
      <c r="I132" s="560"/>
      <c r="J132" s="560"/>
      <c r="K132" s="560"/>
      <c r="L132" s="560"/>
      <c r="M132" s="569"/>
      <c r="N132" s="434"/>
      <c r="O132" s="434"/>
      <c r="P132" s="595"/>
      <c r="Q132" s="422"/>
      <c r="R132" s="338"/>
      <c r="S132" s="338"/>
      <c r="T132" s="338"/>
      <c r="U132" s="338"/>
      <c r="V132" s="338"/>
      <c r="W132" s="338"/>
      <c r="X132" s="338"/>
      <c r="Y132" s="338"/>
      <c r="Z132" s="338"/>
      <c r="AA132" s="338"/>
      <c r="AB132" s="338"/>
      <c r="AC132" s="338"/>
    </row>
    <row r="133" spans="1:29">
      <c r="A133" s="491"/>
      <c r="B133" s="491"/>
      <c r="C133" s="491"/>
      <c r="D133" s="491"/>
      <c r="E133" s="491"/>
      <c r="F133" s="491"/>
      <c r="G133" s="491"/>
      <c r="H133" s="491"/>
      <c r="I133" s="491"/>
      <c r="J133" s="491"/>
      <c r="K133" s="505"/>
      <c r="L133" s="506"/>
      <c r="M133" s="491"/>
      <c r="N133" s="491"/>
      <c r="O133" s="491"/>
      <c r="P133" s="604"/>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604"/>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604"/>
      <c r="Q135" s="491"/>
      <c r="R135" s="491"/>
      <c r="S135" s="491"/>
      <c r="T135" s="491"/>
      <c r="U135" s="491"/>
      <c r="V135" s="491"/>
      <c r="W135" s="491"/>
      <c r="X135" s="491"/>
      <c r="Y135" s="491"/>
      <c r="Z135" s="491"/>
      <c r="AA135" s="491"/>
      <c r="AB135" s="491"/>
      <c r="AC135" s="491"/>
    </row>
    <row r="136" spans="1:29">
      <c r="A136" s="491"/>
      <c r="B136" s="491"/>
      <c r="C136" s="491"/>
      <c r="D136" s="491"/>
      <c r="E136" s="491"/>
      <c r="F136" s="491"/>
      <c r="G136" s="491"/>
      <c r="H136" s="491"/>
      <c r="I136" s="491"/>
      <c r="J136" s="491"/>
      <c r="K136" s="505"/>
      <c r="L136" s="506"/>
      <c r="M136" s="491"/>
      <c r="N136" s="491"/>
      <c r="O136" s="491"/>
      <c r="P136" s="604"/>
      <c r="Q136" s="491"/>
      <c r="R136" s="491"/>
      <c r="S136" s="491"/>
      <c r="T136" s="491"/>
      <c r="U136" s="491"/>
      <c r="V136" s="491"/>
      <c r="W136" s="491"/>
      <c r="X136" s="491"/>
      <c r="Y136" s="491"/>
      <c r="Z136" s="491"/>
      <c r="AA136" s="491"/>
      <c r="AB136" s="491"/>
      <c r="AC136" s="491"/>
    </row>
    <row r="137" spans="1:29">
      <c r="A137" s="491"/>
      <c r="B137" s="491"/>
      <c r="C137" s="491"/>
      <c r="D137" s="491"/>
      <c r="E137" s="491"/>
      <c r="F137" s="491"/>
      <c r="G137" s="491"/>
      <c r="H137" s="491"/>
      <c r="I137" s="491"/>
      <c r="J137" s="491"/>
      <c r="K137" s="505"/>
      <c r="L137" s="506"/>
      <c r="M137" s="491"/>
      <c r="N137" s="491"/>
      <c r="O137" s="491"/>
      <c r="P137" s="604"/>
      <c r="Q137" s="491"/>
      <c r="R137" s="491"/>
      <c r="S137" s="491"/>
      <c r="T137" s="491"/>
      <c r="U137" s="491"/>
      <c r="V137" s="491"/>
      <c r="W137" s="491"/>
      <c r="X137" s="491"/>
      <c r="Y137" s="491"/>
      <c r="Z137" s="491"/>
      <c r="AA137" s="491"/>
      <c r="AB137" s="491"/>
      <c r="AC137" s="491"/>
    </row>
    <row r="138" spans="1:29">
      <c r="A138" s="491"/>
      <c r="B138" s="491"/>
      <c r="C138" s="491"/>
      <c r="D138" s="491"/>
      <c r="E138" s="491"/>
      <c r="F138" s="491"/>
      <c r="G138" s="491"/>
      <c r="H138" s="491"/>
      <c r="I138" s="491"/>
      <c r="J138" s="491"/>
      <c r="K138" s="505"/>
      <c r="L138" s="506"/>
      <c r="M138" s="491"/>
      <c r="N138" s="491"/>
      <c r="O138" s="491"/>
      <c r="P138" s="604"/>
      <c r="Q138" s="491"/>
      <c r="R138" s="491"/>
      <c r="S138" s="491"/>
      <c r="T138" s="491"/>
      <c r="U138" s="491"/>
      <c r="V138" s="491"/>
      <c r="W138" s="491"/>
      <c r="X138" s="491"/>
      <c r="Y138" s="491"/>
      <c r="Z138" s="491"/>
      <c r="AA138" s="491"/>
      <c r="AB138" s="491"/>
      <c r="AC138" s="491"/>
    </row>
    <row r="139" spans="1:29">
      <c r="A139" s="491"/>
      <c r="B139" s="491"/>
      <c r="C139" s="491"/>
      <c r="D139" s="491"/>
      <c r="E139" s="491"/>
      <c r="F139" s="491"/>
      <c r="G139" s="491"/>
      <c r="H139" s="491"/>
      <c r="I139" s="491"/>
      <c r="J139" s="491"/>
      <c r="K139" s="505"/>
      <c r="L139" s="506"/>
      <c r="M139" s="491"/>
      <c r="N139" s="491"/>
      <c r="O139" s="491"/>
      <c r="P139" s="604"/>
      <c r="Q139" s="491"/>
      <c r="R139" s="491"/>
      <c r="S139" s="491"/>
      <c r="T139" s="491"/>
      <c r="U139" s="491"/>
      <c r="V139" s="491"/>
      <c r="W139" s="491"/>
      <c r="X139" s="491"/>
      <c r="Y139" s="491"/>
      <c r="Z139" s="491"/>
      <c r="AA139" s="491"/>
      <c r="AB139" s="491"/>
      <c r="AC139" s="491"/>
    </row>
    <row r="140" spans="1:29">
      <c r="A140" s="491"/>
      <c r="B140" s="491"/>
      <c r="C140" s="491"/>
      <c r="D140" s="491"/>
      <c r="E140" s="491"/>
      <c r="F140" s="491"/>
      <c r="G140" s="491"/>
      <c r="H140" s="491"/>
      <c r="I140" s="491"/>
      <c r="J140" s="491"/>
      <c r="K140" s="505"/>
      <c r="L140" s="506"/>
      <c r="M140" s="491"/>
      <c r="N140" s="491"/>
      <c r="O140" s="491"/>
      <c r="P140" s="604"/>
      <c r="Q140" s="491"/>
      <c r="R140" s="491"/>
      <c r="S140" s="491"/>
      <c r="T140" s="491"/>
      <c r="U140" s="491"/>
      <c r="V140" s="491"/>
      <c r="W140" s="491"/>
      <c r="X140" s="491"/>
      <c r="Y140" s="491"/>
      <c r="Z140" s="491"/>
      <c r="AA140" s="491"/>
      <c r="AB140" s="491"/>
      <c r="AC140" s="491"/>
    </row>
    <row r="141" spans="1:29">
      <c r="A141" s="491"/>
      <c r="B141" s="491"/>
      <c r="C141" s="491"/>
      <c r="D141" s="491"/>
      <c r="E141" s="491"/>
      <c r="F141" s="491"/>
      <c r="G141" s="491"/>
      <c r="H141" s="491"/>
      <c r="I141" s="491"/>
      <c r="J141" s="491"/>
      <c r="K141" s="505"/>
      <c r="L141" s="506"/>
      <c r="M141" s="491"/>
      <c r="N141" s="491"/>
      <c r="O141" s="491"/>
      <c r="P141" s="604"/>
      <c r="Q141" s="491"/>
      <c r="R141" s="491"/>
      <c r="S141" s="491"/>
      <c r="T141" s="491"/>
      <c r="U141" s="491"/>
      <c r="V141" s="491"/>
      <c r="W141" s="491"/>
      <c r="X141" s="491"/>
      <c r="Y141" s="491"/>
      <c r="Z141" s="491"/>
      <c r="AA141" s="491"/>
      <c r="AB141" s="491"/>
      <c r="AC141" s="491"/>
    </row>
    <row r="142" spans="1:29">
      <c r="A142" s="491"/>
      <c r="B142" s="491"/>
      <c r="C142" s="491"/>
      <c r="D142" s="491"/>
      <c r="E142" s="491"/>
      <c r="F142" s="491"/>
      <c r="G142" s="491"/>
      <c r="H142" s="491"/>
      <c r="I142" s="491"/>
      <c r="J142" s="491"/>
      <c r="K142" s="505"/>
      <c r="L142" s="506"/>
      <c r="M142" s="491"/>
      <c r="N142" s="491"/>
      <c r="O142" s="491"/>
      <c r="P142" s="604"/>
      <c r="Q142" s="491"/>
      <c r="R142" s="491"/>
      <c r="S142" s="491"/>
      <c r="T142" s="491"/>
      <c r="U142" s="491"/>
      <c r="V142" s="491"/>
      <c r="W142" s="491"/>
      <c r="X142" s="491"/>
      <c r="Y142" s="491"/>
      <c r="Z142" s="491"/>
      <c r="AA142" s="491"/>
      <c r="AB142" s="491"/>
      <c r="AC142" s="491"/>
    </row>
    <row r="143" spans="1:29">
      <c r="A143" s="491"/>
      <c r="B143" s="491"/>
      <c r="C143" s="491"/>
      <c r="D143" s="491"/>
      <c r="E143" s="491"/>
      <c r="F143" s="491"/>
      <c r="G143" s="491"/>
      <c r="H143" s="491"/>
      <c r="I143" s="491"/>
      <c r="J143" s="491"/>
      <c r="K143" s="505"/>
      <c r="L143" s="506"/>
      <c r="M143" s="491"/>
      <c r="N143" s="491"/>
      <c r="O143" s="491"/>
      <c r="P143" s="604"/>
      <c r="Q143" s="491"/>
      <c r="R143" s="491"/>
      <c r="S143" s="491"/>
      <c r="T143" s="491"/>
      <c r="U143" s="491"/>
      <c r="V143" s="491"/>
      <c r="W143" s="491"/>
      <c r="X143" s="491"/>
      <c r="Y143" s="491"/>
      <c r="Z143" s="491"/>
      <c r="AA143" s="491"/>
      <c r="AB143" s="491"/>
      <c r="AC143" s="491"/>
    </row>
    <row r="144" spans="1:29">
      <c r="A144" s="491"/>
      <c r="B144" s="491"/>
      <c r="C144" s="491"/>
      <c r="D144" s="491"/>
      <c r="E144" s="491"/>
      <c r="F144" s="491"/>
      <c r="G144" s="491"/>
      <c r="H144" s="491"/>
      <c r="I144" s="491"/>
      <c r="J144" s="491"/>
      <c r="K144" s="505"/>
      <c r="L144" s="506"/>
      <c r="M144" s="491"/>
      <c r="N144" s="491"/>
      <c r="O144" s="491"/>
      <c r="P144" s="604"/>
      <c r="Q144" s="491"/>
      <c r="R144" s="491"/>
      <c r="S144" s="491"/>
      <c r="T144" s="491"/>
      <c r="U144" s="491"/>
      <c r="V144" s="491"/>
      <c r="W144" s="491"/>
      <c r="X144" s="491"/>
      <c r="Y144" s="491"/>
      <c r="Z144" s="491"/>
      <c r="AA144" s="491"/>
      <c r="AB144" s="491"/>
      <c r="AC144" s="491"/>
    </row>
    <row r="145" spans="1:29">
      <c r="A145" s="491"/>
      <c r="B145" s="491"/>
      <c r="C145" s="491"/>
      <c r="D145" s="491"/>
      <c r="E145" s="491"/>
      <c r="F145" s="491"/>
      <c r="G145" s="491"/>
      <c r="H145" s="491"/>
      <c r="I145" s="491"/>
      <c r="J145" s="491"/>
      <c r="K145" s="505"/>
      <c r="L145" s="506"/>
      <c r="M145" s="491"/>
      <c r="N145" s="491"/>
      <c r="O145" s="491"/>
      <c r="P145" s="604"/>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604"/>
      <c r="Q146" s="491"/>
      <c r="R146" s="491"/>
      <c r="S146" s="491"/>
      <c r="T146" s="491"/>
      <c r="U146" s="491"/>
      <c r="V146" s="491"/>
      <c r="W146" s="491"/>
      <c r="X146" s="491"/>
      <c r="Y146" s="491"/>
      <c r="Z146" s="491"/>
      <c r="AA146" s="491"/>
      <c r="AB146" s="491"/>
      <c r="AC146" s="491"/>
    </row>
    <row r="147" spans="1:29">
      <c r="A147" s="491"/>
      <c r="B147" s="491"/>
      <c r="C147" s="491"/>
      <c r="D147" s="491"/>
      <c r="E147" s="491"/>
      <c r="F147" s="491"/>
      <c r="G147" s="491"/>
      <c r="H147" s="491"/>
      <c r="I147" s="491"/>
      <c r="J147" s="491"/>
      <c r="K147" s="505"/>
      <c r="L147" s="506"/>
      <c r="M147" s="491"/>
      <c r="N147" s="491"/>
      <c r="O147" s="491"/>
      <c r="P147" s="604"/>
      <c r="Q147" s="491"/>
      <c r="R147" s="491"/>
      <c r="S147" s="491"/>
      <c r="T147" s="491"/>
      <c r="U147" s="491"/>
      <c r="V147" s="491"/>
      <c r="W147" s="491"/>
      <c r="X147" s="491"/>
      <c r="Y147" s="491"/>
      <c r="Z147" s="491"/>
      <c r="AA147" s="491"/>
      <c r="AB147" s="491"/>
      <c r="AC147" s="491"/>
    </row>
    <row r="148" spans="1:29">
      <c r="A148" s="491"/>
      <c r="B148" s="491"/>
      <c r="C148" s="491"/>
      <c r="D148" s="491"/>
      <c r="E148" s="491"/>
      <c r="F148" s="491"/>
      <c r="G148" s="491"/>
      <c r="H148" s="491"/>
      <c r="I148" s="491"/>
      <c r="J148" s="491"/>
      <c r="K148" s="505"/>
      <c r="L148" s="506"/>
      <c r="M148" s="491"/>
      <c r="N148" s="491"/>
      <c r="O148" s="491"/>
      <c r="P148" s="604"/>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604"/>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604"/>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604"/>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604"/>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604"/>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604"/>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604"/>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604"/>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604"/>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604"/>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604"/>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604"/>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604"/>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604"/>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604"/>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604"/>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604"/>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604"/>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604"/>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604"/>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604"/>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604"/>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604"/>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604"/>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604"/>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604"/>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604"/>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604"/>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604"/>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604"/>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604"/>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604"/>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604"/>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604"/>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604"/>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604"/>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604"/>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604"/>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604"/>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604"/>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604"/>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604"/>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604"/>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604"/>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604"/>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604"/>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604"/>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604"/>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604"/>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604"/>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604"/>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604"/>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604"/>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604"/>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604"/>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604"/>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604"/>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604"/>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604"/>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604"/>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604"/>
      <c r="Q209" s="491"/>
      <c r="R209" s="491"/>
      <c r="S209" s="491"/>
      <c r="T209" s="491"/>
      <c r="U209" s="491"/>
      <c r="V209" s="491"/>
      <c r="W209" s="491"/>
      <c r="X209" s="491"/>
      <c r="Y209" s="491"/>
      <c r="Z209" s="491"/>
      <c r="AA209" s="491"/>
      <c r="AB209" s="491"/>
      <c r="AC209" s="491"/>
    </row>
    <row r="210" spans="1:29">
      <c r="A210" s="491"/>
      <c r="B210" s="491"/>
      <c r="C210" s="491"/>
      <c r="D210" s="491"/>
      <c r="E210" s="491"/>
      <c r="F210" s="491"/>
      <c r="G210" s="491"/>
      <c r="H210" s="491"/>
      <c r="I210" s="491"/>
      <c r="J210" s="491"/>
      <c r="K210" s="505"/>
      <c r="L210" s="506"/>
      <c r="M210" s="491"/>
      <c r="N210" s="491"/>
      <c r="O210" s="491"/>
      <c r="P210" s="604"/>
      <c r="Q210" s="491"/>
      <c r="R210" s="491"/>
      <c r="S210" s="491"/>
      <c r="T210" s="491"/>
      <c r="U210" s="491"/>
      <c r="V210" s="491"/>
      <c r="W210" s="491"/>
      <c r="X210" s="491"/>
      <c r="Y210" s="491"/>
      <c r="Z210" s="491"/>
      <c r="AA210" s="491"/>
      <c r="AB210" s="491"/>
      <c r="AC210" s="491"/>
    </row>
    <row r="211" spans="1:29">
      <c r="A211" s="491"/>
      <c r="B211" s="491"/>
      <c r="C211" s="491"/>
      <c r="D211" s="491"/>
      <c r="E211" s="491"/>
      <c r="F211" s="491"/>
      <c r="G211" s="491"/>
      <c r="H211" s="491"/>
      <c r="I211" s="491"/>
      <c r="J211" s="491"/>
      <c r="K211" s="505"/>
      <c r="L211" s="506"/>
      <c r="M211" s="491"/>
      <c r="N211" s="491"/>
      <c r="O211" s="491"/>
      <c r="P211" s="604"/>
      <c r="Q211" s="491"/>
      <c r="R211" s="491"/>
      <c r="S211" s="491"/>
      <c r="T211" s="491"/>
      <c r="U211" s="491"/>
      <c r="V211" s="491"/>
      <c r="W211" s="491"/>
      <c r="X211" s="491"/>
      <c r="Y211" s="491"/>
      <c r="Z211" s="491"/>
      <c r="AA211" s="491"/>
      <c r="AB211" s="491"/>
      <c r="AC211" s="491"/>
    </row>
    <row r="212" spans="1:29">
      <c r="A212" s="491"/>
      <c r="B212" s="491"/>
      <c r="C212" s="491"/>
      <c r="D212" s="491"/>
      <c r="E212" s="491"/>
      <c r="F212" s="491"/>
      <c r="G212" s="491"/>
      <c r="H212" s="491"/>
      <c r="I212" s="491"/>
      <c r="J212" s="491"/>
      <c r="K212" s="505"/>
      <c r="L212" s="506"/>
      <c r="M212" s="491"/>
      <c r="N212" s="491"/>
      <c r="O212" s="491"/>
      <c r="P212" s="604"/>
      <c r="Q212" s="491"/>
      <c r="R212" s="491"/>
      <c r="S212" s="491"/>
      <c r="T212" s="491"/>
      <c r="U212" s="491"/>
      <c r="V212" s="491"/>
      <c r="W212" s="491"/>
      <c r="X212" s="491"/>
      <c r="Y212" s="491"/>
      <c r="Z212" s="491"/>
      <c r="AA212" s="491"/>
      <c r="AB212" s="491"/>
      <c r="AC212" s="491"/>
    </row>
    <row r="213" spans="1:29">
      <c r="A213" s="491"/>
      <c r="B213" s="491"/>
      <c r="C213" s="491"/>
      <c r="D213" s="491"/>
      <c r="E213" s="491"/>
      <c r="F213" s="491"/>
      <c r="G213" s="491"/>
      <c r="H213" s="491"/>
      <c r="I213" s="491"/>
      <c r="J213" s="491"/>
      <c r="K213" s="505"/>
      <c r="L213" s="506"/>
      <c r="M213" s="491"/>
      <c r="N213" s="491"/>
      <c r="O213" s="491"/>
      <c r="P213" s="604"/>
      <c r="Q213" s="491"/>
      <c r="R213" s="491"/>
      <c r="S213" s="491"/>
      <c r="T213" s="491"/>
      <c r="U213" s="491"/>
      <c r="V213" s="491"/>
      <c r="W213" s="491"/>
      <c r="X213" s="491"/>
      <c r="Y213" s="491"/>
      <c r="Z213" s="491"/>
      <c r="AA213" s="491"/>
      <c r="AB213" s="491"/>
      <c r="AC213" s="491"/>
    </row>
    <row r="214" spans="1:29">
      <c r="A214" s="491"/>
      <c r="B214" s="491"/>
      <c r="C214" s="491"/>
      <c r="D214" s="491"/>
      <c r="E214" s="491"/>
      <c r="F214" s="491"/>
      <c r="G214" s="491"/>
      <c r="H214" s="491"/>
      <c r="I214" s="491"/>
      <c r="J214" s="491"/>
      <c r="K214" s="505"/>
      <c r="L214" s="506"/>
      <c r="M214" s="491"/>
      <c r="N214" s="491"/>
      <c r="O214" s="491"/>
      <c r="P214" s="604"/>
      <c r="Q214" s="491"/>
      <c r="R214" s="491"/>
      <c r="S214" s="491"/>
      <c r="T214" s="491"/>
      <c r="U214" s="491"/>
      <c r="V214" s="491"/>
      <c r="W214" s="491"/>
      <c r="X214" s="491"/>
      <c r="Y214" s="491"/>
      <c r="Z214" s="491"/>
      <c r="AA214" s="491"/>
      <c r="AB214" s="491"/>
      <c r="AC214" s="491"/>
    </row>
    <row r="215" spans="1:29">
      <c r="A215" s="491"/>
      <c r="B215" s="491"/>
      <c r="C215" s="491"/>
      <c r="D215" s="491"/>
      <c r="E215" s="491"/>
      <c r="F215" s="491"/>
      <c r="G215" s="491"/>
      <c r="H215" s="491"/>
      <c r="I215" s="491"/>
      <c r="J215" s="491"/>
      <c r="K215" s="505"/>
      <c r="L215" s="506"/>
      <c r="M215" s="491"/>
      <c r="N215" s="491"/>
      <c r="O215" s="491"/>
      <c r="P215" s="604"/>
      <c r="Q215" s="491"/>
      <c r="R215" s="491"/>
      <c r="S215" s="491"/>
      <c r="T215" s="491"/>
      <c r="U215" s="491"/>
      <c r="V215" s="491"/>
      <c r="W215" s="491"/>
      <c r="X215" s="491"/>
      <c r="Y215" s="491"/>
      <c r="Z215" s="491"/>
      <c r="AA215" s="491"/>
      <c r="AB215" s="491"/>
      <c r="AC215" s="491"/>
    </row>
    <row r="216" spans="1:29">
      <c r="A216" s="491"/>
      <c r="B216" s="491"/>
      <c r="C216" s="491"/>
      <c r="D216" s="491"/>
      <c r="E216" s="491"/>
      <c r="F216" s="491"/>
      <c r="G216" s="491"/>
      <c r="H216" s="491"/>
      <c r="I216" s="491"/>
      <c r="J216" s="491"/>
      <c r="K216" s="505"/>
      <c r="L216" s="506"/>
      <c r="M216" s="491"/>
      <c r="N216" s="491"/>
      <c r="O216" s="491"/>
      <c r="P216" s="604"/>
      <c r="Q216" s="491"/>
      <c r="R216" s="491"/>
      <c r="S216" s="491"/>
      <c r="T216" s="491"/>
      <c r="U216" s="491"/>
      <c r="V216" s="491"/>
      <c r="W216" s="491"/>
      <c r="X216" s="491"/>
      <c r="Y216" s="491"/>
      <c r="Z216" s="491"/>
      <c r="AA216" s="491"/>
      <c r="AB216" s="491"/>
      <c r="AC216" s="491"/>
    </row>
    <row r="217" spans="1:29">
      <c r="A217" s="491"/>
      <c r="B217" s="491"/>
      <c r="C217" s="491"/>
      <c r="D217" s="491"/>
      <c r="E217" s="491"/>
      <c r="F217" s="491"/>
      <c r="G217" s="491"/>
      <c r="H217" s="491"/>
      <c r="I217" s="491"/>
      <c r="J217" s="491"/>
      <c r="K217" s="505"/>
      <c r="L217" s="506"/>
      <c r="M217" s="491"/>
      <c r="N217" s="491"/>
      <c r="O217" s="491"/>
      <c r="P217" s="604"/>
      <c r="Q217" s="491"/>
      <c r="R217" s="491"/>
      <c r="S217" s="491"/>
      <c r="T217" s="491"/>
      <c r="U217" s="491"/>
      <c r="V217" s="491"/>
      <c r="W217" s="491"/>
      <c r="X217" s="491"/>
      <c r="Y217" s="491"/>
      <c r="Z217" s="491"/>
      <c r="AA217" s="491"/>
      <c r="AB217" s="491"/>
      <c r="AC217" s="491"/>
    </row>
    <row r="218" spans="1:29">
      <c r="A218" s="491"/>
      <c r="B218" s="491"/>
      <c r="C218" s="491"/>
      <c r="D218" s="491"/>
      <c r="E218" s="491"/>
      <c r="F218" s="491"/>
      <c r="G218" s="491"/>
      <c r="H218" s="491"/>
      <c r="I218" s="491"/>
      <c r="J218" s="491"/>
      <c r="K218" s="505"/>
      <c r="L218" s="506"/>
      <c r="M218" s="491"/>
      <c r="N218" s="491"/>
      <c r="O218" s="491"/>
      <c r="P218" s="604"/>
      <c r="Q218" s="491"/>
      <c r="R218" s="491"/>
      <c r="S218" s="491"/>
      <c r="T218" s="491"/>
      <c r="U218" s="491"/>
      <c r="V218" s="491"/>
      <c r="W218" s="491"/>
      <c r="X218" s="491"/>
      <c r="Y218" s="491"/>
      <c r="Z218" s="491"/>
      <c r="AA218" s="491"/>
      <c r="AB218" s="491"/>
      <c r="AC218" s="491"/>
    </row>
    <row r="219" spans="1:29">
      <c r="A219" s="491"/>
      <c r="B219" s="491"/>
      <c r="C219" s="491"/>
      <c r="D219" s="491"/>
      <c r="E219" s="491"/>
      <c r="F219" s="491"/>
      <c r="G219" s="491"/>
      <c r="H219" s="491"/>
      <c r="I219" s="491"/>
      <c r="J219" s="491"/>
      <c r="K219" s="505"/>
      <c r="L219" s="506"/>
      <c r="M219" s="491"/>
      <c r="N219" s="491"/>
      <c r="O219" s="491"/>
      <c r="P219" s="604"/>
      <c r="Q219" s="491"/>
      <c r="R219" s="491"/>
      <c r="S219" s="491"/>
      <c r="T219" s="491"/>
      <c r="U219" s="491"/>
      <c r="V219" s="491"/>
      <c r="W219" s="491"/>
      <c r="X219" s="491"/>
      <c r="Y219" s="491"/>
      <c r="Z219" s="491"/>
      <c r="AA219" s="491"/>
      <c r="AB219" s="491"/>
      <c r="AC219" s="491"/>
    </row>
    <row r="220" spans="1:29">
      <c r="A220" s="491"/>
      <c r="B220" s="491"/>
      <c r="C220" s="491"/>
      <c r="D220" s="491"/>
      <c r="E220" s="491"/>
      <c r="F220" s="491"/>
      <c r="G220" s="491"/>
      <c r="H220" s="491"/>
      <c r="I220" s="491"/>
      <c r="J220" s="491"/>
      <c r="K220" s="505"/>
      <c r="L220" s="506"/>
      <c r="M220" s="491"/>
      <c r="N220" s="491"/>
      <c r="O220" s="491"/>
      <c r="P220" s="604"/>
      <c r="Q220" s="491"/>
      <c r="R220" s="491"/>
      <c r="S220" s="491"/>
      <c r="T220" s="491"/>
      <c r="U220" s="491"/>
      <c r="V220" s="491"/>
      <c r="W220" s="491"/>
      <c r="X220" s="491"/>
      <c r="Y220" s="491"/>
      <c r="Z220" s="491"/>
      <c r="AA220" s="491"/>
      <c r="AB220" s="491"/>
      <c r="AC220" s="491"/>
    </row>
    <row r="221" spans="1:29">
      <c r="A221" s="491"/>
      <c r="B221" s="491"/>
      <c r="C221" s="491"/>
      <c r="D221" s="491"/>
      <c r="E221" s="491"/>
      <c r="F221" s="491"/>
      <c r="G221" s="491"/>
      <c r="H221" s="491"/>
      <c r="I221" s="491"/>
      <c r="J221" s="491"/>
      <c r="K221" s="505"/>
      <c r="L221" s="506"/>
      <c r="M221" s="491"/>
      <c r="N221" s="491"/>
      <c r="O221" s="491"/>
      <c r="P221" s="604"/>
      <c r="Q221" s="491"/>
      <c r="R221" s="491"/>
      <c r="S221" s="491"/>
      <c r="T221" s="491"/>
      <c r="U221" s="491"/>
      <c r="V221" s="491"/>
      <c r="W221" s="491"/>
      <c r="X221" s="491"/>
      <c r="Y221" s="491"/>
      <c r="Z221" s="491"/>
      <c r="AA221" s="491"/>
      <c r="AB221" s="491"/>
      <c r="AC221" s="491"/>
    </row>
    <row r="222" spans="1:29">
      <c r="A222" s="491"/>
      <c r="B222" s="491"/>
      <c r="C222" s="491"/>
      <c r="D222" s="491"/>
      <c r="E222" s="491"/>
      <c r="F222" s="491"/>
      <c r="G222" s="491"/>
      <c r="H222" s="491"/>
      <c r="I222" s="491"/>
      <c r="J222" s="491"/>
      <c r="K222" s="505"/>
      <c r="L222" s="506"/>
      <c r="M222" s="491"/>
      <c r="N222" s="491"/>
      <c r="O222" s="491"/>
      <c r="P222" s="604"/>
      <c r="Q222" s="491"/>
      <c r="R222" s="491"/>
      <c r="S222" s="491"/>
      <c r="T222" s="491"/>
      <c r="U222" s="491"/>
      <c r="V222" s="491"/>
      <c r="W222" s="491"/>
      <c r="X222" s="491"/>
      <c r="Y222" s="491"/>
      <c r="Z222" s="491"/>
      <c r="AA222" s="491"/>
      <c r="AB222" s="491"/>
      <c r="AC222" s="491"/>
    </row>
    <row r="223" spans="1:29">
      <c r="A223" s="491"/>
      <c r="B223" s="491"/>
      <c r="C223" s="491"/>
      <c r="D223" s="491"/>
      <c r="E223" s="491"/>
      <c r="F223" s="491"/>
      <c r="G223" s="491"/>
      <c r="H223" s="491"/>
      <c r="I223" s="491"/>
      <c r="J223" s="491"/>
      <c r="K223" s="505"/>
      <c r="L223" s="506"/>
      <c r="M223" s="491"/>
      <c r="N223" s="491"/>
      <c r="O223" s="491"/>
      <c r="P223" s="604"/>
      <c r="Q223" s="491"/>
      <c r="R223" s="491"/>
      <c r="S223" s="491"/>
      <c r="T223" s="491"/>
      <c r="U223" s="491"/>
      <c r="V223" s="491"/>
      <c r="W223" s="491"/>
      <c r="X223" s="491"/>
      <c r="Y223" s="491"/>
      <c r="Z223" s="491"/>
      <c r="AA223" s="491"/>
      <c r="AB223" s="491"/>
      <c r="AC223" s="491"/>
    </row>
    <row r="224" spans="1:29">
      <c r="A224" s="491"/>
      <c r="B224" s="491"/>
      <c r="C224" s="491"/>
      <c r="D224" s="491"/>
      <c r="E224" s="491"/>
      <c r="F224" s="491"/>
      <c r="G224" s="491"/>
      <c r="H224" s="491"/>
      <c r="I224" s="491"/>
      <c r="J224" s="491"/>
      <c r="K224" s="505"/>
      <c r="L224" s="506"/>
      <c r="M224" s="491"/>
      <c r="N224" s="491"/>
      <c r="O224" s="491"/>
      <c r="P224" s="604"/>
      <c r="Q224" s="491"/>
      <c r="R224" s="491"/>
      <c r="S224" s="491"/>
      <c r="T224" s="491"/>
      <c r="U224" s="491"/>
      <c r="V224" s="491"/>
      <c r="W224" s="491"/>
      <c r="X224" s="491"/>
      <c r="Y224" s="491"/>
      <c r="Z224" s="491"/>
      <c r="AA224" s="491"/>
      <c r="AB224" s="491"/>
      <c r="AC224" s="491"/>
    </row>
    <row r="225" spans="1:29">
      <c r="A225" s="491"/>
      <c r="B225" s="491"/>
      <c r="C225" s="491"/>
      <c r="D225" s="491"/>
      <c r="E225" s="491"/>
      <c r="F225" s="491"/>
      <c r="G225" s="491"/>
      <c r="H225" s="491"/>
      <c r="I225" s="491"/>
      <c r="J225" s="491"/>
      <c r="K225" s="505"/>
      <c r="L225" s="506"/>
      <c r="M225" s="491"/>
      <c r="N225" s="491"/>
      <c r="O225" s="491"/>
      <c r="P225" s="604"/>
      <c r="Q225" s="491"/>
      <c r="R225" s="491"/>
      <c r="S225" s="491"/>
      <c r="T225" s="491"/>
      <c r="U225" s="491"/>
      <c r="V225" s="491"/>
      <c r="W225" s="491"/>
      <c r="X225" s="491"/>
      <c r="Y225" s="491"/>
      <c r="Z225" s="491"/>
      <c r="AA225" s="491"/>
      <c r="AB225" s="491"/>
      <c r="AC225" s="491"/>
    </row>
    <row r="226" spans="1:29">
      <c r="A226" s="491"/>
      <c r="B226" s="491"/>
      <c r="C226" s="491"/>
      <c r="D226" s="491"/>
      <c r="E226" s="491"/>
      <c r="F226" s="491"/>
      <c r="G226" s="491"/>
      <c r="H226" s="491"/>
      <c r="I226" s="491"/>
      <c r="J226" s="491"/>
      <c r="K226" s="505"/>
      <c r="L226" s="506"/>
      <c r="M226" s="491"/>
      <c r="N226" s="491"/>
      <c r="O226" s="491"/>
      <c r="P226" s="604"/>
      <c r="Q226" s="491"/>
      <c r="R226" s="491"/>
      <c r="S226" s="491"/>
      <c r="T226" s="491"/>
      <c r="U226" s="491"/>
      <c r="V226" s="491"/>
      <c r="W226" s="491"/>
      <c r="X226" s="491"/>
      <c r="Y226" s="491"/>
      <c r="Z226" s="491"/>
      <c r="AA226" s="491"/>
      <c r="AB226" s="491"/>
      <c r="AC226" s="491"/>
    </row>
    <row r="227" spans="1:29">
      <c r="A227" s="491"/>
      <c r="B227" s="491"/>
      <c r="C227" s="491"/>
      <c r="D227" s="491"/>
      <c r="E227" s="491"/>
      <c r="F227" s="491"/>
      <c r="G227" s="491"/>
      <c r="H227" s="491"/>
      <c r="I227" s="491"/>
      <c r="J227" s="491"/>
      <c r="K227" s="505"/>
      <c r="L227" s="506"/>
      <c r="M227" s="491"/>
      <c r="N227" s="491"/>
      <c r="O227" s="491"/>
      <c r="P227" s="604"/>
      <c r="Q227" s="491"/>
      <c r="R227" s="491"/>
      <c r="S227" s="491"/>
      <c r="T227" s="491"/>
      <c r="U227" s="491"/>
      <c r="V227" s="491"/>
      <c r="W227" s="491"/>
      <c r="X227" s="491"/>
      <c r="Y227" s="491"/>
      <c r="Z227" s="491"/>
      <c r="AA227" s="491"/>
      <c r="AB227" s="491"/>
      <c r="AC227" s="491"/>
    </row>
    <row r="228" spans="1:29">
      <c r="A228" s="491"/>
      <c r="B228" s="491"/>
      <c r="C228" s="491"/>
      <c r="D228" s="491"/>
      <c r="E228" s="491"/>
      <c r="F228" s="491"/>
      <c r="G228" s="491"/>
      <c r="H228" s="491"/>
      <c r="I228" s="491"/>
      <c r="J228" s="491"/>
      <c r="K228" s="505"/>
      <c r="L228" s="506"/>
      <c r="M228" s="491"/>
      <c r="N228" s="491"/>
      <c r="O228" s="491"/>
      <c r="P228" s="604"/>
      <c r="Q228" s="491"/>
      <c r="R228" s="491"/>
      <c r="S228" s="491"/>
      <c r="T228" s="491"/>
      <c r="U228" s="491"/>
      <c r="V228" s="491"/>
      <c r="W228" s="491"/>
      <c r="X228" s="491"/>
      <c r="Y228" s="491"/>
      <c r="Z228" s="491"/>
      <c r="AA228" s="491"/>
      <c r="AB228" s="491"/>
      <c r="AC228" s="491"/>
    </row>
    <row r="229" spans="1:29">
      <c r="A229" s="491"/>
      <c r="B229" s="491"/>
      <c r="C229" s="491"/>
      <c r="D229" s="491"/>
      <c r="E229" s="491"/>
      <c r="F229" s="491"/>
      <c r="G229" s="491"/>
      <c r="H229" s="491"/>
      <c r="I229" s="491"/>
      <c r="J229" s="491"/>
      <c r="K229" s="505"/>
      <c r="L229" s="506"/>
      <c r="M229" s="491"/>
      <c r="N229" s="491"/>
      <c r="O229" s="491"/>
      <c r="P229" s="604"/>
      <c r="Q229" s="491"/>
      <c r="R229" s="491"/>
      <c r="S229" s="491"/>
      <c r="T229" s="491"/>
      <c r="U229" s="491"/>
      <c r="V229" s="491"/>
      <c r="W229" s="491"/>
      <c r="X229" s="491"/>
      <c r="Y229" s="491"/>
      <c r="Z229" s="491"/>
      <c r="AA229" s="491"/>
      <c r="AB229" s="491"/>
      <c r="AC229" s="491"/>
    </row>
    <row r="230" spans="1:29">
      <c r="A230" s="491"/>
      <c r="B230" s="491"/>
      <c r="C230" s="491"/>
      <c r="D230" s="491"/>
      <c r="E230" s="491"/>
      <c r="F230" s="491"/>
      <c r="G230" s="491"/>
      <c r="H230" s="491"/>
      <c r="I230" s="491"/>
      <c r="J230" s="491"/>
      <c r="K230" s="505"/>
      <c r="L230" s="506"/>
      <c r="M230" s="491"/>
      <c r="N230" s="491"/>
      <c r="O230" s="491"/>
      <c r="P230" s="604"/>
      <c r="Q230" s="491"/>
      <c r="R230" s="491"/>
      <c r="S230" s="491"/>
      <c r="T230" s="491"/>
      <c r="U230" s="491"/>
      <c r="V230" s="491"/>
      <c r="W230" s="491"/>
      <c r="X230" s="491"/>
      <c r="Y230" s="491"/>
      <c r="Z230" s="491"/>
      <c r="AA230" s="491"/>
      <c r="AB230" s="491"/>
      <c r="AC230" s="491"/>
    </row>
    <row r="231" spans="1:29">
      <c r="A231" s="491"/>
      <c r="B231" s="491"/>
      <c r="C231" s="491"/>
      <c r="D231" s="491"/>
      <c r="E231" s="491"/>
      <c r="F231" s="491"/>
      <c r="G231" s="491"/>
      <c r="H231" s="491"/>
      <c r="I231" s="491"/>
      <c r="J231" s="491"/>
      <c r="K231" s="505"/>
      <c r="L231" s="506"/>
      <c r="M231" s="491"/>
      <c r="N231" s="491"/>
      <c r="O231" s="491"/>
      <c r="P231" s="604"/>
      <c r="Q231" s="491"/>
      <c r="R231" s="491"/>
      <c r="S231" s="491"/>
      <c r="T231" s="491"/>
      <c r="U231" s="491"/>
      <c r="V231" s="491"/>
      <c r="W231" s="491"/>
      <c r="X231" s="491"/>
      <c r="Y231" s="491"/>
      <c r="Z231" s="491"/>
      <c r="AA231" s="491"/>
      <c r="AB231" s="491"/>
      <c r="AC231" s="491"/>
    </row>
    <row r="232" spans="1:29">
      <c r="A232" s="491"/>
      <c r="B232" s="491"/>
      <c r="C232" s="491"/>
      <c r="D232" s="491"/>
      <c r="E232" s="491"/>
      <c r="F232" s="491"/>
      <c r="G232" s="491"/>
      <c r="H232" s="491"/>
      <c r="I232" s="491"/>
      <c r="J232" s="491"/>
      <c r="K232" s="505"/>
      <c r="L232" s="506"/>
      <c r="M232" s="491"/>
      <c r="N232" s="491"/>
      <c r="O232" s="491"/>
      <c r="P232" s="604"/>
      <c r="Q232" s="491"/>
      <c r="R232" s="491"/>
      <c r="S232" s="491"/>
      <c r="T232" s="491"/>
      <c r="U232" s="491"/>
      <c r="V232" s="491"/>
      <c r="W232" s="491"/>
      <c r="X232" s="491"/>
      <c r="Y232" s="491"/>
      <c r="Z232" s="491"/>
      <c r="AA232" s="491"/>
      <c r="AB232" s="491"/>
      <c r="AC232" s="491"/>
    </row>
    <row r="233" spans="1:29">
      <c r="A233" s="491"/>
      <c r="B233" s="491"/>
      <c r="C233" s="491"/>
      <c r="D233" s="491"/>
      <c r="E233" s="491"/>
      <c r="F233" s="491"/>
      <c r="G233" s="491"/>
      <c r="H233" s="491"/>
      <c r="I233" s="491"/>
      <c r="J233" s="491"/>
      <c r="K233" s="505"/>
      <c r="L233" s="506"/>
      <c r="M233" s="491"/>
      <c r="N233" s="491"/>
      <c r="O233" s="491"/>
      <c r="P233" s="604"/>
      <c r="Q233" s="491"/>
      <c r="R233" s="491"/>
      <c r="S233" s="491"/>
      <c r="T233" s="491"/>
      <c r="U233" s="491"/>
      <c r="V233" s="491"/>
      <c r="W233" s="491"/>
      <c r="X233" s="491"/>
      <c r="Y233" s="491"/>
      <c r="Z233" s="491"/>
      <c r="AA233" s="491"/>
      <c r="AB233" s="491"/>
      <c r="AC233" s="491"/>
    </row>
    <row r="234" spans="1:29">
      <c r="A234" s="491"/>
      <c r="B234" s="491"/>
      <c r="C234" s="491"/>
      <c r="D234" s="491"/>
      <c r="E234" s="491"/>
      <c r="F234" s="491"/>
      <c r="G234" s="491"/>
      <c r="H234" s="491"/>
      <c r="I234" s="491"/>
      <c r="J234" s="491"/>
      <c r="K234" s="505"/>
      <c r="L234" s="506"/>
      <c r="M234" s="491"/>
      <c r="N234" s="491"/>
      <c r="O234" s="491"/>
      <c r="P234" s="604"/>
      <c r="Q234" s="491"/>
      <c r="R234" s="491"/>
      <c r="S234" s="491"/>
      <c r="T234" s="491"/>
      <c r="U234" s="491"/>
      <c r="V234" s="491"/>
      <c r="W234" s="491"/>
      <c r="X234" s="491"/>
      <c r="Y234" s="491"/>
      <c r="Z234" s="491"/>
      <c r="AA234" s="491"/>
      <c r="AB234" s="491"/>
      <c r="AC234" s="491"/>
    </row>
    <row r="235" spans="1:29">
      <c r="A235" s="491"/>
      <c r="B235" s="491"/>
      <c r="C235" s="491"/>
      <c r="D235" s="491"/>
      <c r="E235" s="491"/>
      <c r="F235" s="491"/>
      <c r="G235" s="491"/>
      <c r="H235" s="491"/>
      <c r="I235" s="491"/>
      <c r="J235" s="491"/>
      <c r="K235" s="505"/>
      <c r="L235" s="506"/>
      <c r="M235" s="491"/>
      <c r="N235" s="491"/>
      <c r="O235" s="491"/>
      <c r="P235" s="604"/>
      <c r="Q235" s="491"/>
      <c r="R235" s="491"/>
      <c r="S235" s="491"/>
      <c r="T235" s="491"/>
      <c r="U235" s="491"/>
      <c r="V235" s="491"/>
      <c r="W235" s="491"/>
      <c r="X235" s="491"/>
      <c r="Y235" s="491"/>
      <c r="Z235" s="491"/>
      <c r="AA235" s="491"/>
      <c r="AB235" s="491"/>
      <c r="AC235" s="491"/>
    </row>
    <row r="236" spans="1:29">
      <c r="A236" s="491"/>
      <c r="B236" s="491"/>
      <c r="C236" s="491"/>
      <c r="D236" s="491"/>
      <c r="E236" s="491"/>
      <c r="F236" s="491"/>
      <c r="G236" s="491"/>
      <c r="H236" s="491"/>
      <c r="I236" s="491"/>
      <c r="J236" s="491"/>
      <c r="K236" s="505"/>
      <c r="L236" s="506"/>
      <c r="M236" s="491"/>
      <c r="N236" s="491"/>
      <c r="O236" s="491"/>
      <c r="P236" s="604"/>
      <c r="Q236" s="491"/>
      <c r="R236" s="491"/>
      <c r="S236" s="491"/>
      <c r="T236" s="491"/>
      <c r="U236" s="491"/>
      <c r="V236" s="491"/>
      <c r="W236" s="491"/>
      <c r="X236" s="491"/>
      <c r="Y236" s="491"/>
      <c r="Z236" s="491"/>
      <c r="AA236" s="491"/>
      <c r="AB236" s="491"/>
      <c r="AC236" s="491"/>
    </row>
    <row r="237" spans="1:29">
      <c r="A237" s="491"/>
      <c r="B237" s="491"/>
      <c r="C237" s="491"/>
      <c r="D237" s="491"/>
      <c r="E237" s="491"/>
      <c r="F237" s="491"/>
      <c r="G237" s="491"/>
      <c r="H237" s="491"/>
      <c r="I237" s="491"/>
      <c r="J237" s="491"/>
      <c r="K237" s="505"/>
      <c r="L237" s="506"/>
      <c r="M237" s="491"/>
      <c r="N237" s="491"/>
      <c r="O237" s="491"/>
      <c r="P237" s="604"/>
      <c r="Q237" s="491"/>
      <c r="R237" s="491"/>
      <c r="S237" s="491"/>
      <c r="T237" s="491"/>
      <c r="U237" s="491"/>
      <c r="V237" s="491"/>
      <c r="W237" s="491"/>
      <c r="X237" s="491"/>
      <c r="Y237" s="491"/>
      <c r="Z237" s="491"/>
      <c r="AA237" s="491"/>
      <c r="AB237" s="491"/>
      <c r="AC237" s="491"/>
    </row>
    <row r="238" spans="1:29">
      <c r="A238" s="491"/>
      <c r="B238" s="491"/>
      <c r="C238" s="491"/>
      <c r="D238" s="491"/>
      <c r="E238" s="491"/>
      <c r="F238" s="491"/>
      <c r="G238" s="491"/>
      <c r="H238" s="491"/>
      <c r="I238" s="491"/>
      <c r="J238" s="491"/>
      <c r="K238" s="505"/>
      <c r="L238" s="506"/>
      <c r="M238" s="491"/>
      <c r="N238" s="491"/>
      <c r="O238" s="491"/>
      <c r="P238" s="604"/>
      <c r="Q238" s="491"/>
      <c r="R238" s="491"/>
      <c r="S238" s="491"/>
      <c r="T238" s="491"/>
      <c r="U238" s="491"/>
      <c r="V238" s="491"/>
      <c r="W238" s="491"/>
      <c r="X238" s="491"/>
      <c r="Y238" s="491"/>
      <c r="Z238" s="491"/>
      <c r="AA238" s="491"/>
      <c r="AB238" s="491"/>
      <c r="AC238" s="491"/>
    </row>
    <row r="239" spans="1:29">
      <c r="A239" s="491"/>
      <c r="B239" s="491"/>
      <c r="C239" s="491"/>
      <c r="D239" s="491"/>
      <c r="E239" s="491"/>
      <c r="F239" s="491"/>
      <c r="G239" s="491"/>
      <c r="H239" s="491"/>
      <c r="I239" s="491"/>
      <c r="J239" s="491"/>
      <c r="K239" s="505"/>
      <c r="L239" s="506"/>
      <c r="M239" s="491"/>
      <c r="N239" s="491"/>
      <c r="O239" s="491"/>
      <c r="P239" s="604"/>
      <c r="Q239" s="491"/>
      <c r="R239" s="491"/>
      <c r="S239" s="491"/>
      <c r="T239" s="491"/>
      <c r="U239" s="491"/>
      <c r="V239" s="491"/>
      <c r="W239" s="491"/>
      <c r="X239" s="491"/>
      <c r="Y239" s="491"/>
      <c r="Z239" s="491"/>
      <c r="AA239" s="491"/>
      <c r="AB239" s="491"/>
      <c r="AC239" s="491"/>
    </row>
    <row r="240" spans="1:29">
      <c r="A240" s="491"/>
      <c r="B240" s="491"/>
      <c r="C240" s="491"/>
      <c r="D240" s="491"/>
      <c r="E240" s="491"/>
      <c r="F240" s="491"/>
      <c r="G240" s="491"/>
      <c r="H240" s="491"/>
      <c r="I240" s="491"/>
      <c r="J240" s="491"/>
      <c r="K240" s="505"/>
      <c r="L240" s="506"/>
      <c r="M240" s="491"/>
      <c r="N240" s="491"/>
      <c r="O240" s="491"/>
      <c r="P240" s="604"/>
      <c r="Q240" s="491"/>
      <c r="R240" s="491"/>
      <c r="S240" s="491"/>
      <c r="T240" s="491"/>
      <c r="U240" s="491"/>
      <c r="V240" s="491"/>
      <c r="W240" s="491"/>
      <c r="X240" s="491"/>
      <c r="Y240" s="491"/>
      <c r="Z240" s="491"/>
      <c r="AA240" s="491"/>
      <c r="AB240" s="491"/>
      <c r="AC240" s="491"/>
    </row>
    <row r="241" spans="1:29">
      <c r="A241" s="491"/>
      <c r="B241" s="491"/>
      <c r="C241" s="491"/>
      <c r="D241" s="491"/>
      <c r="E241" s="491"/>
      <c r="F241" s="491"/>
      <c r="G241" s="491"/>
      <c r="H241" s="491"/>
      <c r="I241" s="491"/>
      <c r="J241" s="491"/>
      <c r="K241" s="505"/>
      <c r="L241" s="506"/>
      <c r="M241" s="491"/>
      <c r="N241" s="491"/>
      <c r="O241" s="491"/>
      <c r="P241" s="604"/>
      <c r="Q241" s="491"/>
      <c r="R241" s="491"/>
      <c r="S241" s="491"/>
      <c r="T241" s="491"/>
      <c r="U241" s="491"/>
      <c r="V241" s="491"/>
      <c r="W241" s="491"/>
      <c r="X241" s="491"/>
      <c r="Y241" s="491"/>
      <c r="Z241" s="491"/>
      <c r="AA241" s="491"/>
      <c r="AB241" s="491"/>
      <c r="AC241" s="491"/>
    </row>
    <row r="242" spans="1:29">
      <c r="A242" s="491"/>
      <c r="B242" s="491"/>
      <c r="C242" s="491"/>
      <c r="D242" s="491"/>
      <c r="E242" s="491"/>
      <c r="F242" s="491"/>
      <c r="G242" s="491"/>
      <c r="H242" s="491"/>
      <c r="I242" s="491"/>
      <c r="J242" s="491"/>
      <c r="K242" s="505"/>
      <c r="L242" s="506"/>
      <c r="M242" s="491"/>
      <c r="N242" s="491"/>
      <c r="O242" s="491"/>
      <c r="P242" s="604"/>
      <c r="Q242" s="491"/>
      <c r="R242" s="491"/>
      <c r="S242" s="491"/>
      <c r="T242" s="491"/>
      <c r="U242" s="491"/>
      <c r="V242" s="491"/>
      <c r="W242" s="491"/>
      <c r="X242" s="491"/>
      <c r="Y242" s="491"/>
      <c r="Z242" s="491"/>
      <c r="AA242" s="491"/>
      <c r="AB242" s="491"/>
      <c r="AC242" s="491"/>
    </row>
    <row r="243" spans="1:29">
      <c r="A243" s="491"/>
      <c r="B243" s="491"/>
      <c r="C243" s="491"/>
      <c r="D243" s="491"/>
      <c r="E243" s="491"/>
      <c r="F243" s="491"/>
      <c r="G243" s="491"/>
      <c r="H243" s="491"/>
      <c r="I243" s="491"/>
      <c r="J243" s="491"/>
      <c r="K243" s="505"/>
      <c r="L243" s="506"/>
      <c r="M243" s="491"/>
      <c r="N243" s="491"/>
      <c r="O243" s="491"/>
      <c r="P243" s="604"/>
      <c r="Q243" s="491"/>
      <c r="R243" s="491"/>
      <c r="S243" s="491"/>
      <c r="T243" s="491"/>
      <c r="U243" s="491"/>
      <c r="V243" s="491"/>
      <c r="W243" s="491"/>
      <c r="X243" s="491"/>
      <c r="Y243" s="491"/>
      <c r="Z243" s="491"/>
      <c r="AA243" s="491"/>
      <c r="AB243" s="491"/>
      <c r="AC243" s="491"/>
    </row>
    <row r="244" spans="1:29">
      <c r="A244" s="491"/>
      <c r="B244" s="491"/>
      <c r="C244" s="491"/>
      <c r="D244" s="491"/>
      <c r="E244" s="491"/>
      <c r="F244" s="491"/>
      <c r="G244" s="491"/>
      <c r="H244" s="491"/>
      <c r="I244" s="491"/>
      <c r="J244" s="491"/>
      <c r="K244" s="505"/>
      <c r="L244" s="506"/>
      <c r="M244" s="491"/>
      <c r="N244" s="491"/>
      <c r="O244" s="491"/>
      <c r="P244" s="604"/>
      <c r="Q244" s="491"/>
      <c r="R244" s="491"/>
      <c r="S244" s="491"/>
      <c r="T244" s="491"/>
      <c r="U244" s="491"/>
      <c r="V244" s="491"/>
      <c r="W244" s="491"/>
      <c r="X244" s="491"/>
      <c r="Y244" s="491"/>
      <c r="Z244" s="491"/>
      <c r="AA244" s="491"/>
      <c r="AB244" s="491"/>
      <c r="AC244" s="491"/>
    </row>
    <row r="245" spans="1:29">
      <c r="A245" s="491"/>
      <c r="B245" s="491"/>
      <c r="C245" s="491"/>
      <c r="D245" s="491"/>
      <c r="E245" s="491"/>
      <c r="F245" s="491"/>
      <c r="G245" s="491"/>
      <c r="H245" s="491"/>
      <c r="I245" s="491"/>
      <c r="J245" s="491"/>
      <c r="K245" s="505"/>
      <c r="L245" s="506"/>
      <c r="M245" s="491"/>
      <c r="N245" s="491"/>
      <c r="O245" s="491"/>
      <c r="P245" s="604"/>
      <c r="Q245" s="491"/>
      <c r="R245" s="491"/>
      <c r="S245" s="491"/>
      <c r="T245" s="491"/>
      <c r="U245" s="491"/>
      <c r="V245" s="491"/>
      <c r="W245" s="491"/>
      <c r="X245" s="491"/>
      <c r="Y245" s="491"/>
      <c r="Z245" s="491"/>
      <c r="AA245" s="491"/>
      <c r="AB245" s="491"/>
      <c r="AC245" s="491"/>
    </row>
    <row r="246" spans="1:29">
      <c r="A246" s="491"/>
      <c r="B246" s="491"/>
      <c r="C246" s="491"/>
      <c r="D246" s="491"/>
      <c r="E246" s="491"/>
      <c r="F246" s="491"/>
      <c r="G246" s="491"/>
      <c r="H246" s="491"/>
      <c r="I246" s="491"/>
      <c r="J246" s="491"/>
      <c r="K246" s="505"/>
      <c r="L246" s="506"/>
      <c r="M246" s="491"/>
      <c r="N246" s="491"/>
      <c r="O246" s="491"/>
      <c r="P246" s="604"/>
      <c r="Q246" s="491"/>
      <c r="R246" s="491"/>
      <c r="S246" s="491"/>
      <c r="T246" s="491"/>
      <c r="U246" s="491"/>
      <c r="V246" s="491"/>
      <c r="W246" s="491"/>
      <c r="X246" s="491"/>
      <c r="Y246" s="491"/>
      <c r="Z246" s="491"/>
      <c r="AA246" s="491"/>
      <c r="AB246" s="491"/>
      <c r="AC246" s="491"/>
    </row>
    <row r="247" spans="1:29">
      <c r="A247" s="491"/>
      <c r="B247" s="491"/>
      <c r="C247" s="491"/>
      <c r="D247" s="491"/>
      <c r="E247" s="491"/>
      <c r="F247" s="491"/>
      <c r="G247" s="491"/>
      <c r="H247" s="491"/>
      <c r="I247" s="491"/>
      <c r="J247" s="491"/>
      <c r="K247" s="505"/>
      <c r="L247" s="506"/>
      <c r="M247" s="491"/>
      <c r="N247" s="491"/>
      <c r="O247" s="491"/>
      <c r="P247" s="604"/>
      <c r="Q247" s="491"/>
      <c r="R247" s="491"/>
      <c r="S247" s="491"/>
      <c r="T247" s="491"/>
      <c r="U247" s="491"/>
      <c r="V247" s="491"/>
      <c r="W247" s="491"/>
      <c r="X247" s="491"/>
      <c r="Y247" s="491"/>
      <c r="Z247" s="491"/>
      <c r="AA247" s="491"/>
      <c r="AB247" s="491"/>
      <c r="AC247" s="491"/>
    </row>
    <row r="248" spans="1:29">
      <c r="A248" s="491"/>
      <c r="B248" s="491"/>
      <c r="C248" s="491"/>
      <c r="D248" s="491"/>
      <c r="E248" s="491"/>
      <c r="F248" s="491"/>
      <c r="G248" s="491"/>
      <c r="H248" s="491"/>
      <c r="I248" s="491"/>
      <c r="J248" s="491"/>
      <c r="K248" s="505"/>
      <c r="L248" s="506"/>
      <c r="M248" s="491"/>
      <c r="N248" s="491"/>
      <c r="O248" s="491"/>
      <c r="P248" s="604"/>
      <c r="Q248" s="491"/>
      <c r="R248" s="491"/>
      <c r="S248" s="491"/>
      <c r="T248" s="491"/>
      <c r="U248" s="491"/>
      <c r="V248" s="491"/>
      <c r="W248" s="491"/>
      <c r="X248" s="491"/>
      <c r="Y248" s="491"/>
      <c r="Z248" s="491"/>
      <c r="AA248" s="491"/>
      <c r="AB248" s="491"/>
      <c r="AC248" s="491"/>
    </row>
    <row r="249" spans="1:29">
      <c r="A249" s="491"/>
      <c r="B249" s="491"/>
      <c r="C249" s="491"/>
      <c r="D249" s="491"/>
      <c r="E249" s="491"/>
      <c r="F249" s="491"/>
      <c r="G249" s="491"/>
      <c r="H249" s="491"/>
      <c r="I249" s="491"/>
      <c r="J249" s="491"/>
      <c r="K249" s="505"/>
      <c r="L249" s="506"/>
      <c r="M249" s="491"/>
      <c r="N249" s="491"/>
      <c r="O249" s="491"/>
      <c r="P249" s="604"/>
      <c r="Q249" s="491"/>
      <c r="R249" s="491"/>
      <c r="S249" s="491"/>
      <c r="T249" s="491"/>
      <c r="U249" s="491"/>
      <c r="V249" s="491"/>
      <c r="W249" s="491"/>
      <c r="X249" s="491"/>
      <c r="Y249" s="491"/>
      <c r="Z249" s="491"/>
      <c r="AA249" s="491"/>
      <c r="AB249" s="491"/>
      <c r="AC249" s="491"/>
    </row>
    <row r="250" spans="1:29">
      <c r="A250" s="491"/>
      <c r="B250" s="491"/>
      <c r="C250" s="491"/>
      <c r="D250" s="491"/>
      <c r="E250" s="491"/>
      <c r="F250" s="491"/>
      <c r="G250" s="491"/>
      <c r="H250" s="491"/>
      <c r="I250" s="491"/>
      <c r="J250" s="491"/>
      <c r="K250" s="505"/>
      <c r="L250" s="506"/>
      <c r="M250" s="491"/>
      <c r="N250" s="491"/>
      <c r="O250" s="491"/>
      <c r="P250" s="604"/>
      <c r="Q250" s="491"/>
      <c r="R250" s="491"/>
      <c r="S250" s="491"/>
      <c r="T250" s="491"/>
      <c r="U250" s="491"/>
      <c r="V250" s="491"/>
      <c r="W250" s="491"/>
      <c r="X250" s="491"/>
      <c r="Y250" s="491"/>
      <c r="Z250" s="491"/>
      <c r="AA250" s="491"/>
      <c r="AB250" s="491"/>
      <c r="AC250" s="491"/>
    </row>
    <row r="251" spans="1:29">
      <c r="A251" s="491"/>
      <c r="B251" s="491"/>
      <c r="C251" s="491"/>
      <c r="D251" s="491"/>
      <c r="E251" s="491"/>
      <c r="F251" s="491"/>
      <c r="G251" s="491"/>
      <c r="H251" s="491"/>
      <c r="I251" s="491"/>
      <c r="J251" s="491"/>
      <c r="K251" s="505"/>
      <c r="L251" s="506"/>
      <c r="M251" s="491"/>
      <c r="N251" s="491"/>
      <c r="O251" s="491"/>
      <c r="P251" s="604"/>
      <c r="Q251" s="491"/>
      <c r="R251" s="491"/>
      <c r="S251" s="491"/>
      <c r="T251" s="491"/>
      <c r="U251" s="491"/>
      <c r="V251" s="491"/>
      <c r="W251" s="491"/>
      <c r="X251" s="491"/>
      <c r="Y251" s="491"/>
      <c r="Z251" s="491"/>
      <c r="AA251" s="491"/>
      <c r="AB251" s="491"/>
      <c r="AC251" s="491"/>
    </row>
    <row r="252" spans="1:29">
      <c r="A252" s="491"/>
      <c r="B252" s="491"/>
      <c r="C252" s="491"/>
      <c r="D252" s="491"/>
      <c r="E252" s="491"/>
      <c r="F252" s="491"/>
      <c r="G252" s="491"/>
      <c r="H252" s="491"/>
      <c r="I252" s="491"/>
      <c r="J252" s="491"/>
      <c r="K252" s="505"/>
      <c r="L252" s="506"/>
      <c r="M252" s="491"/>
      <c r="N252" s="491"/>
      <c r="O252" s="491"/>
      <c r="P252" s="604"/>
      <c r="Q252" s="491"/>
      <c r="R252" s="491"/>
      <c r="S252" s="491"/>
      <c r="T252" s="491"/>
      <c r="U252" s="491"/>
      <c r="V252" s="491"/>
      <c r="W252" s="491"/>
      <c r="X252" s="491"/>
      <c r="Y252" s="491"/>
      <c r="Z252" s="491"/>
      <c r="AA252" s="491"/>
      <c r="AB252" s="491"/>
      <c r="AC252" s="491"/>
    </row>
    <row r="253" spans="1:29">
      <c r="A253" s="491"/>
      <c r="B253" s="491"/>
      <c r="C253" s="491"/>
      <c r="D253" s="491"/>
      <c r="E253" s="491"/>
      <c r="F253" s="491"/>
      <c r="G253" s="491"/>
      <c r="H253" s="491"/>
      <c r="I253" s="491"/>
      <c r="J253" s="491"/>
      <c r="K253" s="505"/>
      <c r="L253" s="506"/>
      <c r="M253" s="491"/>
      <c r="N253" s="491"/>
      <c r="O253" s="491"/>
      <c r="P253" s="604"/>
      <c r="Q253" s="491"/>
      <c r="R253" s="491"/>
      <c r="S253" s="491"/>
      <c r="T253" s="491"/>
      <c r="U253" s="491"/>
      <c r="V253" s="491"/>
      <c r="W253" s="491"/>
      <c r="X253" s="491"/>
      <c r="Y253" s="491"/>
      <c r="Z253" s="491"/>
      <c r="AA253" s="491"/>
      <c r="AB253" s="491"/>
      <c r="AC253" s="491"/>
    </row>
    <row r="254" spans="1:29">
      <c r="A254" s="491"/>
      <c r="B254" s="491"/>
      <c r="C254" s="491"/>
      <c r="D254" s="491"/>
      <c r="E254" s="491"/>
      <c r="F254" s="491"/>
      <c r="G254" s="491"/>
      <c r="H254" s="491"/>
      <c r="I254" s="491"/>
      <c r="J254" s="491"/>
      <c r="K254" s="505"/>
      <c r="L254" s="506"/>
      <c r="M254" s="491"/>
      <c r="N254" s="491"/>
      <c r="O254" s="491"/>
      <c r="P254" s="604"/>
      <c r="Q254" s="491"/>
      <c r="R254" s="491"/>
      <c r="S254" s="491"/>
      <c r="T254" s="491"/>
      <c r="U254" s="491"/>
      <c r="V254" s="491"/>
      <c r="W254" s="491"/>
      <c r="X254" s="491"/>
      <c r="Y254" s="491"/>
      <c r="Z254" s="491"/>
      <c r="AA254" s="491"/>
      <c r="AB254" s="491"/>
      <c r="AC254" s="491"/>
    </row>
    <row r="255" spans="1:29">
      <c r="A255" s="491"/>
      <c r="B255" s="491"/>
      <c r="C255" s="491"/>
      <c r="D255" s="491"/>
      <c r="E255" s="491"/>
      <c r="F255" s="491"/>
      <c r="G255" s="491"/>
      <c r="H255" s="491"/>
      <c r="I255" s="491"/>
      <c r="J255" s="491"/>
      <c r="K255" s="505"/>
      <c r="L255" s="506"/>
      <c r="M255" s="491"/>
      <c r="N255" s="491"/>
      <c r="O255" s="491"/>
      <c r="P255" s="604"/>
      <c r="Q255" s="491"/>
      <c r="R255" s="491"/>
      <c r="S255" s="491"/>
      <c r="T255" s="491"/>
      <c r="U255" s="491"/>
      <c r="V255" s="491"/>
      <c r="W255" s="491"/>
      <c r="X255" s="491"/>
      <c r="Y255" s="491"/>
      <c r="Z255" s="491"/>
      <c r="AA255" s="491"/>
      <c r="AB255" s="491"/>
      <c r="AC255" s="491"/>
    </row>
    <row r="256" spans="1:29">
      <c r="A256" s="491"/>
      <c r="B256" s="491"/>
      <c r="C256" s="491"/>
      <c r="D256" s="491"/>
      <c r="E256" s="491"/>
      <c r="F256" s="491"/>
      <c r="G256" s="491"/>
      <c r="H256" s="491"/>
      <c r="I256" s="491"/>
      <c r="J256" s="491"/>
      <c r="K256" s="505"/>
      <c r="L256" s="506"/>
      <c r="M256" s="491"/>
      <c r="N256" s="491"/>
      <c r="O256" s="491"/>
      <c r="P256" s="604"/>
      <c r="Q256" s="491"/>
      <c r="R256" s="491"/>
      <c r="S256" s="491"/>
      <c r="T256" s="491"/>
      <c r="U256" s="491"/>
      <c r="V256" s="491"/>
      <c r="W256" s="491"/>
      <c r="X256" s="491"/>
      <c r="Y256" s="491"/>
      <c r="Z256" s="491"/>
      <c r="AA256" s="491"/>
      <c r="AB256" s="491"/>
      <c r="AC256" s="491"/>
    </row>
    <row r="257" spans="1:29">
      <c r="A257" s="491"/>
      <c r="B257" s="491"/>
      <c r="C257" s="491"/>
      <c r="D257" s="491"/>
      <c r="E257" s="491"/>
      <c r="F257" s="491"/>
      <c r="G257" s="491"/>
      <c r="H257" s="491"/>
      <c r="I257" s="491"/>
      <c r="J257" s="491"/>
      <c r="K257" s="505"/>
      <c r="L257" s="506"/>
      <c r="M257" s="491"/>
      <c r="N257" s="491"/>
      <c r="O257" s="491"/>
      <c r="P257" s="604"/>
      <c r="Q257" s="491"/>
      <c r="R257" s="491"/>
      <c r="S257" s="491"/>
      <c r="T257" s="491"/>
      <c r="U257" s="491"/>
      <c r="V257" s="491"/>
      <c r="W257" s="491"/>
      <c r="X257" s="491"/>
      <c r="Y257" s="491"/>
      <c r="Z257" s="491"/>
      <c r="AA257" s="491"/>
      <c r="AB257" s="491"/>
      <c r="AC257" s="491"/>
    </row>
    <row r="258" spans="1:29">
      <c r="A258" s="491"/>
      <c r="B258" s="491"/>
      <c r="C258" s="491"/>
      <c r="D258" s="491"/>
      <c r="E258" s="491"/>
      <c r="F258" s="491"/>
      <c r="G258" s="491"/>
      <c r="H258" s="491"/>
      <c r="I258" s="491"/>
      <c r="J258" s="491"/>
      <c r="K258" s="505"/>
      <c r="L258" s="506"/>
      <c r="M258" s="491"/>
      <c r="N258" s="491"/>
      <c r="O258" s="491"/>
      <c r="P258" s="604"/>
      <c r="Q258" s="491"/>
      <c r="R258" s="491"/>
      <c r="S258" s="491"/>
      <c r="T258" s="491"/>
      <c r="U258" s="491"/>
      <c r="V258" s="491"/>
      <c r="W258" s="491"/>
      <c r="X258" s="491"/>
      <c r="Y258" s="491"/>
      <c r="Z258" s="491"/>
      <c r="AA258" s="491"/>
      <c r="AB258" s="491"/>
      <c r="AC258" s="491"/>
    </row>
    <row r="259" spans="1:29">
      <c r="A259" s="491"/>
      <c r="B259" s="491"/>
      <c r="C259" s="491"/>
      <c r="D259" s="491"/>
      <c r="E259" s="491"/>
      <c r="F259" s="491"/>
      <c r="G259" s="491"/>
      <c r="H259" s="491"/>
      <c r="I259" s="491"/>
      <c r="J259" s="491"/>
      <c r="K259" s="505"/>
      <c r="L259" s="506"/>
      <c r="M259" s="491"/>
      <c r="N259" s="491"/>
      <c r="O259" s="491"/>
      <c r="P259" s="604"/>
      <c r="Q259" s="491"/>
      <c r="R259" s="491"/>
      <c r="S259" s="491"/>
      <c r="T259" s="491"/>
      <c r="U259" s="491"/>
      <c r="V259" s="491"/>
      <c r="W259" s="491"/>
      <c r="X259" s="491"/>
      <c r="Y259" s="491"/>
      <c r="Z259" s="491"/>
      <c r="AA259" s="491"/>
      <c r="AB259" s="491"/>
      <c r="AC259" s="491"/>
    </row>
    <row r="260" spans="1:29">
      <c r="A260" s="491"/>
      <c r="B260" s="491"/>
      <c r="C260" s="491"/>
      <c r="D260" s="491"/>
      <c r="E260" s="491"/>
      <c r="F260" s="491"/>
      <c r="G260" s="491"/>
      <c r="H260" s="491"/>
      <c r="I260" s="491"/>
      <c r="J260" s="491"/>
      <c r="K260" s="505"/>
      <c r="L260" s="506"/>
      <c r="M260" s="491"/>
      <c r="N260" s="491"/>
      <c r="O260" s="491"/>
      <c r="P260" s="604"/>
      <c r="Q260" s="491"/>
      <c r="R260" s="491"/>
      <c r="S260" s="491"/>
      <c r="T260" s="491"/>
      <c r="U260" s="491"/>
      <c r="V260" s="491"/>
      <c r="W260" s="491"/>
      <c r="X260" s="491"/>
      <c r="Y260" s="491"/>
      <c r="Z260" s="491"/>
      <c r="AA260" s="491"/>
      <c r="AB260" s="491"/>
      <c r="AC260" s="491"/>
    </row>
    <row r="261" spans="1:29">
      <c r="A261" s="491"/>
      <c r="B261" s="491"/>
      <c r="C261" s="491"/>
      <c r="D261" s="491"/>
      <c r="E261" s="491"/>
      <c r="F261" s="491"/>
      <c r="G261" s="491"/>
      <c r="H261" s="491"/>
      <c r="I261" s="491"/>
      <c r="J261" s="491"/>
      <c r="K261" s="505"/>
      <c r="L261" s="506"/>
      <c r="M261" s="491"/>
      <c r="N261" s="491"/>
      <c r="O261" s="491"/>
      <c r="P261" s="604"/>
      <c r="Q261" s="491"/>
      <c r="R261" s="491"/>
      <c r="S261" s="491"/>
      <c r="T261" s="491"/>
      <c r="U261" s="491"/>
      <c r="V261" s="491"/>
      <c r="W261" s="491"/>
      <c r="X261" s="491"/>
      <c r="Y261" s="491"/>
      <c r="Z261" s="491"/>
      <c r="AA261" s="491"/>
      <c r="AB261" s="491"/>
      <c r="AC261" s="491"/>
    </row>
    <row r="262" spans="1:29">
      <c r="A262" s="491"/>
      <c r="B262" s="491"/>
      <c r="C262" s="491"/>
      <c r="D262" s="491"/>
      <c r="E262" s="491"/>
      <c r="F262" s="491"/>
      <c r="G262" s="491"/>
      <c r="H262" s="491"/>
      <c r="I262" s="491"/>
      <c r="J262" s="491"/>
      <c r="K262" s="505"/>
      <c r="L262" s="506"/>
      <c r="M262" s="491"/>
      <c r="N262" s="491"/>
      <c r="O262" s="491"/>
      <c r="P262" s="604"/>
      <c r="Q262" s="491"/>
      <c r="R262" s="491"/>
      <c r="S262" s="491"/>
      <c r="T262" s="491"/>
      <c r="U262" s="491"/>
      <c r="V262" s="491"/>
      <c r="W262" s="491"/>
      <c r="X262" s="491"/>
      <c r="Y262" s="491"/>
      <c r="Z262" s="491"/>
      <c r="AA262" s="491"/>
      <c r="AB262" s="491"/>
      <c r="AC262" s="491"/>
    </row>
    <row r="263" spans="1:29">
      <c r="A263" s="491"/>
      <c r="B263" s="491"/>
      <c r="C263" s="491"/>
      <c r="D263" s="491"/>
      <c r="E263" s="491"/>
      <c r="F263" s="491"/>
      <c r="G263" s="491"/>
      <c r="H263" s="491"/>
      <c r="I263" s="491"/>
      <c r="J263" s="491"/>
      <c r="K263" s="505"/>
      <c r="L263" s="506"/>
      <c r="M263" s="491"/>
      <c r="N263" s="491"/>
      <c r="O263" s="491"/>
      <c r="P263" s="604"/>
      <c r="Q263" s="491"/>
      <c r="R263" s="491"/>
      <c r="S263" s="491"/>
      <c r="T263" s="491"/>
      <c r="U263" s="491"/>
      <c r="V263" s="491"/>
      <c r="W263" s="491"/>
      <c r="X263" s="491"/>
      <c r="Y263" s="491"/>
      <c r="Z263" s="491"/>
      <c r="AA263" s="491"/>
      <c r="AB263" s="491"/>
      <c r="AC263" s="491"/>
    </row>
    <row r="264" spans="1:29">
      <c r="A264" s="491"/>
      <c r="B264" s="491"/>
      <c r="C264" s="491"/>
      <c r="D264" s="491"/>
      <c r="E264" s="491"/>
      <c r="F264" s="491"/>
      <c r="G264" s="491"/>
      <c r="H264" s="491"/>
      <c r="I264" s="491"/>
      <c r="J264" s="491"/>
      <c r="K264" s="505"/>
      <c r="L264" s="506"/>
      <c r="M264" s="491"/>
      <c r="N264" s="491"/>
      <c r="O264" s="491"/>
      <c r="P264" s="604"/>
      <c r="Q264" s="491"/>
      <c r="R264" s="491"/>
      <c r="S264" s="491"/>
      <c r="T264" s="491"/>
      <c r="U264" s="491"/>
      <c r="V264" s="491"/>
      <c r="W264" s="491"/>
      <c r="X264" s="491"/>
      <c r="Y264" s="491"/>
      <c r="Z264" s="491"/>
      <c r="AA264" s="491"/>
      <c r="AB264" s="491"/>
      <c r="AC264" s="491"/>
    </row>
    <row r="265" spans="1:29">
      <c r="A265" s="491"/>
      <c r="B265" s="491"/>
      <c r="C265" s="491"/>
      <c r="D265" s="491"/>
      <c r="E265" s="491"/>
      <c r="F265" s="491"/>
      <c r="G265" s="491"/>
      <c r="H265" s="491"/>
      <c r="I265" s="491"/>
      <c r="J265" s="491"/>
      <c r="K265" s="505"/>
      <c r="L265" s="506"/>
      <c r="M265" s="491"/>
      <c r="N265" s="491"/>
      <c r="O265" s="491"/>
      <c r="P265" s="604"/>
      <c r="Q265" s="491"/>
      <c r="R265" s="491"/>
      <c r="S265" s="491"/>
      <c r="T265" s="491"/>
      <c r="U265" s="491"/>
      <c r="V265" s="491"/>
      <c r="W265" s="491"/>
      <c r="X265" s="491"/>
      <c r="Y265" s="491"/>
      <c r="Z265" s="491"/>
      <c r="AA265" s="491"/>
      <c r="AB265" s="491"/>
      <c r="AC265" s="491"/>
    </row>
    <row r="266" spans="1:29">
      <c r="A266" s="491"/>
      <c r="B266" s="491"/>
      <c r="C266" s="491"/>
      <c r="D266" s="491"/>
      <c r="E266" s="491"/>
      <c r="F266" s="491"/>
      <c r="G266" s="491"/>
      <c r="H266" s="491"/>
      <c r="I266" s="491"/>
      <c r="J266" s="491"/>
      <c r="K266" s="505"/>
      <c r="L266" s="506"/>
      <c r="M266" s="491"/>
      <c r="N266" s="491"/>
      <c r="O266" s="491"/>
      <c r="P266" s="604"/>
      <c r="Q266" s="491"/>
      <c r="R266" s="491"/>
      <c r="S266" s="491"/>
      <c r="T266" s="491"/>
      <c r="U266" s="491"/>
      <c r="V266" s="491"/>
      <c r="W266" s="491"/>
      <c r="X266" s="491"/>
      <c r="Y266" s="491"/>
      <c r="Z266" s="491"/>
      <c r="AA266" s="491"/>
      <c r="AB266" s="491"/>
      <c r="AC266" s="491"/>
    </row>
    <row r="267" spans="1:29">
      <c r="A267" s="491"/>
      <c r="B267" s="491"/>
      <c r="C267" s="491"/>
      <c r="D267" s="491"/>
      <c r="E267" s="491"/>
      <c r="F267" s="491"/>
      <c r="G267" s="491"/>
      <c r="H267" s="491"/>
      <c r="I267" s="491"/>
      <c r="J267" s="491"/>
      <c r="K267" s="505"/>
      <c r="L267" s="506"/>
      <c r="M267" s="491"/>
      <c r="N267" s="491"/>
      <c r="O267" s="491"/>
      <c r="P267" s="604"/>
      <c r="Q267" s="491"/>
      <c r="R267" s="491"/>
      <c r="S267" s="491"/>
      <c r="T267" s="491"/>
      <c r="U267" s="491"/>
      <c r="V267" s="491"/>
      <c r="W267" s="491"/>
      <c r="X267" s="491"/>
      <c r="Y267" s="491"/>
      <c r="Z267" s="491"/>
      <c r="AA267" s="491"/>
      <c r="AB267" s="491"/>
      <c r="AC267" s="491"/>
    </row>
    <row r="268" spans="1:29">
      <c r="A268" s="491"/>
      <c r="B268" s="491"/>
      <c r="C268" s="491"/>
      <c r="D268" s="491"/>
      <c r="E268" s="491"/>
      <c r="F268" s="491"/>
      <c r="G268" s="491"/>
      <c r="H268" s="491"/>
      <c r="I268" s="491"/>
      <c r="J268" s="491"/>
      <c r="K268" s="505"/>
      <c r="L268" s="506"/>
      <c r="M268" s="491"/>
      <c r="N268" s="491"/>
      <c r="O268" s="491"/>
      <c r="P268" s="604"/>
      <c r="Q268" s="491"/>
      <c r="R268" s="491"/>
      <c r="S268" s="491"/>
      <c r="T268" s="491"/>
      <c r="U268" s="491"/>
      <c r="V268" s="491"/>
      <c r="W268" s="491"/>
      <c r="X268" s="491"/>
      <c r="Y268" s="491"/>
      <c r="Z268" s="491"/>
      <c r="AA268" s="491"/>
      <c r="AB268" s="491"/>
      <c r="AC268" s="491"/>
    </row>
    <row r="269" spans="1:29">
      <c r="A269" s="491"/>
      <c r="B269" s="491"/>
      <c r="C269" s="491"/>
      <c r="D269" s="491"/>
      <c r="E269" s="491"/>
      <c r="F269" s="491"/>
      <c r="G269" s="491"/>
      <c r="H269" s="491"/>
      <c r="I269" s="491"/>
      <c r="J269" s="491"/>
      <c r="K269" s="505"/>
      <c r="L269" s="506"/>
      <c r="M269" s="491"/>
      <c r="N269" s="491"/>
      <c r="O269" s="491"/>
      <c r="P269" s="604"/>
      <c r="Q269" s="491"/>
      <c r="R269" s="491"/>
      <c r="S269" s="491"/>
      <c r="T269" s="491"/>
      <c r="U269" s="491"/>
      <c r="V269" s="491"/>
      <c r="W269" s="491"/>
      <c r="X269" s="491"/>
      <c r="Y269" s="491"/>
      <c r="Z269" s="491"/>
      <c r="AA269" s="491"/>
      <c r="AB269" s="491"/>
      <c r="AC269" s="491"/>
    </row>
    <row r="270" spans="1:29">
      <c r="A270" s="491"/>
      <c r="B270" s="491"/>
      <c r="C270" s="491"/>
      <c r="D270" s="491"/>
      <c r="E270" s="491"/>
      <c r="F270" s="491"/>
      <c r="G270" s="491"/>
      <c r="H270" s="491"/>
      <c r="I270" s="491"/>
      <c r="J270" s="491"/>
      <c r="K270" s="505"/>
      <c r="L270" s="506"/>
      <c r="M270" s="491"/>
      <c r="N270" s="491"/>
      <c r="O270" s="491"/>
      <c r="P270" s="604"/>
      <c r="Q270" s="491"/>
      <c r="R270" s="491"/>
      <c r="S270" s="491"/>
      <c r="T270" s="491"/>
      <c r="U270" s="491"/>
      <c r="V270" s="491"/>
      <c r="W270" s="491"/>
      <c r="X270" s="491"/>
      <c r="Y270" s="491"/>
      <c r="Z270" s="491"/>
      <c r="AA270" s="491"/>
      <c r="AB270" s="491"/>
      <c r="AC270" s="491"/>
    </row>
    <row r="271" spans="1:29">
      <c r="A271" s="491"/>
      <c r="B271" s="491"/>
      <c r="C271" s="491"/>
      <c r="D271" s="491"/>
      <c r="E271" s="491"/>
      <c r="F271" s="491"/>
      <c r="G271" s="491"/>
      <c r="H271" s="491"/>
      <c r="I271" s="491"/>
      <c r="J271" s="491"/>
      <c r="K271" s="505"/>
      <c r="L271" s="506"/>
      <c r="M271" s="491"/>
      <c r="N271" s="491"/>
      <c r="O271" s="491"/>
      <c r="P271" s="604"/>
      <c r="Q271" s="491"/>
      <c r="R271" s="491"/>
      <c r="S271" s="491"/>
      <c r="T271" s="491"/>
      <c r="U271" s="491"/>
      <c r="V271" s="491"/>
      <c r="W271" s="491"/>
      <c r="X271" s="491"/>
      <c r="Y271" s="491"/>
      <c r="Z271" s="491"/>
      <c r="AA271" s="491"/>
      <c r="AB271" s="491"/>
      <c r="AC271" s="491"/>
    </row>
    <row r="272" spans="1:29">
      <c r="A272" s="491"/>
      <c r="B272" s="491"/>
      <c r="C272" s="491"/>
      <c r="D272" s="491"/>
      <c r="E272" s="491"/>
      <c r="F272" s="491"/>
      <c r="G272" s="491"/>
      <c r="H272" s="491"/>
      <c r="I272" s="491"/>
      <c r="J272" s="491"/>
      <c r="K272" s="505"/>
      <c r="L272" s="506"/>
      <c r="M272" s="491"/>
      <c r="N272" s="491"/>
      <c r="O272" s="491"/>
      <c r="P272" s="604"/>
      <c r="Q272" s="491"/>
      <c r="R272" s="491"/>
      <c r="S272" s="491"/>
      <c r="T272" s="491"/>
      <c r="U272" s="491"/>
      <c r="V272" s="491"/>
      <c r="W272" s="491"/>
      <c r="X272" s="491"/>
      <c r="Y272" s="491"/>
      <c r="Z272" s="491"/>
      <c r="AA272" s="491"/>
      <c r="AB272" s="491"/>
      <c r="AC272" s="491"/>
    </row>
    <row r="273" spans="1:29">
      <c r="A273" s="491"/>
      <c r="B273" s="491"/>
      <c r="C273" s="491"/>
      <c r="D273" s="491"/>
      <c r="E273" s="491"/>
      <c r="F273" s="491"/>
      <c r="G273" s="491"/>
      <c r="H273" s="491"/>
      <c r="I273" s="491"/>
      <c r="J273" s="491"/>
      <c r="K273" s="505"/>
      <c r="L273" s="506"/>
      <c r="M273" s="491"/>
      <c r="N273" s="491"/>
      <c r="O273" s="491"/>
      <c r="P273" s="604"/>
      <c r="Q273" s="491"/>
      <c r="R273" s="491"/>
      <c r="S273" s="491"/>
      <c r="T273" s="491"/>
      <c r="U273" s="491"/>
      <c r="V273" s="491"/>
      <c r="W273" s="491"/>
      <c r="X273" s="491"/>
      <c r="Y273" s="491"/>
      <c r="Z273" s="491"/>
      <c r="AA273" s="491"/>
      <c r="AB273" s="491"/>
      <c r="AC273" s="491"/>
    </row>
    <row r="274" spans="1:29">
      <c r="A274" s="491"/>
      <c r="B274" s="491"/>
      <c r="C274" s="491"/>
      <c r="D274" s="491"/>
      <c r="E274" s="491"/>
      <c r="F274" s="491"/>
      <c r="G274" s="491"/>
      <c r="H274" s="491"/>
      <c r="I274" s="491"/>
      <c r="J274" s="491"/>
      <c r="K274" s="505"/>
      <c r="L274" s="506"/>
      <c r="M274" s="491"/>
      <c r="N274" s="491"/>
      <c r="O274" s="491"/>
      <c r="P274" s="604"/>
      <c r="Q274" s="491"/>
      <c r="R274" s="491"/>
      <c r="S274" s="491"/>
      <c r="T274" s="491"/>
      <c r="U274" s="491"/>
      <c r="V274" s="491"/>
      <c r="W274" s="491"/>
      <c r="X274" s="491"/>
      <c r="Y274" s="491"/>
      <c r="Z274" s="491"/>
      <c r="AA274" s="491"/>
      <c r="AB274" s="491"/>
      <c r="AC274" s="491"/>
    </row>
    <row r="275" spans="1:29">
      <c r="A275" s="491"/>
      <c r="B275" s="491"/>
      <c r="C275" s="491"/>
      <c r="D275" s="491"/>
      <c r="E275" s="491"/>
      <c r="F275" s="491"/>
      <c r="G275" s="491"/>
      <c r="H275" s="491"/>
      <c r="I275" s="491"/>
      <c r="J275" s="491"/>
      <c r="K275" s="505"/>
      <c r="L275" s="506"/>
      <c r="M275" s="491"/>
      <c r="N275" s="491"/>
      <c r="O275" s="491"/>
      <c r="P275" s="604"/>
      <c r="Q275" s="491"/>
      <c r="R275" s="491"/>
      <c r="S275" s="491"/>
      <c r="T275" s="491"/>
      <c r="U275" s="491"/>
      <c r="V275" s="491"/>
      <c r="W275" s="491"/>
      <c r="X275" s="491"/>
      <c r="Y275" s="491"/>
      <c r="Z275" s="491"/>
      <c r="AA275" s="491"/>
      <c r="AB275" s="491"/>
      <c r="AC275" s="491"/>
    </row>
    <row r="276" spans="1:29">
      <c r="A276" s="491"/>
      <c r="B276" s="491"/>
      <c r="C276" s="491"/>
      <c r="D276" s="491"/>
      <c r="E276" s="491"/>
      <c r="F276" s="491"/>
      <c r="G276" s="491"/>
      <c r="H276" s="491"/>
      <c r="I276" s="491"/>
      <c r="J276" s="491"/>
      <c r="K276" s="505"/>
      <c r="L276" s="506"/>
      <c r="M276" s="491"/>
      <c r="N276" s="491"/>
      <c r="O276" s="491"/>
      <c r="P276" s="604"/>
      <c r="Q276" s="491"/>
      <c r="R276" s="491"/>
      <c r="S276" s="491"/>
      <c r="T276" s="491"/>
      <c r="U276" s="491"/>
      <c r="V276" s="491"/>
      <c r="W276" s="491"/>
      <c r="X276" s="491"/>
      <c r="Y276" s="491"/>
      <c r="Z276" s="491"/>
      <c r="AA276" s="491"/>
      <c r="AB276" s="491"/>
      <c r="AC276" s="491"/>
    </row>
    <row r="277" spans="1:29">
      <c r="A277" s="491"/>
      <c r="B277" s="491"/>
      <c r="C277" s="491"/>
      <c r="D277" s="491"/>
      <c r="E277" s="491"/>
      <c r="F277" s="491"/>
      <c r="G277" s="491"/>
      <c r="H277" s="491"/>
      <c r="I277" s="491"/>
      <c r="J277" s="491"/>
      <c r="K277" s="505"/>
      <c r="L277" s="506"/>
      <c r="M277" s="491"/>
      <c r="N277" s="491"/>
      <c r="O277" s="491"/>
      <c r="P277" s="604"/>
      <c r="Q277" s="491"/>
      <c r="R277" s="491"/>
      <c r="S277" s="491"/>
      <c r="T277" s="491"/>
      <c r="U277" s="491"/>
      <c r="V277" s="491"/>
      <c r="W277" s="491"/>
      <c r="X277" s="491"/>
      <c r="Y277" s="491"/>
      <c r="Z277" s="491"/>
      <c r="AA277" s="491"/>
      <c r="AB277" s="491"/>
      <c r="AC277" s="491"/>
    </row>
    <row r="278" spans="1:29">
      <c r="A278" s="491"/>
      <c r="B278" s="491"/>
      <c r="C278" s="491"/>
      <c r="D278" s="491"/>
      <c r="E278" s="491"/>
      <c r="F278" s="491"/>
      <c r="G278" s="491"/>
      <c r="H278" s="491"/>
      <c r="I278" s="491"/>
      <c r="J278" s="491"/>
      <c r="K278" s="505"/>
      <c r="L278" s="506"/>
      <c r="M278" s="491"/>
      <c r="N278" s="491"/>
      <c r="O278" s="491"/>
      <c r="P278" s="604"/>
      <c r="Q278" s="491"/>
      <c r="R278" s="491"/>
      <c r="S278" s="491"/>
      <c r="T278" s="491"/>
      <c r="U278" s="491"/>
      <c r="V278" s="491"/>
      <c r="W278" s="491"/>
      <c r="X278" s="491"/>
      <c r="Y278" s="491"/>
      <c r="Z278" s="491"/>
      <c r="AA278" s="491"/>
      <c r="AB278" s="491"/>
      <c r="AC278" s="491"/>
    </row>
    <row r="279" spans="1:29">
      <c r="A279" s="491"/>
      <c r="B279" s="491"/>
      <c r="C279" s="491"/>
      <c r="D279" s="491"/>
      <c r="E279" s="491"/>
      <c r="F279" s="491"/>
      <c r="G279" s="491"/>
      <c r="H279" s="491"/>
      <c r="I279" s="491"/>
      <c r="J279" s="491"/>
      <c r="K279" s="505"/>
      <c r="L279" s="506"/>
      <c r="M279" s="491"/>
      <c r="N279" s="491"/>
      <c r="O279" s="491"/>
      <c r="P279" s="604"/>
      <c r="Q279" s="491"/>
      <c r="R279" s="491"/>
      <c r="S279" s="491"/>
      <c r="T279" s="491"/>
      <c r="U279" s="491"/>
      <c r="V279" s="491"/>
      <c r="W279" s="491"/>
      <c r="X279" s="491"/>
      <c r="Y279" s="491"/>
      <c r="Z279" s="491"/>
      <c r="AA279" s="491"/>
      <c r="AB279" s="491"/>
      <c r="AC279" s="491"/>
    </row>
    <row r="280" spans="1:29">
      <c r="A280" s="491"/>
      <c r="B280" s="491"/>
      <c r="C280" s="491"/>
      <c r="D280" s="491"/>
      <c r="E280" s="491"/>
      <c r="F280" s="491"/>
      <c r="G280" s="491"/>
      <c r="H280" s="491"/>
      <c r="I280" s="491"/>
      <c r="J280" s="491"/>
      <c r="K280" s="505"/>
      <c r="L280" s="506"/>
      <c r="M280" s="491"/>
      <c r="N280" s="491"/>
      <c r="O280" s="491"/>
      <c r="P280" s="604"/>
      <c r="Q280" s="491"/>
      <c r="R280" s="491"/>
      <c r="S280" s="491"/>
      <c r="T280" s="491"/>
      <c r="U280" s="491"/>
      <c r="V280" s="491"/>
      <c r="W280" s="491"/>
      <c r="X280" s="491"/>
      <c r="Y280" s="491"/>
      <c r="Z280" s="491"/>
      <c r="AA280" s="491"/>
      <c r="AB280" s="491"/>
      <c r="AC280" s="491"/>
    </row>
    <row r="281" spans="1:29">
      <c r="A281" s="491"/>
      <c r="B281" s="491"/>
      <c r="C281" s="491"/>
      <c r="D281" s="491"/>
      <c r="E281" s="491"/>
      <c r="F281" s="491"/>
      <c r="G281" s="491"/>
      <c r="H281" s="491"/>
      <c r="I281" s="491"/>
      <c r="J281" s="491"/>
      <c r="K281" s="505"/>
      <c r="L281" s="506"/>
      <c r="M281" s="491"/>
      <c r="N281" s="491"/>
      <c r="O281" s="491"/>
      <c r="P281" s="604"/>
      <c r="Q281" s="491"/>
      <c r="R281" s="491"/>
      <c r="S281" s="491"/>
      <c r="T281" s="491"/>
      <c r="U281" s="491"/>
      <c r="V281" s="491"/>
      <c r="W281" s="491"/>
      <c r="X281" s="491"/>
      <c r="Y281" s="491"/>
      <c r="Z281" s="491"/>
      <c r="AA281" s="491"/>
      <c r="AB281" s="491"/>
      <c r="AC281" s="491"/>
    </row>
    <row r="282" spans="1:29">
      <c r="A282" s="491"/>
      <c r="B282" s="491"/>
      <c r="C282" s="491"/>
      <c r="D282" s="491"/>
      <c r="E282" s="491"/>
      <c r="F282" s="491"/>
      <c r="G282" s="491"/>
      <c r="H282" s="491"/>
      <c r="I282" s="491"/>
      <c r="J282" s="491"/>
      <c r="K282" s="505"/>
      <c r="L282" s="506"/>
      <c r="M282" s="491"/>
      <c r="N282" s="491"/>
      <c r="O282" s="491"/>
      <c r="P282" s="604"/>
      <c r="Q282" s="491"/>
      <c r="R282" s="491"/>
      <c r="S282" s="491"/>
      <c r="T282" s="491"/>
      <c r="U282" s="491"/>
      <c r="V282" s="491"/>
      <c r="W282" s="491"/>
      <c r="X282" s="491"/>
      <c r="Y282" s="491"/>
      <c r="Z282" s="491"/>
      <c r="AA282" s="491"/>
      <c r="AB282" s="491"/>
      <c r="AC282" s="491"/>
    </row>
    <row r="283" spans="1:29">
      <c r="A283" s="491"/>
      <c r="B283" s="491"/>
      <c r="C283" s="491"/>
      <c r="D283" s="491"/>
      <c r="E283" s="491"/>
      <c r="F283" s="491"/>
      <c r="G283" s="491"/>
      <c r="H283" s="491"/>
      <c r="I283" s="491"/>
      <c r="J283" s="491"/>
      <c r="K283" s="505"/>
      <c r="L283" s="506"/>
      <c r="M283" s="491"/>
      <c r="N283" s="491"/>
      <c r="O283" s="491"/>
      <c r="P283" s="604"/>
      <c r="Q283" s="491"/>
      <c r="R283" s="491"/>
      <c r="S283" s="491"/>
      <c r="T283" s="491"/>
      <c r="U283" s="491"/>
      <c r="V283" s="491"/>
      <c r="W283" s="491"/>
      <c r="X283" s="491"/>
      <c r="Y283" s="491"/>
      <c r="Z283" s="491"/>
      <c r="AA283" s="491"/>
      <c r="AB283" s="491"/>
      <c r="AC283" s="491"/>
    </row>
    <row r="284" spans="1:29">
      <c r="A284" s="491"/>
      <c r="B284" s="491"/>
      <c r="C284" s="491"/>
      <c r="D284" s="491"/>
      <c r="E284" s="491"/>
      <c r="F284" s="491"/>
      <c r="G284" s="491"/>
      <c r="H284" s="491"/>
      <c r="I284" s="491"/>
      <c r="J284" s="491"/>
      <c r="K284" s="505"/>
      <c r="L284" s="506"/>
      <c r="M284" s="491"/>
      <c r="N284" s="491"/>
      <c r="O284" s="491"/>
      <c r="P284" s="604"/>
      <c r="Q284" s="491"/>
      <c r="R284" s="491"/>
      <c r="S284" s="491"/>
      <c r="T284" s="491"/>
      <c r="U284" s="491"/>
      <c r="V284" s="491"/>
      <c r="W284" s="491"/>
      <c r="X284" s="491"/>
      <c r="Y284" s="491"/>
      <c r="Z284" s="491"/>
      <c r="AA284" s="491"/>
      <c r="AB284" s="491"/>
      <c r="AC284" s="491"/>
    </row>
    <row r="285" spans="1:29">
      <c r="A285" s="491"/>
      <c r="B285" s="491"/>
      <c r="C285" s="491"/>
      <c r="D285" s="491"/>
      <c r="E285" s="491"/>
      <c r="F285" s="491"/>
      <c r="G285" s="491"/>
      <c r="H285" s="491"/>
      <c r="I285" s="491"/>
      <c r="J285" s="491"/>
      <c r="K285" s="505"/>
      <c r="L285" s="506"/>
      <c r="M285" s="491"/>
      <c r="N285" s="491"/>
      <c r="O285" s="491"/>
      <c r="P285" s="604"/>
      <c r="Q285" s="491"/>
      <c r="R285" s="491"/>
      <c r="S285" s="491"/>
      <c r="T285" s="491"/>
      <c r="U285" s="491"/>
      <c r="V285" s="491"/>
      <c r="W285" s="491"/>
      <c r="X285" s="491"/>
      <c r="Y285" s="491"/>
      <c r="Z285" s="491"/>
      <c r="AA285" s="491"/>
      <c r="AB285" s="491"/>
      <c r="AC285" s="491"/>
    </row>
    <row r="286" spans="1:29">
      <c r="A286" s="491"/>
      <c r="B286" s="491"/>
      <c r="C286" s="491"/>
      <c r="D286" s="491"/>
      <c r="E286" s="491"/>
      <c r="F286" s="491"/>
      <c r="G286" s="491"/>
      <c r="H286" s="491"/>
      <c r="I286" s="491"/>
      <c r="J286" s="491"/>
      <c r="K286" s="505"/>
      <c r="L286" s="506"/>
      <c r="M286" s="491"/>
      <c r="N286" s="491"/>
      <c r="O286" s="491"/>
      <c r="P286" s="604"/>
      <c r="Q286" s="491"/>
      <c r="R286" s="491"/>
      <c r="S286" s="491"/>
      <c r="T286" s="491"/>
      <c r="U286" s="491"/>
      <c r="V286" s="491"/>
      <c r="W286" s="491"/>
      <c r="X286" s="491"/>
      <c r="Y286" s="491"/>
      <c r="Z286" s="491"/>
      <c r="AA286" s="491"/>
      <c r="AB286" s="491"/>
      <c r="AC286" s="491"/>
    </row>
    <row r="287" spans="1:29">
      <c r="A287" s="491"/>
      <c r="B287" s="491"/>
      <c r="C287" s="491"/>
      <c r="D287" s="491"/>
      <c r="E287" s="491"/>
      <c r="F287" s="491"/>
      <c r="G287" s="491"/>
      <c r="H287" s="491"/>
      <c r="I287" s="491"/>
      <c r="J287" s="491"/>
      <c r="K287" s="505"/>
      <c r="L287" s="506"/>
      <c r="M287" s="491"/>
      <c r="N287" s="491"/>
      <c r="O287" s="491"/>
      <c r="P287" s="604"/>
      <c r="Q287" s="491"/>
      <c r="R287" s="491"/>
      <c r="S287" s="491"/>
      <c r="T287" s="491"/>
      <c r="U287" s="491"/>
      <c r="V287" s="491"/>
      <c r="W287" s="491"/>
      <c r="X287" s="491"/>
      <c r="Y287" s="491"/>
      <c r="Z287" s="491"/>
      <c r="AA287" s="491"/>
      <c r="AB287" s="491"/>
      <c r="AC287" s="491"/>
    </row>
    <row r="288" spans="1:29">
      <c r="A288" s="491"/>
      <c r="B288" s="491"/>
      <c r="C288" s="491"/>
      <c r="D288" s="491"/>
      <c r="E288" s="491"/>
      <c r="F288" s="491"/>
      <c r="G288" s="491"/>
      <c r="H288" s="491"/>
      <c r="I288" s="491"/>
      <c r="J288" s="491"/>
      <c r="K288" s="505"/>
      <c r="L288" s="506"/>
      <c r="M288" s="491"/>
      <c r="N288" s="491"/>
      <c r="O288" s="491"/>
      <c r="P288" s="604"/>
      <c r="Q288" s="491"/>
      <c r="R288" s="491"/>
      <c r="S288" s="491"/>
      <c r="T288" s="491"/>
      <c r="U288" s="491"/>
      <c r="V288" s="491"/>
      <c r="W288" s="491"/>
      <c r="X288" s="491"/>
      <c r="Y288" s="491"/>
      <c r="Z288" s="491"/>
      <c r="AA288" s="491"/>
      <c r="AB288" s="491"/>
      <c r="AC288" s="491"/>
    </row>
    <row r="289" spans="1:29">
      <c r="A289" s="491"/>
      <c r="B289" s="491"/>
      <c r="C289" s="491"/>
      <c r="D289" s="491"/>
      <c r="E289" s="491"/>
      <c r="F289" s="491"/>
      <c r="G289" s="491"/>
      <c r="H289" s="491"/>
      <c r="I289" s="491"/>
      <c r="J289" s="491"/>
      <c r="K289" s="505"/>
      <c r="L289" s="506"/>
      <c r="M289" s="491"/>
      <c r="N289" s="491"/>
      <c r="O289" s="491"/>
      <c r="P289" s="604"/>
      <c r="Q289" s="491"/>
      <c r="R289" s="491"/>
      <c r="S289" s="491"/>
      <c r="T289" s="491"/>
      <c r="U289" s="491"/>
      <c r="V289" s="491"/>
      <c r="W289" s="491"/>
      <c r="X289" s="491"/>
      <c r="Y289" s="491"/>
      <c r="Z289" s="491"/>
      <c r="AA289" s="491"/>
      <c r="AB289" s="491"/>
      <c r="AC289" s="491"/>
    </row>
    <row r="290" spans="1:29">
      <c r="A290" s="491"/>
      <c r="B290" s="491"/>
      <c r="C290" s="491"/>
      <c r="D290" s="491"/>
      <c r="E290" s="491"/>
      <c r="F290" s="491"/>
      <c r="G290" s="491"/>
      <c r="H290" s="491"/>
      <c r="I290" s="491"/>
      <c r="J290" s="491"/>
      <c r="K290" s="505"/>
      <c r="L290" s="506"/>
      <c r="M290" s="491"/>
      <c r="N290" s="491"/>
      <c r="O290" s="491"/>
      <c r="P290" s="604"/>
      <c r="Q290" s="491"/>
      <c r="R290" s="491"/>
      <c r="S290" s="491"/>
      <c r="T290" s="491"/>
      <c r="U290" s="491"/>
      <c r="V290" s="491"/>
      <c r="W290" s="491"/>
      <c r="X290" s="491"/>
      <c r="Y290" s="491"/>
      <c r="Z290" s="491"/>
      <c r="AA290" s="491"/>
      <c r="AB290" s="491"/>
      <c r="AC290" s="491"/>
    </row>
    <row r="291" spans="1:29">
      <c r="A291" s="491"/>
      <c r="B291" s="491"/>
      <c r="C291" s="491"/>
      <c r="D291" s="491"/>
      <c r="E291" s="491"/>
      <c r="F291" s="491"/>
      <c r="G291" s="491"/>
      <c r="H291" s="491"/>
      <c r="I291" s="491"/>
      <c r="J291" s="491"/>
      <c r="K291" s="505"/>
      <c r="L291" s="506"/>
      <c r="M291" s="491"/>
      <c r="N291" s="491"/>
      <c r="O291" s="491"/>
      <c r="P291" s="604"/>
      <c r="Q291" s="491"/>
      <c r="R291" s="491"/>
      <c r="S291" s="491"/>
      <c r="T291" s="491"/>
      <c r="U291" s="491"/>
      <c r="V291" s="491"/>
      <c r="W291" s="491"/>
      <c r="X291" s="491"/>
      <c r="Y291" s="491"/>
      <c r="Z291" s="491"/>
      <c r="AA291" s="491"/>
      <c r="AB291" s="491"/>
      <c r="AC291" s="491"/>
    </row>
    <row r="292" spans="1:29">
      <c r="A292" s="491"/>
      <c r="B292" s="491"/>
      <c r="C292" s="491"/>
      <c r="D292" s="491"/>
      <c r="E292" s="491"/>
      <c r="F292" s="491"/>
      <c r="G292" s="491"/>
      <c r="H292" s="491"/>
      <c r="I292" s="491"/>
      <c r="J292" s="491"/>
      <c r="K292" s="505"/>
      <c r="L292" s="506"/>
      <c r="M292" s="491"/>
      <c r="N292" s="491"/>
      <c r="O292" s="491"/>
      <c r="P292" s="604"/>
      <c r="Q292" s="491"/>
      <c r="R292" s="491"/>
      <c r="S292" s="491"/>
      <c r="T292" s="491"/>
      <c r="U292" s="491"/>
      <c r="V292" s="491"/>
      <c r="W292" s="491"/>
      <c r="X292" s="491"/>
      <c r="Y292" s="491"/>
      <c r="Z292" s="491"/>
      <c r="AA292" s="491"/>
      <c r="AB292" s="491"/>
      <c r="AC292" s="491"/>
    </row>
    <row r="293" spans="1:29">
      <c r="A293" s="491"/>
      <c r="B293" s="491"/>
      <c r="C293" s="491"/>
      <c r="D293" s="491"/>
      <c r="E293" s="491"/>
      <c r="F293" s="491"/>
      <c r="G293" s="491"/>
      <c r="H293" s="491"/>
      <c r="I293" s="491"/>
      <c r="J293" s="491"/>
      <c r="K293" s="505"/>
      <c r="L293" s="506"/>
      <c r="M293" s="491"/>
      <c r="N293" s="491"/>
      <c r="O293" s="491"/>
      <c r="P293" s="604"/>
      <c r="Q293" s="491"/>
      <c r="R293" s="491"/>
      <c r="S293" s="491"/>
      <c r="T293" s="491"/>
      <c r="U293" s="491"/>
      <c r="V293" s="491"/>
      <c r="W293" s="491"/>
      <c r="X293" s="491"/>
      <c r="Y293" s="491"/>
      <c r="Z293" s="491"/>
      <c r="AA293" s="491"/>
      <c r="AB293" s="491"/>
      <c r="AC293" s="491"/>
    </row>
    <row r="294" spans="1:29">
      <c r="A294" s="491"/>
      <c r="B294" s="491"/>
      <c r="C294" s="491"/>
      <c r="D294" s="491"/>
      <c r="E294" s="491"/>
      <c r="F294" s="491"/>
      <c r="G294" s="491"/>
      <c r="H294" s="491"/>
      <c r="I294" s="491"/>
      <c r="J294" s="491"/>
      <c r="K294" s="505"/>
      <c r="L294" s="506"/>
      <c r="M294" s="491"/>
      <c r="N294" s="491"/>
      <c r="O294" s="491"/>
      <c r="P294" s="604"/>
      <c r="Q294" s="491"/>
      <c r="R294" s="491"/>
      <c r="S294" s="491"/>
      <c r="T294" s="491"/>
      <c r="U294" s="491"/>
      <c r="V294" s="491"/>
      <c r="W294" s="491"/>
      <c r="X294" s="491"/>
      <c r="Y294" s="491"/>
      <c r="Z294" s="491"/>
      <c r="AA294" s="491"/>
      <c r="AB294" s="491"/>
      <c r="AC294" s="491"/>
    </row>
    <row r="295" spans="1:29">
      <c r="A295" s="491"/>
      <c r="B295" s="491"/>
      <c r="C295" s="491"/>
      <c r="D295" s="491"/>
      <c r="E295" s="491"/>
      <c r="F295" s="491"/>
      <c r="G295" s="491"/>
      <c r="H295" s="491"/>
      <c r="I295" s="491"/>
      <c r="J295" s="491"/>
      <c r="K295" s="505"/>
      <c r="L295" s="506"/>
      <c r="M295" s="491"/>
      <c r="N295" s="491"/>
      <c r="O295" s="491"/>
      <c r="P295" s="604"/>
      <c r="Q295" s="491"/>
      <c r="R295" s="491"/>
      <c r="S295" s="491"/>
      <c r="T295" s="491"/>
      <c r="U295" s="491"/>
      <c r="V295" s="491"/>
      <c r="W295" s="491"/>
      <c r="X295" s="491"/>
      <c r="Y295" s="491"/>
      <c r="Z295" s="491"/>
      <c r="AA295" s="491"/>
      <c r="AB295" s="491"/>
      <c r="AC295" s="491"/>
    </row>
    <row r="296" spans="1:29">
      <c r="A296" s="491"/>
      <c r="B296" s="491"/>
      <c r="C296" s="491"/>
      <c r="D296" s="491"/>
      <c r="E296" s="491"/>
      <c r="F296" s="491"/>
      <c r="G296" s="491"/>
      <c r="H296" s="491"/>
      <c r="I296" s="491"/>
      <c r="J296" s="491"/>
      <c r="K296" s="505"/>
      <c r="L296" s="506"/>
      <c r="M296" s="491"/>
      <c r="N296" s="491"/>
      <c r="O296" s="491"/>
      <c r="P296" s="604"/>
      <c r="Q296" s="491"/>
      <c r="R296" s="491"/>
      <c r="S296" s="491"/>
      <c r="T296" s="491"/>
      <c r="U296" s="491"/>
      <c r="V296" s="491"/>
      <c r="W296" s="491"/>
      <c r="X296" s="491"/>
      <c r="Y296" s="491"/>
      <c r="Z296" s="491"/>
      <c r="AA296" s="491"/>
      <c r="AB296" s="491"/>
      <c r="AC296" s="491"/>
    </row>
    <row r="297" spans="1:29">
      <c r="A297" s="491"/>
      <c r="B297" s="491"/>
      <c r="C297" s="491"/>
      <c r="D297" s="491"/>
      <c r="E297" s="491"/>
      <c r="F297" s="491"/>
      <c r="G297" s="491"/>
      <c r="H297" s="491"/>
      <c r="I297" s="491"/>
      <c r="J297" s="491"/>
      <c r="K297" s="505"/>
      <c r="L297" s="506"/>
      <c r="M297" s="491"/>
      <c r="N297" s="491"/>
      <c r="O297" s="491"/>
      <c r="P297" s="604"/>
      <c r="Q297" s="491"/>
      <c r="R297" s="491"/>
      <c r="S297" s="491"/>
      <c r="T297" s="491"/>
      <c r="U297" s="491"/>
      <c r="V297" s="491"/>
      <c r="W297" s="491"/>
      <c r="X297" s="491"/>
      <c r="Y297" s="491"/>
      <c r="Z297" s="491"/>
      <c r="AA297" s="491"/>
      <c r="AB297" s="491"/>
      <c r="AC297" s="491"/>
    </row>
    <row r="298" spans="1:29">
      <c r="A298" s="491"/>
      <c r="B298" s="491"/>
      <c r="C298" s="491"/>
      <c r="D298" s="491"/>
      <c r="E298" s="491"/>
      <c r="F298" s="491"/>
      <c r="G298" s="491"/>
      <c r="H298" s="491"/>
      <c r="I298" s="491"/>
      <c r="J298" s="491"/>
      <c r="K298" s="505"/>
      <c r="L298" s="506"/>
      <c r="M298" s="491"/>
      <c r="N298" s="491"/>
      <c r="O298" s="491"/>
      <c r="P298" s="604"/>
      <c r="Q298" s="491"/>
      <c r="R298" s="491"/>
      <c r="S298" s="491"/>
      <c r="T298" s="491"/>
      <c r="U298" s="491"/>
      <c r="V298" s="491"/>
      <c r="W298" s="491"/>
      <c r="X298" s="491"/>
      <c r="Y298" s="491"/>
      <c r="Z298" s="491"/>
      <c r="AA298" s="491"/>
      <c r="AB298" s="491"/>
      <c r="AC298" s="491"/>
    </row>
    <row r="299" spans="1:29">
      <c r="A299" s="491"/>
      <c r="B299" s="491"/>
      <c r="C299" s="491"/>
      <c r="D299" s="491"/>
      <c r="E299" s="491"/>
      <c r="F299" s="491"/>
      <c r="G299" s="491"/>
      <c r="H299" s="491"/>
      <c r="I299" s="491"/>
      <c r="J299" s="491"/>
      <c r="K299" s="505"/>
      <c r="L299" s="506"/>
      <c r="M299" s="491"/>
      <c r="N299" s="491"/>
      <c r="O299" s="491"/>
      <c r="P299" s="604"/>
      <c r="Q299" s="491"/>
      <c r="R299" s="491"/>
      <c r="S299" s="491"/>
      <c r="T299" s="491"/>
      <c r="U299" s="491"/>
      <c r="V299" s="491"/>
      <c r="W299" s="491"/>
      <c r="X299" s="491"/>
      <c r="Y299" s="491"/>
      <c r="Z299" s="491"/>
      <c r="AA299" s="491"/>
      <c r="AB299" s="491"/>
      <c r="AC299" s="491"/>
    </row>
    <row r="300" spans="1:29">
      <c r="A300" s="491"/>
      <c r="B300" s="491"/>
      <c r="C300" s="491"/>
      <c r="D300" s="491"/>
      <c r="E300" s="491"/>
      <c r="F300" s="491"/>
      <c r="G300" s="491"/>
      <c r="H300" s="491"/>
      <c r="I300" s="491"/>
      <c r="J300" s="491"/>
      <c r="K300" s="505"/>
      <c r="L300" s="506"/>
      <c r="M300" s="491"/>
      <c r="N300" s="491"/>
      <c r="O300" s="491"/>
      <c r="P300" s="604"/>
      <c r="Q300" s="491"/>
      <c r="R300" s="491"/>
      <c r="S300" s="491"/>
      <c r="T300" s="491"/>
      <c r="U300" s="491"/>
      <c r="V300" s="491"/>
      <c r="W300" s="491"/>
      <c r="X300" s="491"/>
      <c r="Y300" s="491"/>
      <c r="Z300" s="491"/>
      <c r="AA300" s="491"/>
      <c r="AB300" s="491"/>
      <c r="AC300" s="491"/>
    </row>
    <row r="301" spans="1:29">
      <c r="A301" s="491"/>
      <c r="B301" s="491"/>
      <c r="C301" s="491"/>
      <c r="D301" s="491"/>
      <c r="E301" s="491"/>
      <c r="F301" s="491"/>
      <c r="G301" s="491"/>
      <c r="H301" s="491"/>
      <c r="I301" s="491"/>
      <c r="J301" s="491"/>
      <c r="K301" s="505"/>
      <c r="L301" s="506"/>
      <c r="M301" s="491"/>
      <c r="N301" s="491"/>
      <c r="O301" s="491"/>
      <c r="P301" s="604"/>
      <c r="Q301" s="491"/>
      <c r="R301" s="491"/>
      <c r="S301" s="491"/>
      <c r="T301" s="491"/>
      <c r="U301" s="491"/>
      <c r="V301" s="491"/>
      <c r="W301" s="491"/>
      <c r="X301" s="491"/>
      <c r="Y301" s="491"/>
      <c r="Z301" s="491"/>
      <c r="AA301" s="491"/>
      <c r="AB301" s="491"/>
      <c r="AC301" s="491"/>
    </row>
    <row r="302" spans="1:29">
      <c r="A302" s="491"/>
      <c r="B302" s="491"/>
      <c r="C302" s="491"/>
      <c r="D302" s="491"/>
      <c r="E302" s="491"/>
      <c r="F302" s="491"/>
      <c r="G302" s="491"/>
      <c r="H302" s="491"/>
      <c r="I302" s="491"/>
      <c r="J302" s="491"/>
      <c r="K302" s="505"/>
      <c r="L302" s="506"/>
      <c r="M302" s="491"/>
      <c r="N302" s="491"/>
      <c r="O302" s="491"/>
      <c r="P302" s="604"/>
      <c r="Q302" s="491"/>
      <c r="R302" s="491"/>
      <c r="S302" s="491"/>
      <c r="T302" s="491"/>
      <c r="U302" s="491"/>
      <c r="V302" s="491"/>
      <c r="W302" s="491"/>
      <c r="X302" s="491"/>
      <c r="Y302" s="491"/>
      <c r="Z302" s="491"/>
      <c r="AA302" s="491"/>
      <c r="AB302" s="491"/>
      <c r="AC302" s="491"/>
    </row>
    <row r="303" spans="1:29">
      <c r="A303" s="491"/>
      <c r="B303" s="491"/>
      <c r="C303" s="491"/>
      <c r="D303" s="491"/>
      <c r="E303" s="491"/>
      <c r="F303" s="491"/>
      <c r="G303" s="491"/>
      <c r="H303" s="491"/>
      <c r="I303" s="491"/>
      <c r="J303" s="491"/>
      <c r="K303" s="505"/>
      <c r="L303" s="506"/>
      <c r="M303" s="491"/>
      <c r="N303" s="491"/>
      <c r="O303" s="491"/>
      <c r="P303" s="604"/>
      <c r="Q303" s="491"/>
      <c r="R303" s="491"/>
      <c r="S303" s="491"/>
      <c r="T303" s="491"/>
      <c r="U303" s="491"/>
      <c r="V303" s="491"/>
      <c r="W303" s="491"/>
      <c r="X303" s="491"/>
      <c r="Y303" s="491"/>
      <c r="Z303" s="491"/>
      <c r="AA303" s="491"/>
      <c r="AB303" s="491"/>
      <c r="AC303" s="491"/>
    </row>
    <row r="304" spans="1:29">
      <c r="A304" s="491"/>
      <c r="B304" s="491"/>
      <c r="C304" s="491"/>
      <c r="D304" s="491"/>
      <c r="E304" s="491"/>
      <c r="F304" s="491"/>
      <c r="G304" s="491"/>
      <c r="H304" s="491"/>
      <c r="I304" s="491"/>
      <c r="J304" s="491"/>
      <c r="K304" s="505"/>
      <c r="L304" s="506"/>
      <c r="M304" s="491"/>
      <c r="N304" s="491"/>
      <c r="O304" s="491"/>
      <c r="P304" s="604"/>
      <c r="Q304" s="491"/>
      <c r="R304" s="491"/>
      <c r="S304" s="491"/>
      <c r="T304" s="491"/>
      <c r="U304" s="491"/>
      <c r="V304" s="491"/>
      <c r="W304" s="491"/>
      <c r="X304" s="491"/>
      <c r="Y304" s="491"/>
      <c r="Z304" s="491"/>
      <c r="AA304" s="491"/>
      <c r="AB304" s="491"/>
      <c r="AC304" s="491"/>
    </row>
    <row r="305" spans="1:29">
      <c r="A305" s="491"/>
      <c r="B305" s="491"/>
      <c r="C305" s="491"/>
      <c r="D305" s="491"/>
      <c r="E305" s="491"/>
      <c r="F305" s="491"/>
      <c r="G305" s="491"/>
      <c r="H305" s="491"/>
      <c r="I305" s="491"/>
      <c r="J305" s="491"/>
      <c r="K305" s="505"/>
      <c r="L305" s="506"/>
      <c r="M305" s="491"/>
      <c r="N305" s="491"/>
      <c r="O305" s="491"/>
      <c r="P305" s="604"/>
      <c r="Q305" s="491"/>
      <c r="R305" s="491"/>
      <c r="S305" s="491"/>
      <c r="T305" s="491"/>
      <c r="U305" s="491"/>
      <c r="V305" s="491"/>
      <c r="W305" s="491"/>
      <c r="X305" s="491"/>
      <c r="Y305" s="491"/>
      <c r="Z305" s="491"/>
      <c r="AA305" s="491"/>
      <c r="AB305" s="491"/>
      <c r="AC305" s="491"/>
    </row>
    <row r="306" spans="1:29">
      <c r="A306" s="491"/>
      <c r="B306" s="491"/>
      <c r="C306" s="491"/>
      <c r="D306" s="491"/>
      <c r="E306" s="491"/>
      <c r="F306" s="491"/>
      <c r="G306" s="491"/>
      <c r="H306" s="491"/>
      <c r="I306" s="491"/>
      <c r="J306" s="491"/>
      <c r="K306" s="505"/>
      <c r="L306" s="506"/>
      <c r="M306" s="491"/>
      <c r="N306" s="491"/>
      <c r="O306" s="491"/>
      <c r="P306" s="604"/>
      <c r="Q306" s="491"/>
      <c r="R306" s="491"/>
      <c r="S306" s="491"/>
      <c r="T306" s="491"/>
      <c r="U306" s="491"/>
      <c r="V306" s="491"/>
      <c r="W306" s="491"/>
      <c r="X306" s="491"/>
      <c r="Y306" s="491"/>
      <c r="Z306" s="491"/>
      <c r="AA306" s="491"/>
      <c r="AB306" s="491"/>
      <c r="AC306" s="491"/>
    </row>
    <row r="307" spans="1:29">
      <c r="A307" s="491"/>
      <c r="B307" s="491"/>
      <c r="C307" s="491"/>
      <c r="D307" s="491"/>
      <c r="E307" s="491"/>
      <c r="F307" s="491"/>
      <c r="G307" s="491"/>
      <c r="H307" s="491"/>
      <c r="I307" s="491"/>
      <c r="J307" s="491"/>
      <c r="K307" s="505"/>
      <c r="L307" s="506"/>
      <c r="M307" s="491"/>
      <c r="N307" s="491"/>
      <c r="O307" s="491"/>
      <c r="P307" s="604"/>
      <c r="Q307" s="491"/>
      <c r="R307" s="491"/>
      <c r="S307" s="491"/>
      <c r="T307" s="491"/>
      <c r="U307" s="491"/>
      <c r="V307" s="491"/>
      <c r="W307" s="491"/>
      <c r="X307" s="491"/>
      <c r="Y307" s="491"/>
      <c r="Z307" s="491"/>
      <c r="AA307" s="491"/>
      <c r="AB307" s="491"/>
      <c r="AC307" s="491"/>
    </row>
    <row r="308" spans="1:29">
      <c r="A308" s="491"/>
      <c r="B308" s="491"/>
      <c r="C308" s="491"/>
      <c r="D308" s="491"/>
      <c r="E308" s="491"/>
      <c r="F308" s="491"/>
      <c r="G308" s="491"/>
      <c r="H308" s="491"/>
      <c r="I308" s="491"/>
      <c r="J308" s="491"/>
      <c r="K308" s="505"/>
      <c r="L308" s="506"/>
      <c r="M308" s="491"/>
      <c r="N308" s="491"/>
      <c r="O308" s="491"/>
      <c r="P308" s="604"/>
      <c r="Q308" s="491"/>
      <c r="R308" s="491"/>
      <c r="S308" s="491"/>
      <c r="T308" s="491"/>
      <c r="U308" s="491"/>
      <c r="V308" s="491"/>
      <c r="W308" s="491"/>
      <c r="X308" s="491"/>
      <c r="Y308" s="491"/>
      <c r="Z308" s="491"/>
      <c r="AA308" s="491"/>
      <c r="AB308" s="491"/>
      <c r="AC308" s="491"/>
    </row>
    <row r="309" spans="1:29">
      <c r="A309" s="491"/>
      <c r="B309" s="491"/>
      <c r="C309" s="491"/>
      <c r="D309" s="491"/>
      <c r="E309" s="491"/>
      <c r="F309" s="491"/>
      <c r="G309" s="491"/>
      <c r="H309" s="491"/>
      <c r="I309" s="491"/>
      <c r="J309" s="491"/>
      <c r="K309" s="505"/>
      <c r="L309" s="506"/>
      <c r="M309" s="491"/>
      <c r="N309" s="491"/>
      <c r="O309" s="491"/>
      <c r="P309" s="604"/>
      <c r="Q309" s="491"/>
      <c r="R309" s="491"/>
      <c r="S309" s="491"/>
      <c r="T309" s="491"/>
      <c r="U309" s="491"/>
      <c r="V309" s="491"/>
      <c r="W309" s="491"/>
      <c r="X309" s="491"/>
      <c r="Y309" s="491"/>
      <c r="Z309" s="491"/>
      <c r="AA309" s="491"/>
      <c r="AB309" s="491"/>
      <c r="AC309" s="491"/>
    </row>
    <row r="310" spans="1:29">
      <c r="A310" s="491"/>
      <c r="B310" s="491"/>
      <c r="C310" s="491"/>
      <c r="D310" s="491"/>
      <c r="E310" s="491"/>
      <c r="F310" s="491"/>
      <c r="G310" s="491"/>
      <c r="H310" s="491"/>
      <c r="I310" s="491"/>
      <c r="J310" s="491"/>
      <c r="K310" s="505"/>
      <c r="L310" s="506"/>
      <c r="M310" s="491"/>
      <c r="N310" s="491"/>
      <c r="O310" s="491"/>
      <c r="P310" s="604"/>
      <c r="Q310" s="491"/>
      <c r="R310" s="491"/>
      <c r="S310" s="491"/>
      <c r="T310" s="491"/>
      <c r="U310" s="491"/>
      <c r="V310" s="491"/>
      <c r="W310" s="491"/>
      <c r="X310" s="491"/>
      <c r="Y310" s="491"/>
      <c r="Z310" s="491"/>
      <c r="AA310" s="491"/>
      <c r="AB310" s="491"/>
      <c r="AC310" s="491"/>
    </row>
    <row r="311" spans="1:29">
      <c r="A311" s="491"/>
      <c r="B311" s="491"/>
      <c r="C311" s="491"/>
      <c r="D311" s="491"/>
      <c r="E311" s="491"/>
      <c r="F311" s="491"/>
      <c r="G311" s="491"/>
      <c r="H311" s="491"/>
      <c r="I311" s="491"/>
      <c r="J311" s="491"/>
      <c r="K311" s="505"/>
      <c r="L311" s="506"/>
      <c r="M311" s="491"/>
      <c r="N311" s="491"/>
      <c r="O311" s="491"/>
      <c r="P311" s="604"/>
      <c r="Q311" s="491"/>
      <c r="R311" s="491"/>
      <c r="S311" s="491"/>
      <c r="T311" s="491"/>
      <c r="U311" s="491"/>
      <c r="V311" s="491"/>
      <c r="W311" s="491"/>
      <c r="X311" s="491"/>
      <c r="Y311" s="491"/>
      <c r="Z311" s="491"/>
      <c r="AA311" s="491"/>
      <c r="AB311" s="491"/>
      <c r="AC311" s="491"/>
    </row>
    <row r="312" spans="1:29">
      <c r="A312" s="491"/>
      <c r="B312" s="491"/>
      <c r="C312" s="491"/>
      <c r="D312" s="491"/>
      <c r="E312" s="491"/>
      <c r="F312" s="491"/>
      <c r="G312" s="491"/>
      <c r="H312" s="491"/>
      <c r="I312" s="491"/>
      <c r="J312" s="491"/>
      <c r="K312" s="505"/>
      <c r="L312" s="506"/>
      <c r="M312" s="491"/>
      <c r="N312" s="491"/>
      <c r="O312" s="491"/>
      <c r="P312" s="604"/>
      <c r="Q312" s="491"/>
      <c r="R312" s="491"/>
      <c r="S312" s="491"/>
      <c r="T312" s="491"/>
      <c r="U312" s="491"/>
      <c r="V312" s="491"/>
      <c r="W312" s="491"/>
      <c r="X312" s="491"/>
      <c r="Y312" s="491"/>
      <c r="Z312" s="491"/>
      <c r="AA312" s="491"/>
      <c r="AB312" s="491"/>
      <c r="AC312" s="491"/>
    </row>
    <row r="313" spans="1:29">
      <c r="A313" s="491"/>
      <c r="B313" s="491"/>
      <c r="C313" s="491"/>
      <c r="D313" s="491"/>
      <c r="E313" s="491"/>
      <c r="F313" s="491"/>
      <c r="G313" s="491"/>
      <c r="H313" s="491"/>
      <c r="I313" s="491"/>
      <c r="J313" s="491"/>
      <c r="K313" s="505"/>
      <c r="L313" s="506"/>
      <c r="M313" s="491"/>
      <c r="N313" s="491"/>
      <c r="O313" s="491"/>
      <c r="P313" s="604"/>
      <c r="Q313" s="491"/>
      <c r="R313" s="491"/>
      <c r="S313" s="491"/>
      <c r="T313" s="491"/>
      <c r="U313" s="491"/>
      <c r="V313" s="491"/>
      <c r="W313" s="491"/>
      <c r="X313" s="491"/>
      <c r="Y313" s="491"/>
      <c r="Z313" s="491"/>
      <c r="AA313" s="491"/>
      <c r="AB313" s="491"/>
      <c r="AC313" s="491"/>
    </row>
    <row r="314" spans="1:29">
      <c r="A314" s="491"/>
      <c r="B314" s="491"/>
      <c r="C314" s="491"/>
      <c r="D314" s="491"/>
      <c r="E314" s="491"/>
      <c r="F314" s="491"/>
      <c r="G314" s="491"/>
      <c r="H314" s="491"/>
      <c r="I314" s="491"/>
      <c r="J314" s="491"/>
      <c r="K314" s="505"/>
      <c r="L314" s="506"/>
      <c r="M314" s="491"/>
      <c r="N314" s="491"/>
      <c r="O314" s="491"/>
      <c r="P314" s="604"/>
      <c r="Q314" s="491"/>
      <c r="R314" s="491"/>
      <c r="S314" s="491"/>
      <c r="T314" s="491"/>
      <c r="U314" s="491"/>
      <c r="V314" s="491"/>
      <c r="W314" s="491"/>
      <c r="X314" s="491"/>
      <c r="Y314" s="491"/>
      <c r="Z314" s="491"/>
      <c r="AA314" s="491"/>
      <c r="AB314" s="491"/>
      <c r="AC314" s="491"/>
    </row>
    <row r="315" spans="1:29">
      <c r="A315" s="491"/>
      <c r="B315" s="491"/>
      <c r="C315" s="491"/>
      <c r="D315" s="491"/>
      <c r="E315" s="491"/>
      <c r="F315" s="491"/>
      <c r="G315" s="491"/>
      <c r="H315" s="491"/>
      <c r="I315" s="491"/>
      <c r="J315" s="491"/>
      <c r="K315" s="505"/>
      <c r="L315" s="506"/>
      <c r="M315" s="491"/>
      <c r="N315" s="491"/>
      <c r="O315" s="491"/>
      <c r="P315" s="604"/>
      <c r="Q315" s="491"/>
      <c r="R315" s="491"/>
      <c r="S315" s="491"/>
      <c r="T315" s="491"/>
      <c r="U315" s="491"/>
      <c r="V315" s="491"/>
      <c r="W315" s="491"/>
      <c r="X315" s="491"/>
      <c r="Y315" s="491"/>
      <c r="Z315" s="491"/>
      <c r="AA315" s="491"/>
      <c r="AB315" s="491"/>
      <c r="AC315" s="491"/>
    </row>
    <row r="316" spans="1:29">
      <c r="A316" s="491"/>
      <c r="B316" s="491"/>
      <c r="C316" s="491"/>
      <c r="D316" s="491"/>
      <c r="E316" s="491"/>
      <c r="F316" s="491"/>
      <c r="G316" s="491"/>
      <c r="H316" s="491"/>
      <c r="I316" s="491"/>
      <c r="J316" s="491"/>
      <c r="K316" s="505"/>
      <c r="L316" s="506"/>
      <c r="M316" s="491"/>
      <c r="N316" s="491"/>
      <c r="O316" s="491"/>
      <c r="P316" s="604"/>
      <c r="Q316" s="491"/>
      <c r="R316" s="491"/>
      <c r="S316" s="491"/>
      <c r="T316" s="491"/>
      <c r="U316" s="491"/>
      <c r="V316" s="491"/>
      <c r="W316" s="491"/>
      <c r="X316" s="491"/>
      <c r="Y316" s="491"/>
      <c r="Z316" s="491"/>
      <c r="AA316" s="491"/>
      <c r="AB316" s="491"/>
      <c r="AC316" s="491"/>
    </row>
    <row r="317" spans="1:29">
      <c r="A317" s="491"/>
      <c r="B317" s="491"/>
      <c r="C317" s="491"/>
      <c r="D317" s="491"/>
      <c r="E317" s="491"/>
      <c r="F317" s="491"/>
      <c r="G317" s="491"/>
      <c r="H317" s="491"/>
      <c r="I317" s="491"/>
      <c r="J317" s="491"/>
      <c r="K317" s="505"/>
      <c r="L317" s="506"/>
      <c r="M317" s="491"/>
      <c r="N317" s="491"/>
      <c r="O317" s="491"/>
      <c r="P317" s="604"/>
      <c r="Q317" s="491"/>
      <c r="R317" s="491"/>
      <c r="S317" s="491"/>
      <c r="T317" s="491"/>
      <c r="U317" s="491"/>
      <c r="V317" s="491"/>
      <c r="W317" s="491"/>
      <c r="X317" s="491"/>
      <c r="Y317" s="491"/>
      <c r="Z317" s="491"/>
      <c r="AA317" s="491"/>
      <c r="AB317" s="491"/>
      <c r="AC317" s="491"/>
    </row>
    <row r="318" spans="1:29">
      <c r="A318" s="491"/>
      <c r="B318" s="491"/>
      <c r="C318" s="491"/>
      <c r="D318" s="491"/>
      <c r="E318" s="491"/>
      <c r="F318" s="491"/>
      <c r="G318" s="491"/>
      <c r="H318" s="491"/>
      <c r="I318" s="491"/>
      <c r="J318" s="491"/>
      <c r="K318" s="505"/>
      <c r="L318" s="506"/>
      <c r="M318" s="491"/>
      <c r="N318" s="491"/>
      <c r="O318" s="491"/>
      <c r="P318" s="604"/>
      <c r="Q318" s="491"/>
      <c r="R318" s="491"/>
      <c r="S318" s="491"/>
      <c r="T318" s="491"/>
      <c r="U318" s="491"/>
      <c r="V318" s="491"/>
      <c r="W318" s="491"/>
      <c r="X318" s="491"/>
      <c r="Y318" s="491"/>
      <c r="Z318" s="491"/>
      <c r="AA318" s="491"/>
      <c r="AB318" s="491"/>
      <c r="AC318" s="491"/>
    </row>
    <row r="319" spans="1:29">
      <c r="A319" s="491"/>
      <c r="B319" s="491"/>
      <c r="C319" s="491"/>
      <c r="D319" s="491"/>
      <c r="E319" s="491"/>
      <c r="F319" s="491"/>
      <c r="G319" s="491"/>
      <c r="H319" s="491"/>
      <c r="I319" s="491"/>
      <c r="J319" s="491"/>
      <c r="K319" s="505"/>
      <c r="L319" s="506"/>
      <c r="M319" s="491"/>
      <c r="N319" s="491"/>
      <c r="O319" s="491"/>
      <c r="P319" s="604"/>
      <c r="Q319" s="491"/>
      <c r="R319" s="491"/>
      <c r="S319" s="491"/>
      <c r="T319" s="491"/>
      <c r="U319" s="491"/>
      <c r="V319" s="491"/>
      <c r="W319" s="491"/>
      <c r="X319" s="491"/>
      <c r="Y319" s="491"/>
      <c r="Z319" s="491"/>
      <c r="AA319" s="491"/>
      <c r="AB319" s="491"/>
      <c r="AC319" s="491"/>
    </row>
    <row r="320" spans="1:29">
      <c r="A320" s="491"/>
      <c r="B320" s="491"/>
      <c r="C320" s="491"/>
      <c r="D320" s="491"/>
      <c r="E320" s="491"/>
      <c r="F320" s="491"/>
      <c r="G320" s="491"/>
      <c r="H320" s="491"/>
      <c r="I320" s="491"/>
      <c r="J320" s="491"/>
      <c r="K320" s="505"/>
      <c r="L320" s="506"/>
      <c r="M320" s="491"/>
      <c r="N320" s="491"/>
      <c r="O320" s="491"/>
      <c r="P320" s="604"/>
      <c r="Q320" s="491"/>
      <c r="R320" s="491"/>
      <c r="S320" s="491"/>
      <c r="T320" s="491"/>
      <c r="U320" s="491"/>
      <c r="V320" s="491"/>
      <c r="W320" s="491"/>
      <c r="X320" s="491"/>
      <c r="Y320" s="491"/>
      <c r="Z320" s="491"/>
      <c r="AA320" s="491"/>
      <c r="AB320" s="491"/>
      <c r="AC320" s="491"/>
    </row>
    <row r="321" spans="1:29">
      <c r="A321" s="491"/>
      <c r="B321" s="491"/>
      <c r="C321" s="491"/>
      <c r="D321" s="491"/>
      <c r="E321" s="491"/>
      <c r="F321" s="491"/>
      <c r="G321" s="491"/>
      <c r="H321" s="491"/>
      <c r="I321" s="491"/>
      <c r="J321" s="491"/>
      <c r="K321" s="505"/>
      <c r="L321" s="506"/>
      <c r="M321" s="491"/>
      <c r="N321" s="491"/>
      <c r="O321" s="491"/>
      <c r="P321" s="604"/>
      <c r="Q321" s="491"/>
      <c r="R321" s="491"/>
      <c r="S321" s="491"/>
      <c r="T321" s="491"/>
      <c r="U321" s="491"/>
      <c r="V321" s="491"/>
      <c r="W321" s="491"/>
      <c r="X321" s="491"/>
      <c r="Y321" s="491"/>
      <c r="Z321" s="491"/>
      <c r="AA321" s="491"/>
      <c r="AB321" s="491"/>
      <c r="AC321" s="491"/>
    </row>
    <row r="322" spans="1:29">
      <c r="A322" s="491"/>
      <c r="B322" s="491"/>
      <c r="C322" s="491"/>
      <c r="D322" s="491"/>
      <c r="E322" s="491"/>
      <c r="F322" s="491"/>
      <c r="G322" s="491"/>
      <c r="H322" s="491"/>
      <c r="I322" s="491"/>
      <c r="J322" s="491"/>
      <c r="K322" s="505"/>
      <c r="L322" s="506"/>
      <c r="M322" s="491"/>
      <c r="N322" s="491"/>
      <c r="O322" s="491"/>
      <c r="P322" s="604"/>
      <c r="Q322" s="491"/>
      <c r="R322" s="491"/>
      <c r="S322" s="491"/>
      <c r="T322" s="491"/>
      <c r="U322" s="491"/>
      <c r="V322" s="491"/>
      <c r="W322" s="491"/>
      <c r="X322" s="491"/>
      <c r="Y322" s="491"/>
      <c r="Z322" s="491"/>
      <c r="AA322" s="491"/>
      <c r="AB322" s="491"/>
      <c r="AC322" s="491"/>
    </row>
    <row r="323" spans="1:29">
      <c r="A323" s="491"/>
      <c r="B323" s="491"/>
      <c r="C323" s="491"/>
      <c r="D323" s="491"/>
      <c r="E323" s="491"/>
      <c r="F323" s="491"/>
      <c r="G323" s="491"/>
      <c r="H323" s="491"/>
      <c r="I323" s="491"/>
      <c r="J323" s="491"/>
      <c r="K323" s="505"/>
      <c r="L323" s="506"/>
      <c r="M323" s="491"/>
      <c r="N323" s="491"/>
      <c r="O323" s="491"/>
      <c r="P323" s="604"/>
      <c r="Q323" s="491"/>
      <c r="R323" s="491"/>
      <c r="S323" s="491"/>
      <c r="T323" s="491"/>
      <c r="U323" s="491"/>
      <c r="V323" s="491"/>
      <c r="W323" s="491"/>
      <c r="X323" s="491"/>
      <c r="Y323" s="491"/>
      <c r="Z323" s="491"/>
      <c r="AA323" s="491"/>
      <c r="AB323" s="491"/>
      <c r="AC323" s="491"/>
    </row>
    <row r="324" spans="1:29">
      <c r="A324" s="491"/>
      <c r="B324" s="491"/>
      <c r="C324" s="491"/>
      <c r="D324" s="491"/>
      <c r="E324" s="491"/>
      <c r="F324" s="491"/>
      <c r="G324" s="491"/>
      <c r="H324" s="491"/>
      <c r="I324" s="491"/>
      <c r="J324" s="491"/>
      <c r="K324" s="505"/>
      <c r="L324" s="506"/>
      <c r="M324" s="491"/>
      <c r="N324" s="491"/>
      <c r="O324" s="491"/>
      <c r="P324" s="604"/>
      <c r="Q324" s="491"/>
      <c r="R324" s="491"/>
      <c r="S324" s="491"/>
      <c r="T324" s="491"/>
      <c r="U324" s="491"/>
      <c r="V324" s="491"/>
      <c r="W324" s="491"/>
      <c r="X324" s="491"/>
      <c r="Y324" s="491"/>
      <c r="Z324" s="491"/>
      <c r="AA324" s="491"/>
      <c r="AB324" s="491"/>
      <c r="AC324" s="491"/>
    </row>
    <row r="325" spans="1:29">
      <c r="A325" s="491"/>
      <c r="B325" s="491"/>
      <c r="C325" s="491"/>
      <c r="D325" s="491"/>
      <c r="E325" s="491"/>
      <c r="F325" s="491"/>
      <c r="G325" s="491"/>
      <c r="H325" s="491"/>
      <c r="I325" s="491"/>
      <c r="J325" s="491"/>
      <c r="K325" s="505"/>
      <c r="L325" s="506"/>
      <c r="M325" s="491"/>
      <c r="N325" s="491"/>
      <c r="O325" s="491"/>
      <c r="P325" s="604"/>
      <c r="Q325" s="491"/>
      <c r="R325" s="491"/>
      <c r="S325" s="491"/>
      <c r="T325" s="491"/>
      <c r="U325" s="491"/>
      <c r="V325" s="491"/>
      <c r="W325" s="491"/>
      <c r="X325" s="491"/>
      <c r="Y325" s="491"/>
      <c r="Z325" s="491"/>
      <c r="AA325" s="491"/>
      <c r="AB325" s="491"/>
      <c r="AC325" s="491"/>
    </row>
    <row r="326" spans="1:29">
      <c r="A326" s="491"/>
      <c r="B326" s="491"/>
      <c r="C326" s="491"/>
      <c r="D326" s="491"/>
      <c r="E326" s="491"/>
      <c r="F326" s="491"/>
      <c r="G326" s="491"/>
      <c r="H326" s="491"/>
      <c r="I326" s="491"/>
      <c r="J326" s="491"/>
      <c r="K326" s="505"/>
      <c r="L326" s="506"/>
      <c r="M326" s="491"/>
      <c r="N326" s="491"/>
      <c r="O326" s="491"/>
      <c r="P326" s="604"/>
      <c r="Q326" s="491"/>
      <c r="R326" s="491"/>
      <c r="S326" s="491"/>
      <c r="T326" s="491"/>
      <c r="U326" s="491"/>
      <c r="V326" s="491"/>
      <c r="W326" s="491"/>
      <c r="X326" s="491"/>
      <c r="Y326" s="491"/>
      <c r="Z326" s="491"/>
      <c r="AA326" s="491"/>
      <c r="AB326" s="491"/>
      <c r="AC326" s="491"/>
    </row>
    <row r="327" spans="1:29">
      <c r="A327" s="491"/>
      <c r="B327" s="491"/>
      <c r="C327" s="491"/>
      <c r="D327" s="491"/>
      <c r="E327" s="491"/>
      <c r="F327" s="491"/>
      <c r="G327" s="491"/>
      <c r="H327" s="491"/>
      <c r="I327" s="491"/>
      <c r="J327" s="491"/>
      <c r="K327" s="505"/>
      <c r="L327" s="506"/>
      <c r="M327" s="491"/>
      <c r="N327" s="491"/>
      <c r="O327" s="491"/>
      <c r="P327" s="604"/>
      <c r="Q327" s="491"/>
      <c r="R327" s="491"/>
      <c r="S327" s="491"/>
      <c r="T327" s="491"/>
      <c r="U327" s="491"/>
      <c r="V327" s="491"/>
      <c r="W327" s="491"/>
      <c r="X327" s="491"/>
      <c r="Y327" s="491"/>
      <c r="Z327" s="491"/>
      <c r="AA327" s="491"/>
      <c r="AB327" s="491"/>
      <c r="AC327" s="491"/>
    </row>
    <row r="328" spans="1:29">
      <c r="A328" s="491"/>
      <c r="B328" s="491"/>
      <c r="C328" s="491"/>
      <c r="D328" s="491"/>
      <c r="E328" s="491"/>
      <c r="F328" s="491"/>
      <c r="G328" s="491"/>
      <c r="H328" s="491"/>
      <c r="I328" s="491"/>
      <c r="J328" s="491"/>
      <c r="K328" s="505"/>
      <c r="L328" s="506"/>
      <c r="M328" s="491"/>
      <c r="N328" s="491"/>
      <c r="O328" s="491"/>
      <c r="P328" s="604"/>
      <c r="Q328" s="491"/>
      <c r="R328" s="491"/>
      <c r="S328" s="491"/>
      <c r="T328" s="491"/>
      <c r="U328" s="491"/>
      <c r="V328" s="491"/>
      <c r="W328" s="491"/>
      <c r="X328" s="491"/>
      <c r="Y328" s="491"/>
      <c r="Z328" s="491"/>
      <c r="AA328" s="491"/>
      <c r="AB328" s="491"/>
      <c r="AC328" s="491"/>
    </row>
    <row r="329" spans="1:29">
      <c r="A329" s="491"/>
      <c r="B329" s="491"/>
      <c r="C329" s="491"/>
      <c r="D329" s="491"/>
      <c r="E329" s="491"/>
      <c r="F329" s="491"/>
      <c r="G329" s="491"/>
      <c r="H329" s="491"/>
      <c r="I329" s="491"/>
      <c r="J329" s="491"/>
      <c r="K329" s="505"/>
      <c r="L329" s="506"/>
      <c r="M329" s="491"/>
      <c r="N329" s="491"/>
      <c r="O329" s="491"/>
      <c r="P329" s="604"/>
      <c r="Q329" s="491"/>
      <c r="R329" s="491"/>
      <c r="S329" s="491"/>
      <c r="T329" s="491"/>
      <c r="U329" s="491"/>
      <c r="V329" s="491"/>
      <c r="W329" s="491"/>
      <c r="X329" s="491"/>
      <c r="Y329" s="491"/>
      <c r="Z329" s="491"/>
      <c r="AA329" s="491"/>
      <c r="AB329" s="491"/>
      <c r="AC329" s="491"/>
    </row>
    <row r="330" spans="1:29">
      <c r="A330" s="491"/>
      <c r="B330" s="491"/>
      <c r="C330" s="491"/>
      <c r="D330" s="491"/>
      <c r="E330" s="491"/>
      <c r="F330" s="491"/>
      <c r="G330" s="491"/>
      <c r="H330" s="491"/>
      <c r="I330" s="491"/>
      <c r="J330" s="491"/>
      <c r="K330" s="505"/>
      <c r="L330" s="506"/>
      <c r="M330" s="491"/>
      <c r="N330" s="491"/>
      <c r="O330" s="491"/>
      <c r="P330" s="604"/>
      <c r="Q330" s="491"/>
      <c r="R330" s="491"/>
      <c r="S330" s="491"/>
      <c r="T330" s="491"/>
      <c r="U330" s="491"/>
      <c r="V330" s="491"/>
      <c r="W330" s="491"/>
      <c r="X330" s="491"/>
      <c r="Y330" s="491"/>
      <c r="Z330" s="491"/>
      <c r="AA330" s="491"/>
      <c r="AB330" s="491"/>
      <c r="AC330" s="491"/>
    </row>
    <row r="331" spans="1:29">
      <c r="A331" s="491"/>
      <c r="B331" s="491"/>
      <c r="C331" s="491"/>
      <c r="D331" s="491"/>
      <c r="E331" s="491"/>
      <c r="F331" s="491"/>
      <c r="G331" s="491"/>
      <c r="H331" s="491"/>
      <c r="I331" s="491"/>
      <c r="J331" s="491"/>
      <c r="K331" s="505"/>
      <c r="L331" s="506"/>
      <c r="M331" s="491"/>
      <c r="N331" s="491"/>
      <c r="O331" s="491"/>
      <c r="P331" s="604"/>
      <c r="Q331" s="491"/>
      <c r="R331" s="491"/>
      <c r="S331" s="491"/>
      <c r="T331" s="491"/>
      <c r="U331" s="491"/>
      <c r="V331" s="491"/>
      <c r="W331" s="491"/>
      <c r="X331" s="491"/>
      <c r="Y331" s="491"/>
      <c r="Z331" s="491"/>
      <c r="AA331" s="491"/>
      <c r="AB331" s="491"/>
      <c r="AC331" s="491"/>
    </row>
    <row r="332" spans="1:29">
      <c r="A332" s="491"/>
      <c r="B332" s="491"/>
      <c r="C332" s="491"/>
      <c r="D332" s="491"/>
      <c r="E332" s="491"/>
      <c r="F332" s="491"/>
      <c r="G332" s="491"/>
      <c r="H332" s="491"/>
      <c r="I332" s="491"/>
      <c r="J332" s="491"/>
      <c r="K332" s="505"/>
      <c r="L332" s="506"/>
      <c r="M332" s="491"/>
      <c r="N332" s="491"/>
      <c r="O332" s="491"/>
      <c r="P332" s="604"/>
      <c r="Q332" s="491"/>
      <c r="R332" s="491"/>
      <c r="S332" s="491"/>
      <c r="T332" s="491"/>
      <c r="U332" s="491"/>
      <c r="V332" s="491"/>
      <c r="W332" s="491"/>
      <c r="X332" s="491"/>
      <c r="Y332" s="491"/>
      <c r="Z332" s="491"/>
      <c r="AA332" s="491"/>
      <c r="AB332" s="491"/>
      <c r="AC332" s="491"/>
    </row>
    <row r="333" spans="1:29">
      <c r="A333" s="491"/>
      <c r="B333" s="491"/>
      <c r="C333" s="491"/>
      <c r="D333" s="491"/>
      <c r="E333" s="491"/>
      <c r="F333" s="491"/>
      <c r="G333" s="491"/>
      <c r="H333" s="491"/>
      <c r="I333" s="491"/>
      <c r="J333" s="491"/>
      <c r="K333" s="505"/>
      <c r="L333" s="506"/>
      <c r="M333" s="491"/>
      <c r="N333" s="491"/>
      <c r="O333" s="491"/>
      <c r="P333" s="604"/>
      <c r="Q333" s="491"/>
      <c r="R333" s="491"/>
      <c r="S333" s="491"/>
      <c r="T333" s="491"/>
      <c r="U333" s="491"/>
      <c r="V333" s="491"/>
      <c r="W333" s="491"/>
      <c r="X333" s="491"/>
      <c r="Y333" s="491"/>
      <c r="Z333" s="491"/>
      <c r="AA333" s="491"/>
      <c r="AB333" s="491"/>
      <c r="AC333" s="491"/>
    </row>
    <row r="334" spans="1:29">
      <c r="A334" s="491"/>
      <c r="B334" s="491"/>
      <c r="C334" s="491"/>
      <c r="D334" s="491"/>
      <c r="E334" s="491"/>
      <c r="F334" s="491"/>
      <c r="G334" s="491"/>
      <c r="H334" s="491"/>
      <c r="I334" s="491"/>
      <c r="J334" s="491"/>
      <c r="K334" s="505"/>
      <c r="L334" s="506"/>
      <c r="M334" s="491"/>
      <c r="N334" s="491"/>
      <c r="O334" s="491"/>
      <c r="P334" s="604"/>
      <c r="Q334" s="491"/>
      <c r="R334" s="491"/>
      <c r="S334" s="491"/>
      <c r="T334" s="491"/>
      <c r="U334" s="491"/>
      <c r="V334" s="491"/>
      <c r="W334" s="491"/>
      <c r="X334" s="491"/>
      <c r="Y334" s="491"/>
      <c r="Z334" s="491"/>
      <c r="AA334" s="491"/>
      <c r="AB334" s="491"/>
      <c r="AC334" s="491"/>
    </row>
    <row r="335" spans="1:29">
      <c r="A335" s="491"/>
      <c r="B335" s="491"/>
      <c r="C335" s="491"/>
      <c r="D335" s="491"/>
      <c r="E335" s="491"/>
      <c r="F335" s="491"/>
      <c r="G335" s="491"/>
      <c r="H335" s="491"/>
      <c r="I335" s="491"/>
      <c r="J335" s="491"/>
      <c r="K335" s="505"/>
      <c r="L335" s="506"/>
      <c r="M335" s="491"/>
      <c r="N335" s="491"/>
      <c r="O335" s="491"/>
      <c r="P335" s="604"/>
      <c r="Q335" s="491"/>
      <c r="R335" s="491"/>
      <c r="S335" s="491"/>
      <c r="T335" s="491"/>
      <c r="U335" s="491"/>
      <c r="V335" s="491"/>
      <c r="W335" s="491"/>
      <c r="X335" s="491"/>
      <c r="Y335" s="491"/>
      <c r="Z335" s="491"/>
      <c r="AA335" s="491"/>
      <c r="AB335" s="491"/>
      <c r="AC335" s="491"/>
    </row>
    <row r="336" spans="1:29">
      <c r="A336" s="491"/>
      <c r="B336" s="491"/>
      <c r="C336" s="491"/>
      <c r="D336" s="491"/>
      <c r="E336" s="491"/>
      <c r="F336" s="491"/>
      <c r="G336" s="491"/>
      <c r="H336" s="491"/>
      <c r="I336" s="491"/>
      <c r="J336" s="491"/>
      <c r="K336" s="505"/>
      <c r="L336" s="506"/>
      <c r="M336" s="491"/>
      <c r="N336" s="491"/>
      <c r="O336" s="491"/>
      <c r="P336" s="604"/>
      <c r="Q336" s="491"/>
      <c r="R336" s="491"/>
      <c r="S336" s="491"/>
      <c r="T336" s="491"/>
      <c r="U336" s="491"/>
      <c r="V336" s="491"/>
      <c r="W336" s="491"/>
      <c r="X336" s="491"/>
      <c r="Y336" s="491"/>
      <c r="Z336" s="491"/>
      <c r="AA336" s="491"/>
      <c r="AB336" s="491"/>
      <c r="AC336" s="491"/>
    </row>
    <row r="337" spans="1:29">
      <c r="A337" s="491"/>
      <c r="B337" s="491"/>
      <c r="C337" s="491"/>
      <c r="D337" s="491"/>
      <c r="E337" s="491"/>
      <c r="F337" s="491"/>
      <c r="G337" s="491"/>
      <c r="H337" s="491"/>
      <c r="I337" s="491"/>
      <c r="J337" s="491"/>
      <c r="K337" s="505"/>
      <c r="L337" s="506"/>
      <c r="M337" s="491"/>
      <c r="N337" s="491"/>
      <c r="O337" s="491"/>
      <c r="P337" s="604"/>
      <c r="Q337" s="491"/>
      <c r="R337" s="491"/>
      <c r="S337" s="491"/>
      <c r="T337" s="491"/>
      <c r="U337" s="491"/>
      <c r="V337" s="491"/>
      <c r="W337" s="491"/>
      <c r="X337" s="491"/>
      <c r="Y337" s="491"/>
      <c r="Z337" s="491"/>
      <c r="AA337" s="491"/>
      <c r="AB337" s="491"/>
      <c r="AC337" s="491"/>
    </row>
    <row r="338" spans="1:29">
      <c r="A338" s="491"/>
      <c r="B338" s="491"/>
      <c r="C338" s="491"/>
      <c r="D338" s="491"/>
      <c r="E338" s="491"/>
      <c r="F338" s="491"/>
      <c r="G338" s="491"/>
      <c r="H338" s="491"/>
      <c r="I338" s="491"/>
      <c r="J338" s="491"/>
      <c r="K338" s="505"/>
      <c r="L338" s="506"/>
      <c r="M338" s="491"/>
      <c r="N338" s="491"/>
      <c r="O338" s="491"/>
      <c r="P338" s="604"/>
      <c r="Q338" s="491"/>
      <c r="R338" s="491"/>
      <c r="S338" s="491"/>
      <c r="T338" s="491"/>
      <c r="U338" s="491"/>
      <c r="V338" s="491"/>
      <c r="W338" s="491"/>
      <c r="X338" s="491"/>
      <c r="Y338" s="491"/>
      <c r="Z338" s="491"/>
      <c r="AA338" s="491"/>
      <c r="AB338" s="491"/>
      <c r="AC338" s="491"/>
    </row>
    <row r="339" spans="1:29">
      <c r="A339" s="491"/>
      <c r="B339" s="491"/>
      <c r="C339" s="491"/>
      <c r="D339" s="491"/>
      <c r="E339" s="491"/>
      <c r="F339" s="491"/>
      <c r="G339" s="491"/>
      <c r="H339" s="491"/>
      <c r="I339" s="491"/>
      <c r="J339" s="491"/>
      <c r="K339" s="505"/>
      <c r="L339" s="506"/>
      <c r="M339" s="491"/>
      <c r="N339" s="491"/>
      <c r="O339" s="491"/>
      <c r="P339" s="604"/>
      <c r="Q339" s="491"/>
      <c r="R339" s="491"/>
      <c r="S339" s="491"/>
      <c r="T339" s="491"/>
      <c r="U339" s="491"/>
      <c r="V339" s="491"/>
      <c r="W339" s="491"/>
      <c r="X339" s="491"/>
      <c r="Y339" s="491"/>
      <c r="Z339" s="491"/>
      <c r="AA339" s="491"/>
      <c r="AB339" s="491"/>
      <c r="AC339" s="491"/>
    </row>
    <row r="340" spans="1:29">
      <c r="A340" s="491"/>
      <c r="B340" s="491"/>
      <c r="C340" s="491"/>
      <c r="D340" s="491"/>
      <c r="E340" s="491"/>
      <c r="F340" s="491"/>
      <c r="G340" s="491"/>
      <c r="H340" s="491"/>
      <c r="I340" s="491"/>
      <c r="J340" s="491"/>
      <c r="K340" s="505"/>
      <c r="L340" s="506"/>
      <c r="M340" s="491"/>
      <c r="N340" s="491"/>
      <c r="O340" s="491"/>
      <c r="P340" s="604"/>
      <c r="Q340" s="491"/>
      <c r="R340" s="491"/>
      <c r="S340" s="491"/>
      <c r="T340" s="491"/>
      <c r="U340" s="491"/>
      <c r="V340" s="491"/>
      <c r="W340" s="491"/>
      <c r="X340" s="491"/>
      <c r="Y340" s="491"/>
      <c r="Z340" s="491"/>
      <c r="AA340" s="491"/>
      <c r="AB340" s="491"/>
      <c r="AC340" s="491"/>
    </row>
    <row r="341" spans="1:29">
      <c r="A341" s="491"/>
      <c r="B341" s="491"/>
      <c r="C341" s="491"/>
      <c r="D341" s="491"/>
      <c r="E341" s="491"/>
      <c r="F341" s="491"/>
      <c r="G341" s="491"/>
      <c r="H341" s="491"/>
      <c r="I341" s="491"/>
      <c r="J341" s="491"/>
      <c r="K341" s="505"/>
      <c r="L341" s="506"/>
      <c r="M341" s="491"/>
      <c r="N341" s="491"/>
      <c r="O341" s="491"/>
      <c r="P341" s="604"/>
      <c r="Q341" s="491"/>
      <c r="R341" s="491"/>
      <c r="S341" s="491"/>
      <c r="T341" s="491"/>
      <c r="U341" s="491"/>
      <c r="V341" s="491"/>
      <c r="W341" s="491"/>
      <c r="X341" s="491"/>
      <c r="Y341" s="491"/>
      <c r="Z341" s="491"/>
      <c r="AA341" s="491"/>
      <c r="AB341" s="491"/>
      <c r="AC341" s="491"/>
    </row>
    <row r="342" spans="1:29">
      <c r="A342" s="491"/>
      <c r="B342" s="491"/>
      <c r="C342" s="491"/>
      <c r="D342" s="491"/>
      <c r="E342" s="491"/>
      <c r="F342" s="491"/>
      <c r="G342" s="491"/>
      <c r="H342" s="491"/>
      <c r="I342" s="491"/>
      <c r="J342" s="491"/>
      <c r="K342" s="505"/>
      <c r="L342" s="506"/>
      <c r="M342" s="491"/>
      <c r="N342" s="491"/>
      <c r="O342" s="491"/>
      <c r="P342" s="604"/>
      <c r="Q342" s="491"/>
      <c r="R342" s="491"/>
      <c r="S342" s="491"/>
      <c r="T342" s="491"/>
      <c r="U342" s="491"/>
      <c r="V342" s="491"/>
      <c r="W342" s="491"/>
      <c r="X342" s="491"/>
      <c r="Y342" s="491"/>
      <c r="Z342" s="491"/>
      <c r="AA342" s="491"/>
      <c r="AB342" s="491"/>
      <c r="AC342" s="491"/>
    </row>
    <row r="343" spans="1:29">
      <c r="A343" s="491"/>
      <c r="B343" s="491"/>
      <c r="C343" s="491"/>
      <c r="D343" s="491"/>
      <c r="E343" s="491"/>
      <c r="F343" s="491"/>
      <c r="G343" s="491"/>
      <c r="H343" s="491"/>
      <c r="I343" s="491"/>
      <c r="J343" s="491"/>
      <c r="K343" s="505"/>
      <c r="L343" s="506"/>
      <c r="M343" s="491"/>
      <c r="N343" s="491"/>
      <c r="O343" s="491"/>
      <c r="P343" s="604"/>
      <c r="Q343" s="491"/>
      <c r="R343" s="491"/>
      <c r="S343" s="491"/>
      <c r="T343" s="491"/>
      <c r="U343" s="491"/>
      <c r="V343" s="491"/>
      <c r="W343" s="491"/>
      <c r="X343" s="491"/>
      <c r="Y343" s="491"/>
      <c r="Z343" s="491"/>
      <c r="AA343" s="491"/>
      <c r="AB343" s="491"/>
      <c r="AC343" s="491"/>
    </row>
    <row r="344" spans="1:29">
      <c r="A344" s="491"/>
      <c r="B344" s="491"/>
      <c r="C344" s="491"/>
      <c r="D344" s="491"/>
      <c r="E344" s="491"/>
      <c r="F344" s="491"/>
      <c r="G344" s="491"/>
      <c r="H344" s="491"/>
      <c r="I344" s="491"/>
      <c r="J344" s="491"/>
      <c r="K344" s="505"/>
      <c r="L344" s="506"/>
      <c r="M344" s="491"/>
      <c r="N344" s="491"/>
      <c r="O344" s="491"/>
      <c r="P344" s="604"/>
      <c r="Q344" s="491"/>
      <c r="R344" s="491"/>
      <c r="S344" s="491"/>
      <c r="T344" s="491"/>
      <c r="U344" s="491"/>
      <c r="V344" s="491"/>
      <c r="W344" s="491"/>
      <c r="X344" s="491"/>
      <c r="Y344" s="491"/>
      <c r="Z344" s="491"/>
      <c r="AA344" s="491"/>
      <c r="AB344" s="491"/>
      <c r="AC344" s="491"/>
    </row>
    <row r="345" spans="1:29">
      <c r="A345" s="491"/>
      <c r="B345" s="491"/>
      <c r="C345" s="491"/>
      <c r="D345" s="491"/>
      <c r="E345" s="491"/>
      <c r="F345" s="491"/>
      <c r="G345" s="491"/>
      <c r="H345" s="491"/>
      <c r="I345" s="491"/>
      <c r="J345" s="491"/>
      <c r="K345" s="505"/>
      <c r="L345" s="506"/>
      <c r="M345" s="491"/>
      <c r="N345" s="491"/>
      <c r="O345" s="491"/>
      <c r="P345" s="604"/>
      <c r="Q345" s="491"/>
      <c r="R345" s="491"/>
      <c r="S345" s="491"/>
      <c r="T345" s="491"/>
      <c r="U345" s="491"/>
      <c r="V345" s="491"/>
      <c r="W345" s="491"/>
      <c r="X345" s="491"/>
      <c r="Y345" s="491"/>
      <c r="Z345" s="491"/>
      <c r="AA345" s="491"/>
      <c r="AB345" s="491"/>
      <c r="AC345" s="491"/>
    </row>
    <row r="346" spans="1:29">
      <c r="A346" s="491"/>
      <c r="B346" s="491"/>
      <c r="C346" s="491"/>
      <c r="D346" s="491"/>
      <c r="E346" s="491"/>
      <c r="F346" s="491"/>
      <c r="G346" s="491"/>
      <c r="H346" s="491"/>
      <c r="I346" s="491"/>
      <c r="J346" s="491"/>
      <c r="K346" s="505"/>
      <c r="L346" s="506"/>
      <c r="M346" s="491"/>
      <c r="N346" s="491"/>
      <c r="O346" s="491"/>
      <c r="P346" s="604"/>
      <c r="Q346" s="491"/>
      <c r="R346" s="491"/>
      <c r="S346" s="491"/>
      <c r="T346" s="491"/>
      <c r="U346" s="491"/>
      <c r="V346" s="491"/>
      <c r="W346" s="491"/>
      <c r="X346" s="491"/>
      <c r="Y346" s="491"/>
      <c r="Z346" s="491"/>
      <c r="AA346" s="491"/>
      <c r="AB346" s="491"/>
      <c r="AC346" s="491"/>
    </row>
    <row r="347" spans="1:29">
      <c r="A347" s="491"/>
      <c r="B347" s="491"/>
      <c r="C347" s="491"/>
      <c r="D347" s="491"/>
      <c r="E347" s="491"/>
      <c r="F347" s="491"/>
      <c r="G347" s="491"/>
      <c r="H347" s="491"/>
      <c r="I347" s="491"/>
      <c r="J347" s="491"/>
      <c r="K347" s="505"/>
      <c r="L347" s="506"/>
      <c r="M347" s="491"/>
      <c r="N347" s="491"/>
      <c r="O347" s="491"/>
      <c r="P347" s="604"/>
      <c r="Q347" s="491"/>
      <c r="R347" s="491"/>
      <c r="S347" s="491"/>
      <c r="T347" s="491"/>
      <c r="U347" s="491"/>
      <c r="V347" s="491"/>
      <c r="W347" s="491"/>
      <c r="X347" s="491"/>
      <c r="Y347" s="491"/>
      <c r="Z347" s="491"/>
      <c r="AA347" s="491"/>
      <c r="AB347" s="491"/>
      <c r="AC347" s="491"/>
    </row>
    <row r="348" spans="1:29">
      <c r="A348" s="491"/>
      <c r="B348" s="491"/>
      <c r="C348" s="491"/>
      <c r="D348" s="491"/>
      <c r="E348" s="491"/>
      <c r="F348" s="491"/>
      <c r="G348" s="491"/>
      <c r="H348" s="491"/>
      <c r="I348" s="491"/>
      <c r="J348" s="491"/>
      <c r="K348" s="505"/>
      <c r="L348" s="506"/>
      <c r="M348" s="491"/>
      <c r="N348" s="491"/>
      <c r="O348" s="491"/>
      <c r="P348" s="604"/>
      <c r="Q348" s="491"/>
      <c r="R348" s="491"/>
      <c r="S348" s="491"/>
      <c r="T348" s="491"/>
      <c r="U348" s="491"/>
      <c r="V348" s="491"/>
      <c r="W348" s="491"/>
      <c r="X348" s="491"/>
      <c r="Y348" s="491"/>
      <c r="Z348" s="491"/>
      <c r="AA348" s="491"/>
      <c r="AB348" s="491"/>
      <c r="AC348" s="491"/>
    </row>
    <row r="349" spans="1:29">
      <c r="A349" s="491"/>
      <c r="B349" s="491"/>
      <c r="C349" s="491"/>
      <c r="D349" s="491"/>
      <c r="E349" s="491"/>
      <c r="F349" s="491"/>
      <c r="G349" s="491"/>
      <c r="H349" s="491"/>
      <c r="I349" s="491"/>
      <c r="J349" s="491"/>
      <c r="K349" s="505"/>
      <c r="L349" s="506"/>
      <c r="M349" s="491"/>
      <c r="N349" s="491"/>
      <c r="O349" s="491"/>
      <c r="P349" s="604"/>
      <c r="Q349" s="491"/>
      <c r="R349" s="491"/>
      <c r="S349" s="491"/>
      <c r="T349" s="491"/>
      <c r="U349" s="491"/>
      <c r="V349" s="491"/>
      <c r="W349" s="491"/>
      <c r="X349" s="491"/>
      <c r="Y349" s="491"/>
      <c r="Z349" s="491"/>
      <c r="AA349" s="491"/>
      <c r="AB349" s="491"/>
      <c r="AC349" s="491"/>
    </row>
    <row r="350" spans="1:29">
      <c r="A350" s="491"/>
      <c r="B350" s="491"/>
      <c r="C350" s="491"/>
      <c r="D350" s="491"/>
      <c r="E350" s="491"/>
      <c r="F350" s="491"/>
      <c r="G350" s="491"/>
      <c r="H350" s="491"/>
      <c r="I350" s="491"/>
      <c r="J350" s="491"/>
      <c r="K350" s="505"/>
      <c r="L350" s="506"/>
      <c r="M350" s="491"/>
      <c r="N350" s="491"/>
      <c r="O350" s="491"/>
      <c r="P350" s="604"/>
      <c r="Q350" s="491"/>
      <c r="R350" s="491"/>
      <c r="S350" s="491"/>
      <c r="T350" s="491"/>
      <c r="U350" s="491"/>
      <c r="V350" s="491"/>
      <c r="W350" s="491"/>
      <c r="X350" s="491"/>
      <c r="Y350" s="491"/>
      <c r="Z350" s="491"/>
      <c r="AA350" s="491"/>
      <c r="AB350" s="491"/>
      <c r="AC350" s="491"/>
    </row>
    <row r="351" spans="1:29">
      <c r="A351" s="491"/>
      <c r="B351" s="491"/>
      <c r="C351" s="491"/>
      <c r="D351" s="491"/>
      <c r="E351" s="491"/>
      <c r="F351" s="491"/>
      <c r="G351" s="491"/>
      <c r="H351" s="491"/>
      <c r="I351" s="491"/>
      <c r="J351" s="491"/>
      <c r="K351" s="505"/>
      <c r="L351" s="506"/>
      <c r="M351" s="491"/>
      <c r="N351" s="491"/>
      <c r="O351" s="491"/>
      <c r="P351" s="604"/>
      <c r="Q351" s="491"/>
      <c r="R351" s="491"/>
      <c r="S351" s="491"/>
      <c r="T351" s="491"/>
      <c r="U351" s="491"/>
      <c r="V351" s="491"/>
      <c r="W351" s="491"/>
      <c r="X351" s="491"/>
      <c r="Y351" s="491"/>
      <c r="Z351" s="491"/>
      <c r="AA351" s="491"/>
      <c r="AB351" s="491"/>
      <c r="AC351" s="491"/>
    </row>
    <row r="352" spans="1:29">
      <c r="A352" s="491"/>
      <c r="B352" s="491"/>
      <c r="C352" s="491"/>
      <c r="D352" s="491"/>
      <c r="E352" s="491"/>
      <c r="F352" s="491"/>
      <c r="G352" s="491"/>
      <c r="H352" s="491"/>
      <c r="I352" s="491"/>
      <c r="J352" s="491"/>
      <c r="K352" s="505"/>
      <c r="L352" s="506"/>
      <c r="M352" s="491"/>
      <c r="N352" s="491"/>
      <c r="O352" s="491"/>
      <c r="P352" s="604"/>
      <c r="Q352" s="491"/>
      <c r="R352" s="491"/>
      <c r="S352" s="491"/>
      <c r="T352" s="491"/>
      <c r="U352" s="491"/>
      <c r="V352" s="491"/>
      <c r="W352" s="491"/>
      <c r="X352" s="491"/>
      <c r="Y352" s="491"/>
      <c r="Z352" s="491"/>
      <c r="AA352" s="491"/>
      <c r="AB352" s="491"/>
      <c r="AC352" s="491"/>
    </row>
    <row r="353" spans="1:29">
      <c r="A353" s="491"/>
      <c r="B353" s="491"/>
      <c r="C353" s="491"/>
      <c r="D353" s="491"/>
      <c r="E353" s="491"/>
      <c r="F353" s="491"/>
      <c r="G353" s="491"/>
      <c r="H353" s="491"/>
      <c r="I353" s="491"/>
      <c r="J353" s="491"/>
      <c r="K353" s="505"/>
      <c r="L353" s="506"/>
      <c r="M353" s="491"/>
      <c r="N353" s="491"/>
      <c r="O353" s="491"/>
      <c r="P353" s="604"/>
      <c r="Q353" s="491"/>
      <c r="R353" s="491"/>
      <c r="S353" s="491"/>
      <c r="T353" s="491"/>
      <c r="U353" s="491"/>
      <c r="V353" s="491"/>
      <c r="W353" s="491"/>
      <c r="X353" s="491"/>
      <c r="Y353" s="491"/>
      <c r="Z353" s="491"/>
      <c r="AA353" s="491"/>
      <c r="AB353" s="491"/>
      <c r="AC353" s="491"/>
    </row>
    <row r="354" spans="1:29">
      <c r="A354" s="491"/>
      <c r="B354" s="491"/>
      <c r="C354" s="491"/>
      <c r="D354" s="491"/>
      <c r="E354" s="491"/>
      <c r="F354" s="491"/>
      <c r="G354" s="491"/>
      <c r="H354" s="491"/>
      <c r="I354" s="491"/>
      <c r="J354" s="491"/>
      <c r="K354" s="505"/>
      <c r="L354" s="506"/>
      <c r="M354" s="491"/>
      <c r="N354" s="491"/>
      <c r="O354" s="491"/>
      <c r="P354" s="604"/>
      <c r="Q354" s="491"/>
      <c r="R354" s="491"/>
      <c r="S354" s="491"/>
      <c r="T354" s="491"/>
      <c r="U354" s="491"/>
      <c r="V354" s="491"/>
      <c r="W354" s="491"/>
      <c r="X354" s="491"/>
      <c r="Y354" s="491"/>
      <c r="Z354" s="491"/>
      <c r="AA354" s="491"/>
      <c r="AB354" s="491"/>
      <c r="AC354" s="491"/>
    </row>
    <row r="355" spans="1:29">
      <c r="A355" s="491"/>
      <c r="B355" s="491"/>
      <c r="C355" s="491"/>
      <c r="D355" s="491"/>
      <c r="E355" s="491"/>
      <c r="F355" s="491"/>
      <c r="G355" s="491"/>
      <c r="H355" s="491"/>
      <c r="I355" s="491"/>
      <c r="J355" s="491"/>
      <c r="K355" s="505"/>
      <c r="L355" s="506"/>
      <c r="M355" s="491"/>
      <c r="N355" s="491"/>
      <c r="O355" s="491"/>
      <c r="P355" s="604"/>
      <c r="Q355" s="491"/>
      <c r="R355" s="491"/>
      <c r="S355" s="491"/>
      <c r="T355" s="491"/>
      <c r="U355" s="491"/>
      <c r="V355" s="491"/>
      <c r="W355" s="491"/>
      <c r="X355" s="491"/>
      <c r="Y355" s="491"/>
      <c r="Z355" s="491"/>
      <c r="AA355" s="491"/>
      <c r="AB355" s="491"/>
      <c r="AC355" s="491"/>
    </row>
    <row r="356" spans="1:29">
      <c r="A356" s="491"/>
      <c r="B356" s="491"/>
      <c r="C356" s="491"/>
      <c r="D356" s="491"/>
      <c r="E356" s="491"/>
      <c r="F356" s="491"/>
      <c r="G356" s="491"/>
      <c r="H356" s="491"/>
      <c r="I356" s="491"/>
      <c r="J356" s="491"/>
      <c r="K356" s="505"/>
      <c r="L356" s="506"/>
      <c r="M356" s="491"/>
      <c r="N356" s="491"/>
      <c r="O356" s="491"/>
      <c r="P356" s="604"/>
      <c r="Q356" s="491"/>
      <c r="R356" s="491"/>
      <c r="S356" s="491"/>
      <c r="T356" s="491"/>
      <c r="U356" s="491"/>
      <c r="V356" s="491"/>
      <c r="W356" s="491"/>
      <c r="X356" s="491"/>
      <c r="Y356" s="491"/>
      <c r="Z356" s="491"/>
      <c r="AA356" s="491"/>
      <c r="AB356" s="491"/>
      <c r="AC356" s="491"/>
    </row>
    <row r="357" spans="1:29">
      <c r="A357" s="491"/>
      <c r="B357" s="491"/>
      <c r="C357" s="491"/>
      <c r="D357" s="491"/>
      <c r="E357" s="491"/>
      <c r="F357" s="491"/>
      <c r="G357" s="491"/>
      <c r="H357" s="491"/>
      <c r="I357" s="491"/>
      <c r="J357" s="491"/>
      <c r="K357" s="505"/>
      <c r="L357" s="506"/>
      <c r="M357" s="491"/>
      <c r="N357" s="491"/>
      <c r="O357" s="491"/>
      <c r="P357" s="604"/>
      <c r="Q357" s="491"/>
      <c r="R357" s="491"/>
      <c r="S357" s="491"/>
      <c r="T357" s="491"/>
      <c r="U357" s="491"/>
      <c r="V357" s="491"/>
      <c r="W357" s="491"/>
      <c r="X357" s="491"/>
      <c r="Y357" s="491"/>
      <c r="Z357" s="491"/>
      <c r="AA357" s="491"/>
      <c r="AB357" s="491"/>
      <c r="AC357" s="491"/>
    </row>
    <row r="358" spans="1:29">
      <c r="A358" s="491"/>
      <c r="B358" s="491"/>
      <c r="C358" s="491"/>
      <c r="D358" s="491"/>
      <c r="E358" s="491"/>
      <c r="F358" s="491"/>
      <c r="G358" s="491"/>
      <c r="H358" s="491"/>
      <c r="I358" s="491"/>
      <c r="J358" s="491"/>
      <c r="K358" s="505"/>
      <c r="L358" s="506"/>
      <c r="M358" s="491"/>
      <c r="N358" s="491"/>
      <c r="O358" s="491"/>
      <c r="P358" s="604"/>
      <c r="Q358" s="491"/>
      <c r="R358" s="491"/>
      <c r="S358" s="491"/>
      <c r="T358" s="491"/>
      <c r="U358" s="491"/>
      <c r="V358" s="491"/>
      <c r="W358" s="491"/>
      <c r="X358" s="491"/>
      <c r="Y358" s="491"/>
      <c r="Z358" s="491"/>
      <c r="AA358" s="491"/>
      <c r="AB358" s="491"/>
      <c r="AC358" s="491"/>
    </row>
    <row r="359" spans="1:29">
      <c r="A359" s="491"/>
      <c r="B359" s="491"/>
      <c r="C359" s="491"/>
      <c r="D359" s="491"/>
      <c r="E359" s="491"/>
      <c r="F359" s="491"/>
      <c r="G359" s="491"/>
      <c r="H359" s="491"/>
      <c r="I359" s="491"/>
      <c r="J359" s="491"/>
      <c r="K359" s="505"/>
      <c r="L359" s="506"/>
      <c r="M359" s="491"/>
      <c r="N359" s="491"/>
      <c r="O359" s="491"/>
      <c r="P359" s="604"/>
      <c r="Q359" s="491"/>
      <c r="R359" s="491"/>
      <c r="S359" s="491"/>
      <c r="T359" s="491"/>
      <c r="U359" s="491"/>
      <c r="V359" s="491"/>
      <c r="W359" s="491"/>
      <c r="X359" s="491"/>
      <c r="Y359" s="491"/>
      <c r="Z359" s="491"/>
      <c r="AA359" s="491"/>
      <c r="AB359" s="491"/>
      <c r="AC359" s="491"/>
    </row>
    <row r="360" spans="1:29">
      <c r="A360" s="491"/>
      <c r="B360" s="491"/>
      <c r="C360" s="491"/>
      <c r="D360" s="491"/>
      <c r="E360" s="491"/>
      <c r="F360" s="491"/>
      <c r="G360" s="491"/>
      <c r="H360" s="491"/>
      <c r="I360" s="491"/>
      <c r="J360" s="491"/>
      <c r="K360" s="505"/>
      <c r="L360" s="506"/>
      <c r="M360" s="491"/>
      <c r="N360" s="491"/>
      <c r="O360" s="491"/>
      <c r="P360" s="604"/>
      <c r="Q360" s="491"/>
      <c r="R360" s="491"/>
      <c r="S360" s="491"/>
      <c r="T360" s="491"/>
      <c r="U360" s="491"/>
      <c r="V360" s="491"/>
      <c r="W360" s="491"/>
      <c r="X360" s="491"/>
      <c r="Y360" s="491"/>
      <c r="Z360" s="491"/>
      <c r="AA360" s="491"/>
      <c r="AB360" s="491"/>
      <c r="AC360" s="491"/>
    </row>
    <row r="361" spans="1:29">
      <c r="A361" s="491"/>
      <c r="B361" s="491"/>
      <c r="C361" s="491"/>
      <c r="D361" s="491"/>
      <c r="E361" s="491"/>
      <c r="F361" s="491"/>
      <c r="G361" s="491"/>
      <c r="H361" s="491"/>
      <c r="I361" s="491"/>
      <c r="J361" s="491"/>
      <c r="K361" s="505"/>
      <c r="L361" s="506"/>
      <c r="M361" s="491"/>
      <c r="N361" s="491"/>
      <c r="O361" s="491"/>
      <c r="P361" s="604"/>
      <c r="Q361" s="491"/>
      <c r="R361" s="491"/>
      <c r="S361" s="491"/>
      <c r="T361" s="491"/>
      <c r="U361" s="491"/>
      <c r="V361" s="491"/>
      <c r="W361" s="491"/>
      <c r="X361" s="491"/>
      <c r="Y361" s="491"/>
      <c r="Z361" s="491"/>
      <c r="AA361" s="491"/>
      <c r="AB361" s="491"/>
      <c r="AC361" s="491"/>
    </row>
    <row r="362" spans="1:29">
      <c r="A362" s="491"/>
      <c r="B362" s="491"/>
      <c r="C362" s="491"/>
      <c r="D362" s="491"/>
      <c r="E362" s="491"/>
      <c r="F362" s="491"/>
      <c r="G362" s="491"/>
      <c r="H362" s="491"/>
      <c r="I362" s="491"/>
      <c r="J362" s="491"/>
      <c r="K362" s="505"/>
      <c r="L362" s="506"/>
      <c r="M362" s="491"/>
      <c r="N362" s="491"/>
      <c r="O362" s="491"/>
      <c r="P362" s="604"/>
      <c r="Q362" s="491"/>
      <c r="R362" s="491"/>
      <c r="S362" s="491"/>
      <c r="T362" s="491"/>
      <c r="U362" s="491"/>
      <c r="V362" s="491"/>
      <c r="W362" s="491"/>
      <c r="X362" s="491"/>
      <c r="Y362" s="491"/>
      <c r="Z362" s="491"/>
      <c r="AA362" s="491"/>
      <c r="AB362" s="491"/>
      <c r="AC362" s="491"/>
    </row>
    <row r="363" spans="1:29">
      <c r="A363" s="491"/>
      <c r="B363" s="491"/>
      <c r="C363" s="491"/>
      <c r="D363" s="491"/>
      <c r="E363" s="491"/>
      <c r="F363" s="491"/>
      <c r="G363" s="491"/>
      <c r="H363" s="491"/>
      <c r="I363" s="491"/>
      <c r="J363" s="491"/>
      <c r="K363" s="505"/>
      <c r="L363" s="506"/>
      <c r="M363" s="491"/>
      <c r="N363" s="491"/>
      <c r="O363" s="491"/>
      <c r="P363" s="604"/>
      <c r="Q363" s="491"/>
      <c r="R363" s="491"/>
      <c r="S363" s="491"/>
      <c r="T363" s="491"/>
      <c r="U363" s="491"/>
      <c r="V363" s="491"/>
      <c r="W363" s="491"/>
      <c r="X363" s="491"/>
      <c r="Y363" s="491"/>
      <c r="Z363" s="491"/>
      <c r="AA363" s="491"/>
      <c r="AB363" s="491"/>
      <c r="AC363" s="491"/>
    </row>
    <row r="364" spans="1:29">
      <c r="A364" s="491"/>
      <c r="B364" s="491"/>
      <c r="C364" s="491"/>
      <c r="D364" s="491"/>
      <c r="E364" s="491"/>
      <c r="F364" s="491"/>
      <c r="G364" s="491"/>
      <c r="H364" s="491"/>
      <c r="I364" s="491"/>
      <c r="J364" s="491"/>
      <c r="K364" s="505"/>
      <c r="L364" s="506"/>
      <c r="M364" s="491"/>
      <c r="N364" s="491"/>
      <c r="O364" s="491"/>
      <c r="P364" s="604"/>
      <c r="Q364" s="491"/>
      <c r="R364" s="491"/>
      <c r="S364" s="491"/>
      <c r="T364" s="491"/>
      <c r="U364" s="491"/>
      <c r="V364" s="491"/>
      <c r="W364" s="491"/>
      <c r="X364" s="491"/>
      <c r="Y364" s="491"/>
      <c r="Z364" s="491"/>
      <c r="AA364" s="491"/>
      <c r="AB364" s="491"/>
      <c r="AC364" s="491"/>
    </row>
    <row r="365" spans="1:29">
      <c r="A365" s="491"/>
      <c r="B365" s="491"/>
      <c r="C365" s="491"/>
      <c r="D365" s="491"/>
      <c r="E365" s="491"/>
      <c r="F365" s="491"/>
      <c r="G365" s="491"/>
      <c r="H365" s="491"/>
      <c r="I365" s="491"/>
      <c r="J365" s="491"/>
      <c r="K365" s="505"/>
      <c r="L365" s="506"/>
      <c r="M365" s="491"/>
      <c r="N365" s="491"/>
      <c r="O365" s="491"/>
      <c r="P365" s="604"/>
      <c r="Q365" s="491"/>
      <c r="R365" s="491"/>
      <c r="S365" s="491"/>
      <c r="T365" s="491"/>
      <c r="U365" s="491"/>
      <c r="V365" s="491"/>
      <c r="W365" s="491"/>
      <c r="X365" s="491"/>
      <c r="Y365" s="491"/>
      <c r="Z365" s="491"/>
      <c r="AA365" s="491"/>
      <c r="AB365" s="491"/>
      <c r="AC365" s="491"/>
    </row>
    <row r="366" spans="1:29">
      <c r="A366" s="491"/>
      <c r="B366" s="491"/>
      <c r="C366" s="491"/>
      <c r="D366" s="491"/>
      <c r="E366" s="491"/>
      <c r="F366" s="491"/>
      <c r="G366" s="491"/>
      <c r="H366" s="491"/>
      <c r="I366" s="491"/>
      <c r="J366" s="491"/>
      <c r="K366" s="505"/>
      <c r="L366" s="506"/>
      <c r="M366" s="491"/>
      <c r="N366" s="491"/>
      <c r="O366" s="491"/>
      <c r="P366" s="604"/>
      <c r="Q366" s="491"/>
      <c r="R366" s="491"/>
      <c r="S366" s="491"/>
      <c r="T366" s="491"/>
      <c r="U366" s="491"/>
      <c r="V366" s="491"/>
      <c r="W366" s="491"/>
      <c r="X366" s="491"/>
      <c r="Y366" s="491"/>
      <c r="Z366" s="491"/>
      <c r="AA366" s="491"/>
      <c r="AB366" s="491"/>
      <c r="AC366" s="491"/>
    </row>
    <row r="367" spans="1:29">
      <c r="A367" s="491"/>
      <c r="B367" s="491"/>
      <c r="C367" s="491"/>
      <c r="D367" s="491"/>
      <c r="E367" s="491"/>
      <c r="F367" s="491"/>
      <c r="G367" s="491"/>
      <c r="H367" s="491"/>
      <c r="I367" s="491"/>
      <c r="J367" s="491"/>
      <c r="K367" s="505"/>
      <c r="L367" s="506"/>
      <c r="M367" s="491"/>
      <c r="N367" s="491"/>
      <c r="O367" s="491"/>
      <c r="P367" s="604"/>
      <c r="Q367" s="491"/>
      <c r="R367" s="491"/>
      <c r="S367" s="491"/>
      <c r="T367" s="491"/>
      <c r="U367" s="491"/>
      <c r="V367" s="491"/>
      <c r="W367" s="491"/>
      <c r="X367" s="491"/>
      <c r="Y367" s="491"/>
      <c r="Z367" s="491"/>
      <c r="AA367" s="491"/>
      <c r="AB367" s="491"/>
      <c r="AC367" s="491"/>
    </row>
    <row r="368" spans="1:29">
      <c r="A368" s="491"/>
      <c r="B368" s="491"/>
      <c r="C368" s="491"/>
      <c r="D368" s="491"/>
      <c r="E368" s="491"/>
      <c r="F368" s="491"/>
      <c r="G368" s="491"/>
      <c r="H368" s="491"/>
      <c r="I368" s="491"/>
      <c r="J368" s="491"/>
      <c r="K368" s="505"/>
      <c r="L368" s="506"/>
      <c r="M368" s="491"/>
      <c r="N368" s="491"/>
      <c r="O368" s="491"/>
      <c r="P368" s="604"/>
      <c r="Q368" s="491"/>
      <c r="R368" s="491"/>
      <c r="S368" s="491"/>
      <c r="T368" s="491"/>
      <c r="U368" s="491"/>
      <c r="V368" s="491"/>
      <c r="W368" s="491"/>
      <c r="X368" s="491"/>
      <c r="Y368" s="491"/>
      <c r="Z368" s="491"/>
      <c r="AA368" s="491"/>
      <c r="AB368" s="491"/>
      <c r="AC368" s="491"/>
    </row>
    <row r="369" spans="1:29">
      <c r="A369" s="491"/>
      <c r="B369" s="491"/>
      <c r="C369" s="491"/>
      <c r="D369" s="491"/>
      <c r="E369" s="491"/>
      <c r="F369" s="491"/>
      <c r="G369" s="491"/>
      <c r="H369" s="491"/>
      <c r="I369" s="491"/>
      <c r="J369" s="491"/>
      <c r="K369" s="505"/>
      <c r="L369" s="506"/>
      <c r="M369" s="491"/>
      <c r="N369" s="491"/>
      <c r="O369" s="491"/>
      <c r="P369" s="604"/>
      <c r="Q369" s="491"/>
      <c r="R369" s="491"/>
      <c r="S369" s="491"/>
      <c r="T369" s="491"/>
      <c r="U369" s="491"/>
      <c r="V369" s="491"/>
      <c r="W369" s="491"/>
      <c r="X369" s="491"/>
      <c r="Y369" s="491"/>
      <c r="Z369" s="491"/>
      <c r="AA369" s="491"/>
      <c r="AB369" s="491"/>
      <c r="AC369" s="491"/>
    </row>
    <row r="370" spans="1:29">
      <c r="A370" s="491"/>
      <c r="B370" s="491"/>
      <c r="C370" s="491"/>
      <c r="D370" s="491"/>
      <c r="E370" s="491"/>
      <c r="F370" s="491"/>
      <c r="G370" s="491"/>
      <c r="H370" s="491"/>
      <c r="I370" s="491"/>
      <c r="J370" s="491"/>
      <c r="K370" s="505"/>
      <c r="L370" s="506"/>
      <c r="M370" s="491"/>
      <c r="N370" s="491"/>
      <c r="O370" s="491"/>
      <c r="P370" s="604"/>
      <c r="Q370" s="491"/>
      <c r="R370" s="491"/>
      <c r="S370" s="491"/>
      <c r="T370" s="491"/>
      <c r="U370" s="491"/>
      <c r="V370" s="491"/>
      <c r="W370" s="491"/>
      <c r="X370" s="491"/>
      <c r="Y370" s="491"/>
      <c r="Z370" s="491"/>
      <c r="AA370" s="491"/>
      <c r="AB370" s="491"/>
      <c r="AC370" s="491"/>
    </row>
    <row r="371" spans="1:29">
      <c r="A371" s="491"/>
      <c r="B371" s="491"/>
      <c r="C371" s="491"/>
      <c r="D371" s="491"/>
      <c r="E371" s="491"/>
      <c r="F371" s="491"/>
      <c r="G371" s="491"/>
      <c r="H371" s="491"/>
      <c r="I371" s="491"/>
      <c r="J371" s="491"/>
      <c r="K371" s="505"/>
      <c r="L371" s="506"/>
      <c r="M371" s="491"/>
      <c r="N371" s="491"/>
      <c r="O371" s="491"/>
      <c r="P371" s="604"/>
      <c r="Q371" s="491"/>
      <c r="R371" s="491"/>
      <c r="S371" s="491"/>
      <c r="T371" s="491"/>
      <c r="U371" s="491"/>
      <c r="V371" s="491"/>
      <c r="W371" s="491"/>
      <c r="X371" s="491"/>
      <c r="Y371" s="491"/>
      <c r="Z371" s="491"/>
      <c r="AA371" s="491"/>
      <c r="AB371" s="491"/>
      <c r="AC371" s="491"/>
    </row>
    <row r="372" spans="1:29">
      <c r="A372" s="491"/>
      <c r="B372" s="491"/>
      <c r="C372" s="491"/>
      <c r="D372" s="491"/>
      <c r="E372" s="491"/>
      <c r="F372" s="491"/>
      <c r="G372" s="491"/>
      <c r="H372" s="491"/>
      <c r="I372" s="491"/>
      <c r="J372" s="491"/>
      <c r="K372" s="505"/>
      <c r="L372" s="506"/>
      <c r="M372" s="491"/>
      <c r="N372" s="491"/>
      <c r="O372" s="491"/>
      <c r="P372" s="604"/>
      <c r="Q372" s="491"/>
      <c r="R372" s="491"/>
      <c r="S372" s="491"/>
      <c r="T372" s="491"/>
      <c r="U372" s="491"/>
      <c r="V372" s="491"/>
      <c r="W372" s="491"/>
      <c r="X372" s="491"/>
      <c r="Y372" s="491"/>
      <c r="Z372" s="491"/>
      <c r="AA372" s="491"/>
      <c r="AB372" s="491"/>
      <c r="AC372" s="491"/>
    </row>
    <row r="373" spans="1:29">
      <c r="A373" s="491"/>
      <c r="B373" s="491"/>
      <c r="C373" s="491"/>
      <c r="D373" s="491"/>
      <c r="E373" s="491"/>
      <c r="F373" s="491"/>
      <c r="G373" s="491"/>
      <c r="H373" s="491"/>
      <c r="I373" s="491"/>
      <c r="J373" s="491"/>
      <c r="K373" s="505"/>
      <c r="L373" s="506"/>
      <c r="M373" s="491"/>
      <c r="N373" s="491"/>
      <c r="O373" s="491"/>
      <c r="P373" s="604"/>
      <c r="Q373" s="491"/>
      <c r="R373" s="491"/>
      <c r="S373" s="491"/>
      <c r="T373" s="491"/>
      <c r="U373" s="491"/>
      <c r="V373" s="491"/>
      <c r="W373" s="491"/>
      <c r="X373" s="491"/>
      <c r="Y373" s="491"/>
      <c r="Z373" s="491"/>
      <c r="AA373" s="491"/>
      <c r="AB373" s="491"/>
      <c r="AC373" s="491"/>
    </row>
    <row r="374" spans="1:29">
      <c r="A374" s="491"/>
      <c r="B374" s="491"/>
      <c r="C374" s="491"/>
      <c r="D374" s="491"/>
      <c r="E374" s="491"/>
      <c r="F374" s="491"/>
      <c r="G374" s="491"/>
      <c r="H374" s="491"/>
      <c r="I374" s="491"/>
      <c r="J374" s="491"/>
      <c r="K374" s="505"/>
      <c r="L374" s="506"/>
      <c r="M374" s="491"/>
      <c r="N374" s="491"/>
      <c r="O374" s="491"/>
      <c r="P374" s="604"/>
      <c r="Q374" s="491"/>
      <c r="R374" s="491"/>
      <c r="S374" s="491"/>
      <c r="T374" s="491"/>
      <c r="U374" s="491"/>
      <c r="V374" s="491"/>
      <c r="W374" s="491"/>
      <c r="X374" s="491"/>
      <c r="Y374" s="491"/>
      <c r="Z374" s="491"/>
      <c r="AA374" s="491"/>
      <c r="AB374" s="491"/>
      <c r="AC374" s="491"/>
    </row>
    <row r="375" spans="1:29">
      <c r="A375" s="491"/>
      <c r="B375" s="491"/>
      <c r="C375" s="491"/>
      <c r="D375" s="491"/>
      <c r="E375" s="491"/>
      <c r="F375" s="491"/>
      <c r="G375" s="491"/>
      <c r="H375" s="491"/>
      <c r="I375" s="491"/>
      <c r="J375" s="491"/>
      <c r="K375" s="505"/>
      <c r="L375" s="506"/>
      <c r="M375" s="491"/>
      <c r="N375" s="491"/>
      <c r="O375" s="491"/>
      <c r="P375" s="604"/>
      <c r="Q375" s="491"/>
      <c r="R375" s="491"/>
      <c r="S375" s="491"/>
      <c r="T375" s="491"/>
      <c r="U375" s="491"/>
      <c r="V375" s="491"/>
      <c r="W375" s="491"/>
      <c r="X375" s="491"/>
      <c r="Y375" s="491"/>
      <c r="Z375" s="491"/>
      <c r="AA375" s="491"/>
      <c r="AB375" s="491"/>
      <c r="AC375" s="491"/>
    </row>
    <row r="376" spans="1:29">
      <c r="A376" s="491"/>
      <c r="B376" s="491"/>
      <c r="C376" s="491"/>
      <c r="D376" s="491"/>
      <c r="E376" s="491"/>
      <c r="F376" s="491"/>
      <c r="G376" s="491"/>
      <c r="H376" s="491"/>
      <c r="I376" s="491"/>
      <c r="J376" s="491"/>
      <c r="K376" s="505"/>
      <c r="L376" s="506"/>
      <c r="M376" s="491"/>
      <c r="N376" s="491"/>
      <c r="O376" s="491"/>
      <c r="P376" s="604"/>
      <c r="Q376" s="491"/>
      <c r="R376" s="491"/>
      <c r="S376" s="491"/>
      <c r="T376" s="491"/>
      <c r="U376" s="491"/>
      <c r="V376" s="491"/>
      <c r="W376" s="491"/>
      <c r="X376" s="491"/>
      <c r="Y376" s="491"/>
      <c r="Z376" s="491"/>
      <c r="AA376" s="491"/>
      <c r="AB376" s="491"/>
      <c r="AC376" s="491"/>
    </row>
    <row r="377" spans="1:29">
      <c r="A377" s="491"/>
      <c r="B377" s="491"/>
      <c r="C377" s="491"/>
      <c r="D377" s="491"/>
      <c r="E377" s="491"/>
      <c r="F377" s="491"/>
      <c r="G377" s="491"/>
      <c r="H377" s="491"/>
      <c r="I377" s="491"/>
      <c r="J377" s="491"/>
      <c r="K377" s="505"/>
      <c r="L377" s="506"/>
      <c r="M377" s="491"/>
      <c r="N377" s="491"/>
      <c r="O377" s="491"/>
      <c r="P377" s="604"/>
      <c r="Q377" s="491"/>
      <c r="R377" s="491"/>
      <c r="S377" s="491"/>
      <c r="T377" s="491"/>
      <c r="U377" s="491"/>
      <c r="V377" s="491"/>
      <c r="W377" s="491"/>
      <c r="X377" s="491"/>
      <c r="Y377" s="491"/>
      <c r="Z377" s="491"/>
      <c r="AA377" s="491"/>
      <c r="AB377" s="491"/>
      <c r="AC377" s="491"/>
    </row>
    <row r="378" spans="1:29">
      <c r="A378" s="491"/>
      <c r="B378" s="491"/>
      <c r="C378" s="491"/>
      <c r="D378" s="491"/>
      <c r="E378" s="491"/>
      <c r="F378" s="491"/>
      <c r="G378" s="491"/>
      <c r="H378" s="491"/>
      <c r="I378" s="491"/>
      <c r="J378" s="491"/>
      <c r="K378" s="505"/>
      <c r="L378" s="506"/>
      <c r="M378" s="491"/>
      <c r="N378" s="491"/>
      <c r="O378" s="491"/>
      <c r="P378" s="604"/>
      <c r="Q378" s="491"/>
      <c r="R378" s="491"/>
      <c r="S378" s="491"/>
      <c r="T378" s="491"/>
      <c r="U378" s="491"/>
      <c r="V378" s="491"/>
      <c r="W378" s="491"/>
      <c r="X378" s="491"/>
      <c r="Y378" s="491"/>
      <c r="Z378" s="491"/>
      <c r="AA378" s="491"/>
      <c r="AB378" s="491"/>
      <c r="AC378" s="491"/>
    </row>
    <row r="379" spans="1:29">
      <c r="A379" s="491"/>
      <c r="B379" s="491"/>
      <c r="C379" s="491"/>
      <c r="D379" s="491"/>
      <c r="E379" s="491"/>
      <c r="F379" s="491"/>
      <c r="G379" s="491"/>
      <c r="H379" s="491"/>
      <c r="I379" s="491"/>
      <c r="J379" s="491"/>
      <c r="K379" s="505"/>
      <c r="L379" s="506"/>
      <c r="M379" s="491"/>
      <c r="N379" s="491"/>
      <c r="O379" s="491"/>
      <c r="P379" s="604"/>
      <c r="Q379" s="491"/>
      <c r="R379" s="491"/>
      <c r="S379" s="491"/>
      <c r="T379" s="491"/>
      <c r="U379" s="491"/>
      <c r="V379" s="491"/>
      <c r="W379" s="491"/>
      <c r="X379" s="491"/>
      <c r="Y379" s="491"/>
      <c r="Z379" s="491"/>
      <c r="AA379" s="491"/>
      <c r="AB379" s="491"/>
      <c r="AC379" s="491"/>
    </row>
    <row r="380" spans="1:29">
      <c r="A380" s="491"/>
      <c r="B380" s="491"/>
      <c r="C380" s="491"/>
      <c r="D380" s="491"/>
      <c r="E380" s="491"/>
      <c r="F380" s="491"/>
      <c r="G380" s="491"/>
      <c r="H380" s="491"/>
      <c r="I380" s="491"/>
      <c r="J380" s="491"/>
      <c r="K380" s="505"/>
      <c r="L380" s="506"/>
      <c r="M380" s="491"/>
      <c r="N380" s="491"/>
      <c r="O380" s="491"/>
      <c r="P380" s="604"/>
      <c r="Q380" s="491"/>
      <c r="R380" s="491"/>
      <c r="S380" s="491"/>
      <c r="T380" s="491"/>
      <c r="U380" s="491"/>
      <c r="V380" s="491"/>
      <c r="W380" s="491"/>
      <c r="X380" s="491"/>
      <c r="Y380" s="491"/>
      <c r="Z380" s="491"/>
      <c r="AA380" s="491"/>
      <c r="AB380" s="491"/>
      <c r="AC380" s="491"/>
    </row>
    <row r="381" spans="1:29">
      <c r="A381" s="491"/>
      <c r="B381" s="491"/>
      <c r="C381" s="491"/>
      <c r="D381" s="491"/>
      <c r="E381" s="491"/>
      <c r="F381" s="491"/>
      <c r="G381" s="491"/>
      <c r="H381" s="491"/>
      <c r="I381" s="491"/>
      <c r="J381" s="491"/>
      <c r="K381" s="505"/>
      <c r="L381" s="506"/>
      <c r="M381" s="491"/>
      <c r="N381" s="491"/>
      <c r="O381" s="491"/>
      <c r="P381" s="604"/>
      <c r="Q381" s="491"/>
      <c r="R381" s="491"/>
      <c r="S381" s="491"/>
      <c r="T381" s="491"/>
      <c r="U381" s="491"/>
      <c r="V381" s="491"/>
      <c r="W381" s="491"/>
      <c r="X381" s="491"/>
      <c r="Y381" s="491"/>
      <c r="Z381" s="491"/>
      <c r="AA381" s="491"/>
      <c r="AB381" s="491"/>
      <c r="AC381" s="491"/>
    </row>
    <row r="382" spans="1:29">
      <c r="A382" s="491"/>
      <c r="B382" s="491"/>
      <c r="C382" s="491"/>
      <c r="D382" s="491"/>
      <c r="E382" s="491"/>
      <c r="F382" s="491"/>
      <c r="G382" s="491"/>
      <c r="H382" s="491"/>
      <c r="I382" s="491"/>
      <c r="J382" s="491"/>
      <c r="K382" s="505"/>
      <c r="L382" s="506"/>
      <c r="M382" s="491"/>
      <c r="N382" s="491"/>
      <c r="O382" s="491"/>
      <c r="P382" s="604"/>
      <c r="Q382" s="491"/>
      <c r="R382" s="491"/>
      <c r="S382" s="491"/>
      <c r="T382" s="491"/>
      <c r="U382" s="491"/>
      <c r="V382" s="491"/>
      <c r="W382" s="491"/>
      <c r="X382" s="491"/>
      <c r="Y382" s="491"/>
      <c r="Z382" s="491"/>
      <c r="AA382" s="491"/>
      <c r="AB382" s="491"/>
      <c r="AC382" s="491"/>
    </row>
    <row r="383" spans="1:29">
      <c r="A383" s="491"/>
      <c r="B383" s="491"/>
      <c r="C383" s="491"/>
      <c r="D383" s="491"/>
      <c r="E383" s="491"/>
      <c r="F383" s="491"/>
      <c r="G383" s="491"/>
      <c r="H383" s="491"/>
      <c r="I383" s="491"/>
      <c r="J383" s="491"/>
      <c r="K383" s="505"/>
      <c r="L383" s="506"/>
      <c r="M383" s="491"/>
      <c r="N383" s="491"/>
      <c r="O383" s="491"/>
      <c r="P383" s="604"/>
      <c r="Q383" s="491"/>
      <c r="R383" s="491"/>
      <c r="S383" s="491"/>
      <c r="T383" s="491"/>
      <c r="U383" s="491"/>
      <c r="V383" s="491"/>
      <c r="W383" s="491"/>
      <c r="X383" s="491"/>
      <c r="Y383" s="491"/>
      <c r="Z383" s="491"/>
      <c r="AA383" s="491"/>
      <c r="AB383" s="491"/>
      <c r="AC383" s="491"/>
    </row>
    <row r="384" spans="1:29">
      <c r="A384" s="491"/>
      <c r="B384" s="491"/>
      <c r="C384" s="491"/>
      <c r="D384" s="491"/>
      <c r="E384" s="491"/>
      <c r="F384" s="491"/>
      <c r="G384" s="491"/>
      <c r="H384" s="491"/>
      <c r="I384" s="491"/>
      <c r="J384" s="491"/>
      <c r="K384" s="505"/>
      <c r="L384" s="506"/>
      <c r="M384" s="491"/>
      <c r="N384" s="491"/>
      <c r="O384" s="491"/>
      <c r="P384" s="604"/>
      <c r="Q384" s="491"/>
      <c r="R384" s="491"/>
      <c r="S384" s="491"/>
      <c r="T384" s="491"/>
      <c r="U384" s="491"/>
      <c r="V384" s="491"/>
      <c r="W384" s="491"/>
      <c r="X384" s="491"/>
      <c r="Y384" s="491"/>
      <c r="Z384" s="491"/>
      <c r="AA384" s="491"/>
      <c r="AB384" s="491"/>
      <c r="AC384" s="491"/>
    </row>
    <row r="385" spans="1:29">
      <c r="A385" s="491"/>
      <c r="B385" s="491"/>
      <c r="C385" s="491"/>
      <c r="D385" s="491"/>
      <c r="E385" s="491"/>
      <c r="F385" s="491"/>
      <c r="G385" s="491"/>
      <c r="H385" s="491"/>
      <c r="I385" s="491"/>
      <c r="J385" s="491"/>
      <c r="K385" s="505"/>
      <c r="L385" s="506"/>
      <c r="M385" s="491"/>
      <c r="N385" s="491"/>
      <c r="O385" s="491"/>
      <c r="P385" s="604"/>
      <c r="Q385" s="491"/>
      <c r="R385" s="491"/>
      <c r="S385" s="491"/>
      <c r="T385" s="491"/>
      <c r="U385" s="491"/>
      <c r="V385" s="491"/>
      <c r="W385" s="491"/>
      <c r="X385" s="491"/>
      <c r="Y385" s="491"/>
      <c r="Z385" s="491"/>
      <c r="AA385" s="491"/>
      <c r="AB385" s="491"/>
      <c r="AC385" s="491"/>
    </row>
    <row r="386" spans="1:29">
      <c r="A386" s="491"/>
      <c r="B386" s="491"/>
      <c r="C386" s="491"/>
      <c r="D386" s="491"/>
      <c r="E386" s="491"/>
      <c r="F386" s="491"/>
      <c r="G386" s="491"/>
      <c r="H386" s="491"/>
      <c r="I386" s="491"/>
      <c r="J386" s="491"/>
      <c r="K386" s="505"/>
      <c r="L386" s="506"/>
      <c r="M386" s="491"/>
      <c r="N386" s="491"/>
      <c r="O386" s="491"/>
      <c r="P386" s="604"/>
      <c r="Q386" s="491"/>
      <c r="R386" s="491"/>
      <c r="S386" s="491"/>
      <c r="T386" s="491"/>
      <c r="U386" s="491"/>
      <c r="V386" s="491"/>
      <c r="W386" s="491"/>
      <c r="X386" s="491"/>
      <c r="Y386" s="491"/>
      <c r="Z386" s="491"/>
      <c r="AA386" s="491"/>
      <c r="AB386" s="491"/>
      <c r="AC386" s="491"/>
    </row>
    <row r="387" spans="1:29">
      <c r="A387" s="491"/>
      <c r="B387" s="491"/>
      <c r="C387" s="491"/>
      <c r="D387" s="491"/>
      <c r="E387" s="491"/>
      <c r="F387" s="491"/>
      <c r="G387" s="491"/>
      <c r="H387" s="491"/>
      <c r="I387" s="491"/>
      <c r="J387" s="491"/>
      <c r="K387" s="505"/>
      <c r="L387" s="506"/>
      <c r="M387" s="491"/>
      <c r="N387" s="491"/>
      <c r="O387" s="491"/>
      <c r="P387" s="604"/>
      <c r="Q387" s="491"/>
      <c r="R387" s="491"/>
      <c r="S387" s="491"/>
      <c r="T387" s="491"/>
      <c r="U387" s="491"/>
      <c r="V387" s="491"/>
      <c r="W387" s="491"/>
      <c r="X387" s="491"/>
      <c r="Y387" s="491"/>
      <c r="Z387" s="491"/>
      <c r="AA387" s="491"/>
      <c r="AB387" s="491"/>
      <c r="AC387" s="491"/>
    </row>
    <row r="388" spans="1:29">
      <c r="A388" s="491"/>
      <c r="B388" s="491"/>
      <c r="C388" s="491"/>
      <c r="D388" s="491"/>
      <c r="E388" s="491"/>
      <c r="F388" s="491"/>
      <c r="G388" s="491"/>
      <c r="H388" s="491"/>
      <c r="I388" s="491"/>
      <c r="J388" s="491"/>
      <c r="K388" s="505"/>
      <c r="L388" s="506"/>
      <c r="M388" s="491"/>
      <c r="N388" s="491"/>
      <c r="O388" s="491"/>
      <c r="P388" s="604"/>
      <c r="Q388" s="491"/>
      <c r="R388" s="491"/>
      <c r="S388" s="491"/>
      <c r="T388" s="491"/>
      <c r="U388" s="491"/>
      <c r="V388" s="491"/>
      <c r="W388" s="491"/>
      <c r="X388" s="491"/>
      <c r="Y388" s="491"/>
      <c r="Z388" s="491"/>
      <c r="AA388" s="491"/>
      <c r="AB388" s="491"/>
      <c r="AC388" s="491"/>
    </row>
    <row r="389" spans="1:29">
      <c r="A389" s="491"/>
      <c r="B389" s="491"/>
      <c r="C389" s="491"/>
      <c r="D389" s="491"/>
      <c r="E389" s="491"/>
      <c r="F389" s="491"/>
      <c r="G389" s="491"/>
      <c r="H389" s="491"/>
      <c r="I389" s="491"/>
      <c r="J389" s="491"/>
      <c r="K389" s="505"/>
      <c r="L389" s="506"/>
      <c r="M389" s="491"/>
      <c r="N389" s="491"/>
      <c r="O389" s="491"/>
      <c r="P389" s="604"/>
      <c r="Q389" s="491"/>
      <c r="R389" s="491"/>
      <c r="S389" s="491"/>
      <c r="T389" s="491"/>
      <c r="U389" s="491"/>
      <c r="V389" s="491"/>
      <c r="W389" s="491"/>
      <c r="X389" s="491"/>
      <c r="Y389" s="491"/>
      <c r="Z389" s="491"/>
      <c r="AA389" s="491"/>
      <c r="AB389" s="491"/>
      <c r="AC389" s="491"/>
    </row>
    <row r="390" spans="1:29">
      <c r="A390" s="491"/>
      <c r="B390" s="491"/>
      <c r="C390" s="491"/>
      <c r="D390" s="491"/>
      <c r="E390" s="491"/>
      <c r="F390" s="491"/>
      <c r="G390" s="491"/>
      <c r="H390" s="491"/>
      <c r="I390" s="491"/>
      <c r="J390" s="491"/>
      <c r="K390" s="505"/>
      <c r="L390" s="506"/>
      <c r="M390" s="491"/>
      <c r="N390" s="491"/>
      <c r="O390" s="491"/>
      <c r="P390" s="604"/>
      <c r="Q390" s="491"/>
      <c r="R390" s="491"/>
      <c r="S390" s="491"/>
      <c r="T390" s="491"/>
      <c r="U390" s="491"/>
      <c r="V390" s="491"/>
      <c r="W390" s="491"/>
      <c r="X390" s="491"/>
      <c r="Y390" s="491"/>
      <c r="Z390" s="491"/>
      <c r="AA390" s="491"/>
      <c r="AB390" s="491"/>
      <c r="AC390" s="491"/>
    </row>
    <row r="391" spans="1:29">
      <c r="A391" s="491"/>
      <c r="B391" s="491"/>
      <c r="C391" s="491"/>
      <c r="D391" s="491"/>
      <c r="E391" s="491"/>
      <c r="F391" s="491"/>
      <c r="G391" s="491"/>
      <c r="H391" s="491"/>
      <c r="I391" s="491"/>
      <c r="J391" s="491"/>
      <c r="K391" s="505"/>
      <c r="L391" s="506"/>
      <c r="M391" s="491"/>
      <c r="N391" s="491"/>
      <c r="O391" s="491"/>
      <c r="P391" s="604"/>
      <c r="Q391" s="491"/>
      <c r="R391" s="491"/>
      <c r="S391" s="491"/>
      <c r="T391" s="491"/>
      <c r="U391" s="491"/>
      <c r="V391" s="491"/>
      <c r="W391" s="491"/>
      <c r="X391" s="491"/>
      <c r="Y391" s="491"/>
      <c r="Z391" s="491"/>
      <c r="AA391" s="491"/>
      <c r="AB391" s="491"/>
      <c r="AC391" s="491"/>
    </row>
    <row r="392" spans="1:29">
      <c r="A392" s="491"/>
      <c r="B392" s="491"/>
      <c r="C392" s="491"/>
      <c r="D392" s="491"/>
      <c r="E392" s="491"/>
      <c r="F392" s="491"/>
      <c r="G392" s="491"/>
      <c r="H392" s="491"/>
      <c r="I392" s="491"/>
      <c r="J392" s="491"/>
      <c r="K392" s="505"/>
      <c r="L392" s="506"/>
      <c r="M392" s="491"/>
      <c r="N392" s="491"/>
      <c r="O392" s="491"/>
      <c r="P392" s="604"/>
      <c r="Q392" s="491"/>
      <c r="R392" s="491"/>
      <c r="S392" s="491"/>
      <c r="T392" s="491"/>
      <c r="U392" s="491"/>
      <c r="V392" s="491"/>
      <c r="W392" s="491"/>
      <c r="X392" s="491"/>
      <c r="Y392" s="491"/>
      <c r="Z392" s="491"/>
      <c r="AA392" s="491"/>
      <c r="AB392" s="491"/>
      <c r="AC392" s="491"/>
    </row>
    <row r="393" spans="1:29">
      <c r="A393" s="491"/>
      <c r="B393" s="491"/>
      <c r="C393" s="491"/>
      <c r="D393" s="491"/>
      <c r="E393" s="491"/>
      <c r="F393" s="491"/>
      <c r="G393" s="491"/>
      <c r="H393" s="491"/>
      <c r="I393" s="491"/>
      <c r="J393" s="491"/>
      <c r="K393" s="505"/>
      <c r="L393" s="506"/>
      <c r="M393" s="491"/>
      <c r="N393" s="491"/>
      <c r="O393" s="491"/>
      <c r="P393" s="604"/>
      <c r="Q393" s="491"/>
      <c r="R393" s="491"/>
      <c r="S393" s="491"/>
      <c r="T393" s="491"/>
      <c r="U393" s="491"/>
      <c r="V393" s="491"/>
      <c r="W393" s="491"/>
      <c r="X393" s="491"/>
      <c r="Y393" s="491"/>
      <c r="Z393" s="491"/>
      <c r="AA393" s="491"/>
      <c r="AB393" s="491"/>
      <c r="AC393" s="491"/>
    </row>
    <row r="394" spans="1:29">
      <c r="A394" s="491"/>
      <c r="B394" s="491"/>
      <c r="C394" s="491"/>
      <c r="D394" s="491"/>
      <c r="E394" s="491"/>
      <c r="F394" s="491"/>
      <c r="G394" s="491"/>
      <c r="H394" s="491"/>
      <c r="I394" s="491"/>
      <c r="J394" s="491"/>
      <c r="K394" s="505"/>
      <c r="L394" s="506"/>
      <c r="M394" s="491"/>
      <c r="N394" s="491"/>
      <c r="O394" s="491"/>
      <c r="P394" s="604"/>
      <c r="Q394" s="491"/>
      <c r="R394" s="491"/>
      <c r="S394" s="491"/>
      <c r="T394" s="491"/>
      <c r="U394" s="491"/>
      <c r="V394" s="491"/>
      <c r="W394" s="491"/>
      <c r="X394" s="491"/>
      <c r="Y394" s="491"/>
      <c r="Z394" s="491"/>
      <c r="AA394" s="491"/>
      <c r="AB394" s="491"/>
      <c r="AC394" s="491"/>
    </row>
    <row r="395" spans="1:29">
      <c r="A395" s="491"/>
      <c r="B395" s="491"/>
      <c r="C395" s="491"/>
      <c r="D395" s="491"/>
      <c r="E395" s="491"/>
      <c r="F395" s="491"/>
      <c r="G395" s="491"/>
      <c r="H395" s="491"/>
      <c r="I395" s="491"/>
      <c r="J395" s="491"/>
      <c r="K395" s="505"/>
      <c r="L395" s="506"/>
      <c r="M395" s="491"/>
      <c r="N395" s="491"/>
      <c r="O395" s="491"/>
      <c r="P395" s="604"/>
      <c r="Q395" s="491"/>
      <c r="R395" s="491"/>
      <c r="S395" s="491"/>
      <c r="T395" s="491"/>
      <c r="U395" s="491"/>
      <c r="V395" s="491"/>
      <c r="W395" s="491"/>
      <c r="X395" s="491"/>
      <c r="Y395" s="491"/>
      <c r="Z395" s="491"/>
      <c r="AA395" s="491"/>
      <c r="AB395" s="491"/>
      <c r="AC395" s="491"/>
    </row>
    <row r="396" spans="1:29">
      <c r="A396" s="491"/>
      <c r="B396" s="491"/>
      <c r="C396" s="491"/>
      <c r="D396" s="491"/>
      <c r="E396" s="491"/>
      <c r="F396" s="491"/>
      <c r="G396" s="491"/>
      <c r="H396" s="491"/>
      <c r="I396" s="491"/>
      <c r="J396" s="491"/>
      <c r="K396" s="505"/>
      <c r="L396" s="506"/>
      <c r="M396" s="491"/>
      <c r="N396" s="491"/>
      <c r="O396" s="491"/>
      <c r="P396" s="604"/>
      <c r="Q396" s="491"/>
      <c r="R396" s="491"/>
      <c r="S396" s="491"/>
      <c r="T396" s="491"/>
      <c r="U396" s="491"/>
      <c r="V396" s="491"/>
      <c r="W396" s="491"/>
      <c r="X396" s="491"/>
      <c r="Y396" s="491"/>
      <c r="Z396" s="491"/>
      <c r="AA396" s="491"/>
      <c r="AB396" s="491"/>
      <c r="AC396" s="491"/>
    </row>
    <row r="397" spans="1:29">
      <c r="A397" s="491"/>
      <c r="B397" s="491"/>
      <c r="C397" s="491"/>
      <c r="D397" s="491"/>
      <c r="E397" s="491"/>
      <c r="F397" s="491"/>
      <c r="G397" s="491"/>
      <c r="H397" s="491"/>
      <c r="I397" s="491"/>
      <c r="J397" s="491"/>
      <c r="K397" s="505"/>
      <c r="L397" s="506"/>
      <c r="M397" s="491"/>
      <c r="N397" s="491"/>
      <c r="O397" s="491"/>
      <c r="P397" s="604"/>
      <c r="Q397" s="491"/>
      <c r="R397" s="491"/>
      <c r="S397" s="491"/>
      <c r="T397" s="491"/>
      <c r="U397" s="491"/>
      <c r="V397" s="491"/>
      <c r="W397" s="491"/>
      <c r="X397" s="491"/>
      <c r="Y397" s="491"/>
      <c r="Z397" s="491"/>
      <c r="AA397" s="491"/>
      <c r="AB397" s="491"/>
      <c r="AC397" s="491"/>
    </row>
    <row r="398" spans="1:29">
      <c r="A398" s="491"/>
      <c r="B398" s="491"/>
      <c r="C398" s="491"/>
      <c r="D398" s="491"/>
      <c r="E398" s="491"/>
      <c r="F398" s="491"/>
      <c r="G398" s="491"/>
      <c r="H398" s="491"/>
      <c r="I398" s="491"/>
      <c r="J398" s="491"/>
      <c r="K398" s="505"/>
      <c r="L398" s="506"/>
      <c r="M398" s="491"/>
      <c r="N398" s="491"/>
      <c r="O398" s="491"/>
      <c r="P398" s="604"/>
      <c r="Q398" s="491"/>
      <c r="R398" s="491"/>
      <c r="S398" s="491"/>
      <c r="T398" s="491"/>
      <c r="U398" s="491"/>
      <c r="V398" s="491"/>
      <c r="W398" s="491"/>
      <c r="X398" s="491"/>
      <c r="Y398" s="491"/>
      <c r="Z398" s="491"/>
      <c r="AA398" s="491"/>
      <c r="AB398" s="491"/>
      <c r="AC398" s="491"/>
    </row>
    <row r="399" spans="1:29">
      <c r="A399" s="491"/>
      <c r="B399" s="491"/>
      <c r="C399" s="491"/>
      <c r="D399" s="491"/>
      <c r="E399" s="491"/>
      <c r="F399" s="491"/>
      <c r="G399" s="491"/>
      <c r="H399" s="491"/>
      <c r="I399" s="491"/>
      <c r="J399" s="491"/>
      <c r="K399" s="505"/>
      <c r="L399" s="506"/>
      <c r="M399" s="491"/>
      <c r="N399" s="491"/>
      <c r="O399" s="491"/>
      <c r="P399" s="604"/>
      <c r="Q399" s="491"/>
      <c r="R399" s="491"/>
      <c r="S399" s="491"/>
      <c r="T399" s="491"/>
      <c r="U399" s="491"/>
      <c r="V399" s="491"/>
      <c r="W399" s="491"/>
      <c r="X399" s="491"/>
      <c r="Y399" s="491"/>
      <c r="Z399" s="491"/>
      <c r="AA399" s="491"/>
      <c r="AB399" s="491"/>
      <c r="AC399" s="491"/>
    </row>
    <row r="400" spans="1:29">
      <c r="A400" s="491"/>
      <c r="B400" s="491"/>
      <c r="C400" s="491"/>
      <c r="D400" s="491"/>
      <c r="E400" s="491"/>
      <c r="F400" s="491"/>
      <c r="G400" s="491"/>
      <c r="H400" s="491"/>
      <c r="I400" s="491"/>
      <c r="J400" s="491"/>
      <c r="K400" s="505"/>
      <c r="L400" s="506"/>
      <c r="M400" s="491"/>
      <c r="N400" s="491"/>
      <c r="O400" s="491"/>
      <c r="P400" s="604"/>
      <c r="Q400" s="491"/>
      <c r="R400" s="491"/>
      <c r="S400" s="491"/>
      <c r="T400" s="491"/>
      <c r="U400" s="491"/>
      <c r="V400" s="491"/>
      <c r="W400" s="491"/>
      <c r="X400" s="491"/>
      <c r="Y400" s="491"/>
      <c r="Z400" s="491"/>
      <c r="AA400" s="491"/>
      <c r="AB400" s="491"/>
      <c r="AC400" s="491"/>
    </row>
    <row r="401" spans="1:29">
      <c r="A401" s="491"/>
      <c r="B401" s="491"/>
      <c r="C401" s="491"/>
      <c r="D401" s="491"/>
      <c r="E401" s="491"/>
      <c r="F401" s="491"/>
      <c r="G401" s="491"/>
      <c r="H401" s="491"/>
      <c r="I401" s="491"/>
      <c r="J401" s="491"/>
      <c r="K401" s="505"/>
      <c r="L401" s="506"/>
      <c r="M401" s="491"/>
      <c r="N401" s="491"/>
      <c r="O401" s="491"/>
      <c r="P401" s="604"/>
      <c r="Q401" s="491"/>
      <c r="R401" s="491"/>
      <c r="S401" s="491"/>
      <c r="T401" s="491"/>
      <c r="U401" s="491"/>
      <c r="V401" s="491"/>
      <c r="W401" s="491"/>
      <c r="X401" s="491"/>
      <c r="Y401" s="491"/>
      <c r="Z401" s="491"/>
      <c r="AA401" s="491"/>
      <c r="AB401" s="491"/>
      <c r="AC401" s="491"/>
    </row>
    <row r="402" spans="1:29">
      <c r="A402" s="491"/>
      <c r="B402" s="491"/>
      <c r="C402" s="491"/>
      <c r="D402" s="491"/>
      <c r="E402" s="491"/>
      <c r="F402" s="491"/>
      <c r="G402" s="491"/>
      <c r="H402" s="491"/>
      <c r="I402" s="491"/>
      <c r="J402" s="491"/>
      <c r="K402" s="505"/>
      <c r="L402" s="506"/>
      <c r="M402" s="491"/>
      <c r="N402" s="491"/>
      <c r="O402" s="491"/>
      <c r="P402" s="604"/>
      <c r="Q402" s="491"/>
      <c r="R402" s="491"/>
      <c r="S402" s="491"/>
      <c r="T402" s="491"/>
      <c r="U402" s="491"/>
      <c r="V402" s="491"/>
      <c r="W402" s="491"/>
      <c r="X402" s="491"/>
      <c r="Y402" s="491"/>
      <c r="Z402" s="491"/>
      <c r="AA402" s="491"/>
      <c r="AB402" s="491"/>
      <c r="AC402" s="491"/>
    </row>
    <row r="403" spans="1:29">
      <c r="A403" s="491"/>
      <c r="B403" s="491"/>
      <c r="C403" s="491"/>
      <c r="D403" s="491"/>
      <c r="E403" s="491"/>
      <c r="F403" s="491"/>
      <c r="G403" s="491"/>
      <c r="H403" s="491"/>
      <c r="I403" s="491"/>
      <c r="J403" s="491"/>
      <c r="K403" s="505"/>
      <c r="L403" s="506"/>
      <c r="M403" s="491"/>
      <c r="N403" s="491"/>
      <c r="O403" s="491"/>
      <c r="P403" s="604"/>
      <c r="Q403" s="491"/>
      <c r="R403" s="491"/>
      <c r="S403" s="491"/>
      <c r="T403" s="491"/>
      <c r="U403" s="491"/>
      <c r="V403" s="491"/>
      <c r="W403" s="491"/>
      <c r="X403" s="491"/>
      <c r="Y403" s="491"/>
      <c r="Z403" s="491"/>
      <c r="AA403" s="491"/>
      <c r="AB403" s="491"/>
      <c r="AC403" s="491"/>
    </row>
    <row r="404" spans="1:29">
      <c r="A404" s="491"/>
      <c r="B404" s="491"/>
      <c r="C404" s="491"/>
      <c r="D404" s="491"/>
      <c r="E404" s="491"/>
      <c r="F404" s="491"/>
      <c r="G404" s="491"/>
      <c r="H404" s="491"/>
      <c r="I404" s="491"/>
      <c r="J404" s="491"/>
      <c r="K404" s="505"/>
      <c r="L404" s="506"/>
      <c r="M404" s="491"/>
      <c r="N404" s="491"/>
      <c r="O404" s="491"/>
      <c r="P404" s="604"/>
      <c r="Q404" s="491"/>
      <c r="R404" s="491"/>
      <c r="S404" s="491"/>
      <c r="T404" s="491"/>
      <c r="U404" s="491"/>
      <c r="V404" s="491"/>
      <c r="W404" s="491"/>
      <c r="X404" s="491"/>
      <c r="Y404" s="491"/>
      <c r="Z404" s="491"/>
      <c r="AA404" s="491"/>
      <c r="AB404" s="491"/>
      <c r="AC404" s="491"/>
    </row>
    <row r="405" spans="1:29">
      <c r="A405" s="491"/>
      <c r="B405" s="491"/>
      <c r="C405" s="491"/>
      <c r="D405" s="491"/>
      <c r="E405" s="491"/>
      <c r="F405" s="491"/>
      <c r="G405" s="491"/>
      <c r="H405" s="491"/>
      <c r="I405" s="491"/>
      <c r="J405" s="491"/>
      <c r="K405" s="505"/>
      <c r="L405" s="506"/>
      <c r="M405" s="491"/>
      <c r="N405" s="491"/>
      <c r="O405" s="491"/>
      <c r="P405" s="604"/>
      <c r="Q405" s="491"/>
      <c r="R405" s="491"/>
      <c r="S405" s="491"/>
      <c r="T405" s="491"/>
      <c r="U405" s="491"/>
      <c r="V405" s="491"/>
      <c r="W405" s="491"/>
      <c r="X405" s="491"/>
      <c r="Y405" s="491"/>
      <c r="Z405" s="491"/>
      <c r="AA405" s="491"/>
      <c r="AB405" s="491"/>
      <c r="AC405" s="491"/>
    </row>
    <row r="406" spans="1:29">
      <c r="A406" s="491"/>
      <c r="B406" s="491"/>
      <c r="C406" s="491"/>
      <c r="D406" s="491"/>
      <c r="E406" s="491"/>
      <c r="F406" s="491"/>
      <c r="G406" s="491"/>
      <c r="H406" s="491"/>
      <c r="I406" s="491"/>
      <c r="J406" s="491"/>
      <c r="K406" s="505"/>
      <c r="L406" s="506"/>
      <c r="M406" s="491"/>
      <c r="N406" s="491"/>
      <c r="O406" s="491"/>
      <c r="P406" s="604"/>
      <c r="Q406" s="491"/>
      <c r="R406" s="491"/>
      <c r="S406" s="491"/>
      <c r="T406" s="491"/>
      <c r="U406" s="491"/>
      <c r="V406" s="491"/>
      <c r="W406" s="491"/>
      <c r="X406" s="491"/>
      <c r="Y406" s="491"/>
      <c r="Z406" s="491"/>
      <c r="AA406" s="491"/>
      <c r="AB406" s="491"/>
      <c r="AC406" s="491"/>
    </row>
    <row r="407" spans="1:29">
      <c r="A407" s="491"/>
      <c r="B407" s="491"/>
      <c r="C407" s="491"/>
      <c r="D407" s="491"/>
      <c r="E407" s="491"/>
      <c r="F407" s="491"/>
      <c r="G407" s="491"/>
      <c r="H407" s="491"/>
      <c r="I407" s="491"/>
      <c r="J407" s="491"/>
      <c r="K407" s="505"/>
      <c r="L407" s="506"/>
      <c r="M407" s="491"/>
      <c r="N407" s="491"/>
      <c r="O407" s="491"/>
      <c r="P407" s="604"/>
      <c r="Q407" s="491"/>
      <c r="R407" s="491"/>
      <c r="S407" s="491"/>
      <c r="T407" s="491"/>
      <c r="U407" s="491"/>
      <c r="V407" s="491"/>
      <c r="W407" s="491"/>
      <c r="X407" s="491"/>
      <c r="Y407" s="491"/>
      <c r="Z407" s="491"/>
      <c r="AA407" s="491"/>
      <c r="AB407" s="491"/>
      <c r="AC407" s="491"/>
    </row>
    <row r="408" spans="1:29">
      <c r="A408" s="491"/>
      <c r="B408" s="491"/>
      <c r="C408" s="491"/>
      <c r="D408" s="491"/>
      <c r="E408" s="491"/>
      <c r="F408" s="491"/>
      <c r="G408" s="491"/>
      <c r="H408" s="491"/>
      <c r="I408" s="491"/>
      <c r="J408" s="491"/>
      <c r="K408" s="505"/>
      <c r="L408" s="506"/>
      <c r="M408" s="491"/>
      <c r="N408" s="491"/>
      <c r="O408" s="491"/>
      <c r="P408" s="604"/>
      <c r="Q408" s="491"/>
      <c r="R408" s="491"/>
      <c r="S408" s="491"/>
      <c r="T408" s="491"/>
      <c r="U408" s="491"/>
      <c r="V408" s="491"/>
      <c r="W408" s="491"/>
      <c r="X408" s="491"/>
      <c r="Y408" s="491"/>
      <c r="Z408" s="491"/>
      <c r="AA408" s="491"/>
      <c r="AB408" s="491"/>
      <c r="AC408" s="491"/>
    </row>
    <row r="409" spans="1:29">
      <c r="A409" s="491"/>
      <c r="B409" s="491"/>
      <c r="C409" s="491"/>
      <c r="D409" s="491"/>
      <c r="E409" s="491"/>
      <c r="F409" s="491"/>
      <c r="G409" s="491"/>
      <c r="H409" s="491"/>
      <c r="I409" s="491"/>
      <c r="J409" s="491"/>
      <c r="K409" s="505"/>
      <c r="L409" s="506"/>
      <c r="M409" s="491"/>
      <c r="N409" s="491"/>
      <c r="O409" s="491"/>
      <c r="P409" s="604"/>
      <c r="Q409" s="491"/>
      <c r="R409" s="491"/>
      <c r="S409" s="491"/>
      <c r="T409" s="491"/>
      <c r="U409" s="491"/>
      <c r="V409" s="491"/>
      <c r="W409" s="491"/>
      <c r="X409" s="491"/>
      <c r="Y409" s="491"/>
      <c r="Z409" s="491"/>
      <c r="AA409" s="491"/>
      <c r="AB409" s="491"/>
      <c r="AC409" s="491"/>
    </row>
    <row r="410" spans="1:29">
      <c r="A410" s="491"/>
      <c r="B410" s="491"/>
      <c r="C410" s="491"/>
      <c r="D410" s="491"/>
      <c r="E410" s="491"/>
      <c r="F410" s="491"/>
      <c r="G410" s="491"/>
      <c r="H410" s="491"/>
      <c r="I410" s="491"/>
      <c r="J410" s="491"/>
      <c r="K410" s="505"/>
      <c r="L410" s="506"/>
      <c r="M410" s="491"/>
      <c r="N410" s="491"/>
      <c r="O410" s="491"/>
      <c r="P410" s="604"/>
      <c r="Q410" s="491"/>
      <c r="R410" s="491"/>
      <c r="S410" s="491"/>
      <c r="T410" s="491"/>
      <c r="U410" s="491"/>
      <c r="V410" s="491"/>
      <c r="W410" s="491"/>
      <c r="X410" s="491"/>
      <c r="Y410" s="491"/>
      <c r="Z410" s="491"/>
      <c r="AA410" s="491"/>
      <c r="AB410" s="491"/>
      <c r="AC410" s="491"/>
    </row>
    <row r="411" spans="1:29">
      <c r="A411" s="491"/>
      <c r="B411" s="491"/>
      <c r="C411" s="491"/>
      <c r="D411" s="491"/>
      <c r="E411" s="491"/>
      <c r="F411" s="491"/>
      <c r="G411" s="491"/>
      <c r="H411" s="491"/>
      <c r="I411" s="491"/>
      <c r="J411" s="491"/>
      <c r="K411" s="505"/>
      <c r="L411" s="506"/>
      <c r="M411" s="491"/>
      <c r="N411" s="491"/>
      <c r="O411" s="491"/>
      <c r="P411" s="604"/>
      <c r="Q411" s="491"/>
      <c r="R411" s="491"/>
      <c r="S411" s="491"/>
      <c r="T411" s="491"/>
      <c r="U411" s="491"/>
      <c r="V411" s="491"/>
      <c r="W411" s="491"/>
      <c r="X411" s="491"/>
      <c r="Y411" s="491"/>
      <c r="Z411" s="491"/>
      <c r="AA411" s="491"/>
      <c r="AB411" s="491"/>
      <c r="AC411" s="491"/>
    </row>
    <row r="412" spans="1:29">
      <c r="A412" s="491"/>
      <c r="B412" s="491"/>
      <c r="C412" s="491"/>
      <c r="D412" s="491"/>
      <c r="E412" s="491"/>
      <c r="F412" s="491"/>
      <c r="G412" s="491"/>
      <c r="H412" s="491"/>
      <c r="I412" s="491"/>
      <c r="J412" s="491"/>
      <c r="K412" s="505"/>
      <c r="L412" s="506"/>
      <c r="M412" s="491"/>
      <c r="N412" s="491"/>
      <c r="O412" s="491"/>
      <c r="P412" s="604"/>
      <c r="Q412" s="491"/>
      <c r="R412" s="491"/>
      <c r="S412" s="491"/>
      <c r="T412" s="491"/>
      <c r="U412" s="491"/>
      <c r="V412" s="491"/>
      <c r="W412" s="491"/>
      <c r="X412" s="491"/>
      <c r="Y412" s="491"/>
      <c r="Z412" s="491"/>
      <c r="AA412" s="491"/>
      <c r="AB412" s="491"/>
      <c r="AC412" s="491"/>
    </row>
    <row r="413" spans="1:29">
      <c r="A413" s="491"/>
      <c r="B413" s="491"/>
      <c r="C413" s="491"/>
      <c r="D413" s="491"/>
      <c r="E413" s="491"/>
      <c r="F413" s="491"/>
      <c r="G413" s="491"/>
      <c r="H413" s="491"/>
      <c r="I413" s="491"/>
      <c r="J413" s="491"/>
      <c r="K413" s="505"/>
      <c r="L413" s="506"/>
      <c r="M413" s="491"/>
      <c r="N413" s="491"/>
      <c r="O413" s="491"/>
      <c r="P413" s="604"/>
      <c r="Q413" s="491"/>
      <c r="R413" s="491"/>
      <c r="S413" s="491"/>
      <c r="T413" s="491"/>
      <c r="U413" s="491"/>
      <c r="V413" s="491"/>
      <c r="W413" s="491"/>
      <c r="X413" s="491"/>
      <c r="Y413" s="491"/>
      <c r="Z413" s="491"/>
      <c r="AA413" s="491"/>
      <c r="AB413" s="491"/>
      <c r="AC413" s="491"/>
    </row>
    <row r="414" spans="1:29">
      <c r="A414" s="491"/>
      <c r="B414" s="491"/>
      <c r="C414" s="491"/>
      <c r="D414" s="491"/>
      <c r="E414" s="491"/>
      <c r="F414" s="491"/>
      <c r="G414" s="491"/>
      <c r="H414" s="491"/>
      <c r="I414" s="491"/>
      <c r="J414" s="491"/>
      <c r="K414" s="505"/>
      <c r="L414" s="506"/>
      <c r="M414" s="491"/>
      <c r="N414" s="491"/>
      <c r="O414" s="491"/>
      <c r="P414" s="604"/>
      <c r="Q414" s="491"/>
      <c r="R414" s="491"/>
      <c r="S414" s="491"/>
      <c r="T414" s="491"/>
      <c r="U414" s="491"/>
      <c r="V414" s="491"/>
      <c r="W414" s="491"/>
      <c r="X414" s="491"/>
      <c r="Y414" s="491"/>
      <c r="Z414" s="491"/>
      <c r="AA414" s="491"/>
      <c r="AB414" s="491"/>
      <c r="AC414" s="491"/>
    </row>
    <row r="415" spans="1:29">
      <c r="A415" s="491"/>
      <c r="B415" s="491"/>
      <c r="C415" s="491"/>
      <c r="D415" s="491"/>
      <c r="E415" s="491"/>
      <c r="F415" s="491"/>
      <c r="G415" s="491"/>
      <c r="H415" s="491"/>
      <c r="I415" s="491"/>
      <c r="J415" s="491"/>
      <c r="K415" s="505"/>
      <c r="L415" s="506"/>
      <c r="M415" s="491"/>
      <c r="N415" s="491"/>
      <c r="O415" s="491"/>
      <c r="P415" s="604"/>
      <c r="Q415" s="491"/>
      <c r="R415" s="491"/>
      <c r="S415" s="491"/>
      <c r="T415" s="491"/>
      <c r="U415" s="491"/>
      <c r="V415" s="491"/>
      <c r="W415" s="491"/>
      <c r="X415" s="491"/>
      <c r="Y415" s="491"/>
      <c r="Z415" s="491"/>
      <c r="AA415" s="491"/>
      <c r="AB415" s="491"/>
      <c r="AC415" s="491"/>
    </row>
    <row r="416" spans="1:29">
      <c r="A416" s="491"/>
      <c r="B416" s="491"/>
      <c r="C416" s="491"/>
      <c r="D416" s="491"/>
      <c r="E416" s="491"/>
      <c r="F416" s="491"/>
      <c r="G416" s="491"/>
      <c r="H416" s="491"/>
      <c r="I416" s="491"/>
      <c r="J416" s="491"/>
      <c r="K416" s="505"/>
      <c r="L416" s="506"/>
      <c r="M416" s="491"/>
      <c r="N416" s="491"/>
      <c r="O416" s="491"/>
      <c r="P416" s="604"/>
      <c r="Q416" s="491"/>
      <c r="R416" s="491"/>
      <c r="S416" s="491"/>
      <c r="T416" s="491"/>
      <c r="U416" s="491"/>
      <c r="V416" s="491"/>
      <c r="W416" s="491"/>
      <c r="X416" s="491"/>
      <c r="Y416" s="491"/>
      <c r="Z416" s="491"/>
      <c r="AA416" s="491"/>
      <c r="AB416" s="491"/>
      <c r="AC416" s="491"/>
    </row>
    <row r="417" spans="1:29">
      <c r="A417" s="491"/>
      <c r="B417" s="491"/>
      <c r="C417" s="491"/>
      <c r="D417" s="491"/>
      <c r="E417" s="491"/>
      <c r="F417" s="491"/>
      <c r="G417" s="491"/>
      <c r="H417" s="491"/>
      <c r="I417" s="491"/>
      <c r="J417" s="491"/>
      <c r="K417" s="505"/>
      <c r="L417" s="506"/>
      <c r="M417" s="491"/>
      <c r="N417" s="491"/>
      <c r="O417" s="491"/>
      <c r="P417" s="604"/>
      <c r="Q417" s="491"/>
      <c r="R417" s="491"/>
      <c r="S417" s="491"/>
      <c r="T417" s="491"/>
      <c r="U417" s="491"/>
      <c r="V417" s="491"/>
      <c r="W417" s="491"/>
      <c r="X417" s="491"/>
      <c r="Y417" s="491"/>
      <c r="Z417" s="491"/>
      <c r="AA417" s="491"/>
      <c r="AB417" s="491"/>
      <c r="AC417" s="491"/>
    </row>
    <row r="418" spans="1:29">
      <c r="A418" s="491"/>
      <c r="B418" s="491"/>
      <c r="C418" s="491"/>
      <c r="D418" s="491"/>
      <c r="E418" s="491"/>
      <c r="F418" s="491"/>
      <c r="G418" s="491"/>
      <c r="H418" s="491"/>
      <c r="I418" s="491"/>
      <c r="J418" s="491"/>
      <c r="K418" s="505"/>
      <c r="L418" s="506"/>
      <c r="M418" s="491"/>
      <c r="N418" s="491"/>
      <c r="O418" s="491"/>
      <c r="P418" s="604"/>
      <c r="Q418" s="491"/>
      <c r="R418" s="491"/>
      <c r="S418" s="491"/>
      <c r="T418" s="491"/>
      <c r="U418" s="491"/>
      <c r="V418" s="491"/>
      <c r="W418" s="491"/>
      <c r="X418" s="491"/>
      <c r="Y418" s="491"/>
      <c r="Z418" s="491"/>
      <c r="AA418" s="491"/>
      <c r="AB418" s="491"/>
      <c r="AC418" s="491"/>
    </row>
    <row r="419" spans="1:29">
      <c r="A419" s="491"/>
      <c r="B419" s="491"/>
      <c r="C419" s="491"/>
      <c r="D419" s="491"/>
      <c r="E419" s="491"/>
      <c r="F419" s="491"/>
      <c r="G419" s="491"/>
      <c r="H419" s="491"/>
      <c r="I419" s="491"/>
      <c r="J419" s="491"/>
      <c r="K419" s="505"/>
      <c r="L419" s="506"/>
      <c r="M419" s="491"/>
      <c r="N419" s="491"/>
      <c r="O419" s="491"/>
      <c r="P419" s="604"/>
      <c r="Q419" s="491"/>
      <c r="R419" s="491"/>
      <c r="S419" s="491"/>
      <c r="T419" s="491"/>
      <c r="U419" s="491"/>
      <c r="V419" s="491"/>
      <c r="W419" s="491"/>
      <c r="X419" s="491"/>
      <c r="Y419" s="491"/>
      <c r="Z419" s="491"/>
      <c r="AA419" s="491"/>
      <c r="AB419" s="491"/>
      <c r="AC419" s="491"/>
    </row>
    <row r="420" spans="1:29">
      <c r="A420" s="491"/>
      <c r="B420" s="491"/>
      <c r="C420" s="491"/>
      <c r="D420" s="491"/>
      <c r="E420" s="491"/>
      <c r="F420" s="491"/>
      <c r="G420" s="491"/>
      <c r="H420" s="491"/>
      <c r="I420" s="491"/>
      <c r="J420" s="491"/>
      <c r="K420" s="505"/>
      <c r="L420" s="506"/>
      <c r="M420" s="491"/>
      <c r="N420" s="491"/>
      <c r="O420" s="491"/>
      <c r="P420" s="604"/>
      <c r="Q420" s="491"/>
      <c r="R420" s="491"/>
      <c r="S420" s="491"/>
      <c r="T420" s="491"/>
      <c r="U420" s="491"/>
      <c r="V420" s="491"/>
      <c r="W420" s="491"/>
      <c r="X420" s="491"/>
      <c r="Y420" s="491"/>
      <c r="Z420" s="491"/>
      <c r="AA420" s="491"/>
      <c r="AB420" s="491"/>
      <c r="AC420" s="491"/>
    </row>
    <row r="421" spans="1:29">
      <c r="A421" s="491"/>
      <c r="B421" s="491"/>
      <c r="C421" s="491"/>
      <c r="D421" s="491"/>
      <c r="E421" s="491"/>
      <c r="F421" s="491"/>
      <c r="G421" s="491"/>
      <c r="H421" s="491"/>
      <c r="I421" s="491"/>
      <c r="J421" s="491"/>
      <c r="K421" s="505"/>
      <c r="L421" s="506"/>
      <c r="M421" s="491"/>
      <c r="N421" s="491"/>
      <c r="O421" s="491"/>
      <c r="P421" s="604"/>
      <c r="Q421" s="491"/>
      <c r="R421" s="491"/>
      <c r="S421" s="491"/>
      <c r="T421" s="491"/>
      <c r="U421" s="491"/>
      <c r="V421" s="491"/>
      <c r="W421" s="491"/>
      <c r="X421" s="491"/>
      <c r="Y421" s="491"/>
      <c r="Z421" s="491"/>
      <c r="AA421" s="491"/>
      <c r="AB421" s="491"/>
      <c r="AC421" s="491"/>
    </row>
    <row r="422" spans="1:29">
      <c r="A422" s="491"/>
      <c r="B422" s="491"/>
      <c r="C422" s="491"/>
      <c r="D422" s="491"/>
      <c r="E422" s="491"/>
      <c r="F422" s="491"/>
      <c r="G422" s="491"/>
      <c r="H422" s="491"/>
      <c r="I422" s="491"/>
      <c r="J422" s="491"/>
      <c r="K422" s="505"/>
      <c r="L422" s="506"/>
      <c r="M422" s="491"/>
      <c r="N422" s="491"/>
      <c r="O422" s="491"/>
      <c r="P422" s="604"/>
      <c r="Q422" s="491"/>
      <c r="R422" s="491"/>
      <c r="S422" s="491"/>
      <c r="T422" s="491"/>
      <c r="U422" s="491"/>
      <c r="V422" s="491"/>
      <c r="W422" s="491"/>
      <c r="X422" s="491"/>
      <c r="Y422" s="491"/>
      <c r="Z422" s="491"/>
      <c r="AA422" s="491"/>
      <c r="AB422" s="491"/>
      <c r="AC422" s="491"/>
    </row>
    <row r="423" spans="1:29">
      <c r="A423" s="491"/>
      <c r="B423" s="491"/>
      <c r="C423" s="491"/>
      <c r="D423" s="491"/>
      <c r="E423" s="491"/>
      <c r="F423" s="491"/>
      <c r="G423" s="491"/>
      <c r="H423" s="491"/>
      <c r="I423" s="491"/>
      <c r="J423" s="491"/>
      <c r="K423" s="505"/>
      <c r="L423" s="506"/>
      <c r="M423" s="491"/>
      <c r="N423" s="491"/>
      <c r="O423" s="491"/>
      <c r="P423" s="604"/>
      <c r="Q423" s="491"/>
      <c r="R423" s="491"/>
      <c r="S423" s="491"/>
      <c r="T423" s="491"/>
      <c r="U423" s="491"/>
      <c r="V423" s="491"/>
      <c r="W423" s="491"/>
      <c r="X423" s="491"/>
      <c r="Y423" s="491"/>
      <c r="Z423" s="491"/>
      <c r="AA423" s="491"/>
      <c r="AB423" s="491"/>
      <c r="AC423" s="491"/>
    </row>
    <row r="424" spans="1:29">
      <c r="A424" s="491"/>
      <c r="B424" s="491"/>
      <c r="C424" s="491"/>
      <c r="D424" s="491"/>
      <c r="E424" s="491"/>
      <c r="F424" s="491"/>
      <c r="G424" s="491"/>
      <c r="H424" s="491"/>
      <c r="I424" s="491"/>
      <c r="J424" s="491"/>
      <c r="K424" s="505"/>
      <c r="L424" s="506"/>
      <c r="M424" s="491"/>
      <c r="N424" s="491"/>
      <c r="O424" s="491"/>
      <c r="P424" s="604"/>
      <c r="Q424" s="491"/>
      <c r="R424" s="491"/>
      <c r="S424" s="491"/>
      <c r="T424" s="491"/>
      <c r="U424" s="491"/>
      <c r="V424" s="491"/>
      <c r="W424" s="491"/>
      <c r="X424" s="491"/>
      <c r="Y424" s="491"/>
      <c r="Z424" s="491"/>
      <c r="AA424" s="491"/>
      <c r="AB424" s="491"/>
      <c r="AC424" s="491"/>
    </row>
    <row r="425" spans="1:29">
      <c r="A425" s="491"/>
      <c r="B425" s="491"/>
      <c r="C425" s="491"/>
      <c r="D425" s="491"/>
      <c r="E425" s="491"/>
      <c r="F425" s="491"/>
      <c r="G425" s="491"/>
      <c r="H425" s="491"/>
      <c r="I425" s="491"/>
      <c r="J425" s="491"/>
      <c r="K425" s="505"/>
      <c r="L425" s="506"/>
      <c r="M425" s="491"/>
      <c r="N425" s="491"/>
      <c r="O425" s="491"/>
      <c r="P425" s="604"/>
      <c r="Q425" s="491"/>
      <c r="R425" s="491"/>
      <c r="S425" s="491"/>
      <c r="T425" s="491"/>
      <c r="U425" s="491"/>
      <c r="V425" s="491"/>
      <c r="W425" s="491"/>
      <c r="X425" s="491"/>
      <c r="Y425" s="491"/>
      <c r="Z425" s="491"/>
      <c r="AA425" s="491"/>
      <c r="AB425" s="491"/>
      <c r="AC425" s="491"/>
    </row>
    <row r="426" spans="1:29">
      <c r="A426" s="491"/>
      <c r="B426" s="491"/>
      <c r="C426" s="491"/>
      <c r="D426" s="491"/>
      <c r="E426" s="491"/>
      <c r="F426" s="491"/>
      <c r="G426" s="491"/>
      <c r="H426" s="491"/>
      <c r="I426" s="491"/>
      <c r="J426" s="491"/>
      <c r="K426" s="505"/>
      <c r="L426" s="506"/>
      <c r="M426" s="491"/>
      <c r="N426" s="491"/>
      <c r="O426" s="491"/>
      <c r="P426" s="604"/>
      <c r="Q426" s="491"/>
      <c r="R426" s="491"/>
      <c r="S426" s="491"/>
      <c r="T426" s="491"/>
      <c r="U426" s="491"/>
      <c r="V426" s="491"/>
      <c r="W426" s="491"/>
      <c r="X426" s="491"/>
      <c r="Y426" s="491"/>
      <c r="Z426" s="491"/>
      <c r="AA426" s="491"/>
      <c r="AB426" s="491"/>
      <c r="AC426" s="491"/>
    </row>
    <row r="427" spans="1:29">
      <c r="A427" s="491"/>
      <c r="B427" s="491"/>
      <c r="C427" s="491"/>
      <c r="D427" s="491"/>
      <c r="E427" s="491"/>
      <c r="F427" s="491"/>
      <c r="G427" s="491"/>
      <c r="H427" s="491"/>
      <c r="I427" s="491"/>
      <c r="J427" s="491"/>
      <c r="K427" s="505"/>
      <c r="L427" s="506"/>
      <c r="M427" s="491"/>
      <c r="N427" s="491"/>
      <c r="O427" s="491"/>
      <c r="P427" s="604"/>
      <c r="Q427" s="491"/>
      <c r="R427" s="491"/>
      <c r="S427" s="491"/>
      <c r="T427" s="491"/>
      <c r="U427" s="491"/>
      <c r="V427" s="491"/>
      <c r="W427" s="491"/>
      <c r="X427" s="491"/>
      <c r="Y427" s="491"/>
      <c r="Z427" s="491"/>
      <c r="AA427" s="491"/>
      <c r="AB427" s="491"/>
      <c r="AC427" s="491"/>
    </row>
    <row r="428" spans="1:29">
      <c r="A428" s="491"/>
      <c r="B428" s="491"/>
      <c r="C428" s="491"/>
      <c r="D428" s="491"/>
      <c r="E428" s="491"/>
      <c r="F428" s="491"/>
      <c r="G428" s="491"/>
      <c r="H428" s="491"/>
      <c r="I428" s="491"/>
      <c r="J428" s="491"/>
      <c r="K428" s="505"/>
      <c r="L428" s="506"/>
      <c r="M428" s="491"/>
      <c r="N428" s="491"/>
      <c r="O428" s="491"/>
      <c r="P428" s="604"/>
      <c r="Q428" s="491"/>
      <c r="R428" s="491"/>
      <c r="S428" s="491"/>
      <c r="T428" s="491"/>
      <c r="U428" s="491"/>
      <c r="V428" s="491"/>
      <c r="W428" s="491"/>
      <c r="X428" s="491"/>
      <c r="Y428" s="491"/>
      <c r="Z428" s="491"/>
      <c r="AA428" s="491"/>
      <c r="AB428" s="491"/>
      <c r="AC428" s="491"/>
    </row>
    <row r="429" spans="1:29">
      <c r="A429" s="491"/>
      <c r="B429" s="491"/>
      <c r="C429" s="491"/>
      <c r="D429" s="491"/>
      <c r="E429" s="491"/>
      <c r="F429" s="491"/>
      <c r="G429" s="491"/>
      <c r="H429" s="491"/>
      <c r="I429" s="491"/>
      <c r="J429" s="491"/>
      <c r="K429" s="505"/>
      <c r="L429" s="506"/>
      <c r="M429" s="491"/>
      <c r="N429" s="491"/>
      <c r="O429" s="491"/>
      <c r="P429" s="604"/>
      <c r="Q429" s="491"/>
      <c r="R429" s="491"/>
      <c r="S429" s="491"/>
      <c r="T429" s="491"/>
      <c r="U429" s="491"/>
      <c r="V429" s="491"/>
      <c r="W429" s="491"/>
      <c r="X429" s="491"/>
      <c r="Y429" s="491"/>
      <c r="Z429" s="491"/>
      <c r="AA429" s="491"/>
      <c r="AB429" s="491"/>
      <c r="AC429" s="491"/>
    </row>
    <row r="430" spans="1:29">
      <c r="A430" s="491"/>
      <c r="B430" s="491"/>
      <c r="C430" s="491"/>
      <c r="D430" s="491"/>
      <c r="E430" s="491"/>
      <c r="F430" s="491"/>
      <c r="G430" s="491"/>
      <c r="H430" s="491"/>
      <c r="I430" s="491"/>
      <c r="J430" s="491"/>
      <c r="K430" s="505"/>
      <c r="L430" s="506"/>
      <c r="M430" s="491"/>
      <c r="N430" s="491"/>
      <c r="O430" s="491"/>
      <c r="P430" s="604"/>
      <c r="Q430" s="491"/>
      <c r="R430" s="491"/>
      <c r="S430" s="491"/>
      <c r="T430" s="491"/>
      <c r="U430" s="491"/>
      <c r="V430" s="491"/>
      <c r="W430" s="491"/>
      <c r="X430" s="491"/>
      <c r="Y430" s="491"/>
      <c r="Z430" s="491"/>
      <c r="AA430" s="491"/>
      <c r="AB430" s="491"/>
      <c r="AC430" s="491"/>
    </row>
    <row r="431" spans="1:29">
      <c r="A431" s="491"/>
      <c r="B431" s="491"/>
      <c r="C431" s="491"/>
      <c r="D431" s="491"/>
      <c r="E431" s="491"/>
      <c r="F431" s="491"/>
      <c r="G431" s="491"/>
      <c r="H431" s="491"/>
      <c r="I431" s="491"/>
      <c r="J431" s="491"/>
      <c r="K431" s="505"/>
      <c r="L431" s="506"/>
      <c r="M431" s="491"/>
      <c r="N431" s="491"/>
      <c r="O431" s="491"/>
      <c r="P431" s="604"/>
      <c r="Q431" s="491"/>
      <c r="R431" s="491"/>
      <c r="S431" s="491"/>
      <c r="T431" s="491"/>
      <c r="U431" s="491"/>
      <c r="V431" s="491"/>
      <c r="W431" s="491"/>
      <c r="X431" s="491"/>
      <c r="Y431" s="491"/>
      <c r="Z431" s="491"/>
      <c r="AA431" s="491"/>
      <c r="AB431" s="491"/>
      <c r="AC431" s="491"/>
    </row>
    <row r="432" spans="1:29">
      <c r="A432" s="491"/>
      <c r="B432" s="491"/>
      <c r="C432" s="491"/>
      <c r="D432" s="491"/>
      <c r="E432" s="491"/>
      <c r="F432" s="491"/>
      <c r="G432" s="491"/>
      <c r="H432" s="491"/>
      <c r="I432" s="491"/>
      <c r="J432" s="491"/>
      <c r="K432" s="505"/>
      <c r="L432" s="506"/>
      <c r="M432" s="491"/>
      <c r="N432" s="491"/>
      <c r="O432" s="491"/>
      <c r="P432" s="604"/>
      <c r="Q432" s="491"/>
      <c r="R432" s="491"/>
      <c r="S432" s="491"/>
      <c r="T432" s="491"/>
      <c r="U432" s="491"/>
      <c r="V432" s="491"/>
      <c r="W432" s="491"/>
      <c r="X432" s="491"/>
      <c r="Y432" s="491"/>
      <c r="Z432" s="491"/>
      <c r="AA432" s="491"/>
      <c r="AB432" s="491"/>
      <c r="AC432" s="491"/>
    </row>
    <row r="433" spans="1:29">
      <c r="A433" s="491"/>
      <c r="B433" s="491"/>
      <c r="C433" s="491"/>
      <c r="D433" s="491"/>
      <c r="E433" s="491"/>
      <c r="F433" s="491"/>
      <c r="G433" s="491"/>
      <c r="H433" s="491"/>
      <c r="I433" s="491"/>
      <c r="J433" s="491"/>
      <c r="K433" s="505"/>
      <c r="L433" s="506"/>
      <c r="M433" s="491"/>
      <c r="N433" s="491"/>
      <c r="O433" s="491"/>
      <c r="P433" s="604"/>
      <c r="Q433" s="491"/>
      <c r="R433" s="491"/>
      <c r="S433" s="491"/>
      <c r="T433" s="491"/>
      <c r="U433" s="491"/>
      <c r="V433" s="491"/>
      <c r="W433" s="491"/>
      <c r="X433" s="491"/>
      <c r="Y433" s="491"/>
      <c r="Z433" s="491"/>
      <c r="AA433" s="491"/>
      <c r="AB433" s="491"/>
      <c r="AC433" s="491"/>
    </row>
    <row r="434" spans="1:29">
      <c r="A434" s="491"/>
      <c r="B434" s="491"/>
      <c r="C434" s="491"/>
      <c r="D434" s="491"/>
      <c r="E434" s="491"/>
      <c r="F434" s="491"/>
      <c r="G434" s="491"/>
      <c r="H434" s="491"/>
      <c r="I434" s="491"/>
      <c r="J434" s="491"/>
      <c r="K434" s="505"/>
      <c r="L434" s="506"/>
      <c r="M434" s="491"/>
      <c r="N434" s="491"/>
      <c r="O434" s="491"/>
      <c r="P434" s="604"/>
      <c r="Q434" s="491"/>
      <c r="R434" s="491"/>
      <c r="S434" s="491"/>
      <c r="T434" s="491"/>
      <c r="U434" s="491"/>
      <c r="V434" s="491"/>
      <c r="W434" s="491"/>
      <c r="X434" s="491"/>
      <c r="Y434" s="491"/>
      <c r="Z434" s="491"/>
      <c r="AA434" s="491"/>
      <c r="AB434" s="491"/>
      <c r="AC434" s="491"/>
    </row>
    <row r="435" spans="1:29">
      <c r="A435" s="491"/>
      <c r="B435" s="491"/>
      <c r="C435" s="491"/>
      <c r="D435" s="491"/>
      <c r="E435" s="491"/>
      <c r="F435" s="491"/>
      <c r="G435" s="491"/>
      <c r="H435" s="491"/>
      <c r="I435" s="491"/>
      <c r="J435" s="491"/>
      <c r="K435" s="505"/>
      <c r="L435" s="506"/>
      <c r="M435" s="491"/>
      <c r="N435" s="491"/>
      <c r="O435" s="491"/>
      <c r="P435" s="604"/>
      <c r="Q435" s="491"/>
      <c r="R435" s="491"/>
      <c r="S435" s="491"/>
      <c r="T435" s="491"/>
      <c r="U435" s="491"/>
      <c r="V435" s="491"/>
      <c r="W435" s="491"/>
      <c r="X435" s="491"/>
      <c r="Y435" s="491"/>
      <c r="Z435" s="491"/>
      <c r="AA435" s="491"/>
      <c r="AB435" s="491"/>
      <c r="AC435" s="491"/>
    </row>
    <row r="436" spans="1:29">
      <c r="A436" s="491"/>
      <c r="B436" s="491"/>
      <c r="C436" s="491"/>
      <c r="D436" s="491"/>
      <c r="E436" s="491"/>
      <c r="F436" s="491"/>
      <c r="G436" s="491"/>
      <c r="H436" s="491"/>
      <c r="I436" s="491"/>
      <c r="J436" s="491"/>
      <c r="K436" s="505"/>
      <c r="L436" s="506"/>
      <c r="M436" s="491"/>
      <c r="N436" s="491"/>
      <c r="O436" s="491"/>
      <c r="P436" s="604"/>
      <c r="Q436" s="491"/>
      <c r="R436" s="491"/>
      <c r="S436" s="491"/>
      <c r="T436" s="491"/>
      <c r="U436" s="491"/>
      <c r="V436" s="491"/>
      <c r="W436" s="491"/>
      <c r="X436" s="491"/>
      <c r="Y436" s="491"/>
      <c r="Z436" s="491"/>
      <c r="AA436" s="491"/>
      <c r="AB436" s="491"/>
      <c r="AC436" s="491"/>
    </row>
    <row r="437" spans="1:29">
      <c r="A437" s="491"/>
      <c r="B437" s="491"/>
      <c r="C437" s="491"/>
      <c r="D437" s="491"/>
      <c r="E437" s="491"/>
      <c r="F437" s="491"/>
      <c r="G437" s="491"/>
      <c r="H437" s="491"/>
      <c r="I437" s="491"/>
      <c r="J437" s="491"/>
      <c r="K437" s="505"/>
      <c r="L437" s="506"/>
      <c r="M437" s="491"/>
      <c r="N437" s="491"/>
      <c r="O437" s="491"/>
      <c r="P437" s="604"/>
      <c r="Q437" s="491"/>
      <c r="R437" s="491"/>
      <c r="S437" s="491"/>
      <c r="T437" s="491"/>
      <c r="U437" s="491"/>
      <c r="V437" s="491"/>
      <c r="W437" s="491"/>
      <c r="X437" s="491"/>
      <c r="Y437" s="491"/>
      <c r="Z437" s="491"/>
      <c r="AA437" s="491"/>
      <c r="AB437" s="491"/>
      <c r="AC437" s="491"/>
    </row>
    <row r="438" spans="1:29">
      <c r="A438" s="491"/>
      <c r="B438" s="491"/>
      <c r="C438" s="491"/>
      <c r="D438" s="491"/>
      <c r="E438" s="491"/>
      <c r="F438" s="491"/>
      <c r="G438" s="491"/>
      <c r="H438" s="491"/>
      <c r="I438" s="491"/>
      <c r="J438" s="491"/>
      <c r="K438" s="505"/>
      <c r="L438" s="506"/>
      <c r="M438" s="491"/>
      <c r="N438" s="491"/>
      <c r="O438" s="491"/>
      <c r="P438" s="604"/>
      <c r="Q438" s="491"/>
      <c r="R438" s="491"/>
      <c r="S438" s="491"/>
      <c r="T438" s="491"/>
      <c r="U438" s="491"/>
      <c r="V438" s="491"/>
      <c r="W438" s="491"/>
      <c r="X438" s="491"/>
      <c r="Y438" s="491"/>
      <c r="Z438" s="491"/>
      <c r="AA438" s="491"/>
      <c r="AB438" s="491"/>
      <c r="AC438" s="491"/>
    </row>
    <row r="439" spans="1:29">
      <c r="A439" s="491"/>
      <c r="B439" s="491"/>
      <c r="C439" s="491"/>
      <c r="D439" s="491"/>
      <c r="E439" s="491"/>
      <c r="F439" s="491"/>
      <c r="G439" s="491"/>
      <c r="H439" s="491"/>
      <c r="I439" s="491"/>
      <c r="J439" s="491"/>
      <c r="K439" s="505"/>
      <c r="L439" s="506"/>
      <c r="M439" s="491"/>
      <c r="N439" s="491"/>
      <c r="O439" s="491"/>
      <c r="P439" s="604"/>
      <c r="Q439" s="491"/>
      <c r="R439" s="491"/>
      <c r="S439" s="491"/>
      <c r="T439" s="491"/>
      <c r="U439" s="491"/>
      <c r="V439" s="491"/>
      <c r="W439" s="491"/>
      <c r="X439" s="491"/>
      <c r="Y439" s="491"/>
      <c r="Z439" s="491"/>
      <c r="AA439" s="491"/>
      <c r="AB439" s="491"/>
      <c r="AC439" s="491"/>
    </row>
    <row r="440" spans="1:29">
      <c r="A440" s="491"/>
      <c r="B440" s="491"/>
      <c r="C440" s="491"/>
      <c r="D440" s="491"/>
      <c r="E440" s="491"/>
      <c r="F440" s="491"/>
      <c r="G440" s="491"/>
      <c r="H440" s="491"/>
      <c r="I440" s="491"/>
      <c r="J440" s="491"/>
      <c r="K440" s="505"/>
      <c r="L440" s="506"/>
      <c r="M440" s="491"/>
      <c r="N440" s="491"/>
      <c r="O440" s="491"/>
      <c r="P440" s="604"/>
      <c r="Q440" s="491"/>
      <c r="R440" s="491"/>
      <c r="S440" s="491"/>
      <c r="T440" s="491"/>
      <c r="U440" s="491"/>
      <c r="V440" s="491"/>
      <c r="W440" s="491"/>
      <c r="X440" s="491"/>
      <c r="Y440" s="491"/>
      <c r="Z440" s="491"/>
      <c r="AA440" s="491"/>
      <c r="AB440" s="491"/>
      <c r="AC440" s="491"/>
    </row>
    <row r="441" spans="1:29">
      <c r="A441" s="491"/>
      <c r="B441" s="491"/>
      <c r="C441" s="491"/>
      <c r="D441" s="491"/>
      <c r="E441" s="491"/>
      <c r="F441" s="491"/>
      <c r="G441" s="491"/>
      <c r="H441" s="491"/>
      <c r="I441" s="491"/>
      <c r="J441" s="491"/>
      <c r="K441" s="505"/>
      <c r="L441" s="506"/>
      <c r="M441" s="491"/>
      <c r="N441" s="491"/>
      <c r="O441" s="491"/>
      <c r="P441" s="604"/>
      <c r="Q441" s="491"/>
      <c r="R441" s="491"/>
      <c r="S441" s="491"/>
      <c r="T441" s="491"/>
      <c r="U441" s="491"/>
      <c r="V441" s="491"/>
      <c r="W441" s="491"/>
      <c r="X441" s="491"/>
      <c r="Y441" s="491"/>
      <c r="Z441" s="491"/>
      <c r="AA441" s="491"/>
      <c r="AB441" s="491"/>
      <c r="AC441" s="491"/>
    </row>
    <row r="442" spans="1:29">
      <c r="A442" s="491"/>
      <c r="B442" s="491"/>
      <c r="C442" s="491"/>
      <c r="D442" s="491"/>
      <c r="E442" s="491"/>
      <c r="F442" s="491"/>
      <c r="G442" s="491"/>
      <c r="H442" s="491"/>
      <c r="I442" s="491"/>
      <c r="J442" s="491"/>
      <c r="K442" s="505"/>
      <c r="L442" s="506"/>
      <c r="M442" s="491"/>
      <c r="N442" s="491"/>
      <c r="O442" s="491"/>
      <c r="P442" s="604"/>
      <c r="Q442" s="491"/>
      <c r="R442" s="491"/>
      <c r="S442" s="491"/>
      <c r="T442" s="491"/>
      <c r="U442" s="491"/>
      <c r="V442" s="491"/>
      <c r="W442" s="491"/>
      <c r="X442" s="491"/>
      <c r="Y442" s="491"/>
      <c r="Z442" s="491"/>
      <c r="AA442" s="491"/>
      <c r="AB442" s="491"/>
      <c r="AC442" s="491"/>
    </row>
    <row r="443" spans="1:29">
      <c r="A443" s="491"/>
      <c r="B443" s="491"/>
      <c r="C443" s="491"/>
      <c r="D443" s="491"/>
      <c r="E443" s="491"/>
      <c r="F443" s="491"/>
      <c r="G443" s="491"/>
      <c r="H443" s="491"/>
      <c r="I443" s="491"/>
      <c r="J443" s="491"/>
      <c r="K443" s="505"/>
      <c r="L443" s="506"/>
      <c r="M443" s="491"/>
      <c r="N443" s="491"/>
      <c r="O443" s="491"/>
      <c r="P443" s="604"/>
      <c r="Q443" s="491"/>
      <c r="R443" s="491"/>
      <c r="S443" s="491"/>
      <c r="T443" s="491"/>
      <c r="U443" s="491"/>
      <c r="V443" s="491"/>
      <c r="W443" s="491"/>
      <c r="X443" s="491"/>
      <c r="Y443" s="491"/>
      <c r="Z443" s="491"/>
      <c r="AA443" s="491"/>
      <c r="AB443" s="491"/>
      <c r="AC443" s="491"/>
    </row>
    <row r="444" spans="1:29">
      <c r="A444" s="491"/>
      <c r="B444" s="491"/>
      <c r="C444" s="491"/>
      <c r="D444" s="491"/>
      <c r="E444" s="491"/>
      <c r="F444" s="491"/>
      <c r="G444" s="491"/>
      <c r="H444" s="491"/>
      <c r="I444" s="491"/>
      <c r="J444" s="491"/>
      <c r="K444" s="505"/>
      <c r="L444" s="506"/>
      <c r="M444" s="491"/>
      <c r="N444" s="491"/>
      <c r="O444" s="491"/>
      <c r="P444" s="604"/>
      <c r="Q444" s="491"/>
      <c r="R444" s="491"/>
      <c r="S444" s="491"/>
      <c r="T444" s="491"/>
      <c r="U444" s="491"/>
      <c r="V444" s="491"/>
      <c r="W444" s="491"/>
      <c r="X444" s="491"/>
      <c r="Y444" s="491"/>
      <c r="Z444" s="491"/>
      <c r="AA444" s="491"/>
      <c r="AB444" s="491"/>
      <c r="AC444" s="491"/>
    </row>
    <row r="445" spans="1:29">
      <c r="A445" s="491"/>
      <c r="B445" s="491"/>
      <c r="C445" s="491"/>
      <c r="D445" s="491"/>
      <c r="E445" s="491"/>
      <c r="F445" s="491"/>
      <c r="G445" s="491"/>
      <c r="H445" s="491"/>
      <c r="I445" s="491"/>
      <c r="J445" s="491"/>
      <c r="K445" s="505"/>
      <c r="L445" s="506"/>
      <c r="M445" s="491"/>
      <c r="N445" s="491"/>
      <c r="O445" s="491"/>
      <c r="P445" s="604"/>
      <c r="Q445" s="491"/>
      <c r="R445" s="491"/>
      <c r="S445" s="491"/>
      <c r="T445" s="491"/>
      <c r="U445" s="491"/>
      <c r="V445" s="491"/>
      <c r="W445" s="491"/>
      <c r="X445" s="491"/>
      <c r="Y445" s="491"/>
      <c r="Z445" s="491"/>
      <c r="AA445" s="491"/>
      <c r="AB445" s="491"/>
      <c r="AC445" s="491"/>
    </row>
    <row r="446" spans="1:29">
      <c r="A446" s="491"/>
      <c r="B446" s="491"/>
      <c r="C446" s="491"/>
      <c r="D446" s="491"/>
      <c r="E446" s="491"/>
      <c r="F446" s="491"/>
      <c r="G446" s="491"/>
      <c r="H446" s="491"/>
      <c r="I446" s="491"/>
      <c r="J446" s="491"/>
      <c r="K446" s="505"/>
      <c r="L446" s="506"/>
      <c r="M446" s="491"/>
      <c r="N446" s="491"/>
      <c r="O446" s="491"/>
      <c r="P446" s="604"/>
      <c r="Q446" s="491"/>
      <c r="R446" s="491"/>
      <c r="S446" s="491"/>
      <c r="T446" s="491"/>
      <c r="U446" s="491"/>
      <c r="V446" s="491"/>
      <c r="W446" s="491"/>
      <c r="X446" s="491"/>
      <c r="Y446" s="491"/>
      <c r="Z446" s="491"/>
      <c r="AA446" s="491"/>
      <c r="AB446" s="491"/>
      <c r="AC446" s="491"/>
    </row>
    <row r="447" spans="1:29">
      <c r="A447" s="491"/>
      <c r="B447" s="491"/>
      <c r="C447" s="491"/>
      <c r="D447" s="491"/>
      <c r="E447" s="491"/>
      <c r="F447" s="491"/>
      <c r="G447" s="491"/>
      <c r="H447" s="491"/>
      <c r="I447" s="491"/>
      <c r="J447" s="491"/>
      <c r="K447" s="505"/>
      <c r="L447" s="506"/>
      <c r="M447" s="491"/>
      <c r="N447" s="491"/>
      <c r="O447" s="491"/>
      <c r="P447" s="604"/>
      <c r="Q447" s="491"/>
      <c r="R447" s="491"/>
      <c r="S447" s="491"/>
      <c r="T447" s="491"/>
      <c r="U447" s="491"/>
      <c r="V447" s="491"/>
      <c r="W447" s="491"/>
      <c r="X447" s="491"/>
      <c r="Y447" s="491"/>
      <c r="Z447" s="491"/>
      <c r="AA447" s="491"/>
      <c r="AB447" s="491"/>
      <c r="AC447" s="491"/>
    </row>
    <row r="448" spans="1:29">
      <c r="A448" s="491"/>
      <c r="B448" s="491"/>
      <c r="C448" s="491"/>
      <c r="D448" s="491"/>
      <c r="E448" s="491"/>
      <c r="F448" s="491"/>
      <c r="G448" s="491"/>
      <c r="H448" s="491"/>
      <c r="I448" s="491"/>
      <c r="J448" s="491"/>
      <c r="K448" s="505"/>
      <c r="L448" s="506"/>
      <c r="M448" s="491"/>
      <c r="N448" s="491"/>
      <c r="O448" s="491"/>
      <c r="P448" s="604"/>
      <c r="Q448" s="491"/>
      <c r="R448" s="491"/>
      <c r="S448" s="491"/>
      <c r="T448" s="491"/>
      <c r="U448" s="491"/>
      <c r="V448" s="491"/>
      <c r="W448" s="491"/>
      <c r="X448" s="491"/>
      <c r="Y448" s="491"/>
      <c r="Z448" s="491"/>
      <c r="AA448" s="491"/>
      <c r="AB448" s="491"/>
      <c r="AC448" s="491"/>
    </row>
    <row r="449" spans="1:29">
      <c r="A449" s="491"/>
      <c r="B449" s="491"/>
      <c r="C449" s="491"/>
      <c r="D449" s="491"/>
      <c r="E449" s="491"/>
      <c r="F449" s="491"/>
      <c r="G449" s="491"/>
      <c r="H449" s="491"/>
      <c r="I449" s="491"/>
      <c r="J449" s="491"/>
      <c r="K449" s="505"/>
      <c r="L449" s="506"/>
      <c r="M449" s="491"/>
      <c r="N449" s="491"/>
      <c r="O449" s="491"/>
      <c r="P449" s="604"/>
      <c r="Q449" s="491"/>
      <c r="R449" s="491"/>
      <c r="S449" s="491"/>
      <c r="T449" s="491"/>
      <c r="U449" s="491"/>
      <c r="V449" s="491"/>
      <c r="W449" s="491"/>
      <c r="X449" s="491"/>
      <c r="Y449" s="491"/>
      <c r="Z449" s="491"/>
      <c r="AA449" s="491"/>
      <c r="AB449" s="491"/>
      <c r="AC449" s="491"/>
    </row>
    <row r="450" spans="1:29">
      <c r="A450" s="491"/>
      <c r="B450" s="491"/>
      <c r="C450" s="491"/>
      <c r="D450" s="491"/>
      <c r="E450" s="491"/>
      <c r="F450" s="491"/>
      <c r="G450" s="491"/>
      <c r="H450" s="491"/>
      <c r="I450" s="491"/>
      <c r="J450" s="491"/>
      <c r="K450" s="505"/>
      <c r="L450" s="506"/>
      <c r="M450" s="491"/>
      <c r="N450" s="491"/>
      <c r="O450" s="491"/>
      <c r="P450" s="604"/>
      <c r="Q450" s="491"/>
      <c r="R450" s="491"/>
      <c r="S450" s="491"/>
      <c r="T450" s="491"/>
      <c r="U450" s="491"/>
      <c r="V450" s="491"/>
      <c r="W450" s="491"/>
      <c r="X450" s="491"/>
      <c r="Y450" s="491"/>
      <c r="Z450" s="491"/>
      <c r="AA450" s="491"/>
      <c r="AB450" s="491"/>
      <c r="AC450" s="491"/>
    </row>
    <row r="451" spans="1:29">
      <c r="A451" s="491"/>
      <c r="B451" s="491"/>
      <c r="C451" s="491"/>
      <c r="D451" s="491"/>
      <c r="E451" s="491"/>
      <c r="F451" s="491"/>
      <c r="G451" s="491"/>
      <c r="H451" s="491"/>
      <c r="I451" s="491"/>
      <c r="J451" s="491"/>
      <c r="K451" s="505"/>
      <c r="L451" s="506"/>
      <c r="M451" s="491"/>
      <c r="N451" s="491"/>
      <c r="O451" s="491"/>
      <c r="P451" s="604"/>
      <c r="Q451" s="491"/>
      <c r="R451" s="491"/>
      <c r="S451" s="491"/>
      <c r="T451" s="491"/>
      <c r="U451" s="491"/>
      <c r="V451" s="491"/>
      <c r="W451" s="491"/>
      <c r="X451" s="491"/>
      <c r="Y451" s="491"/>
      <c r="Z451" s="491"/>
      <c r="AA451" s="491"/>
      <c r="AB451" s="491"/>
      <c r="AC451" s="491"/>
    </row>
    <row r="452" spans="1:29">
      <c r="A452" s="491"/>
      <c r="B452" s="491"/>
      <c r="C452" s="491"/>
      <c r="D452" s="491"/>
      <c r="E452" s="491"/>
      <c r="F452" s="491"/>
      <c r="G452" s="491"/>
      <c r="H452" s="491"/>
      <c r="I452" s="491"/>
      <c r="J452" s="491"/>
      <c r="K452" s="505"/>
      <c r="L452" s="506"/>
      <c r="M452" s="491"/>
      <c r="N452" s="491"/>
      <c r="O452" s="491"/>
      <c r="P452" s="604"/>
      <c r="Q452" s="491"/>
      <c r="R452" s="491"/>
      <c r="S452" s="491"/>
      <c r="T452" s="491"/>
      <c r="U452" s="491"/>
      <c r="V452" s="491"/>
      <c r="W452" s="491"/>
      <c r="X452" s="491"/>
      <c r="Y452" s="491"/>
      <c r="Z452" s="491"/>
      <c r="AA452" s="491"/>
      <c r="AB452" s="491"/>
      <c r="AC452" s="491"/>
    </row>
    <row r="453" spans="1:29">
      <c r="A453" s="491"/>
      <c r="B453" s="491"/>
      <c r="C453" s="491"/>
      <c r="D453" s="491"/>
      <c r="E453" s="491"/>
      <c r="F453" s="491"/>
      <c r="G453" s="491"/>
      <c r="H453" s="491"/>
      <c r="I453" s="491"/>
      <c r="J453" s="491"/>
      <c r="K453" s="505"/>
      <c r="L453" s="506"/>
      <c r="M453" s="491"/>
      <c r="N453" s="491"/>
      <c r="O453" s="491"/>
      <c r="P453" s="604"/>
      <c r="Q453" s="491"/>
      <c r="R453" s="491"/>
      <c r="S453" s="491"/>
      <c r="T453" s="491"/>
      <c r="U453" s="491"/>
      <c r="V453" s="491"/>
      <c r="W453" s="491"/>
      <c r="X453" s="491"/>
      <c r="Y453" s="491"/>
      <c r="Z453" s="491"/>
      <c r="AA453" s="491"/>
      <c r="AB453" s="491"/>
      <c r="AC453" s="491"/>
    </row>
    <row r="454" spans="1:29">
      <c r="A454" s="491"/>
      <c r="B454" s="491"/>
      <c r="C454" s="491"/>
      <c r="D454" s="491"/>
      <c r="E454" s="491"/>
      <c r="F454" s="491"/>
      <c r="G454" s="491"/>
      <c r="H454" s="491"/>
      <c r="I454" s="491"/>
      <c r="J454" s="491"/>
      <c r="K454" s="505"/>
      <c r="L454" s="506"/>
      <c r="M454" s="491"/>
      <c r="N454" s="491"/>
      <c r="O454" s="491"/>
      <c r="P454" s="604"/>
      <c r="Q454" s="491"/>
      <c r="R454" s="491"/>
      <c r="S454" s="491"/>
      <c r="T454" s="491"/>
      <c r="U454" s="491"/>
      <c r="V454" s="491"/>
      <c r="W454" s="491"/>
      <c r="X454" s="491"/>
      <c r="Y454" s="491"/>
      <c r="Z454" s="491"/>
      <c r="AA454" s="491"/>
      <c r="AB454" s="491"/>
      <c r="AC454" s="491"/>
    </row>
    <row r="455" spans="1:29">
      <c r="A455" s="491"/>
      <c r="B455" s="491"/>
      <c r="C455" s="491"/>
      <c r="D455" s="491"/>
      <c r="E455" s="491"/>
      <c r="F455" s="491"/>
      <c r="G455" s="491"/>
      <c r="H455" s="491"/>
      <c r="I455" s="491"/>
      <c r="J455" s="491"/>
      <c r="K455" s="505"/>
      <c r="L455" s="506"/>
      <c r="M455" s="491"/>
      <c r="N455" s="491"/>
      <c r="O455" s="491"/>
      <c r="P455" s="604"/>
      <c r="Q455" s="491"/>
      <c r="R455" s="491"/>
      <c r="S455" s="491"/>
      <c r="T455" s="491"/>
      <c r="U455" s="491"/>
      <c r="V455" s="491"/>
      <c r="W455" s="491"/>
      <c r="X455" s="491"/>
      <c r="Y455" s="491"/>
      <c r="Z455" s="491"/>
      <c r="AA455" s="491"/>
      <c r="AB455" s="491"/>
      <c r="AC455" s="491"/>
    </row>
    <row r="456" spans="1:29">
      <c r="A456" s="491"/>
      <c r="B456" s="491"/>
      <c r="C456" s="491"/>
      <c r="D456" s="491"/>
      <c r="E456" s="491"/>
      <c r="F456" s="491"/>
      <c r="G456" s="491"/>
      <c r="H456" s="491"/>
      <c r="I456" s="491"/>
      <c r="J456" s="491"/>
      <c r="K456" s="505"/>
      <c r="L456" s="506"/>
      <c r="M456" s="491"/>
      <c r="N456" s="491"/>
      <c r="O456" s="491"/>
      <c r="P456" s="604"/>
      <c r="Q456" s="491"/>
      <c r="R456" s="491"/>
      <c r="S456" s="491"/>
      <c r="T456" s="491"/>
      <c r="U456" s="491"/>
      <c r="V456" s="491"/>
      <c r="W456" s="491"/>
      <c r="X456" s="491"/>
      <c r="Y456" s="491"/>
      <c r="Z456" s="491"/>
      <c r="AA456" s="491"/>
      <c r="AB456" s="491"/>
      <c r="AC456" s="491"/>
    </row>
    <row r="457" spans="1:29">
      <c r="A457" s="491"/>
      <c r="B457" s="491"/>
      <c r="C457" s="491"/>
      <c r="D457" s="491"/>
      <c r="E457" s="491"/>
      <c r="F457" s="491"/>
      <c r="G457" s="491"/>
      <c r="H457" s="491"/>
      <c r="I457" s="491"/>
      <c r="J457" s="491"/>
      <c r="K457" s="505"/>
      <c r="L457" s="506"/>
      <c r="M457" s="491"/>
      <c r="N457" s="491"/>
      <c r="O457" s="491"/>
      <c r="P457" s="604"/>
      <c r="Q457" s="491"/>
      <c r="R457" s="491"/>
      <c r="S457" s="491"/>
      <c r="T457" s="491"/>
      <c r="U457" s="491"/>
      <c r="V457" s="491"/>
      <c r="W457" s="491"/>
      <c r="X457" s="491"/>
      <c r="Y457" s="491"/>
      <c r="Z457" s="491"/>
      <c r="AA457" s="491"/>
      <c r="AB457" s="491"/>
      <c r="AC457" s="491"/>
    </row>
    <row r="458" spans="1:29">
      <c r="A458" s="491"/>
      <c r="B458" s="491"/>
      <c r="C458" s="491"/>
      <c r="D458" s="491"/>
      <c r="E458" s="491"/>
      <c r="F458" s="491"/>
      <c r="G458" s="491"/>
      <c r="H458" s="491"/>
      <c r="I458" s="491"/>
      <c r="J458" s="491"/>
      <c r="K458" s="505"/>
      <c r="L458" s="506"/>
      <c r="M458" s="491"/>
      <c r="N458" s="491"/>
      <c r="O458" s="491"/>
      <c r="P458" s="604"/>
      <c r="Q458" s="491"/>
      <c r="R458" s="491"/>
      <c r="S458" s="491"/>
      <c r="T458" s="491"/>
      <c r="U458" s="491"/>
      <c r="V458" s="491"/>
      <c r="W458" s="491"/>
      <c r="X458" s="491"/>
      <c r="Y458" s="491"/>
      <c r="Z458" s="491"/>
      <c r="AA458" s="491"/>
      <c r="AB458" s="491"/>
      <c r="AC458" s="491"/>
    </row>
    <row r="459" spans="1:29">
      <c r="A459" s="491"/>
      <c r="B459" s="491"/>
      <c r="C459" s="491"/>
      <c r="D459" s="491"/>
      <c r="E459" s="491"/>
      <c r="F459" s="491"/>
      <c r="G459" s="491"/>
      <c r="H459" s="491"/>
      <c r="I459" s="491"/>
      <c r="J459" s="491"/>
      <c r="K459" s="505"/>
      <c r="L459" s="506"/>
      <c r="M459" s="491"/>
      <c r="N459" s="491"/>
      <c r="O459" s="491"/>
      <c r="P459" s="604"/>
      <c r="Q459" s="491"/>
      <c r="R459" s="491"/>
      <c r="S459" s="491"/>
      <c r="T459" s="491"/>
      <c r="U459" s="491"/>
      <c r="V459" s="491"/>
      <c r="W459" s="491"/>
      <c r="X459" s="491"/>
      <c r="Y459" s="491"/>
      <c r="Z459" s="491"/>
      <c r="AA459" s="491"/>
      <c r="AB459" s="491"/>
      <c r="AC459" s="491"/>
    </row>
    <row r="460" spans="1:29">
      <c r="A460" s="491"/>
      <c r="B460" s="491"/>
      <c r="C460" s="491"/>
      <c r="D460" s="491"/>
      <c r="E460" s="491"/>
      <c r="F460" s="491"/>
      <c r="G460" s="491"/>
      <c r="H460" s="491"/>
      <c r="I460" s="491"/>
      <c r="J460" s="491"/>
      <c r="K460" s="505"/>
      <c r="L460" s="506"/>
      <c r="M460" s="491"/>
      <c r="N460" s="491"/>
      <c r="O460" s="491"/>
      <c r="P460" s="604"/>
      <c r="Q460" s="491"/>
      <c r="R460" s="491"/>
      <c r="S460" s="491"/>
      <c r="T460" s="491"/>
      <c r="U460" s="491"/>
      <c r="V460" s="491"/>
      <c r="W460" s="491"/>
      <c r="X460" s="491"/>
      <c r="Y460" s="491"/>
      <c r="Z460" s="491"/>
      <c r="AA460" s="491"/>
      <c r="AB460" s="491"/>
      <c r="AC460" s="491"/>
    </row>
    <row r="461" spans="1:29">
      <c r="A461" s="491"/>
      <c r="B461" s="491"/>
      <c r="C461" s="491"/>
      <c r="D461" s="491"/>
      <c r="E461" s="491"/>
      <c r="F461" s="491"/>
      <c r="G461" s="491"/>
      <c r="H461" s="491"/>
      <c r="I461" s="491"/>
      <c r="J461" s="491"/>
      <c r="K461" s="505"/>
      <c r="L461" s="506"/>
      <c r="M461" s="491"/>
      <c r="N461" s="491"/>
      <c r="O461" s="491"/>
      <c r="P461" s="604"/>
      <c r="Q461" s="491"/>
      <c r="R461" s="491"/>
      <c r="S461" s="491"/>
      <c r="T461" s="491"/>
      <c r="U461" s="491"/>
      <c r="V461" s="491"/>
      <c r="W461" s="491"/>
      <c r="X461" s="491"/>
      <c r="Y461" s="491"/>
      <c r="Z461" s="491"/>
      <c r="AA461" s="491"/>
      <c r="AB461" s="491"/>
      <c r="AC461" s="491"/>
    </row>
    <row r="462" spans="1:29">
      <c r="A462" s="491"/>
      <c r="B462" s="491"/>
      <c r="C462" s="491"/>
      <c r="D462" s="491"/>
      <c r="E462" s="491"/>
      <c r="F462" s="491"/>
      <c r="G462" s="491"/>
      <c r="H462" s="491"/>
      <c r="I462" s="491"/>
      <c r="J462" s="491"/>
      <c r="K462" s="505"/>
      <c r="L462" s="506"/>
      <c r="M462" s="491"/>
      <c r="N462" s="491"/>
      <c r="O462" s="491"/>
      <c r="P462" s="604"/>
      <c r="Q462" s="491"/>
      <c r="R462" s="491"/>
      <c r="S462" s="491"/>
      <c r="T462" s="491"/>
      <c r="U462" s="491"/>
      <c r="V462" s="491"/>
      <c r="W462" s="491"/>
      <c r="X462" s="491"/>
      <c r="Y462" s="491"/>
      <c r="Z462" s="491"/>
      <c r="AA462" s="491"/>
      <c r="AB462" s="491"/>
      <c r="AC462" s="491"/>
    </row>
    <row r="463" spans="1:29">
      <c r="A463" s="491"/>
      <c r="B463" s="491"/>
      <c r="C463" s="491"/>
      <c r="D463" s="491"/>
      <c r="E463" s="491"/>
      <c r="F463" s="491"/>
      <c r="G463" s="491"/>
      <c r="H463" s="491"/>
      <c r="I463" s="491"/>
      <c r="J463" s="491"/>
      <c r="K463" s="505"/>
      <c r="L463" s="506"/>
      <c r="M463" s="491"/>
      <c r="N463" s="491"/>
      <c r="O463" s="491"/>
      <c r="P463" s="604"/>
      <c r="Q463" s="491"/>
      <c r="R463" s="491"/>
      <c r="S463" s="491"/>
      <c r="T463" s="491"/>
      <c r="U463" s="491"/>
      <c r="V463" s="491"/>
      <c r="W463" s="491"/>
      <c r="X463" s="491"/>
      <c r="Y463" s="491"/>
      <c r="Z463" s="491"/>
      <c r="AA463" s="491"/>
      <c r="AB463" s="491"/>
      <c r="AC463" s="491"/>
    </row>
    <row r="464" spans="1:29">
      <c r="A464" s="491"/>
      <c r="B464" s="491"/>
      <c r="C464" s="491"/>
      <c r="D464" s="491"/>
      <c r="E464" s="491"/>
      <c r="F464" s="491"/>
      <c r="G464" s="491"/>
      <c r="H464" s="491"/>
      <c r="I464" s="491"/>
      <c r="J464" s="491"/>
      <c r="K464" s="505"/>
      <c r="L464" s="506"/>
      <c r="M464" s="491"/>
      <c r="N464" s="491"/>
      <c r="O464" s="491"/>
      <c r="P464" s="604"/>
      <c r="Q464" s="491"/>
      <c r="R464" s="491"/>
      <c r="S464" s="491"/>
      <c r="T464" s="491"/>
      <c r="U464" s="491"/>
      <c r="V464" s="491"/>
      <c r="W464" s="491"/>
      <c r="X464" s="491"/>
      <c r="Y464" s="491"/>
      <c r="Z464" s="491"/>
      <c r="AA464" s="491"/>
      <c r="AB464" s="491"/>
      <c r="AC464" s="491"/>
    </row>
    <row r="465" spans="1:29">
      <c r="A465" s="491"/>
      <c r="B465" s="491"/>
      <c r="C465" s="491"/>
      <c r="D465" s="491"/>
      <c r="E465" s="491"/>
      <c r="F465" s="491"/>
      <c r="G465" s="491"/>
      <c r="H465" s="491"/>
      <c r="I465" s="491"/>
      <c r="J465" s="491"/>
      <c r="K465" s="505"/>
      <c r="L465" s="506"/>
      <c r="M465" s="491"/>
      <c r="N465" s="491"/>
      <c r="O465" s="491"/>
      <c r="P465" s="604"/>
      <c r="Q465" s="491"/>
      <c r="R465" s="491"/>
      <c r="S465" s="491"/>
      <c r="T465" s="491"/>
      <c r="U465" s="491"/>
      <c r="V465" s="491"/>
      <c r="W465" s="491"/>
      <c r="X465" s="491"/>
      <c r="Y465" s="491"/>
      <c r="Z465" s="491"/>
      <c r="AA465" s="491"/>
      <c r="AB465" s="491"/>
      <c r="AC465" s="491"/>
    </row>
    <row r="466" spans="1:29">
      <c r="A466" s="491"/>
      <c r="B466" s="491"/>
      <c r="C466" s="491"/>
      <c r="D466" s="491"/>
      <c r="E466" s="491"/>
      <c r="F466" s="491"/>
      <c r="G466" s="491"/>
      <c r="H466" s="491"/>
      <c r="I466" s="491"/>
      <c r="J466" s="491"/>
      <c r="K466" s="505"/>
      <c r="L466" s="506"/>
      <c r="M466" s="491"/>
      <c r="N466" s="491"/>
      <c r="O466" s="491"/>
      <c r="P466" s="604"/>
      <c r="Q466" s="491"/>
      <c r="R466" s="491"/>
      <c r="S466" s="491"/>
      <c r="T466" s="491"/>
      <c r="U466" s="491"/>
      <c r="V466" s="491"/>
      <c r="W466" s="491"/>
      <c r="X466" s="491"/>
      <c r="Y466" s="491"/>
      <c r="Z466" s="491"/>
      <c r="AA466" s="491"/>
      <c r="AB466" s="491"/>
      <c r="AC466" s="491"/>
    </row>
    <row r="467" spans="1:29">
      <c r="A467" s="491"/>
      <c r="B467" s="491"/>
      <c r="C467" s="491"/>
      <c r="D467" s="491"/>
      <c r="E467" s="491"/>
      <c r="F467" s="491"/>
      <c r="G467" s="491"/>
      <c r="H467" s="491"/>
      <c r="I467" s="491"/>
      <c r="J467" s="491"/>
      <c r="K467" s="505"/>
      <c r="L467" s="506"/>
      <c r="M467" s="491"/>
      <c r="N467" s="491"/>
      <c r="O467" s="491"/>
      <c r="P467" s="604"/>
      <c r="Q467" s="491"/>
      <c r="R467" s="491"/>
      <c r="S467" s="491"/>
      <c r="T467" s="491"/>
      <c r="U467" s="491"/>
      <c r="V467" s="491"/>
      <c r="W467" s="491"/>
      <c r="X467" s="491"/>
      <c r="Y467" s="491"/>
      <c r="Z467" s="491"/>
      <c r="AA467" s="491"/>
      <c r="AB467" s="491"/>
      <c r="AC467" s="491"/>
    </row>
    <row r="468" spans="1:29">
      <c r="A468" s="491"/>
      <c r="B468" s="491"/>
      <c r="C468" s="491"/>
      <c r="D468" s="491"/>
      <c r="E468" s="491"/>
      <c r="F468" s="491"/>
      <c r="G468" s="491"/>
      <c r="H468" s="491"/>
      <c r="I468" s="491"/>
      <c r="J468" s="491"/>
      <c r="K468" s="505"/>
      <c r="L468" s="506"/>
      <c r="M468" s="491"/>
      <c r="N468" s="491"/>
      <c r="O468" s="491"/>
      <c r="P468" s="604"/>
      <c r="Q468" s="491"/>
      <c r="R468" s="491"/>
      <c r="S468" s="491"/>
      <c r="T468" s="491"/>
      <c r="U468" s="491"/>
      <c r="V468" s="491"/>
      <c r="W468" s="491"/>
      <c r="X468" s="491"/>
      <c r="Y468" s="491"/>
      <c r="Z468" s="491"/>
      <c r="AA468" s="491"/>
      <c r="AB468" s="491"/>
      <c r="AC468" s="491"/>
    </row>
    <row r="469" spans="1:29">
      <c r="A469" s="491"/>
      <c r="B469" s="491"/>
      <c r="C469" s="491"/>
      <c r="D469" s="491"/>
      <c r="E469" s="491"/>
      <c r="F469" s="491"/>
      <c r="G469" s="491"/>
      <c r="H469" s="491"/>
      <c r="I469" s="491"/>
      <c r="J469" s="491"/>
      <c r="K469" s="505"/>
      <c r="L469" s="506"/>
      <c r="M469" s="491"/>
      <c r="N469" s="491"/>
      <c r="O469" s="491"/>
      <c r="P469" s="604"/>
      <c r="Q469" s="491"/>
      <c r="R469" s="491"/>
      <c r="S469" s="491"/>
      <c r="T469" s="491"/>
      <c r="U469" s="491"/>
      <c r="V469" s="491"/>
      <c r="W469" s="491"/>
      <c r="X469" s="491"/>
      <c r="Y469" s="491"/>
      <c r="Z469" s="491"/>
      <c r="AA469" s="491"/>
      <c r="AB469" s="491"/>
      <c r="AC469" s="491"/>
    </row>
    <row r="470" spans="1:29">
      <c r="A470" s="491"/>
      <c r="B470" s="491"/>
      <c r="C470" s="491"/>
      <c r="D470" s="491"/>
      <c r="E470" s="491"/>
      <c r="F470" s="491"/>
      <c r="G470" s="491"/>
      <c r="H470" s="491"/>
      <c r="I470" s="491"/>
      <c r="J470" s="491"/>
      <c r="K470" s="505"/>
      <c r="L470" s="506"/>
      <c r="M470" s="491"/>
      <c r="N470" s="491"/>
      <c r="O470" s="491"/>
      <c r="P470" s="604"/>
      <c r="Q470" s="491"/>
      <c r="R470" s="491"/>
      <c r="S470" s="491"/>
      <c r="T470" s="491"/>
      <c r="U470" s="491"/>
      <c r="V470" s="491"/>
      <c r="W470" s="491"/>
      <c r="X470" s="491"/>
      <c r="Y470" s="491"/>
      <c r="Z470" s="491"/>
      <c r="AA470" s="491"/>
      <c r="AB470" s="491"/>
      <c r="AC470" s="491"/>
    </row>
    <row r="471" spans="1:29">
      <c r="A471" s="491"/>
      <c r="B471" s="491"/>
      <c r="C471" s="491"/>
      <c r="D471" s="491"/>
      <c r="E471" s="491"/>
      <c r="F471" s="491"/>
      <c r="G471" s="491"/>
      <c r="H471" s="491"/>
      <c r="I471" s="491"/>
      <c r="J471" s="491"/>
      <c r="K471" s="505"/>
      <c r="L471" s="506"/>
      <c r="M471" s="491"/>
      <c r="N471" s="491"/>
      <c r="O471" s="491"/>
      <c r="P471" s="604"/>
      <c r="Q471" s="491"/>
      <c r="R471" s="491"/>
      <c r="S471" s="491"/>
      <c r="T471" s="491"/>
      <c r="U471" s="491"/>
      <c r="V471" s="491"/>
      <c r="W471" s="491"/>
      <c r="X471" s="491"/>
      <c r="Y471" s="491"/>
      <c r="Z471" s="491"/>
      <c r="AA471" s="491"/>
      <c r="AB471" s="491"/>
      <c r="AC471" s="491"/>
    </row>
    <row r="472" spans="1:29">
      <c r="A472" s="491"/>
      <c r="B472" s="491"/>
      <c r="C472" s="491"/>
      <c r="D472" s="491"/>
      <c r="E472" s="491"/>
      <c r="F472" s="491"/>
      <c r="G472" s="491"/>
      <c r="H472" s="491"/>
      <c r="I472" s="491"/>
      <c r="J472" s="491"/>
      <c r="K472" s="505"/>
      <c r="L472" s="506"/>
      <c r="M472" s="491"/>
      <c r="N472" s="491"/>
      <c r="O472" s="491"/>
      <c r="P472" s="604"/>
      <c r="Q472" s="491"/>
      <c r="R472" s="491"/>
      <c r="S472" s="491"/>
      <c r="T472" s="491"/>
      <c r="U472" s="491"/>
      <c r="V472" s="491"/>
      <c r="W472" s="491"/>
      <c r="X472" s="491"/>
      <c r="Y472" s="491"/>
      <c r="Z472" s="491"/>
      <c r="AA472" s="491"/>
      <c r="AB472" s="491"/>
      <c r="AC472" s="491"/>
    </row>
    <row r="473" spans="1:29">
      <c r="A473" s="491"/>
      <c r="B473" s="491"/>
      <c r="C473" s="491"/>
      <c r="D473" s="491"/>
      <c r="E473" s="491"/>
      <c r="F473" s="491"/>
      <c r="G473" s="491"/>
      <c r="H473" s="491"/>
      <c r="I473" s="491"/>
      <c r="J473" s="491"/>
      <c r="K473" s="505"/>
      <c r="L473" s="506"/>
      <c r="M473" s="491"/>
      <c r="N473" s="491"/>
      <c r="O473" s="491"/>
      <c r="P473" s="604"/>
      <c r="Q473" s="491"/>
      <c r="R473" s="491"/>
      <c r="S473" s="491"/>
      <c r="T473" s="491"/>
      <c r="U473" s="491"/>
      <c r="V473" s="491"/>
      <c r="W473" s="491"/>
      <c r="X473" s="491"/>
      <c r="Y473" s="491"/>
      <c r="Z473" s="491"/>
      <c r="AA473" s="491"/>
      <c r="AB473" s="491"/>
      <c r="AC473" s="491"/>
    </row>
    <row r="474" spans="1:29">
      <c r="A474" s="491"/>
      <c r="B474" s="491"/>
      <c r="C474" s="491"/>
      <c r="D474" s="491"/>
      <c r="E474" s="491"/>
      <c r="F474" s="491"/>
      <c r="G474" s="491"/>
      <c r="H474" s="491"/>
      <c r="I474" s="491"/>
      <c r="J474" s="491"/>
      <c r="K474" s="505"/>
      <c r="L474" s="506"/>
      <c r="M474" s="491"/>
      <c r="N474" s="491"/>
      <c r="O474" s="491"/>
      <c r="P474" s="604"/>
      <c r="Q474" s="491"/>
      <c r="R474" s="491"/>
      <c r="S474" s="491"/>
      <c r="T474" s="491"/>
      <c r="U474" s="491"/>
      <c r="V474" s="491"/>
      <c r="W474" s="491"/>
      <c r="X474" s="491"/>
      <c r="Y474" s="491"/>
      <c r="Z474" s="491"/>
      <c r="AA474" s="491"/>
      <c r="AB474" s="491"/>
      <c r="AC474" s="491"/>
    </row>
    <row r="475" spans="1:29">
      <c r="A475" s="491"/>
      <c r="B475" s="491"/>
      <c r="C475" s="491"/>
      <c r="D475" s="491"/>
      <c r="E475" s="491"/>
      <c r="F475" s="491"/>
      <c r="G475" s="491"/>
      <c r="H475" s="491"/>
      <c r="I475" s="491"/>
      <c r="J475" s="491"/>
      <c r="K475" s="505"/>
      <c r="L475" s="506"/>
      <c r="M475" s="491"/>
      <c r="N475" s="491"/>
      <c r="O475" s="491"/>
      <c r="P475" s="604"/>
      <c r="Q475" s="491"/>
      <c r="R475" s="491"/>
      <c r="S475" s="491"/>
      <c r="T475" s="491"/>
      <c r="U475" s="491"/>
      <c r="V475" s="491"/>
      <c r="W475" s="491"/>
      <c r="X475" s="491"/>
      <c r="Y475" s="491"/>
      <c r="Z475" s="491"/>
      <c r="AA475" s="491"/>
      <c r="AB475" s="491"/>
      <c r="AC475" s="491"/>
    </row>
    <row r="476" spans="1:29">
      <c r="A476" s="491"/>
      <c r="B476" s="491"/>
      <c r="C476" s="491"/>
      <c r="D476" s="491"/>
      <c r="E476" s="491"/>
      <c r="F476" s="491"/>
      <c r="G476" s="491"/>
      <c r="H476" s="491"/>
      <c r="I476" s="491"/>
      <c r="J476" s="491"/>
      <c r="K476" s="505"/>
      <c r="L476" s="506"/>
      <c r="M476" s="491"/>
      <c r="N476" s="491"/>
      <c r="O476" s="491"/>
      <c r="P476" s="604"/>
      <c r="Q476" s="491"/>
      <c r="R476" s="491"/>
      <c r="S476" s="491"/>
      <c r="T476" s="491"/>
      <c r="U476" s="491"/>
      <c r="V476" s="491"/>
      <c r="W476" s="491"/>
      <c r="X476" s="491"/>
      <c r="Y476" s="491"/>
      <c r="Z476" s="491"/>
      <c r="AA476" s="491"/>
      <c r="AB476" s="491"/>
      <c r="AC476" s="491"/>
    </row>
    <row r="477" spans="1:29">
      <c r="A477" s="491"/>
      <c r="B477" s="491"/>
      <c r="C477" s="491"/>
      <c r="D477" s="491"/>
      <c r="E477" s="491"/>
      <c r="F477" s="491"/>
      <c r="G477" s="491"/>
      <c r="H477" s="491"/>
      <c r="I477" s="491"/>
      <c r="J477" s="491"/>
      <c r="K477" s="505"/>
      <c r="L477" s="506"/>
      <c r="M477" s="491"/>
      <c r="N477" s="491"/>
      <c r="O477" s="491"/>
      <c r="P477" s="604"/>
      <c r="Q477" s="491"/>
      <c r="R477" s="491"/>
      <c r="S477" s="491"/>
      <c r="T477" s="491"/>
      <c r="U477" s="491"/>
      <c r="V477" s="491"/>
      <c r="W477" s="491"/>
      <c r="X477" s="491"/>
      <c r="Y477" s="491"/>
      <c r="Z477" s="491"/>
      <c r="AA477" s="491"/>
      <c r="AB477" s="491"/>
      <c r="AC477" s="491"/>
    </row>
    <row r="478" spans="1:29">
      <c r="A478" s="491"/>
      <c r="B478" s="491"/>
      <c r="C478" s="491"/>
      <c r="D478" s="491"/>
      <c r="E478" s="491"/>
      <c r="F478" s="491"/>
      <c r="G478" s="491"/>
      <c r="H478" s="491"/>
      <c r="I478" s="491"/>
      <c r="J478" s="491"/>
      <c r="K478" s="505"/>
      <c r="L478" s="506"/>
      <c r="M478" s="491"/>
      <c r="N478" s="491"/>
      <c r="O478" s="491"/>
      <c r="P478" s="604"/>
      <c r="Q478" s="491"/>
      <c r="R478" s="491"/>
      <c r="S478" s="491"/>
      <c r="T478" s="491"/>
      <c r="U478" s="491"/>
      <c r="V478" s="491"/>
      <c r="W478" s="491"/>
      <c r="X478" s="491"/>
      <c r="Y478" s="491"/>
      <c r="Z478" s="491"/>
      <c r="AA478" s="491"/>
      <c r="AB478" s="491"/>
      <c r="AC478" s="491"/>
    </row>
    <row r="479" spans="1:29">
      <c r="A479" s="491"/>
      <c r="B479" s="491"/>
      <c r="C479" s="491"/>
      <c r="D479" s="491"/>
      <c r="E479" s="491"/>
      <c r="F479" s="491"/>
      <c r="G479" s="491"/>
      <c r="H479" s="491"/>
      <c r="I479" s="491"/>
      <c r="J479" s="491"/>
      <c r="K479" s="505"/>
      <c r="L479" s="506"/>
      <c r="M479" s="491"/>
      <c r="N479" s="491"/>
      <c r="O479" s="491"/>
      <c r="P479" s="604"/>
      <c r="Q479" s="491"/>
      <c r="R479" s="491"/>
      <c r="S479" s="491"/>
      <c r="T479" s="491"/>
      <c r="U479" s="491"/>
      <c r="V479" s="491"/>
      <c r="W479" s="491"/>
      <c r="X479" s="491"/>
      <c r="Y479" s="491"/>
      <c r="Z479" s="491"/>
      <c r="AA479" s="491"/>
      <c r="AB479" s="491"/>
      <c r="AC479" s="491"/>
    </row>
    <row r="480" spans="1:29">
      <c r="A480" s="491"/>
      <c r="B480" s="491"/>
      <c r="C480" s="491"/>
      <c r="D480" s="491"/>
      <c r="E480" s="491"/>
      <c r="F480" s="491"/>
      <c r="G480" s="491"/>
      <c r="H480" s="491"/>
      <c r="I480" s="491"/>
      <c r="J480" s="491"/>
      <c r="K480" s="505"/>
      <c r="L480" s="506"/>
      <c r="M480" s="491"/>
      <c r="N480" s="491"/>
      <c r="O480" s="491"/>
      <c r="P480" s="604"/>
      <c r="Q480" s="491"/>
      <c r="R480" s="491"/>
      <c r="S480" s="491"/>
      <c r="T480" s="491"/>
      <c r="U480" s="491"/>
      <c r="V480" s="491"/>
      <c r="W480" s="491"/>
      <c r="X480" s="491"/>
      <c r="Y480" s="491"/>
      <c r="Z480" s="491"/>
      <c r="AA480" s="491"/>
      <c r="AB480" s="491"/>
      <c r="AC480" s="491"/>
    </row>
    <row r="481" spans="1:29">
      <c r="A481" s="491"/>
      <c r="B481" s="491"/>
      <c r="C481" s="491"/>
      <c r="D481" s="491"/>
      <c r="E481" s="491"/>
      <c r="F481" s="491"/>
      <c r="G481" s="491"/>
      <c r="H481" s="491"/>
      <c r="I481" s="491"/>
      <c r="J481" s="491"/>
      <c r="K481" s="505"/>
      <c r="L481" s="506"/>
      <c r="M481" s="491"/>
      <c r="N481" s="491"/>
      <c r="O481" s="491"/>
      <c r="P481" s="604"/>
      <c r="Q481" s="491"/>
      <c r="R481" s="491"/>
      <c r="S481" s="491"/>
      <c r="T481" s="491"/>
      <c r="U481" s="491"/>
      <c r="V481" s="491"/>
      <c r="W481" s="491"/>
      <c r="X481" s="491"/>
      <c r="Y481" s="491"/>
      <c r="Z481" s="491"/>
      <c r="AA481" s="491"/>
      <c r="AB481" s="491"/>
      <c r="AC481" s="491"/>
    </row>
    <row r="482" spans="1:29">
      <c r="A482" s="491"/>
      <c r="B482" s="491"/>
      <c r="C482" s="491"/>
      <c r="D482" s="491"/>
      <c r="E482" s="491"/>
      <c r="F482" s="491"/>
      <c r="G482" s="491"/>
      <c r="H482" s="491"/>
      <c r="I482" s="491"/>
      <c r="J482" s="491"/>
      <c r="K482" s="505"/>
      <c r="L482" s="506"/>
      <c r="M482" s="491"/>
      <c r="N482" s="491"/>
      <c r="O482" s="491"/>
      <c r="P482" s="604"/>
      <c r="Q482" s="491"/>
      <c r="R482" s="491"/>
      <c r="S482" s="491"/>
      <c r="T482" s="491"/>
      <c r="U482" s="491"/>
      <c r="V482" s="491"/>
      <c r="W482" s="491"/>
      <c r="X482" s="491"/>
      <c r="Y482" s="491"/>
      <c r="Z482" s="491"/>
      <c r="AA482" s="491"/>
      <c r="AB482" s="491"/>
      <c r="AC482" s="491"/>
    </row>
    <row r="483" spans="1:29">
      <c r="A483" s="491"/>
      <c r="B483" s="491"/>
      <c r="C483" s="491"/>
      <c r="D483" s="491"/>
      <c r="E483" s="491"/>
      <c r="F483" s="491"/>
      <c r="G483" s="491"/>
      <c r="H483" s="491"/>
      <c r="I483" s="491"/>
      <c r="J483" s="491"/>
      <c r="K483" s="505"/>
      <c r="L483" s="506"/>
      <c r="M483" s="491"/>
      <c r="N483" s="491"/>
      <c r="O483" s="491"/>
      <c r="P483" s="604"/>
      <c r="Q483" s="491"/>
      <c r="R483" s="491"/>
      <c r="S483" s="491"/>
      <c r="T483" s="491"/>
      <c r="U483" s="491"/>
      <c r="V483" s="491"/>
      <c r="W483" s="491"/>
      <c r="X483" s="491"/>
      <c r="Y483" s="491"/>
      <c r="Z483" s="491"/>
      <c r="AA483" s="491"/>
      <c r="AB483" s="491"/>
      <c r="AC483" s="491"/>
    </row>
    <row r="484" spans="1:29">
      <c r="A484" s="491"/>
      <c r="B484" s="491"/>
      <c r="C484" s="491"/>
      <c r="D484" s="491"/>
      <c r="E484" s="491"/>
      <c r="F484" s="491"/>
      <c r="G484" s="491"/>
      <c r="H484" s="491"/>
      <c r="I484" s="491"/>
      <c r="J484" s="491"/>
      <c r="K484" s="505"/>
      <c r="L484" s="506"/>
      <c r="M484" s="491"/>
      <c r="N484" s="491"/>
      <c r="O484" s="491"/>
      <c r="P484" s="604"/>
      <c r="Q484" s="491"/>
      <c r="R484" s="491"/>
      <c r="S484" s="491"/>
      <c r="T484" s="491"/>
      <c r="U484" s="491"/>
      <c r="V484" s="491"/>
      <c r="W484" s="491"/>
      <c r="X484" s="491"/>
      <c r="Y484" s="491"/>
      <c r="Z484" s="491"/>
      <c r="AA484" s="491"/>
      <c r="AB484" s="491"/>
      <c r="AC484" s="491"/>
    </row>
    <row r="485" spans="1:29">
      <c r="A485" s="491"/>
      <c r="B485" s="491"/>
      <c r="C485" s="491"/>
      <c r="D485" s="491"/>
      <c r="E485" s="491"/>
      <c r="F485" s="491"/>
      <c r="G485" s="491"/>
      <c r="H485" s="491"/>
      <c r="I485" s="491"/>
      <c r="J485" s="491"/>
      <c r="K485" s="505"/>
      <c r="L485" s="506"/>
      <c r="M485" s="491"/>
      <c r="N485" s="491"/>
      <c r="O485" s="491"/>
      <c r="P485" s="604"/>
      <c r="Q485" s="491"/>
      <c r="R485" s="491"/>
      <c r="S485" s="491"/>
      <c r="T485" s="491"/>
      <c r="U485" s="491"/>
      <c r="V485" s="491"/>
      <c r="W485" s="491"/>
      <c r="X485" s="491"/>
      <c r="Y485" s="491"/>
      <c r="Z485" s="491"/>
      <c r="AA485" s="491"/>
      <c r="AB485" s="491"/>
      <c r="AC485" s="491"/>
    </row>
    <row r="486" spans="1:29">
      <c r="A486" s="491"/>
      <c r="B486" s="491"/>
      <c r="C486" s="491"/>
      <c r="D486" s="491"/>
      <c r="E486" s="491"/>
      <c r="F486" s="491"/>
      <c r="G486" s="491"/>
      <c r="H486" s="491"/>
      <c r="I486" s="491"/>
      <c r="J486" s="491"/>
      <c r="K486" s="505"/>
      <c r="L486" s="506"/>
      <c r="M486" s="491"/>
      <c r="N486" s="491"/>
      <c r="O486" s="491"/>
      <c r="P486" s="604"/>
      <c r="Q486" s="491"/>
      <c r="R486" s="491"/>
      <c r="S486" s="491"/>
      <c r="T486" s="491"/>
      <c r="U486" s="491"/>
      <c r="V486" s="491"/>
      <c r="W486" s="491"/>
      <c r="X486" s="491"/>
      <c r="Y486" s="491"/>
      <c r="Z486" s="491"/>
      <c r="AA486" s="491"/>
      <c r="AB486" s="491"/>
      <c r="AC486" s="491"/>
    </row>
    <row r="487" spans="1:29">
      <c r="A487" s="491"/>
      <c r="B487" s="491"/>
      <c r="C487" s="491"/>
      <c r="D487" s="491"/>
      <c r="E487" s="491"/>
      <c r="F487" s="491"/>
      <c r="G487" s="491"/>
      <c r="H487" s="491"/>
      <c r="I487" s="491"/>
      <c r="J487" s="491"/>
      <c r="K487" s="505"/>
      <c r="L487" s="506"/>
      <c r="M487" s="491"/>
      <c r="N487" s="491"/>
      <c r="O487" s="491"/>
      <c r="P487" s="604"/>
      <c r="Q487" s="491"/>
      <c r="R487" s="491"/>
      <c r="S487" s="491"/>
      <c r="T487" s="491"/>
      <c r="U487" s="491"/>
      <c r="V487" s="491"/>
      <c r="W487" s="491"/>
      <c r="X487" s="491"/>
      <c r="Y487" s="491"/>
      <c r="Z487" s="491"/>
      <c r="AA487" s="491"/>
      <c r="AB487" s="491"/>
      <c r="AC487" s="491"/>
    </row>
    <row r="488" spans="1:29">
      <c r="A488" s="491"/>
      <c r="B488" s="491"/>
      <c r="C488" s="491"/>
      <c r="D488" s="491"/>
      <c r="E488" s="491"/>
      <c r="F488" s="491"/>
      <c r="G488" s="491"/>
      <c r="H488" s="491"/>
      <c r="I488" s="491"/>
      <c r="J488" s="491"/>
      <c r="K488" s="505"/>
      <c r="L488" s="506"/>
      <c r="M488" s="491"/>
      <c r="N488" s="491"/>
      <c r="O488" s="491"/>
      <c r="P488" s="604"/>
      <c r="Q488" s="491"/>
      <c r="R488" s="491"/>
      <c r="S488" s="491"/>
      <c r="T488" s="491"/>
      <c r="U488" s="491"/>
      <c r="V488" s="491"/>
      <c r="W488" s="491"/>
      <c r="X488" s="491"/>
      <c r="Y488" s="491"/>
      <c r="Z488" s="491"/>
      <c r="AA488" s="491"/>
      <c r="AB488" s="491"/>
      <c r="AC488" s="491"/>
    </row>
    <row r="489" spans="1:29">
      <c r="A489" s="491"/>
      <c r="B489" s="491"/>
      <c r="C489" s="491"/>
      <c r="D489" s="491"/>
      <c r="E489" s="491"/>
      <c r="F489" s="491"/>
      <c r="G489" s="491"/>
      <c r="H489" s="491"/>
      <c r="I489" s="491"/>
      <c r="J489" s="491"/>
      <c r="K489" s="505"/>
      <c r="L489" s="506"/>
      <c r="M489" s="491"/>
      <c r="N489" s="491"/>
      <c r="O489" s="491"/>
      <c r="P489" s="604"/>
      <c r="Q489" s="491"/>
      <c r="R489" s="491"/>
      <c r="S489" s="491"/>
      <c r="T489" s="491"/>
      <c r="U489" s="491"/>
      <c r="V489" s="491"/>
      <c r="W489" s="491"/>
      <c r="X489" s="491"/>
      <c r="Y489" s="491"/>
      <c r="Z489" s="491"/>
      <c r="AA489" s="491"/>
      <c r="AB489" s="491"/>
      <c r="AC489" s="491"/>
    </row>
    <row r="490" spans="1:29">
      <c r="A490" s="491"/>
      <c r="B490" s="491"/>
      <c r="C490" s="491"/>
      <c r="D490" s="491"/>
      <c r="E490" s="491"/>
      <c r="F490" s="491"/>
      <c r="G490" s="491"/>
      <c r="H490" s="491"/>
      <c r="I490" s="491"/>
      <c r="J490" s="491"/>
      <c r="K490" s="505"/>
      <c r="L490" s="506"/>
      <c r="M490" s="491"/>
      <c r="N490" s="491"/>
      <c r="O490" s="491"/>
      <c r="P490" s="604"/>
      <c r="Q490" s="491"/>
      <c r="R490" s="491"/>
      <c r="S490" s="491"/>
      <c r="T490" s="491"/>
      <c r="U490" s="491"/>
      <c r="V490" s="491"/>
      <c r="W490" s="491"/>
      <c r="X490" s="491"/>
      <c r="Y490" s="491"/>
      <c r="Z490" s="491"/>
      <c r="AA490" s="491"/>
      <c r="AB490" s="491"/>
      <c r="AC490" s="491"/>
    </row>
    <row r="491" spans="1:29">
      <c r="A491" s="491"/>
      <c r="B491" s="491"/>
      <c r="C491" s="491"/>
      <c r="D491" s="491"/>
      <c r="E491" s="491"/>
      <c r="F491" s="491"/>
      <c r="G491" s="491"/>
      <c r="H491" s="491"/>
      <c r="I491" s="491"/>
      <c r="J491" s="491"/>
      <c r="K491" s="505"/>
      <c r="L491" s="506"/>
      <c r="M491" s="491"/>
      <c r="N491" s="491"/>
      <c r="O491" s="491"/>
      <c r="P491" s="604"/>
      <c r="Q491" s="491"/>
      <c r="R491" s="491"/>
      <c r="S491" s="491"/>
      <c r="T491" s="491"/>
      <c r="U491" s="491"/>
      <c r="V491" s="491"/>
      <c r="W491" s="491"/>
      <c r="X491" s="491"/>
      <c r="Y491" s="491"/>
      <c r="Z491" s="491"/>
      <c r="AA491" s="491"/>
      <c r="AB491" s="491"/>
      <c r="AC491" s="491"/>
    </row>
    <row r="492" spans="1:29">
      <c r="A492" s="491"/>
      <c r="B492" s="491"/>
      <c r="C492" s="491"/>
      <c r="D492" s="491"/>
      <c r="E492" s="491"/>
      <c r="F492" s="491"/>
      <c r="G492" s="491"/>
      <c r="H492" s="491"/>
      <c r="I492" s="491"/>
      <c r="J492" s="491"/>
      <c r="K492" s="505"/>
      <c r="L492" s="506"/>
      <c r="M492" s="491"/>
      <c r="N492" s="491"/>
      <c r="O492" s="491"/>
      <c r="P492" s="604"/>
      <c r="Q492" s="491"/>
      <c r="R492" s="491"/>
      <c r="S492" s="491"/>
      <c r="T492" s="491"/>
      <c r="U492" s="491"/>
      <c r="V492" s="491"/>
      <c r="W492" s="491"/>
      <c r="X492" s="491"/>
      <c r="Y492" s="491"/>
      <c r="Z492" s="491"/>
      <c r="AA492" s="491"/>
      <c r="AB492" s="491"/>
      <c r="AC492" s="491"/>
    </row>
    <row r="493" spans="1:29">
      <c r="A493" s="491"/>
      <c r="B493" s="491"/>
      <c r="C493" s="491"/>
      <c r="D493" s="491"/>
      <c r="E493" s="491"/>
      <c r="F493" s="491"/>
      <c r="G493" s="491"/>
      <c r="H493" s="491"/>
      <c r="I493" s="491"/>
      <c r="J493" s="491"/>
      <c r="K493" s="505"/>
      <c r="L493" s="506"/>
      <c r="M493" s="491"/>
      <c r="N493" s="491"/>
      <c r="O493" s="491"/>
      <c r="P493" s="604"/>
      <c r="Q493" s="491"/>
      <c r="R493" s="491"/>
      <c r="S493" s="491"/>
      <c r="T493" s="491"/>
      <c r="U493" s="491"/>
      <c r="V493" s="491"/>
      <c r="W493" s="491"/>
      <c r="X493" s="491"/>
      <c r="Y493" s="491"/>
      <c r="Z493" s="491"/>
      <c r="AA493" s="491"/>
      <c r="AB493" s="491"/>
      <c r="AC493" s="491"/>
    </row>
    <row r="494" spans="1:29">
      <c r="A494" s="491"/>
      <c r="B494" s="491"/>
      <c r="C494" s="491"/>
      <c r="D494" s="491"/>
      <c r="E494" s="491"/>
      <c r="F494" s="491"/>
      <c r="G494" s="491"/>
      <c r="H494" s="491"/>
      <c r="I494" s="491"/>
      <c r="J494" s="491"/>
      <c r="K494" s="505"/>
      <c r="L494" s="506"/>
      <c r="M494" s="491"/>
      <c r="N494" s="491"/>
      <c r="O494" s="491"/>
      <c r="P494" s="604"/>
      <c r="Q494" s="491"/>
      <c r="R494" s="491"/>
      <c r="S494" s="491"/>
      <c r="T494" s="491"/>
      <c r="U494" s="491"/>
      <c r="V494" s="491"/>
      <c r="W494" s="491"/>
      <c r="X494" s="491"/>
      <c r="Y494" s="491"/>
      <c r="Z494" s="491"/>
      <c r="AA494" s="491"/>
      <c r="AB494" s="491"/>
      <c r="AC494" s="491"/>
    </row>
    <row r="495" spans="1:29">
      <c r="A495" s="491"/>
      <c r="B495" s="491"/>
      <c r="C495" s="491"/>
      <c r="D495" s="491"/>
      <c r="E495" s="491"/>
      <c r="F495" s="491"/>
      <c r="G495" s="491"/>
      <c r="H495" s="491"/>
      <c r="I495" s="491"/>
      <c r="J495" s="491"/>
      <c r="K495" s="505"/>
      <c r="L495" s="506"/>
      <c r="M495" s="491"/>
      <c r="N495" s="491"/>
      <c r="O495" s="491"/>
      <c r="P495" s="604"/>
      <c r="Q495" s="491"/>
      <c r="R495" s="491"/>
      <c r="S495" s="491"/>
      <c r="T495" s="491"/>
      <c r="U495" s="491"/>
      <c r="V495" s="491"/>
      <c r="W495" s="491"/>
      <c r="X495" s="491"/>
      <c r="Y495" s="491"/>
      <c r="Z495" s="491"/>
      <c r="AA495" s="491"/>
      <c r="AB495" s="491"/>
      <c r="AC495" s="491"/>
    </row>
    <row r="496" spans="1:29">
      <c r="A496" s="491"/>
      <c r="B496" s="491"/>
      <c r="C496" s="491"/>
      <c r="D496" s="491"/>
      <c r="E496" s="491"/>
      <c r="F496" s="491"/>
      <c r="G496" s="491"/>
      <c r="H496" s="491"/>
      <c r="I496" s="491"/>
      <c r="J496" s="491"/>
      <c r="K496" s="505"/>
      <c r="L496" s="506"/>
      <c r="M496" s="491"/>
      <c r="N496" s="491"/>
      <c r="O496" s="491"/>
      <c r="P496" s="604"/>
      <c r="Q496" s="491"/>
      <c r="R496" s="491"/>
      <c r="S496" s="491"/>
      <c r="T496" s="491"/>
      <c r="U496" s="491"/>
      <c r="V496" s="491"/>
      <c r="W496" s="491"/>
      <c r="X496" s="491"/>
      <c r="Y496" s="491"/>
      <c r="Z496" s="491"/>
      <c r="AA496" s="491"/>
      <c r="AB496" s="491"/>
      <c r="AC496" s="491"/>
    </row>
    <row r="497" spans="1:29">
      <c r="A497" s="491"/>
      <c r="B497" s="491"/>
      <c r="C497" s="491"/>
      <c r="D497" s="491"/>
      <c r="E497" s="491"/>
      <c r="F497" s="491"/>
      <c r="G497" s="491"/>
      <c r="H497" s="491"/>
      <c r="I497" s="491"/>
      <c r="J497" s="491"/>
      <c r="K497" s="505"/>
      <c r="L497" s="506"/>
      <c r="M497" s="491"/>
      <c r="N497" s="491"/>
      <c r="O497" s="491"/>
      <c r="P497" s="604"/>
      <c r="Q497" s="491"/>
      <c r="R497" s="491"/>
      <c r="S497" s="491"/>
      <c r="T497" s="491"/>
      <c r="U497" s="491"/>
      <c r="V497" s="491"/>
      <c r="W497" s="491"/>
      <c r="X497" s="491"/>
      <c r="Y497" s="491"/>
      <c r="Z497" s="491"/>
      <c r="AA497" s="491"/>
      <c r="AB497" s="491"/>
      <c r="AC497" s="491"/>
    </row>
    <row r="498" spans="1:29">
      <c r="A498" s="491"/>
      <c r="B498" s="491"/>
      <c r="C498" s="491"/>
      <c r="D498" s="491"/>
      <c r="E498" s="491"/>
      <c r="F498" s="491"/>
      <c r="G498" s="491"/>
      <c r="H498" s="491"/>
      <c r="I498" s="491"/>
      <c r="J498" s="491"/>
      <c r="K498" s="505"/>
      <c r="L498" s="506"/>
      <c r="M498" s="491"/>
      <c r="N498" s="491"/>
      <c r="O498" s="491"/>
      <c r="P498" s="604"/>
      <c r="Q498" s="491"/>
      <c r="R498" s="491"/>
      <c r="S498" s="491"/>
      <c r="T498" s="491"/>
      <c r="U498" s="491"/>
      <c r="V498" s="491"/>
      <c r="W498" s="491"/>
      <c r="X498" s="491"/>
      <c r="Y498" s="491"/>
      <c r="Z498" s="491"/>
      <c r="AA498" s="491"/>
      <c r="AB498" s="491"/>
      <c r="AC498" s="491"/>
    </row>
    <row r="499" spans="1:29">
      <c r="A499" s="491"/>
      <c r="B499" s="491"/>
      <c r="C499" s="491"/>
      <c r="D499" s="491"/>
      <c r="E499" s="491"/>
      <c r="F499" s="491"/>
      <c r="G499" s="491"/>
      <c r="H499" s="491"/>
      <c r="I499" s="491"/>
      <c r="J499" s="491"/>
      <c r="K499" s="505"/>
      <c r="L499" s="506"/>
      <c r="M499" s="491"/>
      <c r="N499" s="491"/>
      <c r="O499" s="491"/>
      <c r="P499" s="604"/>
      <c r="Q499" s="491"/>
      <c r="R499" s="491"/>
      <c r="S499" s="491"/>
      <c r="T499" s="491"/>
      <c r="U499" s="491"/>
      <c r="V499" s="491"/>
      <c r="W499" s="491"/>
      <c r="X499" s="491"/>
      <c r="Y499" s="491"/>
      <c r="Z499" s="491"/>
      <c r="AA499" s="491"/>
      <c r="AB499" s="491"/>
      <c r="AC499" s="491"/>
    </row>
    <row r="500" spans="1:29">
      <c r="A500" s="491"/>
      <c r="B500" s="491"/>
      <c r="C500" s="491"/>
      <c r="D500" s="491"/>
      <c r="E500" s="491"/>
      <c r="F500" s="491"/>
      <c r="G500" s="491"/>
      <c r="H500" s="491"/>
      <c r="I500" s="491"/>
      <c r="J500" s="491"/>
      <c r="K500" s="505"/>
      <c r="L500" s="506"/>
      <c r="M500" s="491"/>
      <c r="N500" s="491"/>
      <c r="O500" s="491"/>
      <c r="P500" s="604"/>
      <c r="Q500" s="491"/>
      <c r="R500" s="491"/>
      <c r="S500" s="491"/>
      <c r="T500" s="491"/>
      <c r="U500" s="491"/>
      <c r="V500" s="491"/>
      <c r="W500" s="491"/>
      <c r="X500" s="491"/>
      <c r="Y500" s="491"/>
      <c r="Z500" s="491"/>
      <c r="AA500" s="491"/>
      <c r="AB500" s="491"/>
      <c r="AC500" s="491"/>
    </row>
    <row r="501" spans="1:29">
      <c r="A501" s="491"/>
      <c r="B501" s="491"/>
      <c r="C501" s="491"/>
      <c r="D501" s="491"/>
      <c r="E501" s="491"/>
      <c r="F501" s="491"/>
      <c r="G501" s="491"/>
      <c r="H501" s="491"/>
      <c r="I501" s="491"/>
      <c r="J501" s="491"/>
      <c r="K501" s="505"/>
      <c r="L501" s="506"/>
      <c r="M501" s="491"/>
      <c r="N501" s="491"/>
      <c r="O501" s="491"/>
      <c r="P501" s="604"/>
      <c r="Q501" s="491"/>
      <c r="R501" s="491"/>
      <c r="S501" s="491"/>
      <c r="T501" s="491"/>
      <c r="U501" s="491"/>
      <c r="V501" s="491"/>
      <c r="W501" s="491"/>
      <c r="X501" s="491"/>
      <c r="Y501" s="491"/>
      <c r="Z501" s="491"/>
      <c r="AA501" s="491"/>
      <c r="AB501" s="491"/>
      <c r="AC501" s="491"/>
    </row>
    <row r="502" spans="1:29">
      <c r="A502" s="491"/>
      <c r="B502" s="491"/>
      <c r="C502" s="491"/>
      <c r="D502" s="491"/>
      <c r="E502" s="491"/>
      <c r="F502" s="491"/>
      <c r="G502" s="491"/>
      <c r="H502" s="491"/>
      <c r="I502" s="491"/>
      <c r="J502" s="491"/>
      <c r="K502" s="505"/>
      <c r="L502" s="506"/>
      <c r="M502" s="491"/>
      <c r="N502" s="491"/>
      <c r="O502" s="491"/>
      <c r="P502" s="604"/>
      <c r="Q502" s="491"/>
      <c r="R502" s="491"/>
      <c r="S502" s="491"/>
      <c r="T502" s="491"/>
      <c r="U502" s="491"/>
      <c r="V502" s="491"/>
      <c r="W502" s="491"/>
      <c r="X502" s="491"/>
      <c r="Y502" s="491"/>
      <c r="Z502" s="491"/>
      <c r="AA502" s="491"/>
      <c r="AB502" s="491"/>
      <c r="AC502" s="491"/>
    </row>
    <row r="503" spans="1:29">
      <c r="A503" s="491"/>
      <c r="B503" s="491"/>
      <c r="C503" s="491"/>
      <c r="D503" s="491"/>
      <c r="E503" s="491"/>
      <c r="F503" s="491"/>
      <c r="G503" s="491"/>
      <c r="H503" s="491"/>
      <c r="I503" s="491"/>
      <c r="J503" s="491"/>
      <c r="K503" s="505"/>
      <c r="L503" s="506"/>
      <c r="M503" s="491"/>
      <c r="N503" s="491"/>
      <c r="O503" s="491"/>
      <c r="P503" s="604"/>
      <c r="Q503" s="491"/>
      <c r="R503" s="491"/>
      <c r="S503" s="491"/>
      <c r="T503" s="491"/>
      <c r="U503" s="491"/>
      <c r="V503" s="491"/>
      <c r="W503" s="491"/>
      <c r="X503" s="491"/>
      <c r="Y503" s="491"/>
      <c r="Z503" s="491"/>
      <c r="AA503" s="491"/>
      <c r="AB503" s="491"/>
      <c r="AC503" s="491"/>
    </row>
    <row r="504" spans="1:29">
      <c r="A504" s="491"/>
      <c r="B504" s="491"/>
      <c r="C504" s="491"/>
      <c r="D504" s="491"/>
      <c r="E504" s="491"/>
      <c r="F504" s="491"/>
      <c r="G504" s="491"/>
      <c r="H504" s="491"/>
      <c r="I504" s="491"/>
      <c r="J504" s="491"/>
      <c r="K504" s="505"/>
      <c r="L504" s="506"/>
      <c r="M504" s="491"/>
      <c r="N504" s="491"/>
      <c r="O504" s="491"/>
      <c r="P504" s="604"/>
      <c r="Q504" s="491"/>
      <c r="R504" s="491"/>
      <c r="S504" s="491"/>
      <c r="T504" s="491"/>
      <c r="U504" s="491"/>
      <c r="V504" s="491"/>
      <c r="W504" s="491"/>
      <c r="X504" s="491"/>
      <c r="Y504" s="491"/>
      <c r="Z504" s="491"/>
      <c r="AA504" s="491"/>
      <c r="AB504" s="491"/>
      <c r="AC504" s="491"/>
    </row>
    <row r="505" spans="1:29">
      <c r="A505" s="491"/>
      <c r="B505" s="491"/>
      <c r="C505" s="491"/>
      <c r="D505" s="491"/>
      <c r="E505" s="491"/>
      <c r="F505" s="491"/>
      <c r="G505" s="491"/>
      <c r="H505" s="491"/>
      <c r="I505" s="491"/>
      <c r="J505" s="491"/>
      <c r="K505" s="505"/>
      <c r="L505" s="506"/>
      <c r="M505" s="491"/>
      <c r="N505" s="491"/>
      <c r="O505" s="491"/>
      <c r="P505" s="604"/>
      <c r="Q505" s="491"/>
      <c r="R505" s="491"/>
      <c r="S505" s="491"/>
      <c r="T505" s="491"/>
      <c r="U505" s="491"/>
      <c r="V505" s="491"/>
      <c r="W505" s="491"/>
      <c r="X505" s="491"/>
      <c r="Y505" s="491"/>
      <c r="Z505" s="491"/>
      <c r="AA505" s="491"/>
      <c r="AB505" s="491"/>
      <c r="AC505" s="491"/>
    </row>
    <row r="506" spans="1:29">
      <c r="A506" s="491"/>
      <c r="B506" s="491"/>
      <c r="C506" s="491"/>
      <c r="D506" s="491"/>
      <c r="E506" s="491"/>
      <c r="F506" s="491"/>
      <c r="G506" s="491"/>
      <c r="H506" s="491"/>
      <c r="I506" s="491"/>
      <c r="J506" s="491"/>
      <c r="K506" s="505"/>
      <c r="L506" s="506"/>
      <c r="M506" s="491"/>
      <c r="N506" s="491"/>
      <c r="O506" s="491"/>
      <c r="P506" s="604"/>
      <c r="Q506" s="491"/>
      <c r="R506" s="491"/>
      <c r="S506" s="491"/>
      <c r="T506" s="491"/>
      <c r="U506" s="491"/>
      <c r="V506" s="491"/>
      <c r="W506" s="491"/>
      <c r="X506" s="491"/>
      <c r="Y506" s="491"/>
      <c r="Z506" s="491"/>
      <c r="AA506" s="491"/>
      <c r="AB506" s="491"/>
      <c r="AC506" s="491"/>
    </row>
    <row r="507" spans="1:29">
      <c r="A507" s="491"/>
      <c r="B507" s="491"/>
      <c r="C507" s="491"/>
      <c r="D507" s="491"/>
      <c r="E507" s="491"/>
      <c r="F507" s="491"/>
      <c r="G507" s="491"/>
      <c r="H507" s="491"/>
      <c r="I507" s="491"/>
      <c r="J507" s="491"/>
      <c r="K507" s="505"/>
      <c r="L507" s="506"/>
      <c r="M507" s="491"/>
      <c r="N507" s="491"/>
      <c r="O507" s="491"/>
      <c r="P507" s="604"/>
      <c r="Q507" s="491"/>
      <c r="R507" s="491"/>
      <c r="S507" s="491"/>
      <c r="T507" s="491"/>
      <c r="U507" s="491"/>
      <c r="V507" s="491"/>
      <c r="W507" s="491"/>
      <c r="X507" s="491"/>
      <c r="Y507" s="491"/>
      <c r="Z507" s="491"/>
      <c r="AA507" s="491"/>
      <c r="AB507" s="491"/>
      <c r="AC507" s="491"/>
    </row>
    <row r="508" spans="1:29">
      <c r="A508" s="491"/>
      <c r="B508" s="491"/>
      <c r="C508" s="491"/>
      <c r="D508" s="491"/>
      <c r="E508" s="491"/>
      <c r="F508" s="491"/>
      <c r="G508" s="491"/>
      <c r="H508" s="491"/>
      <c r="I508" s="491"/>
      <c r="J508" s="491"/>
      <c r="K508" s="505"/>
      <c r="L508" s="506"/>
      <c r="M508" s="491"/>
      <c r="N508" s="491"/>
      <c r="O508" s="491"/>
      <c r="P508" s="604"/>
      <c r="Q508" s="491"/>
      <c r="R508" s="491"/>
      <c r="S508" s="491"/>
      <c r="T508" s="491"/>
      <c r="U508" s="491"/>
      <c r="V508" s="491"/>
      <c r="W508" s="491"/>
      <c r="X508" s="491"/>
      <c r="Y508" s="491"/>
      <c r="Z508" s="491"/>
      <c r="AA508" s="491"/>
      <c r="AB508" s="491"/>
      <c r="AC508" s="491"/>
    </row>
    <row r="509" spans="1:29">
      <c r="A509" s="491"/>
      <c r="B509" s="491"/>
      <c r="C509" s="491"/>
      <c r="D509" s="491"/>
      <c r="E509" s="491"/>
      <c r="F509" s="491"/>
      <c r="G509" s="491"/>
      <c r="H509" s="491"/>
      <c r="I509" s="491"/>
      <c r="J509" s="491"/>
      <c r="K509" s="505"/>
      <c r="L509" s="506"/>
      <c r="M509" s="491"/>
      <c r="N509" s="491"/>
      <c r="O509" s="491"/>
      <c r="P509" s="604"/>
      <c r="Q509" s="491"/>
      <c r="R509" s="491"/>
      <c r="S509" s="491"/>
      <c r="T509" s="491"/>
      <c r="U509" s="491"/>
      <c r="V509" s="491"/>
      <c r="W509" s="491"/>
      <c r="X509" s="491"/>
      <c r="Y509" s="491"/>
      <c r="Z509" s="491"/>
      <c r="AA509" s="491"/>
      <c r="AB509" s="491"/>
      <c r="AC509" s="491"/>
    </row>
    <row r="510" spans="1:29">
      <c r="A510" s="491"/>
      <c r="B510" s="491"/>
      <c r="C510" s="491"/>
      <c r="D510" s="491"/>
      <c r="E510" s="491"/>
      <c r="F510" s="491"/>
      <c r="G510" s="491"/>
      <c r="H510" s="491"/>
      <c r="I510" s="491"/>
      <c r="J510" s="491"/>
      <c r="K510" s="505"/>
      <c r="L510" s="506"/>
      <c r="M510" s="491"/>
      <c r="N510" s="491"/>
      <c r="O510" s="491"/>
      <c r="P510" s="604"/>
      <c r="Q510" s="491"/>
      <c r="R510" s="491"/>
      <c r="S510" s="491"/>
      <c r="T510" s="491"/>
      <c r="U510" s="491"/>
      <c r="V510" s="491"/>
      <c r="W510" s="491"/>
      <c r="X510" s="491"/>
      <c r="Y510" s="491"/>
      <c r="Z510" s="491"/>
      <c r="AA510" s="491"/>
      <c r="AB510" s="491"/>
      <c r="AC510" s="491"/>
    </row>
    <row r="511" spans="1:29">
      <c r="A511" s="491"/>
      <c r="B511" s="491"/>
      <c r="C511" s="491"/>
      <c r="D511" s="491"/>
      <c r="E511" s="491"/>
      <c r="F511" s="491"/>
      <c r="G511" s="491"/>
      <c r="H511" s="491"/>
      <c r="I511" s="491"/>
      <c r="J511" s="491"/>
      <c r="K511" s="505"/>
      <c r="L511" s="506"/>
      <c r="M511" s="491"/>
      <c r="N511" s="491"/>
      <c r="O511" s="491"/>
      <c r="P511" s="604"/>
      <c r="Q511" s="491"/>
      <c r="R511" s="491"/>
      <c r="S511" s="491"/>
      <c r="T511" s="491"/>
      <c r="U511" s="491"/>
      <c r="V511" s="491"/>
      <c r="W511" s="491"/>
      <c r="X511" s="491"/>
      <c r="Y511" s="491"/>
      <c r="Z511" s="491"/>
      <c r="AA511" s="491"/>
      <c r="AB511" s="491"/>
      <c r="AC511" s="491"/>
    </row>
    <row r="512" spans="1:29">
      <c r="A512" s="491"/>
      <c r="B512" s="491"/>
      <c r="C512" s="491"/>
      <c r="D512" s="491"/>
      <c r="E512" s="491"/>
      <c r="F512" s="491"/>
      <c r="G512" s="491"/>
      <c r="H512" s="491"/>
      <c r="I512" s="491"/>
      <c r="J512" s="491"/>
      <c r="K512" s="505"/>
      <c r="L512" s="506"/>
      <c r="M512" s="491"/>
      <c r="N512" s="491"/>
      <c r="O512" s="491"/>
      <c r="P512" s="604"/>
      <c r="Q512" s="491"/>
      <c r="R512" s="491"/>
      <c r="S512" s="491"/>
      <c r="T512" s="491"/>
      <c r="U512" s="491"/>
      <c r="V512" s="491"/>
      <c r="W512" s="491"/>
      <c r="X512" s="491"/>
      <c r="Y512" s="491"/>
      <c r="Z512" s="491"/>
      <c r="AA512" s="491"/>
      <c r="AB512" s="491"/>
      <c r="AC512" s="491"/>
    </row>
    <row r="513" spans="1:29">
      <c r="A513" s="491"/>
      <c r="B513" s="491"/>
      <c r="C513" s="491"/>
      <c r="D513" s="491"/>
      <c r="E513" s="491"/>
      <c r="F513" s="491"/>
      <c r="G513" s="491"/>
      <c r="H513" s="491"/>
      <c r="I513" s="491"/>
      <c r="J513" s="491"/>
      <c r="K513" s="505"/>
      <c r="L513" s="506"/>
      <c r="M513" s="491"/>
      <c r="N513" s="491"/>
      <c r="O513" s="491"/>
      <c r="P513" s="604"/>
      <c r="Q513" s="491"/>
      <c r="R513" s="491"/>
      <c r="S513" s="491"/>
      <c r="T513" s="491"/>
      <c r="U513" s="491"/>
      <c r="V513" s="491"/>
      <c r="W513" s="491"/>
      <c r="X513" s="491"/>
      <c r="Y513" s="491"/>
      <c r="Z513" s="491"/>
      <c r="AA513" s="491"/>
      <c r="AB513" s="491"/>
      <c r="AC513" s="491"/>
    </row>
    <row r="514" spans="1:29">
      <c r="A514" s="491"/>
      <c r="B514" s="491"/>
      <c r="C514" s="491"/>
      <c r="D514" s="491"/>
      <c r="E514" s="491"/>
      <c r="F514" s="491"/>
      <c r="G514" s="491"/>
      <c r="H514" s="491"/>
      <c r="I514" s="491"/>
      <c r="J514" s="491"/>
      <c r="K514" s="505"/>
      <c r="L514" s="506"/>
      <c r="M514" s="491"/>
      <c r="N514" s="491"/>
      <c r="O514" s="491"/>
      <c r="P514" s="604"/>
      <c r="Q514" s="491"/>
      <c r="R514" s="491"/>
      <c r="S514" s="491"/>
      <c r="T514" s="491"/>
      <c r="U514" s="491"/>
      <c r="V514" s="491"/>
      <c r="W514" s="491"/>
      <c r="X514" s="491"/>
      <c r="Y514" s="491"/>
      <c r="Z514" s="491"/>
      <c r="AA514" s="491"/>
      <c r="AB514" s="491"/>
      <c r="AC514" s="491"/>
    </row>
    <row r="515" spans="1:29">
      <c r="A515" s="491"/>
      <c r="B515" s="491"/>
      <c r="C515" s="491"/>
      <c r="D515" s="491"/>
      <c r="E515" s="491"/>
      <c r="F515" s="491"/>
      <c r="G515" s="491"/>
      <c r="H515" s="491"/>
      <c r="I515" s="491"/>
      <c r="J515" s="491"/>
      <c r="K515" s="505"/>
      <c r="L515" s="506"/>
      <c r="M515" s="491"/>
      <c r="N515" s="491"/>
      <c r="O515" s="491"/>
      <c r="P515" s="604"/>
      <c r="Q515" s="491"/>
      <c r="R515" s="491"/>
      <c r="S515" s="491"/>
      <c r="T515" s="491"/>
      <c r="U515" s="491"/>
      <c r="V515" s="491"/>
      <c r="W515" s="491"/>
      <c r="X515" s="491"/>
      <c r="Y515" s="491"/>
      <c r="Z515" s="491"/>
      <c r="AA515" s="491"/>
      <c r="AB515" s="491"/>
      <c r="AC515" s="491"/>
    </row>
    <row r="516" spans="1:29">
      <c r="A516" s="491"/>
      <c r="B516" s="491"/>
      <c r="C516" s="491"/>
      <c r="D516" s="491"/>
      <c r="E516" s="491"/>
      <c r="F516" s="491"/>
      <c r="G516" s="491"/>
      <c r="H516" s="491"/>
      <c r="I516" s="491"/>
      <c r="J516" s="491"/>
      <c r="K516" s="505"/>
      <c r="L516" s="506"/>
      <c r="M516" s="491"/>
      <c r="N516" s="491"/>
      <c r="O516" s="491"/>
      <c r="P516" s="604"/>
      <c r="Q516" s="491"/>
      <c r="R516" s="491"/>
      <c r="S516" s="491"/>
      <c r="T516" s="491"/>
      <c r="U516" s="491"/>
      <c r="V516" s="491"/>
      <c r="W516" s="491"/>
      <c r="X516" s="491"/>
      <c r="Y516" s="491"/>
      <c r="Z516" s="491"/>
      <c r="AA516" s="491"/>
      <c r="AB516" s="491"/>
      <c r="AC516" s="491"/>
    </row>
    <row r="517" spans="1:29">
      <c r="A517" s="491"/>
      <c r="B517" s="491"/>
      <c r="C517" s="491"/>
      <c r="D517" s="491"/>
      <c r="E517" s="491"/>
      <c r="F517" s="491"/>
      <c r="G517" s="491"/>
      <c r="H517" s="491"/>
      <c r="I517" s="491"/>
      <c r="J517" s="491"/>
      <c r="K517" s="505"/>
      <c r="L517" s="506"/>
      <c r="M517" s="491"/>
      <c r="N517" s="491"/>
      <c r="O517" s="491"/>
      <c r="P517" s="604"/>
      <c r="Q517" s="491"/>
      <c r="R517" s="491"/>
      <c r="S517" s="491"/>
      <c r="T517" s="491"/>
      <c r="U517" s="491"/>
      <c r="V517" s="491"/>
      <c r="W517" s="491"/>
      <c r="X517" s="491"/>
      <c r="Y517" s="491"/>
      <c r="Z517" s="491"/>
      <c r="AA517" s="491"/>
      <c r="AB517" s="491"/>
      <c r="AC517" s="491"/>
    </row>
    <row r="518" spans="1:29">
      <c r="A518" s="491"/>
      <c r="B518" s="491"/>
      <c r="C518" s="491"/>
      <c r="D518" s="491"/>
      <c r="E518" s="491"/>
      <c r="F518" s="491"/>
      <c r="G518" s="491"/>
      <c r="H518" s="491"/>
      <c r="I518" s="491"/>
      <c r="J518" s="491"/>
      <c r="K518" s="505"/>
      <c r="L518" s="506"/>
      <c r="M518" s="491"/>
      <c r="N518" s="491"/>
      <c r="O518" s="491"/>
      <c r="P518" s="604"/>
      <c r="Q518" s="491"/>
      <c r="R518" s="491"/>
      <c r="S518" s="491"/>
      <c r="T518" s="491"/>
      <c r="U518" s="491"/>
      <c r="V518" s="491"/>
      <c r="W518" s="491"/>
      <c r="X518" s="491"/>
      <c r="Y518" s="491"/>
      <c r="Z518" s="491"/>
      <c r="AA518" s="491"/>
      <c r="AB518" s="491"/>
      <c r="AC518" s="491"/>
    </row>
    <row r="519" spans="1:29">
      <c r="A519" s="491"/>
      <c r="B519" s="491"/>
      <c r="C519" s="491"/>
      <c r="D519" s="491"/>
      <c r="E519" s="491"/>
      <c r="F519" s="491"/>
      <c r="G519" s="491"/>
      <c r="H519" s="491"/>
      <c r="I519" s="491"/>
      <c r="J519" s="491"/>
      <c r="K519" s="505"/>
      <c r="L519" s="506"/>
      <c r="M519" s="491"/>
      <c r="N519" s="491"/>
      <c r="O519" s="491"/>
      <c r="P519" s="604"/>
      <c r="Q519" s="491"/>
      <c r="R519" s="491"/>
      <c r="S519" s="491"/>
      <c r="T519" s="491"/>
      <c r="U519" s="491"/>
      <c r="V519" s="491"/>
      <c r="W519" s="491"/>
      <c r="X519" s="491"/>
      <c r="Y519" s="491"/>
      <c r="Z519" s="491"/>
      <c r="AA519" s="491"/>
      <c r="AB519" s="491"/>
      <c r="AC519" s="491"/>
    </row>
    <row r="520" spans="1:29">
      <c r="A520" s="491"/>
      <c r="B520" s="491"/>
      <c r="C520" s="491"/>
      <c r="D520" s="491"/>
      <c r="E520" s="491"/>
      <c r="F520" s="491"/>
      <c r="G520" s="491"/>
      <c r="H520" s="491"/>
      <c r="I520" s="491"/>
      <c r="J520" s="491"/>
      <c r="K520" s="505"/>
      <c r="L520" s="506"/>
      <c r="M520" s="491"/>
      <c r="N520" s="491"/>
      <c r="O520" s="491"/>
      <c r="P520" s="604"/>
      <c r="Q520" s="491"/>
      <c r="R520" s="491"/>
      <c r="S520" s="491"/>
      <c r="T520" s="491"/>
      <c r="U520" s="491"/>
      <c r="V520" s="491"/>
      <c r="W520" s="491"/>
      <c r="X520" s="491"/>
      <c r="Y520" s="491"/>
      <c r="Z520" s="491"/>
      <c r="AA520" s="491"/>
      <c r="AB520" s="491"/>
      <c r="AC520" s="491"/>
    </row>
    <row r="521" spans="1:29">
      <c r="A521" s="491"/>
      <c r="B521" s="491"/>
      <c r="C521" s="491"/>
      <c r="D521" s="491"/>
      <c r="E521" s="491"/>
      <c r="F521" s="491"/>
      <c r="G521" s="491"/>
      <c r="H521" s="491"/>
      <c r="I521" s="491"/>
      <c r="J521" s="491"/>
      <c r="K521" s="505"/>
      <c r="L521" s="506"/>
      <c r="M521" s="491"/>
      <c r="N521" s="491"/>
      <c r="O521" s="491"/>
      <c r="P521" s="604"/>
      <c r="Q521" s="491"/>
      <c r="R521" s="491"/>
      <c r="S521" s="491"/>
      <c r="T521" s="491"/>
      <c r="U521" s="491"/>
      <c r="V521" s="491"/>
      <c r="W521" s="491"/>
      <c r="X521" s="491"/>
      <c r="Y521" s="491"/>
      <c r="Z521" s="491"/>
      <c r="AA521" s="491"/>
      <c r="AB521" s="491"/>
      <c r="AC521" s="491"/>
    </row>
    <row r="522" spans="1:29">
      <c r="A522" s="491"/>
      <c r="B522" s="491"/>
      <c r="C522" s="491"/>
      <c r="D522" s="491"/>
      <c r="E522" s="491"/>
      <c r="F522" s="491"/>
      <c r="G522" s="491"/>
      <c r="H522" s="491"/>
      <c r="I522" s="491"/>
      <c r="J522" s="491"/>
      <c r="K522" s="505"/>
      <c r="L522" s="506"/>
      <c r="M522" s="491"/>
      <c r="N522" s="491"/>
      <c r="O522" s="491"/>
      <c r="P522" s="604"/>
      <c r="Q522" s="491"/>
      <c r="R522" s="491"/>
      <c r="S522" s="491"/>
      <c r="T522" s="491"/>
      <c r="U522" s="491"/>
      <c r="V522" s="491"/>
      <c r="W522" s="491"/>
      <c r="X522" s="491"/>
      <c r="Y522" s="491"/>
      <c r="Z522" s="491"/>
      <c r="AA522" s="491"/>
      <c r="AB522" s="491"/>
      <c r="AC522" s="491"/>
    </row>
    <row r="523" spans="1:29">
      <c r="A523" s="491"/>
      <c r="B523" s="491"/>
      <c r="C523" s="491"/>
      <c r="D523" s="491"/>
      <c r="E523" s="491"/>
      <c r="F523" s="491"/>
      <c r="G523" s="491"/>
      <c r="H523" s="491"/>
      <c r="I523" s="491"/>
      <c r="J523" s="491"/>
      <c r="K523" s="505"/>
      <c r="L523" s="506"/>
      <c r="M523" s="491"/>
      <c r="N523" s="491"/>
      <c r="O523" s="491"/>
      <c r="P523" s="604"/>
      <c r="Q523" s="491"/>
      <c r="R523" s="491"/>
      <c r="S523" s="491"/>
      <c r="T523" s="491"/>
      <c r="U523" s="491"/>
      <c r="V523" s="491"/>
      <c r="W523" s="491"/>
      <c r="X523" s="491"/>
      <c r="Y523" s="491"/>
      <c r="Z523" s="491"/>
      <c r="AA523" s="491"/>
      <c r="AB523" s="491"/>
      <c r="AC523" s="491"/>
    </row>
    <row r="524" spans="1:29">
      <c r="A524" s="491"/>
      <c r="B524" s="491"/>
      <c r="C524" s="491"/>
      <c r="D524" s="491"/>
      <c r="E524" s="491"/>
      <c r="F524" s="491"/>
      <c r="G524" s="491"/>
      <c r="H524" s="491"/>
      <c r="I524" s="491"/>
      <c r="J524" s="491"/>
      <c r="K524" s="505"/>
      <c r="L524" s="506"/>
      <c r="M524" s="491"/>
      <c r="N524" s="491"/>
      <c r="O524" s="491"/>
      <c r="P524" s="604"/>
      <c r="Q524" s="491"/>
      <c r="R524" s="491"/>
      <c r="S524" s="491"/>
      <c r="T524" s="491"/>
      <c r="U524" s="491"/>
      <c r="V524" s="491"/>
      <c r="W524" s="491"/>
      <c r="X524" s="491"/>
      <c r="Y524" s="491"/>
      <c r="Z524" s="491"/>
      <c r="AA524" s="491"/>
      <c r="AB524" s="491"/>
      <c r="AC524" s="491"/>
    </row>
    <row r="525" spans="1:29">
      <c r="A525" s="491"/>
      <c r="B525" s="491"/>
      <c r="C525" s="491"/>
      <c r="D525" s="491"/>
      <c r="E525" s="491"/>
      <c r="F525" s="491"/>
      <c r="G525" s="491"/>
      <c r="H525" s="491"/>
      <c r="I525" s="491"/>
      <c r="J525" s="491"/>
      <c r="K525" s="505"/>
      <c r="L525" s="506"/>
      <c r="M525" s="491"/>
      <c r="N525" s="491"/>
      <c r="O525" s="491"/>
      <c r="P525" s="604"/>
      <c r="Q525" s="491"/>
      <c r="R525" s="491"/>
      <c r="S525" s="491"/>
      <c r="T525" s="491"/>
      <c r="U525" s="491"/>
      <c r="V525" s="491"/>
      <c r="W525" s="491"/>
      <c r="X525" s="491"/>
      <c r="Y525" s="491"/>
      <c r="Z525" s="491"/>
      <c r="AA525" s="491"/>
      <c r="AB525" s="491"/>
      <c r="AC525" s="491"/>
    </row>
    <row r="526" spans="1:29">
      <c r="A526" s="491"/>
      <c r="B526" s="491"/>
      <c r="C526" s="491"/>
      <c r="D526" s="491"/>
      <c r="E526" s="491"/>
      <c r="F526" s="491"/>
      <c r="G526" s="491"/>
      <c r="H526" s="491"/>
      <c r="I526" s="491"/>
      <c r="J526" s="491"/>
      <c r="K526" s="505"/>
      <c r="L526" s="506"/>
      <c r="M526" s="491"/>
      <c r="N526" s="491"/>
      <c r="O526" s="491"/>
      <c r="P526" s="604"/>
      <c r="Q526" s="491"/>
      <c r="R526" s="491"/>
      <c r="S526" s="491"/>
      <c r="T526" s="491"/>
      <c r="U526" s="491"/>
      <c r="V526" s="491"/>
      <c r="W526" s="491"/>
      <c r="X526" s="491"/>
      <c r="Y526" s="491"/>
      <c r="Z526" s="491"/>
      <c r="AA526" s="491"/>
      <c r="AB526" s="491"/>
      <c r="AC526" s="491"/>
    </row>
    <row r="527" spans="1:29">
      <c r="A527" s="491"/>
      <c r="B527" s="491"/>
      <c r="C527" s="491"/>
      <c r="D527" s="491"/>
      <c r="E527" s="491"/>
      <c r="F527" s="491"/>
      <c r="G527" s="491"/>
      <c r="H527" s="491"/>
      <c r="I527" s="491"/>
      <c r="J527" s="491"/>
      <c r="K527" s="505"/>
      <c r="L527" s="506"/>
      <c r="M527" s="491"/>
      <c r="N527" s="491"/>
      <c r="O527" s="491"/>
      <c r="P527" s="604"/>
      <c r="Q527" s="491"/>
      <c r="R527" s="491"/>
      <c r="S527" s="491"/>
      <c r="T527" s="491"/>
      <c r="U527" s="491"/>
      <c r="V527" s="491"/>
      <c r="W527" s="491"/>
      <c r="X527" s="491"/>
      <c r="Y527" s="491"/>
      <c r="Z527" s="491"/>
      <c r="AA527" s="491"/>
      <c r="AB527" s="491"/>
      <c r="AC527" s="491"/>
    </row>
    <row r="528" spans="1:29">
      <c r="A528" s="491"/>
      <c r="B528" s="491"/>
      <c r="C528" s="491"/>
      <c r="D528" s="491"/>
      <c r="E528" s="491"/>
      <c r="F528" s="491"/>
      <c r="G528" s="491"/>
      <c r="H528" s="491"/>
      <c r="I528" s="491"/>
      <c r="J528" s="491"/>
      <c r="K528" s="505"/>
      <c r="L528" s="506"/>
      <c r="M528" s="491"/>
      <c r="N528" s="491"/>
      <c r="O528" s="491"/>
      <c r="P528" s="604"/>
      <c r="Q528" s="491"/>
      <c r="R528" s="491"/>
      <c r="S528" s="491"/>
      <c r="T528" s="491"/>
      <c r="U528" s="491"/>
      <c r="V528" s="491"/>
      <c r="W528" s="491"/>
      <c r="X528" s="491"/>
      <c r="Y528" s="491"/>
      <c r="Z528" s="491"/>
      <c r="AA528" s="491"/>
      <c r="AB528" s="491"/>
      <c r="AC528" s="491"/>
    </row>
    <row r="529" spans="1:29">
      <c r="A529" s="491"/>
      <c r="B529" s="491"/>
      <c r="C529" s="491"/>
      <c r="D529" s="491"/>
      <c r="E529" s="491"/>
      <c r="F529" s="491"/>
      <c r="G529" s="491"/>
      <c r="H529" s="491"/>
      <c r="I529" s="491"/>
      <c r="J529" s="491"/>
      <c r="K529" s="505"/>
      <c r="L529" s="506"/>
      <c r="M529" s="491"/>
      <c r="N529" s="491"/>
      <c r="O529" s="491"/>
      <c r="P529" s="604"/>
      <c r="Q529" s="491"/>
      <c r="R529" s="491"/>
      <c r="S529" s="491"/>
      <c r="T529" s="491"/>
      <c r="U529" s="491"/>
      <c r="V529" s="491"/>
      <c r="W529" s="491"/>
      <c r="X529" s="491"/>
      <c r="Y529" s="491"/>
      <c r="Z529" s="491"/>
      <c r="AA529" s="491"/>
      <c r="AB529" s="491"/>
      <c r="AC529" s="491"/>
    </row>
    <row r="530" spans="1:29">
      <c r="A530" s="491"/>
      <c r="B530" s="491"/>
      <c r="C530" s="491"/>
      <c r="D530" s="491"/>
      <c r="E530" s="491"/>
      <c r="F530" s="491"/>
      <c r="G530" s="491"/>
      <c r="H530" s="491"/>
      <c r="I530" s="491"/>
      <c r="J530" s="491"/>
      <c r="K530" s="505"/>
      <c r="L530" s="506"/>
      <c r="M530" s="491"/>
      <c r="N530" s="491"/>
      <c r="O530" s="491"/>
      <c r="P530" s="604"/>
      <c r="Q530" s="491"/>
      <c r="R530" s="491"/>
      <c r="S530" s="491"/>
      <c r="T530" s="491"/>
      <c r="U530" s="491"/>
      <c r="V530" s="491"/>
      <c r="W530" s="491"/>
      <c r="X530" s="491"/>
      <c r="Y530" s="491"/>
      <c r="Z530" s="491"/>
      <c r="AA530" s="491"/>
      <c r="AB530" s="491"/>
      <c r="AC530" s="491"/>
    </row>
    <row r="531" spans="1:29">
      <c r="A531" s="491"/>
      <c r="B531" s="491"/>
      <c r="C531" s="491"/>
      <c r="D531" s="491"/>
      <c r="E531" s="491"/>
      <c r="F531" s="491"/>
      <c r="G531" s="491"/>
      <c r="H531" s="491"/>
      <c r="I531" s="491"/>
      <c r="J531" s="491"/>
      <c r="K531" s="505"/>
      <c r="L531" s="506"/>
      <c r="M531" s="491"/>
      <c r="N531" s="491"/>
      <c r="O531" s="491"/>
      <c r="P531" s="604"/>
      <c r="Q531" s="491"/>
      <c r="R531" s="491"/>
      <c r="S531" s="491"/>
      <c r="T531" s="491"/>
      <c r="U531" s="491"/>
      <c r="V531" s="491"/>
      <c r="W531" s="491"/>
      <c r="X531" s="491"/>
      <c r="Y531" s="491"/>
      <c r="Z531" s="491"/>
      <c r="AA531" s="491"/>
      <c r="AB531" s="491"/>
      <c r="AC531" s="491"/>
    </row>
    <row r="532" spans="1:29">
      <c r="A532" s="491"/>
      <c r="B532" s="491"/>
      <c r="C532" s="491"/>
      <c r="D532" s="491"/>
      <c r="E532" s="491"/>
      <c r="F532" s="491"/>
      <c r="G532" s="491"/>
      <c r="H532" s="491"/>
      <c r="I532" s="491"/>
      <c r="J532" s="491"/>
      <c r="K532" s="505"/>
      <c r="L532" s="506"/>
      <c r="M532" s="491"/>
      <c r="N532" s="491"/>
      <c r="O532" s="491"/>
      <c r="P532" s="604"/>
      <c r="Q532" s="491"/>
      <c r="R532" s="491"/>
      <c r="S532" s="491"/>
      <c r="T532" s="491"/>
      <c r="U532" s="491"/>
      <c r="V532" s="491"/>
      <c r="W532" s="491"/>
      <c r="X532" s="491"/>
      <c r="Y532" s="491"/>
      <c r="Z532" s="491"/>
      <c r="AA532" s="491"/>
      <c r="AB532" s="491"/>
      <c r="AC532" s="491"/>
    </row>
    <row r="533" spans="1:29">
      <c r="A533" s="491"/>
      <c r="B533" s="491"/>
      <c r="C533" s="491"/>
      <c r="D533" s="491"/>
      <c r="E533" s="491"/>
      <c r="F533" s="491"/>
      <c r="G533" s="491"/>
      <c r="H533" s="491"/>
      <c r="I533" s="491"/>
      <c r="J533" s="491"/>
      <c r="K533" s="505"/>
      <c r="L533" s="506"/>
      <c r="M533" s="491"/>
      <c r="N533" s="491"/>
      <c r="O533" s="491"/>
      <c r="P533" s="604"/>
      <c r="Q533" s="491"/>
      <c r="R533" s="491"/>
      <c r="S533" s="491"/>
      <c r="T533" s="491"/>
      <c r="U533" s="491"/>
      <c r="V533" s="491"/>
      <c r="W533" s="491"/>
      <c r="X533" s="491"/>
      <c r="Y533" s="491"/>
      <c r="Z533" s="491"/>
      <c r="AA533" s="491"/>
      <c r="AB533" s="491"/>
      <c r="AC533" s="491"/>
    </row>
    <row r="534" spans="1:29">
      <c r="A534" s="491"/>
      <c r="B534" s="491"/>
      <c r="C534" s="491"/>
      <c r="D534" s="491"/>
      <c r="E534" s="491"/>
      <c r="F534" s="491"/>
      <c r="G534" s="491"/>
      <c r="H534" s="491"/>
      <c r="I534" s="491"/>
      <c r="J534" s="491"/>
      <c r="K534" s="505"/>
      <c r="L534" s="506"/>
      <c r="M534" s="491"/>
      <c r="N534" s="491"/>
      <c r="O534" s="491"/>
      <c r="P534" s="604"/>
      <c r="Q534" s="491"/>
      <c r="R534" s="491"/>
      <c r="S534" s="491"/>
      <c r="T534" s="491"/>
      <c r="U534" s="491"/>
      <c r="V534" s="491"/>
      <c r="W534" s="491"/>
      <c r="X534" s="491"/>
      <c r="Y534" s="491"/>
      <c r="Z534" s="491"/>
      <c r="AA534" s="491"/>
      <c r="AB534" s="491"/>
      <c r="AC534" s="491"/>
    </row>
    <row r="535" spans="1:29">
      <c r="A535" s="491"/>
      <c r="B535" s="491"/>
      <c r="C535" s="491"/>
      <c r="D535" s="491"/>
      <c r="E535" s="491"/>
      <c r="F535" s="491"/>
      <c r="G535" s="491"/>
      <c r="H535" s="491"/>
      <c r="I535" s="491"/>
      <c r="J535" s="491"/>
      <c r="K535" s="505"/>
      <c r="L535" s="506"/>
      <c r="M535" s="491"/>
      <c r="N535" s="491"/>
      <c r="O535" s="491"/>
      <c r="P535" s="604"/>
      <c r="Q535" s="491"/>
      <c r="R535" s="491"/>
      <c r="S535" s="491"/>
      <c r="T535" s="491"/>
      <c r="U535" s="491"/>
      <c r="V535" s="491"/>
      <c r="W535" s="491"/>
      <c r="X535" s="491"/>
      <c r="Y535" s="491"/>
      <c r="Z535" s="491"/>
      <c r="AA535" s="491"/>
      <c r="AB535" s="491"/>
      <c r="AC535" s="491"/>
    </row>
    <row r="536" spans="1:29">
      <c r="A536" s="491"/>
      <c r="B536" s="491"/>
      <c r="C536" s="491"/>
      <c r="D536" s="491"/>
      <c r="E536" s="491"/>
      <c r="F536" s="491"/>
      <c r="G536" s="491"/>
      <c r="H536" s="491"/>
      <c r="I536" s="491"/>
      <c r="J536" s="491"/>
      <c r="K536" s="505"/>
      <c r="L536" s="506"/>
      <c r="M536" s="491"/>
      <c r="N536" s="491"/>
      <c r="O536" s="491"/>
      <c r="P536" s="604"/>
      <c r="Q536" s="491"/>
      <c r="R536" s="491"/>
      <c r="S536" s="491"/>
      <c r="T536" s="491"/>
      <c r="U536" s="491"/>
      <c r="V536" s="491"/>
      <c r="W536" s="491"/>
      <c r="X536" s="491"/>
      <c r="Y536" s="491"/>
      <c r="Z536" s="491"/>
      <c r="AA536" s="491"/>
      <c r="AB536" s="491"/>
      <c r="AC536" s="491"/>
    </row>
    <row r="537" spans="1:29">
      <c r="A537" s="491"/>
      <c r="B537" s="491"/>
      <c r="C537" s="491"/>
      <c r="D537" s="491"/>
      <c r="E537" s="491"/>
      <c r="F537" s="491"/>
      <c r="G537" s="491"/>
      <c r="H537" s="491"/>
      <c r="I537" s="491"/>
      <c r="J537" s="491"/>
      <c r="K537" s="505"/>
      <c r="L537" s="506"/>
      <c r="M537" s="491"/>
      <c r="N537" s="491"/>
      <c r="O537" s="491"/>
      <c r="P537" s="604"/>
      <c r="Q537" s="491"/>
      <c r="R537" s="491"/>
      <c r="S537" s="491"/>
      <c r="T537" s="491"/>
      <c r="U537" s="491"/>
      <c r="V537" s="491"/>
      <c r="W537" s="491"/>
      <c r="X537" s="491"/>
      <c r="Y537" s="491"/>
      <c r="Z537" s="491"/>
      <c r="AA537" s="491"/>
      <c r="AB537" s="491"/>
      <c r="AC537" s="491"/>
    </row>
    <row r="538" spans="1:29">
      <c r="A538" s="491"/>
      <c r="B538" s="491"/>
      <c r="C538" s="491"/>
      <c r="D538" s="491"/>
      <c r="E538" s="491"/>
      <c r="F538" s="491"/>
      <c r="G538" s="491"/>
      <c r="H538" s="491"/>
      <c r="I538" s="491"/>
      <c r="J538" s="491"/>
      <c r="K538" s="505"/>
      <c r="L538" s="506"/>
      <c r="M538" s="491"/>
      <c r="N538" s="491"/>
      <c r="O538" s="491"/>
      <c r="P538" s="604"/>
      <c r="Q538" s="491"/>
      <c r="R538" s="491"/>
      <c r="S538" s="491"/>
      <c r="T538" s="491"/>
      <c r="U538" s="491"/>
      <c r="V538" s="491"/>
      <c r="W538" s="491"/>
      <c r="X538" s="491"/>
      <c r="Y538" s="491"/>
      <c r="Z538" s="491"/>
      <c r="AA538" s="491"/>
      <c r="AB538" s="491"/>
      <c r="AC538" s="491"/>
    </row>
    <row r="539" spans="1:29">
      <c r="A539" s="491"/>
      <c r="B539" s="491"/>
      <c r="C539" s="491"/>
      <c r="D539" s="491"/>
      <c r="E539" s="491"/>
      <c r="F539" s="491"/>
      <c r="G539" s="491"/>
      <c r="H539" s="491"/>
      <c r="I539" s="491"/>
      <c r="J539" s="491"/>
      <c r="K539" s="505"/>
      <c r="L539" s="506"/>
      <c r="M539" s="491"/>
      <c r="N539" s="491"/>
      <c r="O539" s="491"/>
      <c r="P539" s="604"/>
      <c r="Q539" s="491"/>
      <c r="R539" s="491"/>
      <c r="S539" s="491"/>
      <c r="T539" s="491"/>
      <c r="U539" s="491"/>
      <c r="V539" s="491"/>
      <c r="W539" s="491"/>
      <c r="X539" s="491"/>
      <c r="Y539" s="491"/>
      <c r="Z539" s="491"/>
      <c r="AA539" s="491"/>
      <c r="AB539" s="491"/>
      <c r="AC539" s="491"/>
    </row>
    <row r="540" spans="1:29">
      <c r="A540" s="491"/>
      <c r="B540" s="491"/>
      <c r="C540" s="491"/>
      <c r="D540" s="491"/>
      <c r="E540" s="491"/>
      <c r="F540" s="491"/>
      <c r="G540" s="491"/>
      <c r="H540" s="491"/>
      <c r="I540" s="491"/>
      <c r="J540" s="491"/>
      <c r="K540" s="505"/>
      <c r="L540" s="506"/>
      <c r="M540" s="491"/>
      <c r="N540" s="491"/>
      <c r="O540" s="491"/>
      <c r="P540" s="604"/>
      <c r="Q540" s="491"/>
      <c r="R540" s="491"/>
      <c r="S540" s="491"/>
      <c r="T540" s="491"/>
      <c r="U540" s="491"/>
      <c r="V540" s="491"/>
      <c r="W540" s="491"/>
      <c r="X540" s="491"/>
      <c r="Y540" s="491"/>
      <c r="Z540" s="491"/>
      <c r="AA540" s="491"/>
      <c r="AB540" s="491"/>
      <c r="AC540" s="491"/>
    </row>
    <row r="541" spans="1:29">
      <c r="A541" s="491"/>
      <c r="B541" s="491"/>
      <c r="C541" s="491"/>
      <c r="D541" s="491"/>
      <c r="E541" s="491"/>
      <c r="F541" s="491"/>
      <c r="G541" s="491"/>
      <c r="H541" s="491"/>
      <c r="I541" s="491"/>
      <c r="J541" s="491"/>
      <c r="K541" s="505"/>
      <c r="L541" s="506"/>
      <c r="M541" s="491"/>
      <c r="N541" s="491"/>
      <c r="O541" s="491"/>
      <c r="P541" s="604"/>
      <c r="Q541" s="491"/>
      <c r="R541" s="491"/>
      <c r="S541" s="491"/>
      <c r="T541" s="491"/>
      <c r="U541" s="491"/>
      <c r="V541" s="491"/>
      <c r="W541" s="491"/>
      <c r="X541" s="491"/>
      <c r="Y541" s="491"/>
      <c r="Z541" s="491"/>
      <c r="AA541" s="491"/>
      <c r="AB541" s="491"/>
      <c r="AC541" s="491"/>
    </row>
    <row r="542" spans="1:29">
      <c r="A542" s="491"/>
      <c r="B542" s="491"/>
      <c r="C542" s="491"/>
      <c r="D542" s="491"/>
      <c r="E542" s="491"/>
      <c r="F542" s="491"/>
      <c r="G542" s="491"/>
      <c r="H542" s="491"/>
      <c r="I542" s="491"/>
      <c r="J542" s="491"/>
      <c r="K542" s="505"/>
      <c r="L542" s="506"/>
      <c r="M542" s="491"/>
      <c r="N542" s="491"/>
      <c r="O542" s="491"/>
      <c r="P542" s="604"/>
      <c r="Q542" s="491"/>
      <c r="R542" s="491"/>
      <c r="S542" s="491"/>
      <c r="T542" s="491"/>
      <c r="U542" s="491"/>
      <c r="V542" s="491"/>
      <c r="W542" s="491"/>
      <c r="X542" s="491"/>
      <c r="Y542" s="491"/>
      <c r="Z542" s="491"/>
      <c r="AA542" s="491"/>
      <c r="AB542" s="491"/>
      <c r="AC542" s="491"/>
    </row>
    <row r="543" spans="1:29">
      <c r="A543" s="491"/>
      <c r="B543" s="491"/>
      <c r="C543" s="491"/>
      <c r="D543" s="491"/>
      <c r="E543" s="491"/>
      <c r="F543" s="491"/>
      <c r="G543" s="491"/>
      <c r="H543" s="491"/>
      <c r="I543" s="491"/>
      <c r="J543" s="491"/>
      <c r="K543" s="505"/>
      <c r="L543" s="506"/>
      <c r="M543" s="491"/>
      <c r="N543" s="491"/>
      <c r="O543" s="491"/>
      <c r="P543" s="604"/>
      <c r="Q543" s="491"/>
      <c r="R543" s="491"/>
      <c r="S543" s="491"/>
      <c r="T543" s="491"/>
      <c r="U543" s="491"/>
      <c r="V543" s="491"/>
      <c r="W543" s="491"/>
      <c r="X543" s="491"/>
      <c r="Y543" s="491"/>
      <c r="Z543" s="491"/>
      <c r="AA543" s="491"/>
      <c r="AB543" s="491"/>
      <c r="AC543" s="491"/>
    </row>
    <row r="544" spans="1:29">
      <c r="A544" s="491"/>
      <c r="B544" s="491"/>
      <c r="C544" s="491"/>
      <c r="D544" s="491"/>
      <c r="E544" s="491"/>
      <c r="F544" s="491"/>
      <c r="G544" s="491"/>
      <c r="H544" s="491"/>
      <c r="I544" s="491"/>
      <c r="J544" s="491"/>
      <c r="K544" s="505"/>
      <c r="L544" s="506"/>
      <c r="M544" s="491"/>
      <c r="N544" s="491"/>
      <c r="O544" s="491"/>
      <c r="P544" s="604"/>
      <c r="Q544" s="491"/>
      <c r="R544" s="491"/>
      <c r="S544" s="491"/>
      <c r="T544" s="491"/>
      <c r="U544" s="491"/>
      <c r="V544" s="491"/>
      <c r="W544" s="491"/>
      <c r="X544" s="491"/>
      <c r="Y544" s="491"/>
      <c r="Z544" s="491"/>
      <c r="AA544" s="491"/>
      <c r="AB544" s="491"/>
      <c r="AC544" s="491"/>
    </row>
    <row r="545" spans="1:29">
      <c r="A545" s="491"/>
      <c r="B545" s="491"/>
      <c r="C545" s="491"/>
      <c r="D545" s="491"/>
      <c r="E545" s="491"/>
      <c r="F545" s="491"/>
      <c r="G545" s="491"/>
      <c r="H545" s="491"/>
      <c r="I545" s="491"/>
      <c r="J545" s="491"/>
      <c r="K545" s="505"/>
      <c r="L545" s="506"/>
      <c r="M545" s="491"/>
      <c r="N545" s="491"/>
      <c r="O545" s="491"/>
      <c r="P545" s="604"/>
      <c r="Q545" s="491"/>
      <c r="R545" s="491"/>
      <c r="S545" s="491"/>
      <c r="T545" s="491"/>
      <c r="U545" s="491"/>
      <c r="V545" s="491"/>
      <c r="W545" s="491"/>
      <c r="X545" s="491"/>
      <c r="Y545" s="491"/>
      <c r="Z545" s="491"/>
      <c r="AA545" s="491"/>
      <c r="AB545" s="491"/>
      <c r="AC545" s="491"/>
    </row>
    <row r="546" spans="1:29">
      <c r="A546" s="491"/>
      <c r="B546" s="491"/>
      <c r="C546" s="491"/>
      <c r="D546" s="491"/>
      <c r="E546" s="491"/>
      <c r="F546" s="491"/>
      <c r="G546" s="491"/>
      <c r="H546" s="491"/>
      <c r="I546" s="491"/>
      <c r="J546" s="491"/>
      <c r="K546" s="505"/>
      <c r="L546" s="506"/>
      <c r="M546" s="491"/>
      <c r="N546" s="491"/>
      <c r="O546" s="491"/>
      <c r="P546" s="604"/>
      <c r="Q546" s="491"/>
      <c r="R546" s="491"/>
      <c r="S546" s="491"/>
      <c r="T546" s="491"/>
      <c r="U546" s="491"/>
      <c r="V546" s="491"/>
      <c r="W546" s="491"/>
      <c r="X546" s="491"/>
      <c r="Y546" s="491"/>
      <c r="Z546" s="491"/>
      <c r="AA546" s="491"/>
      <c r="AB546" s="491"/>
      <c r="AC546" s="491"/>
    </row>
    <row r="547" spans="1:29">
      <c r="A547" s="491"/>
      <c r="B547" s="491"/>
      <c r="C547" s="491"/>
      <c r="D547" s="491"/>
      <c r="E547" s="491"/>
      <c r="F547" s="491"/>
      <c r="G547" s="491"/>
      <c r="H547" s="491"/>
      <c r="I547" s="491"/>
      <c r="J547" s="491"/>
      <c r="K547" s="505"/>
      <c r="L547" s="506"/>
      <c r="M547" s="491"/>
      <c r="N547" s="491"/>
      <c r="O547" s="491"/>
      <c r="P547" s="604"/>
      <c r="Q547" s="491"/>
      <c r="R547" s="491"/>
      <c r="S547" s="491"/>
      <c r="T547" s="491"/>
      <c r="U547" s="491"/>
      <c r="V547" s="491"/>
      <c r="W547" s="491"/>
      <c r="X547" s="491"/>
      <c r="Y547" s="491"/>
      <c r="Z547" s="491"/>
      <c r="AA547" s="491"/>
      <c r="AB547" s="491"/>
      <c r="AC547" s="491"/>
    </row>
    <row r="548" spans="1:29">
      <c r="A548" s="491"/>
      <c r="B548" s="491"/>
      <c r="C548" s="491"/>
      <c r="D548" s="491"/>
      <c r="E548" s="491"/>
      <c r="F548" s="491"/>
      <c r="G548" s="491"/>
      <c r="H548" s="491"/>
      <c r="I548" s="491"/>
      <c r="J548" s="491"/>
      <c r="K548" s="505"/>
      <c r="L548" s="506"/>
      <c r="M548" s="491"/>
      <c r="N548" s="491"/>
      <c r="O548" s="491"/>
      <c r="P548" s="604"/>
      <c r="Q548" s="491"/>
      <c r="R548" s="491"/>
      <c r="S548" s="491"/>
      <c r="T548" s="491"/>
      <c r="U548" s="491"/>
      <c r="V548" s="491"/>
      <c r="W548" s="491"/>
      <c r="X548" s="491"/>
      <c r="Y548" s="491"/>
      <c r="Z548" s="491"/>
      <c r="AA548" s="491"/>
      <c r="AB548" s="491"/>
      <c r="AC548" s="491"/>
    </row>
    <row r="549" spans="1:29">
      <c r="A549" s="491"/>
      <c r="B549" s="491"/>
      <c r="C549" s="491"/>
      <c r="D549" s="491"/>
      <c r="E549" s="491"/>
      <c r="F549" s="491"/>
      <c r="G549" s="491"/>
      <c r="H549" s="491"/>
      <c r="I549" s="491"/>
      <c r="J549" s="491"/>
      <c r="K549" s="505"/>
      <c r="L549" s="506"/>
      <c r="M549" s="491"/>
      <c r="N549" s="491"/>
      <c r="O549" s="491"/>
      <c r="P549" s="604"/>
      <c r="Q549" s="491"/>
      <c r="R549" s="491"/>
      <c r="S549" s="491"/>
      <c r="T549" s="491"/>
      <c r="U549" s="491"/>
      <c r="V549" s="491"/>
      <c r="W549" s="491"/>
      <c r="X549" s="491"/>
      <c r="Y549" s="491"/>
      <c r="Z549" s="491"/>
      <c r="AA549" s="491"/>
      <c r="AB549" s="491"/>
      <c r="AC549" s="491"/>
    </row>
    <row r="550" spans="1:29">
      <c r="A550" s="491"/>
      <c r="B550" s="491"/>
      <c r="C550" s="491"/>
      <c r="D550" s="491"/>
      <c r="E550" s="491"/>
      <c r="F550" s="491"/>
      <c r="G550" s="491"/>
      <c r="H550" s="491"/>
      <c r="I550" s="491"/>
      <c r="J550" s="491"/>
      <c r="K550" s="505"/>
      <c r="L550" s="506"/>
      <c r="M550" s="491"/>
      <c r="N550" s="491"/>
      <c r="O550" s="491"/>
      <c r="P550" s="604"/>
      <c r="Q550" s="491"/>
      <c r="R550" s="491"/>
      <c r="S550" s="491"/>
      <c r="T550" s="491"/>
      <c r="U550" s="491"/>
      <c r="V550" s="491"/>
      <c r="W550" s="491"/>
      <c r="X550" s="491"/>
      <c r="Y550" s="491"/>
      <c r="Z550" s="491"/>
      <c r="AA550" s="491"/>
      <c r="AB550" s="491"/>
      <c r="AC550" s="491"/>
    </row>
    <row r="551" spans="1:29">
      <c r="A551" s="491"/>
      <c r="B551" s="491"/>
      <c r="C551" s="491"/>
      <c r="D551" s="491"/>
      <c r="E551" s="491"/>
      <c r="F551" s="491"/>
      <c r="G551" s="491"/>
      <c r="H551" s="491"/>
      <c r="I551" s="491"/>
      <c r="J551" s="491"/>
      <c r="K551" s="505"/>
      <c r="L551" s="506"/>
      <c r="M551" s="491"/>
      <c r="N551" s="491"/>
      <c r="O551" s="491"/>
      <c r="P551" s="604"/>
      <c r="Q551" s="491"/>
      <c r="R551" s="491"/>
      <c r="S551" s="491"/>
      <c r="T551" s="491"/>
      <c r="U551" s="491"/>
      <c r="V551" s="491"/>
      <c r="W551" s="491"/>
      <c r="X551" s="491"/>
      <c r="Y551" s="491"/>
      <c r="Z551" s="491"/>
      <c r="AA551" s="491"/>
      <c r="AB551" s="491"/>
      <c r="AC551" s="491"/>
    </row>
    <row r="552" spans="1:29">
      <c r="A552" s="491"/>
      <c r="B552" s="491"/>
      <c r="C552" s="491"/>
      <c r="D552" s="491"/>
      <c r="E552" s="491"/>
      <c r="F552" s="491"/>
      <c r="G552" s="491"/>
      <c r="H552" s="491"/>
      <c r="I552" s="491"/>
      <c r="J552" s="491"/>
      <c r="K552" s="505"/>
      <c r="L552" s="506"/>
      <c r="M552" s="491"/>
      <c r="N552" s="491"/>
      <c r="O552" s="491"/>
      <c r="P552" s="604"/>
      <c r="Q552" s="491"/>
      <c r="R552" s="491"/>
      <c r="S552" s="491"/>
      <c r="T552" s="491"/>
      <c r="U552" s="491"/>
      <c r="V552" s="491"/>
      <c r="W552" s="491"/>
      <c r="X552" s="491"/>
      <c r="Y552" s="491"/>
      <c r="Z552" s="491"/>
      <c r="AA552" s="491"/>
      <c r="AB552" s="491"/>
      <c r="AC552" s="491"/>
    </row>
    <row r="553" spans="1:29">
      <c r="A553" s="491"/>
      <c r="B553" s="491"/>
      <c r="C553" s="491"/>
      <c r="D553" s="491"/>
      <c r="E553" s="491"/>
      <c r="F553" s="491"/>
      <c r="G553" s="491"/>
      <c r="H553" s="491"/>
      <c r="I553" s="491"/>
      <c r="J553" s="491"/>
      <c r="K553" s="505"/>
      <c r="L553" s="506"/>
      <c r="M553" s="491"/>
      <c r="N553" s="491"/>
      <c r="O553" s="491"/>
      <c r="P553" s="604"/>
      <c r="Q553" s="491"/>
      <c r="R553" s="491"/>
      <c r="S553" s="491"/>
      <c r="T553" s="491"/>
      <c r="U553" s="491"/>
      <c r="V553" s="491"/>
      <c r="W553" s="491"/>
      <c r="X553" s="491"/>
      <c r="Y553" s="491"/>
      <c r="Z553" s="491"/>
      <c r="AA553" s="491"/>
      <c r="AB553" s="491"/>
      <c r="AC553" s="491"/>
    </row>
    <row r="554" spans="1:29">
      <c r="A554" s="491"/>
      <c r="B554" s="491"/>
      <c r="C554" s="491"/>
      <c r="D554" s="491"/>
      <c r="E554" s="491"/>
      <c r="F554" s="491"/>
      <c r="G554" s="491"/>
      <c r="H554" s="491"/>
      <c r="I554" s="491"/>
      <c r="J554" s="491"/>
      <c r="K554" s="505"/>
      <c r="L554" s="506"/>
      <c r="M554" s="491"/>
      <c r="N554" s="491"/>
      <c r="O554" s="491"/>
      <c r="P554" s="604"/>
      <c r="Q554" s="491"/>
      <c r="R554" s="491"/>
      <c r="S554" s="491"/>
      <c r="T554" s="491"/>
      <c r="U554" s="491"/>
      <c r="V554" s="491"/>
      <c r="W554" s="491"/>
      <c r="X554" s="491"/>
      <c r="Y554" s="491"/>
      <c r="Z554" s="491"/>
      <c r="AA554" s="491"/>
      <c r="AB554" s="491"/>
      <c r="AC554" s="491"/>
    </row>
    <row r="555" spans="1:29">
      <c r="A555" s="491"/>
      <c r="B555" s="491"/>
      <c r="C555" s="491"/>
      <c r="D555" s="491"/>
      <c r="E555" s="491"/>
      <c r="F555" s="491"/>
      <c r="G555" s="491"/>
      <c r="H555" s="491"/>
      <c r="I555" s="491"/>
      <c r="J555" s="491"/>
      <c r="K555" s="505"/>
      <c r="L555" s="506"/>
      <c r="M555" s="491"/>
      <c r="N555" s="491"/>
      <c r="O555" s="491"/>
      <c r="P555" s="604"/>
      <c r="Q555" s="491"/>
      <c r="R555" s="491"/>
      <c r="S555" s="491"/>
      <c r="T555" s="491"/>
      <c r="U555" s="491"/>
      <c r="V555" s="491"/>
      <c r="W555" s="491"/>
      <c r="X555" s="491"/>
      <c r="Y555" s="491"/>
      <c r="Z555" s="491"/>
      <c r="AA555" s="491"/>
      <c r="AB555" s="491"/>
      <c r="AC555" s="491"/>
    </row>
    <row r="556" spans="1:29">
      <c r="A556" s="491"/>
      <c r="B556" s="491"/>
      <c r="C556" s="491"/>
      <c r="D556" s="491"/>
      <c r="E556" s="491"/>
      <c r="F556" s="491"/>
      <c r="G556" s="491"/>
      <c r="H556" s="491"/>
      <c r="I556" s="491"/>
      <c r="J556" s="491"/>
      <c r="K556" s="505"/>
      <c r="L556" s="506"/>
      <c r="M556" s="491"/>
      <c r="N556" s="491"/>
      <c r="O556" s="491"/>
      <c r="P556" s="604"/>
      <c r="Q556" s="491"/>
      <c r="R556" s="491"/>
      <c r="S556" s="491"/>
      <c r="T556" s="491"/>
      <c r="U556" s="491"/>
      <c r="V556" s="491"/>
      <c r="W556" s="491"/>
      <c r="X556" s="491"/>
      <c r="Y556" s="491"/>
      <c r="Z556" s="491"/>
      <c r="AA556" s="491"/>
      <c r="AB556" s="491"/>
      <c r="AC556" s="491"/>
    </row>
    <row r="557" spans="1:29">
      <c r="A557" s="491"/>
      <c r="B557" s="491"/>
      <c r="C557" s="491"/>
      <c r="D557" s="491"/>
      <c r="E557" s="491"/>
      <c r="F557" s="491"/>
      <c r="G557" s="491"/>
      <c r="H557" s="491"/>
      <c r="I557" s="491"/>
      <c r="J557" s="491"/>
      <c r="K557" s="505"/>
      <c r="L557" s="506"/>
      <c r="M557" s="491"/>
      <c r="N557" s="491"/>
      <c r="O557" s="491"/>
      <c r="P557" s="604"/>
      <c r="Q557" s="491"/>
      <c r="R557" s="491"/>
      <c r="S557" s="491"/>
      <c r="T557" s="491"/>
      <c r="U557" s="491"/>
      <c r="V557" s="491"/>
      <c r="W557" s="491"/>
      <c r="X557" s="491"/>
      <c r="Y557" s="491"/>
      <c r="Z557" s="491"/>
      <c r="AA557" s="491"/>
      <c r="AB557" s="491"/>
      <c r="AC557" s="491"/>
    </row>
    <row r="558" spans="1:29">
      <c r="A558" s="491"/>
      <c r="B558" s="491"/>
      <c r="C558" s="491"/>
      <c r="D558" s="491"/>
      <c r="E558" s="491"/>
      <c r="F558" s="491"/>
      <c r="G558" s="491"/>
      <c r="H558" s="491"/>
      <c r="I558" s="491"/>
      <c r="J558" s="491"/>
      <c r="K558" s="505"/>
      <c r="L558" s="506"/>
      <c r="M558" s="491"/>
      <c r="N558" s="491"/>
      <c r="O558" s="491"/>
      <c r="P558" s="604"/>
      <c r="Q558" s="491"/>
      <c r="R558" s="491"/>
      <c r="S558" s="491"/>
      <c r="T558" s="491"/>
      <c r="U558" s="491"/>
      <c r="V558" s="491"/>
      <c r="W558" s="491"/>
      <c r="X558" s="491"/>
      <c r="Y558" s="491"/>
      <c r="Z558" s="491"/>
      <c r="AA558" s="491"/>
      <c r="AB558" s="491"/>
      <c r="AC558" s="491"/>
    </row>
    <row r="559" spans="1:29">
      <c r="A559" s="491"/>
      <c r="B559" s="491"/>
      <c r="C559" s="491"/>
      <c r="D559" s="491"/>
      <c r="E559" s="491"/>
      <c r="F559" s="491"/>
      <c r="G559" s="491"/>
      <c r="H559" s="491"/>
      <c r="I559" s="491"/>
      <c r="J559" s="491"/>
      <c r="K559" s="505"/>
      <c r="L559" s="506"/>
      <c r="M559" s="491"/>
      <c r="N559" s="491"/>
      <c r="O559" s="491"/>
      <c r="P559" s="604"/>
      <c r="Q559" s="491"/>
      <c r="R559" s="491"/>
      <c r="S559" s="491"/>
      <c r="T559" s="491"/>
      <c r="U559" s="491"/>
      <c r="V559" s="491"/>
      <c r="W559" s="491"/>
      <c r="X559" s="491"/>
      <c r="Y559" s="491"/>
      <c r="Z559" s="491"/>
      <c r="AA559" s="491"/>
      <c r="AB559" s="491"/>
      <c r="AC559" s="491"/>
    </row>
    <row r="560" spans="1:29">
      <c r="A560" s="491"/>
      <c r="B560" s="491"/>
      <c r="C560" s="491"/>
      <c r="D560" s="491"/>
      <c r="E560" s="491"/>
      <c r="F560" s="491"/>
      <c r="G560" s="491"/>
      <c r="H560" s="491"/>
      <c r="I560" s="491"/>
      <c r="J560" s="491"/>
      <c r="K560" s="505"/>
      <c r="L560" s="506"/>
      <c r="M560" s="491"/>
      <c r="N560" s="491"/>
      <c r="O560" s="491"/>
      <c r="P560" s="604"/>
      <c r="Q560" s="491"/>
      <c r="R560" s="491"/>
      <c r="S560" s="491"/>
      <c r="T560" s="491"/>
      <c r="U560" s="491"/>
      <c r="V560" s="491"/>
      <c r="W560" s="491"/>
      <c r="X560" s="491"/>
      <c r="Y560" s="491"/>
      <c r="Z560" s="491"/>
      <c r="AA560" s="491"/>
      <c r="AB560" s="491"/>
      <c r="AC560" s="491"/>
    </row>
    <row r="561" spans="1:29">
      <c r="A561" s="491"/>
      <c r="B561" s="491"/>
      <c r="C561" s="491"/>
      <c r="D561" s="491"/>
      <c r="E561" s="491"/>
      <c r="F561" s="491"/>
      <c r="G561" s="491"/>
      <c r="H561" s="491"/>
      <c r="I561" s="491"/>
      <c r="J561" s="491"/>
      <c r="K561" s="505"/>
      <c r="L561" s="506"/>
      <c r="M561" s="491"/>
      <c r="N561" s="491"/>
      <c r="O561" s="491"/>
      <c r="P561" s="604"/>
      <c r="Q561" s="491"/>
      <c r="R561" s="491"/>
      <c r="S561" s="491"/>
      <c r="T561" s="491"/>
      <c r="U561" s="491"/>
      <c r="V561" s="491"/>
      <c r="W561" s="491"/>
      <c r="X561" s="491"/>
      <c r="Y561" s="491"/>
      <c r="Z561" s="491"/>
      <c r="AA561" s="491"/>
      <c r="AB561" s="491"/>
      <c r="AC561" s="491"/>
    </row>
    <row r="562" spans="1:29">
      <c r="A562" s="491"/>
      <c r="B562" s="491"/>
      <c r="C562" s="491"/>
      <c r="D562" s="491"/>
      <c r="E562" s="491"/>
      <c r="F562" s="491"/>
      <c r="G562" s="491"/>
      <c r="H562" s="491"/>
      <c r="I562" s="491"/>
      <c r="J562" s="491"/>
      <c r="K562" s="505"/>
      <c r="L562" s="506"/>
      <c r="M562" s="491"/>
      <c r="N562" s="491"/>
      <c r="O562" s="491"/>
      <c r="P562" s="604"/>
      <c r="Q562" s="491"/>
      <c r="R562" s="491"/>
      <c r="S562" s="491"/>
      <c r="T562" s="491"/>
      <c r="U562" s="491"/>
      <c r="V562" s="491"/>
      <c r="W562" s="491"/>
      <c r="X562" s="491"/>
      <c r="Y562" s="491"/>
      <c r="Z562" s="491"/>
      <c r="AA562" s="491"/>
      <c r="AB562" s="491"/>
      <c r="AC562" s="491"/>
    </row>
    <row r="563" spans="1:29">
      <c r="A563" s="491"/>
      <c r="B563" s="491"/>
      <c r="C563" s="491"/>
      <c r="D563" s="491"/>
      <c r="E563" s="491"/>
      <c r="F563" s="491"/>
      <c r="G563" s="491"/>
      <c r="H563" s="491"/>
      <c r="I563" s="491"/>
      <c r="J563" s="491"/>
      <c r="K563" s="505"/>
      <c r="L563" s="506"/>
      <c r="M563" s="491"/>
      <c r="N563" s="491"/>
      <c r="O563" s="491"/>
      <c r="P563" s="604"/>
      <c r="Q563" s="491"/>
      <c r="R563" s="491"/>
      <c r="S563" s="491"/>
      <c r="T563" s="491"/>
      <c r="U563" s="491"/>
      <c r="V563" s="491"/>
      <c r="W563" s="491"/>
      <c r="X563" s="491"/>
      <c r="Y563" s="491"/>
      <c r="Z563" s="491"/>
      <c r="AA563" s="491"/>
      <c r="AB563" s="491"/>
      <c r="AC563" s="491"/>
    </row>
    <row r="564" spans="1:29">
      <c r="A564" s="491"/>
      <c r="B564" s="491"/>
      <c r="C564" s="491"/>
      <c r="D564" s="491"/>
      <c r="E564" s="491"/>
      <c r="F564" s="491"/>
      <c r="G564" s="491"/>
      <c r="H564" s="491"/>
      <c r="I564" s="491"/>
      <c r="J564" s="491"/>
      <c r="K564" s="505"/>
      <c r="L564" s="506"/>
      <c r="M564" s="491"/>
      <c r="N564" s="491"/>
      <c r="O564" s="491"/>
      <c r="P564" s="604"/>
      <c r="Q564" s="491"/>
      <c r="R564" s="491"/>
      <c r="S564" s="491"/>
      <c r="T564" s="491"/>
      <c r="U564" s="491"/>
      <c r="V564" s="491"/>
      <c r="W564" s="491"/>
      <c r="X564" s="491"/>
      <c r="Y564" s="491"/>
      <c r="Z564" s="491"/>
      <c r="AA564" s="491"/>
      <c r="AB564" s="491"/>
      <c r="AC564" s="491"/>
    </row>
    <row r="565" spans="1:29">
      <c r="A565" s="491"/>
      <c r="B565" s="491"/>
      <c r="C565" s="491"/>
      <c r="D565" s="491"/>
      <c r="E565" s="491"/>
      <c r="F565" s="491"/>
      <c r="G565" s="491"/>
      <c r="H565" s="491"/>
      <c r="I565" s="491"/>
      <c r="J565" s="491"/>
      <c r="K565" s="505"/>
      <c r="L565" s="506"/>
      <c r="M565" s="491"/>
      <c r="N565" s="491"/>
      <c r="O565" s="491"/>
      <c r="P565" s="604"/>
      <c r="Q565" s="491"/>
      <c r="R565" s="491"/>
      <c r="S565" s="491"/>
      <c r="T565" s="491"/>
      <c r="U565" s="491"/>
      <c r="V565" s="491"/>
      <c r="W565" s="491"/>
      <c r="X565" s="491"/>
      <c r="Y565" s="491"/>
      <c r="Z565" s="491"/>
      <c r="AA565" s="491"/>
      <c r="AB565" s="491"/>
      <c r="AC565" s="491"/>
    </row>
    <row r="566" spans="1:29">
      <c r="A566" s="491"/>
      <c r="B566" s="491"/>
      <c r="C566" s="491"/>
      <c r="D566" s="491"/>
      <c r="E566" s="491"/>
      <c r="F566" s="491"/>
      <c r="G566" s="491"/>
      <c r="H566" s="491"/>
      <c r="I566" s="491"/>
      <c r="J566" s="491"/>
      <c r="K566" s="505"/>
      <c r="L566" s="506"/>
      <c r="M566" s="491"/>
      <c r="N566" s="491"/>
      <c r="O566" s="491"/>
      <c r="P566" s="604"/>
      <c r="Q566" s="491"/>
      <c r="R566" s="491"/>
      <c r="S566" s="491"/>
      <c r="T566" s="491"/>
      <c r="U566" s="491"/>
      <c r="V566" s="491"/>
      <c r="W566" s="491"/>
      <c r="X566" s="491"/>
      <c r="Y566" s="491"/>
      <c r="Z566" s="491"/>
      <c r="AA566" s="491"/>
      <c r="AB566" s="491"/>
      <c r="AC566" s="491"/>
    </row>
    <row r="567" spans="1:29">
      <c r="A567" s="491"/>
      <c r="B567" s="491"/>
      <c r="C567" s="491"/>
      <c r="D567" s="491"/>
      <c r="E567" s="491"/>
      <c r="F567" s="491"/>
      <c r="G567" s="491"/>
      <c r="H567" s="491"/>
      <c r="I567" s="491"/>
      <c r="J567" s="491"/>
      <c r="K567" s="505"/>
      <c r="L567" s="506"/>
      <c r="M567" s="491"/>
      <c r="N567" s="491"/>
      <c r="O567" s="491"/>
      <c r="P567" s="604"/>
      <c r="Q567" s="491"/>
      <c r="R567" s="491"/>
      <c r="S567" s="491"/>
      <c r="T567" s="491"/>
      <c r="U567" s="491"/>
      <c r="V567" s="491"/>
      <c r="W567" s="491"/>
      <c r="X567" s="491"/>
      <c r="Y567" s="491"/>
      <c r="Z567" s="491"/>
      <c r="AA567" s="491"/>
      <c r="AB567" s="491"/>
      <c r="AC567" s="491"/>
    </row>
    <row r="568" spans="1:29">
      <c r="A568" s="491"/>
      <c r="B568" s="491"/>
      <c r="C568" s="491"/>
      <c r="D568" s="491"/>
      <c r="E568" s="491"/>
      <c r="F568" s="491"/>
      <c r="G568" s="491"/>
      <c r="H568" s="491"/>
      <c r="I568" s="491"/>
      <c r="J568" s="491"/>
      <c r="K568" s="505"/>
      <c r="L568" s="506"/>
      <c r="M568" s="491"/>
      <c r="N568" s="491"/>
      <c r="O568" s="491"/>
      <c r="P568" s="604"/>
      <c r="Q568" s="491"/>
      <c r="R568" s="491"/>
      <c r="S568" s="491"/>
      <c r="T568" s="491"/>
      <c r="U568" s="491"/>
      <c r="V568" s="491"/>
      <c r="W568" s="491"/>
      <c r="X568" s="491"/>
      <c r="Y568" s="491"/>
      <c r="Z568" s="491"/>
      <c r="AA568" s="491"/>
      <c r="AB568" s="491"/>
      <c r="AC568" s="491"/>
    </row>
    <row r="569" spans="1:29">
      <c r="A569" s="491"/>
      <c r="B569" s="491"/>
      <c r="C569" s="491"/>
      <c r="D569" s="491"/>
      <c r="E569" s="491"/>
      <c r="F569" s="491"/>
      <c r="G569" s="491"/>
      <c r="H569" s="491"/>
      <c r="I569" s="491"/>
      <c r="J569" s="491"/>
      <c r="K569" s="505"/>
      <c r="L569" s="506"/>
      <c r="M569" s="491"/>
      <c r="N569" s="491"/>
      <c r="O569" s="491"/>
      <c r="P569" s="604"/>
      <c r="Q569" s="491"/>
      <c r="R569" s="491"/>
      <c r="S569" s="491"/>
      <c r="T569" s="491"/>
      <c r="U569" s="491"/>
      <c r="V569" s="491"/>
      <c r="W569" s="491"/>
      <c r="X569" s="491"/>
      <c r="Y569" s="491"/>
      <c r="Z569" s="491"/>
      <c r="AA569" s="491"/>
      <c r="AB569" s="491"/>
      <c r="AC569" s="491"/>
    </row>
    <row r="570" spans="1:29">
      <c r="A570" s="491"/>
      <c r="B570" s="491"/>
      <c r="C570" s="491"/>
      <c r="D570" s="491"/>
      <c r="E570" s="491"/>
      <c r="F570" s="491"/>
      <c r="G570" s="491"/>
      <c r="H570" s="491"/>
      <c r="I570" s="491"/>
      <c r="J570" s="491"/>
      <c r="K570" s="505"/>
      <c r="L570" s="506"/>
      <c r="M570" s="491"/>
      <c r="N570" s="491"/>
      <c r="O570" s="491"/>
      <c r="P570" s="604"/>
      <c r="Q570" s="491"/>
      <c r="R570" s="491"/>
      <c r="S570" s="491"/>
      <c r="T570" s="491"/>
      <c r="U570" s="491"/>
      <c r="V570" s="491"/>
      <c r="W570" s="491"/>
      <c r="X570" s="491"/>
      <c r="Y570" s="491"/>
      <c r="Z570" s="491"/>
      <c r="AA570" s="491"/>
      <c r="AB570" s="491"/>
      <c r="AC570" s="491"/>
    </row>
    <row r="571" spans="1:29">
      <c r="A571" s="491"/>
      <c r="B571" s="491"/>
      <c r="C571" s="491"/>
      <c r="D571" s="491"/>
      <c r="E571" s="491"/>
      <c r="F571" s="491"/>
      <c r="G571" s="491"/>
      <c r="H571" s="491"/>
      <c r="I571" s="491"/>
      <c r="J571" s="491"/>
      <c r="K571" s="505"/>
      <c r="L571" s="506"/>
      <c r="M571" s="491"/>
      <c r="N571" s="491"/>
      <c r="O571" s="491"/>
      <c r="P571" s="604"/>
      <c r="Q571" s="491"/>
      <c r="R571" s="491"/>
      <c r="S571" s="491"/>
      <c r="T571" s="491"/>
      <c r="U571" s="491"/>
      <c r="V571" s="491"/>
      <c r="W571" s="491"/>
      <c r="X571" s="491"/>
      <c r="Y571" s="491"/>
      <c r="Z571" s="491"/>
      <c r="AA571" s="491"/>
      <c r="AB571" s="491"/>
      <c r="AC571" s="491"/>
    </row>
    <row r="572" spans="1:29">
      <c r="A572" s="491"/>
      <c r="B572" s="491"/>
      <c r="C572" s="491"/>
      <c r="D572" s="491"/>
      <c r="E572" s="491"/>
      <c r="F572" s="491"/>
      <c r="G572" s="491"/>
      <c r="H572" s="491"/>
      <c r="I572" s="491"/>
      <c r="J572" s="491"/>
      <c r="K572" s="505"/>
      <c r="L572" s="506"/>
      <c r="M572" s="491"/>
      <c r="N572" s="491"/>
      <c r="O572" s="491"/>
      <c r="P572" s="604"/>
      <c r="Q572" s="491"/>
      <c r="R572" s="491"/>
      <c r="S572" s="491"/>
      <c r="T572" s="491"/>
      <c r="U572" s="491"/>
      <c r="V572" s="491"/>
      <c r="W572" s="491"/>
      <c r="X572" s="491"/>
      <c r="Y572" s="491"/>
      <c r="Z572" s="491"/>
      <c r="AA572" s="491"/>
      <c r="AB572" s="491"/>
      <c r="AC572" s="491"/>
    </row>
    <row r="573" spans="1:29">
      <c r="A573" s="491"/>
      <c r="B573" s="491"/>
      <c r="C573" s="491"/>
      <c r="D573" s="491"/>
      <c r="E573" s="491"/>
      <c r="F573" s="491"/>
      <c r="G573" s="491"/>
      <c r="H573" s="491"/>
      <c r="I573" s="491"/>
      <c r="J573" s="491"/>
      <c r="K573" s="505"/>
      <c r="L573" s="506"/>
      <c r="M573" s="491"/>
      <c r="N573" s="491"/>
      <c r="O573" s="491"/>
      <c r="P573" s="604"/>
      <c r="Q573" s="491"/>
      <c r="R573" s="491"/>
      <c r="S573" s="491"/>
      <c r="T573" s="491"/>
      <c r="U573" s="491"/>
      <c r="V573" s="491"/>
      <c r="W573" s="491"/>
      <c r="X573" s="491"/>
      <c r="Y573" s="491"/>
      <c r="Z573" s="491"/>
      <c r="AA573" s="491"/>
      <c r="AB573" s="491"/>
      <c r="AC573" s="491"/>
    </row>
    <row r="574" spans="1:29">
      <c r="A574" s="491"/>
      <c r="B574" s="491"/>
      <c r="C574" s="491"/>
      <c r="D574" s="491"/>
      <c r="E574" s="491"/>
      <c r="F574" s="491"/>
      <c r="G574" s="491"/>
      <c r="H574" s="491"/>
      <c r="I574" s="491"/>
      <c r="J574" s="491"/>
      <c r="K574" s="505"/>
      <c r="L574" s="506"/>
      <c r="M574" s="491"/>
      <c r="N574" s="491"/>
      <c r="O574" s="491"/>
      <c r="P574" s="604"/>
      <c r="Q574" s="491"/>
      <c r="R574" s="491"/>
      <c r="S574" s="491"/>
      <c r="T574" s="491"/>
      <c r="U574" s="491"/>
      <c r="V574" s="491"/>
      <c r="W574" s="491"/>
      <c r="X574" s="491"/>
      <c r="Y574" s="491"/>
      <c r="Z574" s="491"/>
      <c r="AA574" s="491"/>
      <c r="AB574" s="491"/>
      <c r="AC574" s="491"/>
    </row>
    <row r="575" spans="1:29">
      <c r="A575" s="491"/>
      <c r="B575" s="491"/>
      <c r="C575" s="491"/>
      <c r="D575" s="491"/>
      <c r="E575" s="491"/>
      <c r="F575" s="491"/>
      <c r="G575" s="491"/>
      <c r="H575" s="491"/>
      <c r="I575" s="491"/>
      <c r="J575" s="491"/>
      <c r="K575" s="505"/>
      <c r="L575" s="506"/>
      <c r="M575" s="491"/>
      <c r="N575" s="491"/>
      <c r="O575" s="491"/>
      <c r="P575" s="604"/>
      <c r="Q575" s="491"/>
      <c r="R575" s="491"/>
      <c r="S575" s="491"/>
      <c r="T575" s="491"/>
      <c r="U575" s="491"/>
      <c r="V575" s="491"/>
      <c r="W575" s="491"/>
      <c r="X575" s="491"/>
      <c r="Y575" s="491"/>
      <c r="Z575" s="491"/>
      <c r="AA575" s="491"/>
      <c r="AB575" s="491"/>
      <c r="AC575" s="491"/>
    </row>
    <row r="576" spans="1:29">
      <c r="A576" s="491"/>
      <c r="B576" s="491"/>
      <c r="C576" s="491"/>
      <c r="D576" s="491"/>
      <c r="E576" s="491"/>
      <c r="F576" s="491"/>
      <c r="G576" s="491"/>
      <c r="H576" s="491"/>
      <c r="I576" s="491"/>
      <c r="J576" s="491"/>
      <c r="K576" s="505"/>
      <c r="L576" s="506"/>
      <c r="M576" s="491"/>
      <c r="N576" s="491"/>
      <c r="O576" s="491"/>
      <c r="P576" s="604"/>
      <c r="Q576" s="491"/>
      <c r="R576" s="491"/>
      <c r="S576" s="491"/>
      <c r="T576" s="491"/>
      <c r="U576" s="491"/>
      <c r="V576" s="491"/>
      <c r="W576" s="491"/>
      <c r="X576" s="491"/>
      <c r="Y576" s="491"/>
      <c r="Z576" s="491"/>
      <c r="AA576" s="491"/>
      <c r="AB576" s="491"/>
      <c r="AC576" s="491"/>
    </row>
    <row r="577" spans="1:29">
      <c r="A577" s="491"/>
      <c r="B577" s="491"/>
      <c r="C577" s="491"/>
      <c r="D577" s="491"/>
      <c r="E577" s="491"/>
      <c r="F577" s="491"/>
      <c r="G577" s="491"/>
      <c r="H577" s="491"/>
      <c r="I577" s="491"/>
      <c r="J577" s="491"/>
      <c r="K577" s="505"/>
      <c r="L577" s="506"/>
      <c r="M577" s="491"/>
      <c r="N577" s="491"/>
      <c r="O577" s="491"/>
      <c r="P577" s="604"/>
      <c r="Q577" s="491"/>
      <c r="R577" s="491"/>
      <c r="S577" s="491"/>
      <c r="T577" s="491"/>
      <c r="U577" s="491"/>
      <c r="V577" s="491"/>
      <c r="W577" s="491"/>
      <c r="X577" s="491"/>
      <c r="Y577" s="491"/>
      <c r="Z577" s="491"/>
      <c r="AA577" s="491"/>
      <c r="AB577" s="491"/>
      <c r="AC577" s="491"/>
    </row>
    <row r="578" spans="1:29">
      <c r="A578" s="491"/>
      <c r="B578" s="491"/>
      <c r="C578" s="491"/>
      <c r="D578" s="491"/>
      <c r="E578" s="491"/>
      <c r="F578" s="491"/>
      <c r="G578" s="491"/>
      <c r="H578" s="491"/>
      <c r="I578" s="491"/>
      <c r="J578" s="491"/>
      <c r="K578" s="505"/>
      <c r="L578" s="506"/>
      <c r="M578" s="491"/>
      <c r="N578" s="491"/>
      <c r="O578" s="491"/>
      <c r="P578" s="604"/>
      <c r="Q578" s="491"/>
      <c r="R578" s="491"/>
      <c r="S578" s="491"/>
      <c r="T578" s="491"/>
      <c r="U578" s="491"/>
      <c r="V578" s="491"/>
      <c r="W578" s="491"/>
      <c r="X578" s="491"/>
      <c r="Y578" s="491"/>
      <c r="Z578" s="491"/>
      <c r="AA578" s="491"/>
      <c r="AB578" s="491"/>
      <c r="AC578" s="491"/>
    </row>
    <row r="579" spans="1:29">
      <c r="A579" s="491"/>
      <c r="B579" s="491"/>
      <c r="C579" s="491"/>
      <c r="D579" s="491"/>
      <c r="E579" s="491"/>
      <c r="F579" s="491"/>
      <c r="G579" s="491"/>
      <c r="H579" s="491"/>
      <c r="I579" s="491"/>
      <c r="J579" s="491"/>
      <c r="K579" s="505"/>
      <c r="L579" s="506"/>
      <c r="M579" s="491"/>
      <c r="N579" s="491"/>
      <c r="O579" s="491"/>
      <c r="P579" s="604"/>
      <c r="Q579" s="491"/>
      <c r="R579" s="491"/>
      <c r="S579" s="491"/>
      <c r="T579" s="491"/>
      <c r="U579" s="491"/>
      <c r="V579" s="491"/>
      <c r="W579" s="491"/>
      <c r="X579" s="491"/>
      <c r="Y579" s="491"/>
      <c r="Z579" s="491"/>
      <c r="AA579" s="491"/>
      <c r="AB579" s="491"/>
      <c r="AC579" s="491"/>
    </row>
    <row r="580" spans="1:29">
      <c r="A580" s="491"/>
      <c r="B580" s="491"/>
      <c r="C580" s="491"/>
      <c r="D580" s="491"/>
      <c r="E580" s="491"/>
      <c r="F580" s="491"/>
      <c r="G580" s="491"/>
      <c r="H580" s="491"/>
      <c r="I580" s="491"/>
      <c r="J580" s="491"/>
      <c r="K580" s="505"/>
      <c r="L580" s="506"/>
      <c r="M580" s="491"/>
      <c r="N580" s="491"/>
      <c r="O580" s="491"/>
      <c r="P580" s="604"/>
      <c r="Q580" s="491"/>
      <c r="R580" s="491"/>
      <c r="S580" s="491"/>
      <c r="T580" s="491"/>
      <c r="U580" s="491"/>
      <c r="V580" s="491"/>
      <c r="W580" s="491"/>
      <c r="X580" s="491"/>
      <c r="Y580" s="491"/>
      <c r="Z580" s="491"/>
      <c r="AA580" s="491"/>
      <c r="AB580" s="491"/>
      <c r="AC580" s="491"/>
    </row>
    <row r="581" spans="1:29">
      <c r="A581" s="491"/>
      <c r="B581" s="491"/>
      <c r="C581" s="491"/>
      <c r="D581" s="491"/>
      <c r="E581" s="491"/>
      <c r="F581" s="491"/>
      <c r="G581" s="491"/>
      <c r="H581" s="491"/>
      <c r="I581" s="491"/>
      <c r="J581" s="491"/>
      <c r="K581" s="505"/>
      <c r="L581" s="506"/>
      <c r="M581" s="491"/>
      <c r="N581" s="491"/>
      <c r="O581" s="491"/>
      <c r="P581" s="604"/>
      <c r="Q581" s="491"/>
      <c r="R581" s="491"/>
      <c r="S581" s="491"/>
      <c r="T581" s="491"/>
      <c r="U581" s="491"/>
      <c r="V581" s="491"/>
      <c r="W581" s="491"/>
      <c r="X581" s="491"/>
      <c r="Y581" s="491"/>
      <c r="Z581" s="491"/>
      <c r="AA581" s="491"/>
      <c r="AB581" s="491"/>
      <c r="AC581" s="491"/>
    </row>
    <row r="582" spans="1:29">
      <c r="A582" s="491"/>
      <c r="B582" s="491"/>
      <c r="C582" s="491"/>
      <c r="D582" s="491"/>
      <c r="E582" s="491"/>
      <c r="F582" s="491"/>
      <c r="G582" s="491"/>
      <c r="H582" s="491"/>
      <c r="I582" s="491"/>
      <c r="J582" s="491"/>
      <c r="K582" s="505"/>
      <c r="L582" s="506"/>
      <c r="M582" s="491"/>
      <c r="N582" s="491"/>
      <c r="O582" s="491"/>
      <c r="P582" s="604"/>
      <c r="Q582" s="491"/>
      <c r="R582" s="491"/>
      <c r="S582" s="491"/>
      <c r="T582" s="491"/>
      <c r="U582" s="491"/>
      <c r="V582" s="491"/>
      <c r="W582" s="491"/>
      <c r="X582" s="491"/>
      <c r="Y582" s="491"/>
      <c r="Z582" s="491"/>
      <c r="AA582" s="491"/>
      <c r="AB582" s="491"/>
      <c r="AC582" s="491"/>
    </row>
    <row r="583" spans="1:29">
      <c r="A583" s="491"/>
      <c r="B583" s="491"/>
      <c r="C583" s="491"/>
      <c r="D583" s="491"/>
      <c r="E583" s="491"/>
      <c r="F583" s="491"/>
      <c r="G583" s="491"/>
      <c r="H583" s="491"/>
      <c r="I583" s="491"/>
      <c r="J583" s="491"/>
      <c r="K583" s="505"/>
      <c r="L583" s="506"/>
      <c r="M583" s="491"/>
      <c r="N583" s="491"/>
      <c r="O583" s="491"/>
      <c r="P583" s="604"/>
      <c r="Q583" s="491"/>
      <c r="R583" s="491"/>
      <c r="S583" s="491"/>
      <c r="T583" s="491"/>
      <c r="U583" s="491"/>
      <c r="V583" s="491"/>
      <c r="W583" s="491"/>
      <c r="X583" s="491"/>
      <c r="Y583" s="491"/>
      <c r="Z583" s="491"/>
      <c r="AA583" s="491"/>
      <c r="AB583" s="491"/>
      <c r="AC583" s="491"/>
    </row>
    <row r="584" spans="1:29">
      <c r="A584" s="491"/>
      <c r="B584" s="491"/>
      <c r="C584" s="491"/>
      <c r="D584" s="491"/>
      <c r="E584" s="491"/>
      <c r="F584" s="491"/>
      <c r="G584" s="491"/>
      <c r="H584" s="491"/>
      <c r="I584" s="491"/>
      <c r="J584" s="491"/>
      <c r="K584" s="505"/>
      <c r="L584" s="506"/>
      <c r="M584" s="491"/>
      <c r="N584" s="491"/>
      <c r="O584" s="491"/>
      <c r="P584" s="604"/>
      <c r="Q584" s="491"/>
      <c r="R584" s="491"/>
      <c r="S584" s="491"/>
      <c r="T584" s="491"/>
      <c r="U584" s="491"/>
      <c r="V584" s="491"/>
      <c r="W584" s="491"/>
      <c r="X584" s="491"/>
      <c r="Y584" s="491"/>
      <c r="Z584" s="491"/>
      <c r="AA584" s="491"/>
      <c r="AB584" s="491"/>
      <c r="AC584" s="491"/>
    </row>
    <row r="585" spans="1:29">
      <c r="A585" s="491"/>
      <c r="B585" s="491"/>
      <c r="C585" s="491"/>
      <c r="D585" s="491"/>
      <c r="E585" s="491"/>
      <c r="F585" s="491"/>
      <c r="G585" s="491"/>
      <c r="H585" s="491"/>
      <c r="I585" s="491"/>
      <c r="J585" s="491"/>
      <c r="K585" s="505"/>
      <c r="L585" s="506"/>
      <c r="M585" s="491"/>
      <c r="N585" s="491"/>
      <c r="O585" s="491"/>
      <c r="P585" s="604"/>
      <c r="Q585" s="491"/>
      <c r="R585" s="491"/>
      <c r="S585" s="491"/>
      <c r="T585" s="491"/>
      <c r="U585" s="491"/>
      <c r="V585" s="491"/>
      <c r="W585" s="491"/>
      <c r="X585" s="491"/>
      <c r="Y585" s="491"/>
      <c r="Z585" s="491"/>
      <c r="AA585" s="491"/>
      <c r="AB585" s="491"/>
      <c r="AC585" s="491"/>
    </row>
    <row r="586" spans="1:29">
      <c r="A586" s="491"/>
      <c r="B586" s="491"/>
      <c r="C586" s="491"/>
      <c r="D586" s="491"/>
      <c r="E586" s="491"/>
      <c r="F586" s="491"/>
      <c r="G586" s="491"/>
      <c r="H586" s="491"/>
      <c r="I586" s="491"/>
      <c r="J586" s="491"/>
      <c r="K586" s="505"/>
      <c r="L586" s="506"/>
      <c r="M586" s="491"/>
      <c r="N586" s="491"/>
      <c r="O586" s="491"/>
      <c r="P586" s="604"/>
      <c r="Q586" s="491"/>
      <c r="R586" s="491"/>
      <c r="S586" s="491"/>
      <c r="T586" s="491"/>
      <c r="U586" s="491"/>
      <c r="V586" s="491"/>
      <c r="W586" s="491"/>
      <c r="X586" s="491"/>
      <c r="Y586" s="491"/>
      <c r="Z586" s="491"/>
      <c r="AA586" s="491"/>
      <c r="AB586" s="491"/>
      <c r="AC586" s="491"/>
    </row>
    <row r="587" spans="1:29">
      <c r="A587" s="491"/>
      <c r="B587" s="491"/>
      <c r="C587" s="491"/>
      <c r="D587" s="491"/>
      <c r="E587" s="491"/>
      <c r="F587" s="491"/>
      <c r="G587" s="491"/>
      <c r="H587" s="491"/>
      <c r="I587" s="491"/>
      <c r="J587" s="491"/>
      <c r="K587" s="505"/>
      <c r="L587" s="506"/>
      <c r="M587" s="491"/>
      <c r="N587" s="491"/>
      <c r="O587" s="491"/>
      <c r="P587" s="604"/>
      <c r="Q587" s="491"/>
      <c r="R587" s="491"/>
      <c r="S587" s="491"/>
      <c r="T587" s="491"/>
      <c r="U587" s="491"/>
      <c r="V587" s="491"/>
      <c r="W587" s="491"/>
      <c r="X587" s="491"/>
      <c r="Y587" s="491"/>
      <c r="Z587" s="491"/>
      <c r="AA587" s="491"/>
      <c r="AB587" s="491"/>
      <c r="AC587" s="491"/>
    </row>
    <row r="588" spans="1:29">
      <c r="A588" s="491"/>
      <c r="B588" s="491"/>
      <c r="C588" s="491"/>
      <c r="D588" s="491"/>
      <c r="E588" s="491"/>
      <c r="F588" s="491"/>
      <c r="G588" s="491"/>
      <c r="H588" s="491"/>
      <c r="I588" s="491"/>
      <c r="J588" s="491"/>
      <c r="K588" s="505"/>
      <c r="L588" s="506"/>
      <c r="M588" s="491"/>
      <c r="N588" s="491"/>
      <c r="O588" s="491"/>
      <c r="P588" s="604"/>
      <c r="Q588" s="491"/>
      <c r="R588" s="491"/>
      <c r="S588" s="491"/>
      <c r="T588" s="491"/>
      <c r="U588" s="491"/>
      <c r="V588" s="491"/>
      <c r="W588" s="491"/>
      <c r="X588" s="491"/>
      <c r="Y588" s="491"/>
      <c r="Z588" s="491"/>
      <c r="AA588" s="491"/>
      <c r="AB588" s="491"/>
      <c r="AC588" s="491"/>
    </row>
    <row r="589" spans="1:29">
      <c r="A589" s="491"/>
      <c r="B589" s="491"/>
      <c r="C589" s="491"/>
      <c r="D589" s="491"/>
      <c r="E589" s="491"/>
      <c r="F589" s="491"/>
      <c r="G589" s="491"/>
      <c r="H589" s="491"/>
      <c r="I589" s="491"/>
      <c r="J589" s="491"/>
      <c r="K589" s="505"/>
      <c r="L589" s="506"/>
      <c r="M589" s="491"/>
      <c r="N589" s="491"/>
      <c r="O589" s="491"/>
      <c r="P589" s="604"/>
      <c r="Q589" s="491"/>
      <c r="R589" s="491"/>
      <c r="S589" s="491"/>
      <c r="T589" s="491"/>
      <c r="U589" s="491"/>
      <c r="V589" s="491"/>
      <c r="W589" s="491"/>
      <c r="X589" s="491"/>
      <c r="Y589" s="491"/>
      <c r="Z589" s="491"/>
      <c r="AA589" s="491"/>
      <c r="AB589" s="491"/>
      <c r="AC589" s="491"/>
    </row>
    <row r="590" spans="1:29">
      <c r="A590" s="491"/>
      <c r="B590" s="491"/>
      <c r="C590" s="491"/>
      <c r="D590" s="491"/>
      <c r="E590" s="491"/>
      <c r="F590" s="491"/>
      <c r="G590" s="491"/>
      <c r="H590" s="491"/>
      <c r="I590" s="491"/>
      <c r="J590" s="491"/>
      <c r="K590" s="505"/>
      <c r="L590" s="506"/>
      <c r="M590" s="491"/>
      <c r="N590" s="491"/>
      <c r="O590" s="491"/>
      <c r="P590" s="604"/>
      <c r="Q590" s="491"/>
      <c r="R590" s="491"/>
      <c r="S590" s="491"/>
      <c r="T590" s="491"/>
      <c r="U590" s="491"/>
      <c r="V590" s="491"/>
      <c r="W590" s="491"/>
      <c r="X590" s="491"/>
      <c r="Y590" s="491"/>
      <c r="Z590" s="491"/>
      <c r="AA590" s="491"/>
      <c r="AB590" s="491"/>
      <c r="AC590" s="491"/>
    </row>
    <row r="591" spans="1:29">
      <c r="A591" s="491"/>
      <c r="B591" s="491"/>
      <c r="C591" s="491"/>
      <c r="D591" s="491"/>
      <c r="E591" s="491"/>
      <c r="F591" s="491"/>
      <c r="G591" s="491"/>
      <c r="H591" s="491"/>
      <c r="I591" s="491"/>
      <c r="J591" s="491"/>
      <c r="K591" s="505"/>
      <c r="L591" s="506"/>
      <c r="M591" s="491"/>
      <c r="N591" s="491"/>
      <c r="O591" s="491"/>
      <c r="P591" s="604"/>
      <c r="Q591" s="491"/>
      <c r="R591" s="491"/>
      <c r="S591" s="491"/>
      <c r="T591" s="491"/>
      <c r="U591" s="491"/>
      <c r="V591" s="491"/>
      <c r="W591" s="491"/>
      <c r="X591" s="491"/>
      <c r="Y591" s="491"/>
      <c r="Z591" s="491"/>
      <c r="AA591" s="491"/>
      <c r="AB591" s="491"/>
      <c r="AC591" s="491"/>
    </row>
    <row r="592" spans="1:29">
      <c r="A592" s="491"/>
      <c r="B592" s="491"/>
      <c r="C592" s="491"/>
      <c r="D592" s="491"/>
      <c r="E592" s="491"/>
      <c r="F592" s="491"/>
      <c r="G592" s="491"/>
      <c r="H592" s="491"/>
      <c r="I592" s="491"/>
      <c r="J592" s="491"/>
      <c r="K592" s="505"/>
      <c r="L592" s="506"/>
      <c r="M592" s="491"/>
      <c r="N592" s="491"/>
      <c r="O592" s="491"/>
      <c r="P592" s="604"/>
      <c r="Q592" s="491"/>
      <c r="R592" s="491"/>
      <c r="S592" s="491"/>
      <c r="T592" s="491"/>
      <c r="U592" s="491"/>
      <c r="V592" s="491"/>
      <c r="W592" s="491"/>
      <c r="X592" s="491"/>
      <c r="Y592" s="491"/>
      <c r="Z592" s="491"/>
      <c r="AA592" s="491"/>
      <c r="AB592" s="491"/>
      <c r="AC592" s="491"/>
    </row>
    <row r="593" spans="1:29">
      <c r="A593" s="491"/>
      <c r="B593" s="491"/>
      <c r="C593" s="491"/>
      <c r="D593" s="491"/>
      <c r="E593" s="491"/>
      <c r="F593" s="491"/>
      <c r="G593" s="491"/>
      <c r="H593" s="491"/>
      <c r="I593" s="491"/>
      <c r="J593" s="491"/>
      <c r="K593" s="505"/>
      <c r="L593" s="506"/>
      <c r="M593" s="491"/>
      <c r="N593" s="491"/>
      <c r="O593" s="491"/>
      <c r="P593" s="604"/>
      <c r="Q593" s="491"/>
      <c r="R593" s="491"/>
      <c r="S593" s="491"/>
      <c r="T593" s="491"/>
      <c r="U593" s="491"/>
      <c r="V593" s="491"/>
      <c r="W593" s="491"/>
      <c r="X593" s="491"/>
      <c r="Y593" s="491"/>
      <c r="Z593" s="491"/>
      <c r="AA593" s="491"/>
      <c r="AB593" s="491"/>
      <c r="AC593" s="491"/>
    </row>
    <row r="594" spans="1:29">
      <c r="A594" s="491"/>
      <c r="B594" s="491"/>
      <c r="C594" s="491"/>
      <c r="D594" s="491"/>
      <c r="E594" s="491"/>
      <c r="F594" s="491"/>
      <c r="G594" s="491"/>
      <c r="H594" s="491"/>
      <c r="I594" s="491"/>
      <c r="J594" s="491"/>
      <c r="K594" s="505"/>
      <c r="L594" s="506"/>
      <c r="M594" s="491"/>
      <c r="N594" s="491"/>
      <c r="O594" s="491"/>
      <c r="P594" s="604"/>
      <c r="Q594" s="491"/>
      <c r="R594" s="491"/>
      <c r="S594" s="491"/>
      <c r="T594" s="491"/>
      <c r="U594" s="491"/>
      <c r="V594" s="491"/>
      <c r="W594" s="491"/>
      <c r="X594" s="491"/>
      <c r="Y594" s="491"/>
      <c r="Z594" s="491"/>
      <c r="AA594" s="491"/>
      <c r="AB594" s="491"/>
      <c r="AC594" s="491"/>
    </row>
    <row r="595" spans="1:29">
      <c r="A595" s="491"/>
      <c r="B595" s="491"/>
      <c r="C595" s="491"/>
      <c r="D595" s="491"/>
      <c r="E595" s="491"/>
      <c r="F595" s="491"/>
      <c r="G595" s="491"/>
      <c r="H595" s="491"/>
      <c r="I595" s="491"/>
      <c r="J595" s="491"/>
      <c r="K595" s="505"/>
      <c r="L595" s="506"/>
      <c r="M595" s="491"/>
      <c r="N595" s="491"/>
      <c r="O595" s="491"/>
      <c r="P595" s="604"/>
      <c r="Q595" s="491"/>
      <c r="R595" s="491"/>
      <c r="S595" s="491"/>
      <c r="T595" s="491"/>
      <c r="U595" s="491"/>
      <c r="V595" s="491"/>
      <c r="W595" s="491"/>
      <c r="X595" s="491"/>
      <c r="Y595" s="491"/>
      <c r="Z595" s="491"/>
      <c r="AA595" s="491"/>
      <c r="AB595" s="491"/>
      <c r="AC595" s="491"/>
    </row>
    <row r="596" spans="1:29">
      <c r="A596" s="491"/>
      <c r="B596" s="491"/>
      <c r="C596" s="491"/>
      <c r="D596" s="491"/>
      <c r="E596" s="491"/>
      <c r="F596" s="491"/>
      <c r="G596" s="491"/>
      <c r="H596" s="491"/>
      <c r="I596" s="491"/>
      <c r="J596" s="491"/>
      <c r="K596" s="505"/>
      <c r="L596" s="506"/>
      <c r="M596" s="491"/>
      <c r="N596" s="491"/>
      <c r="O596" s="491"/>
      <c r="P596" s="604"/>
      <c r="Q596" s="491"/>
      <c r="R596" s="491"/>
      <c r="S596" s="491"/>
      <c r="T596" s="491"/>
      <c r="U596" s="491"/>
      <c r="V596" s="491"/>
      <c r="W596" s="491"/>
      <c r="X596" s="491"/>
      <c r="Y596" s="491"/>
      <c r="Z596" s="491"/>
      <c r="AA596" s="491"/>
      <c r="AB596" s="491"/>
      <c r="AC596" s="491"/>
    </row>
    <row r="597" spans="1:29">
      <c r="A597" s="491"/>
      <c r="B597" s="491"/>
      <c r="C597" s="491"/>
      <c r="D597" s="491"/>
      <c r="E597" s="491"/>
      <c r="F597" s="491"/>
      <c r="G597" s="491"/>
      <c r="H597" s="491"/>
      <c r="I597" s="491"/>
      <c r="J597" s="491"/>
      <c r="K597" s="505"/>
      <c r="L597" s="506"/>
      <c r="M597" s="491"/>
      <c r="N597" s="491"/>
      <c r="O597" s="491"/>
      <c r="P597" s="604"/>
      <c r="Q597" s="491"/>
      <c r="R597" s="491"/>
      <c r="S597" s="491"/>
      <c r="T597" s="491"/>
      <c r="U597" s="491"/>
      <c r="V597" s="491"/>
      <c r="W597" s="491"/>
      <c r="X597" s="491"/>
      <c r="Y597" s="491"/>
      <c r="Z597" s="491"/>
      <c r="AA597" s="491"/>
      <c r="AB597" s="491"/>
      <c r="AC597" s="491"/>
    </row>
    <row r="598" spans="1:29">
      <c r="A598" s="491"/>
      <c r="B598" s="491"/>
      <c r="C598" s="491"/>
      <c r="D598" s="491"/>
      <c r="E598" s="491"/>
      <c r="F598" s="491"/>
      <c r="G598" s="491"/>
      <c r="H598" s="491"/>
      <c r="I598" s="491"/>
      <c r="J598" s="491"/>
      <c r="K598" s="505"/>
      <c r="L598" s="506"/>
      <c r="M598" s="491"/>
      <c r="N598" s="491"/>
      <c r="O598" s="491"/>
      <c r="P598" s="604"/>
      <c r="Q598" s="491"/>
      <c r="R598" s="491"/>
      <c r="S598" s="491"/>
      <c r="T598" s="491"/>
      <c r="U598" s="491"/>
      <c r="V598" s="491"/>
      <c r="W598" s="491"/>
      <c r="X598" s="491"/>
      <c r="Y598" s="491"/>
      <c r="Z598" s="491"/>
      <c r="AA598" s="491"/>
      <c r="AB598" s="491"/>
      <c r="AC598" s="491"/>
    </row>
    <row r="599" spans="1:29">
      <c r="A599" s="491"/>
      <c r="B599" s="491"/>
      <c r="C599" s="491"/>
      <c r="D599" s="491"/>
      <c r="E599" s="491"/>
      <c r="F599" s="491"/>
      <c r="G599" s="491"/>
      <c r="H599" s="491"/>
      <c r="I599" s="491"/>
      <c r="J599" s="491"/>
      <c r="K599" s="505"/>
      <c r="L599" s="506"/>
      <c r="M599" s="491"/>
      <c r="N599" s="491"/>
      <c r="O599" s="491"/>
      <c r="P599" s="604"/>
      <c r="Q599" s="491"/>
      <c r="R599" s="491"/>
      <c r="S599" s="491"/>
      <c r="T599" s="491"/>
      <c r="U599" s="491"/>
      <c r="V599" s="491"/>
      <c r="W599" s="491"/>
      <c r="X599" s="491"/>
      <c r="Y599" s="491"/>
      <c r="Z599" s="491"/>
      <c r="AA599" s="491"/>
      <c r="AB599" s="491"/>
      <c r="AC599" s="491"/>
    </row>
    <row r="600" spans="1:29">
      <c r="A600" s="491"/>
      <c r="B600" s="491"/>
      <c r="C600" s="491"/>
      <c r="D600" s="491"/>
      <c r="E600" s="491"/>
      <c r="F600" s="491"/>
      <c r="G600" s="491"/>
      <c r="H600" s="491"/>
      <c r="I600" s="491"/>
      <c r="J600" s="491"/>
      <c r="K600" s="505"/>
      <c r="L600" s="506"/>
      <c r="M600" s="491"/>
      <c r="N600" s="491"/>
      <c r="O600" s="491"/>
      <c r="P600" s="604"/>
      <c r="Q600" s="491"/>
      <c r="R600" s="491"/>
      <c r="S600" s="491"/>
      <c r="T600" s="491"/>
      <c r="U600" s="491"/>
      <c r="V600" s="491"/>
      <c r="W600" s="491"/>
      <c r="X600" s="491"/>
      <c r="Y600" s="491"/>
      <c r="Z600" s="491"/>
      <c r="AA600" s="491"/>
      <c r="AB600" s="491"/>
      <c r="AC600" s="491"/>
    </row>
    <row r="601" spans="1:29">
      <c r="A601" s="491"/>
      <c r="B601" s="491"/>
      <c r="C601" s="491"/>
      <c r="D601" s="491"/>
      <c r="E601" s="491"/>
      <c r="F601" s="491"/>
      <c r="G601" s="491"/>
      <c r="H601" s="491"/>
      <c r="I601" s="491"/>
      <c r="J601" s="491"/>
      <c r="K601" s="505"/>
      <c r="L601" s="506"/>
      <c r="M601" s="491"/>
      <c r="N601" s="491"/>
      <c r="O601" s="491"/>
      <c r="P601" s="604"/>
      <c r="Q601" s="491"/>
      <c r="R601" s="491"/>
      <c r="S601" s="491"/>
      <c r="T601" s="491"/>
      <c r="U601" s="491"/>
      <c r="V601" s="491"/>
      <c r="W601" s="491"/>
      <c r="X601" s="491"/>
      <c r="Y601" s="491"/>
      <c r="Z601" s="491"/>
      <c r="AA601" s="491"/>
      <c r="AB601" s="491"/>
      <c r="AC601" s="491"/>
    </row>
    <row r="602" spans="1:29">
      <c r="A602" s="491"/>
      <c r="B602" s="491"/>
      <c r="C602" s="491"/>
      <c r="D602" s="491"/>
      <c r="E602" s="491"/>
      <c r="F602" s="491"/>
      <c r="G602" s="491"/>
      <c r="H602" s="491"/>
      <c r="I602" s="491"/>
      <c r="J602" s="491"/>
      <c r="K602" s="505"/>
      <c r="L602" s="506"/>
      <c r="M602" s="491"/>
      <c r="N602" s="491"/>
      <c r="O602" s="491"/>
      <c r="P602" s="604"/>
      <c r="Q602" s="491"/>
      <c r="R602" s="491"/>
      <c r="S602" s="491"/>
      <c r="T602" s="491"/>
      <c r="U602" s="491"/>
      <c r="V602" s="491"/>
      <c r="W602" s="491"/>
      <c r="X602" s="491"/>
      <c r="Y602" s="491"/>
      <c r="Z602" s="491"/>
      <c r="AA602" s="491"/>
      <c r="AB602" s="491"/>
      <c r="AC602" s="491"/>
    </row>
    <row r="603" spans="1:29">
      <c r="A603" s="491"/>
      <c r="B603" s="491"/>
      <c r="C603" s="491"/>
      <c r="D603" s="491"/>
      <c r="E603" s="491"/>
      <c r="F603" s="491"/>
      <c r="G603" s="491"/>
      <c r="H603" s="491"/>
      <c r="I603" s="491"/>
      <c r="J603" s="491"/>
      <c r="K603" s="505"/>
      <c r="L603" s="506"/>
      <c r="M603" s="491"/>
      <c r="N603" s="491"/>
      <c r="O603" s="491"/>
      <c r="P603" s="604"/>
      <c r="Q603" s="491"/>
      <c r="R603" s="491"/>
      <c r="S603" s="491"/>
      <c r="T603" s="491"/>
      <c r="U603" s="491"/>
      <c r="V603" s="491"/>
      <c r="W603" s="491"/>
      <c r="X603" s="491"/>
      <c r="Y603" s="491"/>
      <c r="Z603" s="491"/>
      <c r="AA603" s="491"/>
      <c r="AB603" s="491"/>
      <c r="AC603" s="491"/>
    </row>
    <row r="604" spans="1:29">
      <c r="A604" s="491"/>
      <c r="B604" s="491"/>
      <c r="C604" s="491"/>
      <c r="D604" s="491"/>
      <c r="E604" s="491"/>
      <c r="F604" s="491"/>
      <c r="G604" s="491"/>
      <c r="H604" s="491"/>
      <c r="I604" s="491"/>
      <c r="J604" s="491"/>
      <c r="K604" s="505"/>
      <c r="L604" s="506"/>
      <c r="M604" s="491"/>
      <c r="N604" s="491"/>
      <c r="O604" s="491"/>
      <c r="P604" s="604"/>
      <c r="Q604" s="491"/>
      <c r="R604" s="491"/>
      <c r="S604" s="491"/>
      <c r="T604" s="491"/>
      <c r="U604" s="491"/>
      <c r="V604" s="491"/>
      <c r="W604" s="491"/>
      <c r="X604" s="491"/>
      <c r="Y604" s="491"/>
      <c r="Z604" s="491"/>
      <c r="AA604" s="491"/>
      <c r="AB604" s="491"/>
      <c r="AC604" s="491"/>
    </row>
    <row r="605" spans="1:29">
      <c r="A605" s="491"/>
      <c r="B605" s="491"/>
      <c r="C605" s="491"/>
      <c r="D605" s="491"/>
      <c r="E605" s="491"/>
      <c r="F605" s="491"/>
      <c r="G605" s="491"/>
      <c r="H605" s="491"/>
      <c r="I605" s="491"/>
      <c r="J605" s="491"/>
      <c r="K605" s="505"/>
      <c r="L605" s="506"/>
      <c r="M605" s="491"/>
      <c r="N605" s="491"/>
      <c r="O605" s="491"/>
      <c r="P605" s="604"/>
      <c r="Q605" s="491"/>
      <c r="R605" s="491"/>
      <c r="S605" s="491"/>
      <c r="T605" s="491"/>
      <c r="U605" s="491"/>
      <c r="V605" s="491"/>
      <c r="W605" s="491"/>
      <c r="X605" s="491"/>
      <c r="Y605" s="491"/>
      <c r="Z605" s="491"/>
      <c r="AA605" s="491"/>
      <c r="AB605" s="491"/>
      <c r="AC605" s="491"/>
    </row>
    <row r="606" spans="1:29">
      <c r="A606" s="491"/>
      <c r="B606" s="491"/>
      <c r="C606" s="491"/>
      <c r="D606" s="491"/>
      <c r="E606" s="491"/>
      <c r="F606" s="491"/>
      <c r="G606" s="491"/>
      <c r="H606" s="491"/>
      <c r="I606" s="491"/>
      <c r="J606" s="491"/>
      <c r="K606" s="505"/>
      <c r="L606" s="506"/>
      <c r="M606" s="491"/>
      <c r="N606" s="491"/>
      <c r="O606" s="491"/>
      <c r="P606" s="604"/>
      <c r="Q606" s="491"/>
      <c r="R606" s="491"/>
      <c r="S606" s="491"/>
      <c r="T606" s="491"/>
      <c r="U606" s="491"/>
      <c r="V606" s="491"/>
      <c r="W606" s="491"/>
      <c r="X606" s="491"/>
      <c r="Y606" s="491"/>
      <c r="Z606" s="491"/>
      <c r="AA606" s="491"/>
      <c r="AB606" s="491"/>
      <c r="AC606" s="491"/>
    </row>
    <row r="607" spans="1:29">
      <c r="A607" s="491"/>
      <c r="B607" s="491"/>
      <c r="C607" s="491"/>
      <c r="D607" s="491"/>
      <c r="E607" s="491"/>
      <c r="F607" s="491"/>
      <c r="G607" s="491"/>
      <c r="H607" s="491"/>
      <c r="I607" s="491"/>
      <c r="J607" s="491"/>
      <c r="K607" s="505"/>
      <c r="L607" s="506"/>
      <c r="M607" s="491"/>
      <c r="N607" s="491"/>
      <c r="O607" s="491"/>
      <c r="P607" s="604"/>
      <c r="Q607" s="491"/>
      <c r="R607" s="491"/>
      <c r="S607" s="491"/>
      <c r="T607" s="491"/>
      <c r="U607" s="491"/>
      <c r="V607" s="491"/>
      <c r="W607" s="491"/>
      <c r="X607" s="491"/>
      <c r="Y607" s="491"/>
      <c r="Z607" s="491"/>
      <c r="AA607" s="491"/>
      <c r="AB607" s="491"/>
      <c r="AC607" s="491"/>
    </row>
    <row r="608" spans="1:29">
      <c r="A608" s="491"/>
      <c r="B608" s="491"/>
      <c r="C608" s="491"/>
      <c r="D608" s="491"/>
      <c r="E608" s="491"/>
      <c r="F608" s="491"/>
      <c r="G608" s="491"/>
      <c r="H608" s="491"/>
      <c r="I608" s="491"/>
      <c r="J608" s="491"/>
      <c r="K608" s="505"/>
      <c r="L608" s="506"/>
      <c r="M608" s="491"/>
      <c r="N608" s="491"/>
      <c r="O608" s="491"/>
      <c r="P608" s="604"/>
      <c r="Q608" s="491"/>
      <c r="R608" s="491"/>
      <c r="S608" s="491"/>
      <c r="T608" s="491"/>
      <c r="U608" s="491"/>
      <c r="V608" s="491"/>
      <c r="W608" s="491"/>
      <c r="X608" s="491"/>
      <c r="Y608" s="491"/>
      <c r="Z608" s="491"/>
      <c r="AA608" s="491"/>
      <c r="AB608" s="491"/>
      <c r="AC608" s="491"/>
    </row>
    <row r="609" spans="1:29">
      <c r="A609" s="491"/>
      <c r="B609" s="491"/>
      <c r="C609" s="491"/>
      <c r="D609" s="491"/>
      <c r="E609" s="491"/>
      <c r="F609" s="491"/>
      <c r="G609" s="491"/>
      <c r="H609" s="491"/>
      <c r="I609" s="491"/>
      <c r="J609" s="491"/>
      <c r="K609" s="505"/>
      <c r="L609" s="506"/>
      <c r="M609" s="491"/>
      <c r="N609" s="491"/>
      <c r="O609" s="491"/>
      <c r="P609" s="604"/>
      <c r="Q609" s="491"/>
      <c r="R609" s="491"/>
      <c r="S609" s="491"/>
      <c r="T609" s="491"/>
      <c r="U609" s="491"/>
      <c r="V609" s="491"/>
      <c r="W609" s="491"/>
      <c r="X609" s="491"/>
      <c r="Y609" s="491"/>
      <c r="Z609" s="491"/>
      <c r="AA609" s="491"/>
      <c r="AB609" s="491"/>
      <c r="AC609" s="491"/>
    </row>
    <row r="610" spans="1:29">
      <c r="A610" s="491"/>
      <c r="B610" s="491"/>
      <c r="C610" s="491"/>
      <c r="D610" s="491"/>
      <c r="E610" s="491"/>
      <c r="F610" s="491"/>
      <c r="G610" s="491"/>
      <c r="H610" s="491"/>
      <c r="I610" s="491"/>
      <c r="J610" s="491"/>
      <c r="K610" s="505"/>
      <c r="L610" s="506"/>
      <c r="M610" s="491"/>
      <c r="N610" s="491"/>
      <c r="O610" s="491"/>
      <c r="P610" s="604"/>
      <c r="Q610" s="491"/>
      <c r="R610" s="491"/>
      <c r="S610" s="491"/>
      <c r="T610" s="491"/>
      <c r="U610" s="491"/>
      <c r="V610" s="491"/>
      <c r="W610" s="491"/>
      <c r="X610" s="491"/>
      <c r="Y610" s="491"/>
      <c r="Z610" s="491"/>
      <c r="AA610" s="491"/>
      <c r="AB610" s="491"/>
      <c r="AC610" s="491"/>
    </row>
    <row r="611" spans="1:29">
      <c r="A611" s="491"/>
      <c r="B611" s="491"/>
      <c r="C611" s="491"/>
      <c r="D611" s="491"/>
      <c r="E611" s="491"/>
      <c r="F611" s="491"/>
      <c r="G611" s="491"/>
      <c r="H611" s="491"/>
      <c r="I611" s="491"/>
      <c r="J611" s="491"/>
      <c r="K611" s="505"/>
      <c r="L611" s="506"/>
      <c r="M611" s="491"/>
      <c r="N611" s="491"/>
      <c r="O611" s="491"/>
      <c r="P611" s="604"/>
      <c r="Q611" s="491"/>
      <c r="R611" s="491"/>
      <c r="S611" s="491"/>
      <c r="T611" s="491"/>
      <c r="U611" s="491"/>
      <c r="V611" s="491"/>
      <c r="W611" s="491"/>
      <c r="X611" s="491"/>
      <c r="Y611" s="491"/>
      <c r="Z611" s="491"/>
      <c r="AA611" s="491"/>
      <c r="AB611" s="491"/>
      <c r="AC611" s="491"/>
    </row>
    <row r="612" spans="1:29">
      <c r="A612" s="491"/>
      <c r="B612" s="491"/>
      <c r="C612" s="491"/>
      <c r="D612" s="491"/>
      <c r="E612" s="491"/>
      <c r="F612" s="491"/>
      <c r="G612" s="491"/>
      <c r="H612" s="491"/>
      <c r="I612" s="491"/>
      <c r="J612" s="491"/>
      <c r="K612" s="505"/>
      <c r="L612" s="506"/>
      <c r="M612" s="491"/>
      <c r="N612" s="491"/>
      <c r="O612" s="491"/>
      <c r="P612" s="604"/>
      <c r="Q612" s="491"/>
      <c r="R612" s="491"/>
      <c r="S612" s="491"/>
      <c r="T612" s="491"/>
      <c r="U612" s="491"/>
      <c r="V612" s="491"/>
      <c r="W612" s="491"/>
      <c r="X612" s="491"/>
      <c r="Y612" s="491"/>
      <c r="Z612" s="491"/>
      <c r="AA612" s="491"/>
      <c r="AB612" s="491"/>
      <c r="AC612" s="491"/>
    </row>
    <row r="613" spans="1:29">
      <c r="A613" s="491"/>
      <c r="B613" s="491"/>
      <c r="C613" s="491"/>
      <c r="D613" s="491"/>
      <c r="E613" s="491"/>
      <c r="F613" s="491"/>
      <c r="G613" s="491"/>
      <c r="H613" s="491"/>
      <c r="I613" s="491"/>
      <c r="J613" s="491"/>
      <c r="K613" s="505"/>
      <c r="L613" s="506"/>
      <c r="M613" s="491"/>
      <c r="N613" s="491"/>
      <c r="O613" s="491"/>
      <c r="P613" s="604"/>
      <c r="Q613" s="491"/>
      <c r="R613" s="491"/>
      <c r="S613" s="491"/>
      <c r="T613" s="491"/>
      <c r="U613" s="491"/>
      <c r="V613" s="491"/>
      <c r="W613" s="491"/>
      <c r="X613" s="491"/>
      <c r="Y613" s="491"/>
      <c r="Z613" s="491"/>
      <c r="AA613" s="491"/>
      <c r="AB613" s="491"/>
      <c r="AC613" s="491"/>
    </row>
    <row r="614" spans="1:29">
      <c r="A614" s="491"/>
      <c r="B614" s="491"/>
      <c r="C614" s="491"/>
      <c r="D614" s="491"/>
      <c r="E614" s="491"/>
      <c r="F614" s="491"/>
      <c r="G614" s="491"/>
      <c r="H614" s="491"/>
      <c r="I614" s="491"/>
      <c r="J614" s="491"/>
      <c r="K614" s="505"/>
      <c r="L614" s="506"/>
      <c r="M614" s="491"/>
      <c r="N614" s="491"/>
      <c r="O614" s="491"/>
      <c r="P614" s="604"/>
      <c r="Q614" s="491"/>
      <c r="R614" s="491"/>
      <c r="S614" s="491"/>
      <c r="T614" s="491"/>
      <c r="U614" s="491"/>
      <c r="V614" s="491"/>
      <c r="W614" s="491"/>
      <c r="X614" s="491"/>
      <c r="Y614" s="491"/>
      <c r="Z614" s="491"/>
      <c r="AA614" s="491"/>
      <c r="AB614" s="491"/>
      <c r="AC614" s="491"/>
    </row>
    <row r="615" spans="1:29">
      <c r="A615" s="491"/>
      <c r="B615" s="491"/>
      <c r="C615" s="491"/>
      <c r="D615" s="491"/>
      <c r="E615" s="491"/>
      <c r="F615" s="491"/>
      <c r="G615" s="491"/>
      <c r="H615" s="491"/>
      <c r="I615" s="491"/>
      <c r="J615" s="491"/>
      <c r="K615" s="505"/>
      <c r="L615" s="506"/>
      <c r="M615" s="491"/>
      <c r="N615" s="491"/>
      <c r="O615" s="491"/>
      <c r="P615" s="604"/>
      <c r="Q615" s="491"/>
      <c r="R615" s="491"/>
      <c r="S615" s="491"/>
      <c r="T615" s="491"/>
      <c r="U615" s="491"/>
      <c r="V615" s="491"/>
      <c r="W615" s="491"/>
      <c r="X615" s="491"/>
      <c r="Y615" s="491"/>
      <c r="Z615" s="491"/>
      <c r="AA615" s="491"/>
      <c r="AB615" s="491"/>
      <c r="AC615" s="491"/>
    </row>
    <row r="616" spans="1:29">
      <c r="A616" s="491"/>
      <c r="B616" s="491"/>
      <c r="C616" s="491"/>
      <c r="D616" s="491"/>
      <c r="E616" s="491"/>
      <c r="F616" s="491"/>
      <c r="G616" s="491"/>
      <c r="H616" s="491"/>
      <c r="I616" s="491"/>
      <c r="J616" s="491"/>
      <c r="K616" s="505"/>
      <c r="L616" s="506"/>
      <c r="M616" s="491"/>
      <c r="N616" s="491"/>
      <c r="O616" s="491"/>
      <c r="P616" s="604"/>
      <c r="Q616" s="491"/>
      <c r="R616" s="491"/>
      <c r="S616" s="491"/>
      <c r="T616" s="491"/>
      <c r="U616" s="491"/>
      <c r="V616" s="491"/>
      <c r="W616" s="491"/>
      <c r="X616" s="491"/>
      <c r="Y616" s="491"/>
      <c r="Z616" s="491"/>
      <c r="AA616" s="491"/>
      <c r="AB616" s="491"/>
      <c r="AC616" s="491"/>
    </row>
    <row r="617" spans="1:29">
      <c r="A617" s="491"/>
      <c r="B617" s="491"/>
      <c r="C617" s="491"/>
      <c r="D617" s="491"/>
      <c r="E617" s="491"/>
      <c r="F617" s="491"/>
      <c r="G617" s="491"/>
      <c r="H617" s="491"/>
      <c r="I617" s="491"/>
      <c r="J617" s="491"/>
      <c r="K617" s="505"/>
      <c r="L617" s="506"/>
      <c r="M617" s="491"/>
      <c r="N617" s="491"/>
      <c r="O617" s="491"/>
      <c r="P617" s="604"/>
      <c r="Q617" s="491"/>
      <c r="R617" s="491"/>
      <c r="S617" s="491"/>
      <c r="T617" s="491"/>
      <c r="U617" s="491"/>
      <c r="V617" s="491"/>
      <c r="W617" s="491"/>
      <c r="X617" s="491"/>
      <c r="Y617" s="491"/>
      <c r="Z617" s="491"/>
      <c r="AA617" s="491"/>
      <c r="AB617" s="491"/>
      <c r="AC617" s="491"/>
    </row>
    <row r="618" spans="1:29">
      <c r="A618" s="491"/>
      <c r="B618" s="491"/>
      <c r="C618" s="491"/>
      <c r="D618" s="491"/>
      <c r="E618" s="491"/>
      <c r="F618" s="491"/>
      <c r="G618" s="491"/>
      <c r="H618" s="491"/>
      <c r="I618" s="491"/>
      <c r="J618" s="491"/>
      <c r="K618" s="505"/>
      <c r="L618" s="506"/>
      <c r="M618" s="491"/>
      <c r="N618" s="491"/>
      <c r="O618" s="491"/>
      <c r="P618" s="604"/>
      <c r="Q618" s="491"/>
      <c r="R618" s="491"/>
      <c r="S618" s="491"/>
      <c r="T618" s="491"/>
      <c r="U618" s="491"/>
      <c r="V618" s="491"/>
      <c r="W618" s="491"/>
      <c r="X618" s="491"/>
      <c r="Y618" s="491"/>
      <c r="Z618" s="491"/>
      <c r="AA618" s="491"/>
      <c r="AB618" s="491"/>
      <c r="AC618" s="491"/>
    </row>
    <row r="619" spans="1:29">
      <c r="A619" s="491"/>
      <c r="B619" s="491"/>
      <c r="C619" s="491"/>
      <c r="D619" s="491"/>
      <c r="E619" s="491"/>
      <c r="F619" s="491"/>
      <c r="G619" s="491"/>
      <c r="H619" s="491"/>
      <c r="I619" s="491"/>
      <c r="J619" s="491"/>
      <c r="K619" s="505"/>
      <c r="L619" s="506"/>
      <c r="M619" s="491"/>
      <c r="N619" s="491"/>
      <c r="O619" s="491"/>
      <c r="P619" s="604"/>
      <c r="Q619" s="491"/>
      <c r="R619" s="491"/>
      <c r="S619" s="491"/>
      <c r="T619" s="491"/>
      <c r="U619" s="491"/>
      <c r="V619" s="491"/>
      <c r="W619" s="491"/>
      <c r="X619" s="491"/>
      <c r="Y619" s="491"/>
      <c r="Z619" s="491"/>
      <c r="AA619" s="491"/>
      <c r="AB619" s="491"/>
      <c r="AC619" s="491"/>
    </row>
    <row r="620" spans="1:29">
      <c r="A620" s="491"/>
      <c r="B620" s="491"/>
      <c r="C620" s="491"/>
      <c r="D620" s="491"/>
      <c r="E620" s="491"/>
      <c r="F620" s="491"/>
      <c r="G620" s="491"/>
      <c r="H620" s="491"/>
      <c r="I620" s="491"/>
      <c r="J620" s="491"/>
      <c r="K620" s="505"/>
      <c r="L620" s="506"/>
      <c r="M620" s="491"/>
      <c r="N620" s="491"/>
      <c r="O620" s="491"/>
      <c r="P620" s="604"/>
      <c r="Q620" s="491"/>
      <c r="R620" s="491"/>
      <c r="S620" s="491"/>
      <c r="T620" s="491"/>
      <c r="U620" s="491"/>
      <c r="V620" s="491"/>
      <c r="W620" s="491"/>
      <c r="X620" s="491"/>
      <c r="Y620" s="491"/>
      <c r="Z620" s="491"/>
      <c r="AA620" s="491"/>
      <c r="AB620" s="491"/>
      <c r="AC620" s="491"/>
    </row>
    <row r="621" spans="1:29">
      <c r="A621" s="491"/>
      <c r="B621" s="491"/>
      <c r="C621" s="491"/>
      <c r="D621" s="491"/>
      <c r="E621" s="491"/>
      <c r="F621" s="491"/>
      <c r="G621" s="491"/>
      <c r="H621" s="491"/>
      <c r="I621" s="491"/>
      <c r="J621" s="491"/>
      <c r="K621" s="505"/>
      <c r="L621" s="506"/>
      <c r="M621" s="491"/>
      <c r="N621" s="491"/>
      <c r="O621" s="491"/>
      <c r="P621" s="604"/>
      <c r="Q621" s="491"/>
      <c r="R621" s="491"/>
      <c r="S621" s="491"/>
      <c r="T621" s="491"/>
      <c r="U621" s="491"/>
      <c r="V621" s="491"/>
      <c r="W621" s="491"/>
      <c r="X621" s="491"/>
      <c r="Y621" s="491"/>
      <c r="Z621" s="491"/>
      <c r="AA621" s="491"/>
      <c r="AB621" s="491"/>
      <c r="AC621" s="491"/>
    </row>
    <row r="622" spans="1:29">
      <c r="A622" s="491"/>
      <c r="B622" s="491"/>
      <c r="C622" s="491"/>
      <c r="D622" s="491"/>
      <c r="E622" s="491"/>
      <c r="F622" s="491"/>
      <c r="G622" s="491"/>
      <c r="H622" s="491"/>
      <c r="I622" s="491"/>
      <c r="J622" s="491"/>
      <c r="K622" s="505"/>
      <c r="L622" s="506"/>
      <c r="M622" s="491"/>
      <c r="N622" s="491"/>
      <c r="O622" s="491"/>
      <c r="P622" s="604"/>
      <c r="Q622" s="491"/>
      <c r="R622" s="491"/>
      <c r="S622" s="491"/>
      <c r="T622" s="491"/>
      <c r="U622" s="491"/>
      <c r="V622" s="491"/>
      <c r="W622" s="491"/>
      <c r="X622" s="491"/>
      <c r="Y622" s="491"/>
      <c r="Z622" s="491"/>
      <c r="AA622" s="491"/>
      <c r="AB622" s="491"/>
      <c r="AC622" s="491"/>
    </row>
    <row r="623" spans="1:29">
      <c r="A623" s="491"/>
      <c r="B623" s="491"/>
      <c r="C623" s="491"/>
      <c r="D623" s="491"/>
      <c r="E623" s="491"/>
      <c r="F623" s="491"/>
      <c r="G623" s="491"/>
      <c r="H623" s="491"/>
      <c r="I623" s="491"/>
      <c r="J623" s="491"/>
      <c r="K623" s="505"/>
      <c r="L623" s="506"/>
      <c r="M623" s="491"/>
      <c r="N623" s="491"/>
      <c r="O623" s="491"/>
      <c r="P623" s="604"/>
      <c r="Q623" s="491"/>
      <c r="R623" s="491"/>
      <c r="S623" s="491"/>
      <c r="T623" s="491"/>
      <c r="U623" s="491"/>
      <c r="V623" s="491"/>
      <c r="W623" s="491"/>
      <c r="X623" s="491"/>
      <c r="Y623" s="491"/>
      <c r="Z623" s="491"/>
      <c r="AA623" s="491"/>
      <c r="AB623" s="491"/>
      <c r="AC623" s="491"/>
    </row>
    <row r="624" spans="1:29">
      <c r="A624" s="491"/>
      <c r="B624" s="491"/>
      <c r="C624" s="491"/>
      <c r="D624" s="491"/>
      <c r="E624" s="491"/>
      <c r="F624" s="491"/>
      <c r="G624" s="491"/>
      <c r="H624" s="491"/>
      <c r="I624" s="491"/>
      <c r="J624" s="491"/>
      <c r="K624" s="505"/>
      <c r="L624" s="506"/>
      <c r="M624" s="491"/>
      <c r="N624" s="491"/>
      <c r="O624" s="491"/>
      <c r="P624" s="604"/>
      <c r="Q624" s="491"/>
      <c r="R624" s="491"/>
      <c r="S624" s="491"/>
      <c r="T624" s="491"/>
      <c r="U624" s="491"/>
      <c r="V624" s="491"/>
      <c r="W624" s="491"/>
      <c r="X624" s="491"/>
      <c r="Y624" s="491"/>
      <c r="Z624" s="491"/>
      <c r="AA624" s="491"/>
      <c r="AB624" s="491"/>
      <c r="AC624" s="491"/>
    </row>
    <row r="625" spans="1:29">
      <c r="A625" s="491"/>
      <c r="B625" s="491"/>
      <c r="C625" s="491"/>
      <c r="D625" s="491"/>
      <c r="E625" s="491"/>
      <c r="F625" s="491"/>
      <c r="G625" s="491"/>
      <c r="H625" s="491"/>
      <c r="I625" s="491"/>
      <c r="J625" s="491"/>
      <c r="K625" s="505"/>
      <c r="L625" s="506"/>
      <c r="M625" s="491"/>
      <c r="N625" s="491"/>
      <c r="O625" s="491"/>
      <c r="P625" s="604"/>
      <c r="Q625" s="491"/>
      <c r="R625" s="491"/>
      <c r="S625" s="491"/>
      <c r="T625" s="491"/>
      <c r="U625" s="491"/>
      <c r="V625" s="491"/>
      <c r="W625" s="491"/>
      <c r="X625" s="491"/>
      <c r="Y625" s="491"/>
      <c r="Z625" s="491"/>
      <c r="AA625" s="491"/>
      <c r="AB625" s="491"/>
      <c r="AC625" s="491"/>
    </row>
    <row r="626" spans="1:29">
      <c r="A626" s="491"/>
      <c r="B626" s="491"/>
      <c r="C626" s="491"/>
      <c r="D626" s="491"/>
      <c r="E626" s="491"/>
      <c r="F626" s="491"/>
      <c r="G626" s="491"/>
      <c r="H626" s="491"/>
      <c r="I626" s="491"/>
      <c r="J626" s="491"/>
      <c r="K626" s="505"/>
      <c r="L626" s="506"/>
      <c r="M626" s="491"/>
      <c r="N626" s="491"/>
      <c r="O626" s="491"/>
      <c r="P626" s="604"/>
      <c r="Q626" s="491"/>
      <c r="R626" s="491"/>
      <c r="S626" s="491"/>
      <c r="T626" s="491"/>
      <c r="U626" s="491"/>
      <c r="V626" s="491"/>
      <c r="W626" s="491"/>
      <c r="X626" s="491"/>
      <c r="Y626" s="491"/>
      <c r="Z626" s="491"/>
      <c r="AA626" s="491"/>
      <c r="AB626" s="491"/>
      <c r="AC626" s="491"/>
    </row>
    <row r="627" spans="1:29">
      <c r="A627" s="491"/>
      <c r="B627" s="491"/>
      <c r="C627" s="491"/>
      <c r="D627" s="491"/>
      <c r="E627" s="491"/>
      <c r="F627" s="491"/>
      <c r="G627" s="491"/>
      <c r="H627" s="491"/>
      <c r="I627" s="491"/>
      <c r="J627" s="491"/>
      <c r="K627" s="505"/>
      <c r="L627" s="506"/>
      <c r="M627" s="491"/>
      <c r="N627" s="491"/>
      <c r="O627" s="491"/>
      <c r="P627" s="604"/>
      <c r="Q627" s="491"/>
      <c r="R627" s="491"/>
      <c r="S627" s="491"/>
      <c r="T627" s="491"/>
      <c r="U627" s="491"/>
      <c r="V627" s="491"/>
      <c r="W627" s="491"/>
      <c r="X627" s="491"/>
      <c r="Y627" s="491"/>
      <c r="Z627" s="491"/>
      <c r="AA627" s="491"/>
      <c r="AB627" s="491"/>
      <c r="AC627" s="491"/>
    </row>
    <row r="628" spans="1:29">
      <c r="A628" s="491"/>
      <c r="B628" s="491"/>
      <c r="C628" s="491"/>
      <c r="D628" s="491"/>
      <c r="E628" s="491"/>
      <c r="F628" s="491"/>
      <c r="G628" s="491"/>
      <c r="H628" s="491"/>
      <c r="I628" s="491"/>
      <c r="J628" s="491"/>
      <c r="K628" s="505"/>
      <c r="L628" s="506"/>
      <c r="M628" s="491"/>
      <c r="N628" s="491"/>
      <c r="O628" s="491"/>
      <c r="P628" s="604"/>
      <c r="Q628" s="491"/>
      <c r="R628" s="491"/>
      <c r="S628" s="491"/>
      <c r="T628" s="491"/>
      <c r="U628" s="491"/>
      <c r="V628" s="491"/>
      <c r="W628" s="491"/>
      <c r="X628" s="491"/>
      <c r="Y628" s="491"/>
      <c r="Z628" s="491"/>
      <c r="AA628" s="491"/>
      <c r="AB628" s="491"/>
      <c r="AC628" s="491"/>
    </row>
    <row r="629" spans="1:29">
      <c r="A629" s="491"/>
      <c r="B629" s="491"/>
      <c r="C629" s="491"/>
      <c r="D629" s="491"/>
      <c r="E629" s="491"/>
      <c r="F629" s="491"/>
      <c r="G629" s="491"/>
      <c r="H629" s="491"/>
      <c r="I629" s="491"/>
      <c r="J629" s="491"/>
      <c r="K629" s="505"/>
      <c r="L629" s="506"/>
      <c r="M629" s="491"/>
      <c r="N629" s="491"/>
      <c r="O629" s="491"/>
      <c r="P629" s="604"/>
      <c r="Q629" s="491"/>
      <c r="R629" s="491"/>
      <c r="S629" s="491"/>
      <c r="T629" s="491"/>
      <c r="U629" s="491"/>
      <c r="V629" s="491"/>
      <c r="W629" s="491"/>
      <c r="X629" s="491"/>
      <c r="Y629" s="491"/>
      <c r="Z629" s="491"/>
      <c r="AA629" s="491"/>
      <c r="AB629" s="491"/>
      <c r="AC629" s="491"/>
    </row>
    <row r="630" spans="1:29">
      <c r="A630" s="491"/>
      <c r="B630" s="491"/>
      <c r="C630" s="491"/>
      <c r="D630" s="491"/>
      <c r="E630" s="491"/>
      <c r="F630" s="491"/>
      <c r="G630" s="491"/>
      <c r="H630" s="491"/>
      <c r="I630" s="491"/>
      <c r="J630" s="491"/>
      <c r="K630" s="505"/>
      <c r="L630" s="506"/>
      <c r="M630" s="491"/>
      <c r="N630" s="491"/>
      <c r="O630" s="491"/>
      <c r="P630" s="604"/>
      <c r="Q630" s="491"/>
      <c r="R630" s="491"/>
      <c r="S630" s="491"/>
      <c r="T630" s="491"/>
      <c r="U630" s="491"/>
      <c r="V630" s="491"/>
      <c r="W630" s="491"/>
      <c r="X630" s="491"/>
      <c r="Y630" s="491"/>
      <c r="Z630" s="491"/>
      <c r="AA630" s="491"/>
      <c r="AB630" s="491"/>
      <c r="AC630" s="491"/>
    </row>
    <row r="631" spans="1:29">
      <c r="A631" s="491"/>
      <c r="B631" s="491"/>
      <c r="C631" s="491"/>
      <c r="D631" s="491"/>
      <c r="E631" s="491"/>
      <c r="F631" s="491"/>
      <c r="G631" s="491"/>
      <c r="H631" s="491"/>
      <c r="I631" s="491"/>
      <c r="J631" s="491"/>
      <c r="K631" s="505"/>
      <c r="L631" s="506"/>
      <c r="M631" s="491"/>
      <c r="N631" s="491"/>
      <c r="O631" s="491"/>
      <c r="P631" s="604"/>
      <c r="Q631" s="491"/>
      <c r="R631" s="491"/>
      <c r="S631" s="491"/>
      <c r="T631" s="491"/>
      <c r="U631" s="491"/>
      <c r="V631" s="491"/>
      <c r="W631" s="491"/>
      <c r="X631" s="491"/>
      <c r="Y631" s="491"/>
      <c r="Z631" s="491"/>
      <c r="AA631" s="491"/>
      <c r="AB631" s="491"/>
      <c r="AC631" s="491"/>
    </row>
    <row r="632" spans="1:29">
      <c r="A632" s="491"/>
      <c r="B632" s="491"/>
      <c r="C632" s="491"/>
      <c r="D632" s="491"/>
      <c r="E632" s="491"/>
      <c r="F632" s="491"/>
      <c r="G632" s="491"/>
      <c r="H632" s="491"/>
      <c r="I632" s="491"/>
      <c r="J632" s="491"/>
      <c r="K632" s="505"/>
      <c r="L632" s="506"/>
      <c r="M632" s="491"/>
      <c r="N632" s="491"/>
      <c r="O632" s="491"/>
      <c r="P632" s="604"/>
      <c r="Q632" s="491"/>
      <c r="R632" s="491"/>
      <c r="S632" s="491"/>
      <c r="T632" s="491"/>
      <c r="U632" s="491"/>
      <c r="V632" s="491"/>
      <c r="W632" s="491"/>
      <c r="X632" s="491"/>
      <c r="Y632" s="491"/>
      <c r="Z632" s="491"/>
      <c r="AA632" s="491"/>
      <c r="AB632" s="491"/>
      <c r="AC632" s="491"/>
    </row>
    <row r="633" spans="1:29">
      <c r="A633" s="491"/>
      <c r="B633" s="491"/>
      <c r="C633" s="491"/>
      <c r="D633" s="491"/>
      <c r="E633" s="491"/>
      <c r="F633" s="491"/>
      <c r="G633" s="491"/>
      <c r="H633" s="491"/>
      <c r="I633" s="491"/>
      <c r="J633" s="491"/>
      <c r="K633" s="505"/>
      <c r="L633" s="506"/>
      <c r="M633" s="491"/>
      <c r="N633" s="491"/>
      <c r="O633" s="491"/>
      <c r="P633" s="604"/>
      <c r="Q633" s="491"/>
      <c r="R633" s="491"/>
      <c r="S633" s="491"/>
      <c r="T633" s="491"/>
      <c r="U633" s="491"/>
      <c r="V633" s="491"/>
      <c r="W633" s="491"/>
      <c r="X633" s="491"/>
      <c r="Y633" s="491"/>
      <c r="Z633" s="491"/>
      <c r="AA633" s="491"/>
      <c r="AB633" s="491"/>
      <c r="AC633" s="491"/>
    </row>
    <row r="634" spans="1:29">
      <c r="A634" s="491"/>
      <c r="B634" s="491"/>
      <c r="C634" s="491"/>
      <c r="D634" s="491"/>
      <c r="E634" s="491"/>
      <c r="F634" s="491"/>
      <c r="G634" s="491"/>
      <c r="H634" s="491"/>
      <c r="I634" s="491"/>
      <c r="J634" s="491"/>
      <c r="K634" s="505"/>
      <c r="L634" s="506"/>
      <c r="M634" s="491"/>
      <c r="N634" s="491"/>
      <c r="O634" s="491"/>
      <c r="P634" s="604"/>
      <c r="Q634" s="491"/>
      <c r="R634" s="491"/>
      <c r="S634" s="491"/>
      <c r="T634" s="491"/>
      <c r="U634" s="491"/>
      <c r="V634" s="491"/>
      <c r="W634" s="491"/>
      <c r="X634" s="491"/>
      <c r="Y634" s="491"/>
      <c r="Z634" s="491"/>
      <c r="AA634" s="491"/>
      <c r="AB634" s="491"/>
      <c r="AC634" s="491"/>
    </row>
    <row r="635" spans="1:29">
      <c r="A635" s="491"/>
      <c r="B635" s="491"/>
      <c r="C635" s="491"/>
      <c r="D635" s="491"/>
      <c r="E635" s="491"/>
      <c r="F635" s="491"/>
      <c r="G635" s="491"/>
      <c r="H635" s="491"/>
      <c r="I635" s="491"/>
      <c r="J635" s="491"/>
      <c r="K635" s="505"/>
      <c r="L635" s="506"/>
      <c r="M635" s="491"/>
      <c r="N635" s="491"/>
      <c r="O635" s="491"/>
      <c r="P635" s="604"/>
      <c r="Q635" s="491"/>
      <c r="R635" s="491"/>
      <c r="S635" s="491"/>
      <c r="T635" s="491"/>
      <c r="U635" s="491"/>
      <c r="V635" s="491"/>
      <c r="W635" s="491"/>
      <c r="X635" s="491"/>
      <c r="Y635" s="491"/>
      <c r="Z635" s="491"/>
      <c r="AA635" s="491"/>
      <c r="AB635" s="491"/>
      <c r="AC635" s="491"/>
    </row>
    <row r="636" spans="1:29">
      <c r="A636" s="491"/>
      <c r="B636" s="491"/>
      <c r="C636" s="491"/>
      <c r="D636" s="491"/>
      <c r="E636" s="491"/>
      <c r="F636" s="491"/>
      <c r="G636" s="491"/>
      <c r="H636" s="491"/>
      <c r="I636" s="491"/>
      <c r="J636" s="491"/>
      <c r="K636" s="505"/>
      <c r="L636" s="506"/>
      <c r="M636" s="491"/>
      <c r="N636" s="491"/>
      <c r="O636" s="491"/>
      <c r="P636" s="604"/>
      <c r="Q636" s="491"/>
      <c r="R636" s="491"/>
      <c r="S636" s="491"/>
      <c r="T636" s="491"/>
      <c r="U636" s="491"/>
      <c r="V636" s="491"/>
      <c r="W636" s="491"/>
      <c r="X636" s="491"/>
      <c r="Y636" s="491"/>
      <c r="Z636" s="491"/>
      <c r="AA636" s="491"/>
      <c r="AB636" s="491"/>
      <c r="AC636" s="491"/>
    </row>
    <row r="637" spans="1:29">
      <c r="A637" s="491"/>
      <c r="B637" s="491"/>
      <c r="C637" s="491"/>
      <c r="D637" s="491"/>
      <c r="E637" s="491"/>
      <c r="F637" s="491"/>
      <c r="G637" s="491"/>
      <c r="H637" s="491"/>
      <c r="I637" s="491"/>
      <c r="J637" s="491"/>
      <c r="K637" s="505"/>
      <c r="L637" s="506"/>
      <c r="M637" s="491"/>
      <c r="N637" s="491"/>
      <c r="O637" s="491"/>
      <c r="P637" s="604"/>
      <c r="Q637" s="491"/>
      <c r="R637" s="491"/>
      <c r="S637" s="491"/>
      <c r="T637" s="491"/>
      <c r="U637" s="491"/>
      <c r="V637" s="491"/>
      <c r="W637" s="491"/>
      <c r="X637" s="491"/>
      <c r="Y637" s="491"/>
      <c r="Z637" s="491"/>
      <c r="AA637" s="491"/>
      <c r="AB637" s="491"/>
      <c r="AC637" s="491"/>
    </row>
    <row r="638" spans="1:29">
      <c r="A638" s="491"/>
      <c r="B638" s="491"/>
      <c r="C638" s="491"/>
      <c r="D638" s="491"/>
      <c r="E638" s="491"/>
      <c r="F638" s="491"/>
      <c r="G638" s="491"/>
      <c r="H638" s="491"/>
      <c r="I638" s="491"/>
      <c r="J638" s="491"/>
      <c r="K638" s="505"/>
      <c r="L638" s="506"/>
      <c r="M638" s="491"/>
      <c r="N638" s="491"/>
      <c r="O638" s="491"/>
      <c r="P638" s="604"/>
      <c r="Q638" s="491"/>
      <c r="R638" s="491"/>
      <c r="S638" s="491"/>
      <c r="T638" s="491"/>
      <c r="U638" s="491"/>
      <c r="V638" s="491"/>
      <c r="W638" s="491"/>
      <c r="X638" s="491"/>
      <c r="Y638" s="491"/>
      <c r="Z638" s="491"/>
      <c r="AA638" s="491"/>
      <c r="AB638" s="491"/>
      <c r="AC638" s="491"/>
    </row>
    <row r="639" spans="1:29">
      <c r="A639" s="491"/>
      <c r="B639" s="491"/>
      <c r="C639" s="491"/>
      <c r="D639" s="491"/>
      <c r="E639" s="491"/>
      <c r="F639" s="491"/>
      <c r="G639" s="491"/>
      <c r="H639" s="491"/>
      <c r="I639" s="491"/>
      <c r="J639" s="491"/>
      <c r="K639" s="505"/>
      <c r="L639" s="506"/>
      <c r="M639" s="491"/>
      <c r="N639" s="491"/>
      <c r="O639" s="491"/>
      <c r="P639" s="604"/>
      <c r="Q639" s="491"/>
      <c r="R639" s="491"/>
      <c r="S639" s="491"/>
      <c r="T639" s="491"/>
      <c r="U639" s="491"/>
      <c r="V639" s="491"/>
      <c r="W639" s="491"/>
      <c r="X639" s="491"/>
      <c r="Y639" s="491"/>
      <c r="Z639" s="491"/>
      <c r="AA639" s="491"/>
      <c r="AB639" s="491"/>
      <c r="AC639" s="491"/>
    </row>
    <row r="640" spans="1:29">
      <c r="A640" s="491"/>
      <c r="B640" s="491"/>
      <c r="C640" s="491"/>
      <c r="D640" s="491"/>
      <c r="E640" s="491"/>
      <c r="F640" s="491"/>
      <c r="G640" s="491"/>
      <c r="H640" s="491"/>
      <c r="I640" s="491"/>
      <c r="J640" s="491"/>
      <c r="K640" s="505"/>
      <c r="L640" s="506"/>
      <c r="M640" s="491"/>
      <c r="N640" s="491"/>
      <c r="O640" s="491"/>
      <c r="P640" s="604"/>
      <c r="Q640" s="491"/>
      <c r="R640" s="491"/>
      <c r="S640" s="491"/>
      <c r="T640" s="491"/>
      <c r="U640" s="491"/>
      <c r="V640" s="491"/>
      <c r="W640" s="491"/>
      <c r="X640" s="491"/>
      <c r="Y640" s="491"/>
      <c r="Z640" s="491"/>
      <c r="AA640" s="491"/>
      <c r="AB640" s="491"/>
      <c r="AC640" s="491"/>
    </row>
    <row r="641" spans="1:29">
      <c r="A641" s="491"/>
      <c r="B641" s="491"/>
      <c r="C641" s="491"/>
      <c r="D641" s="491"/>
      <c r="E641" s="491"/>
      <c r="F641" s="491"/>
      <c r="G641" s="491"/>
      <c r="H641" s="491"/>
      <c r="I641" s="491"/>
      <c r="J641" s="491"/>
      <c r="K641" s="505"/>
      <c r="L641" s="506"/>
      <c r="M641" s="491"/>
      <c r="N641" s="491"/>
      <c r="O641" s="491"/>
      <c r="P641" s="604"/>
      <c r="Q641" s="491"/>
      <c r="R641" s="491"/>
      <c r="S641" s="491"/>
      <c r="T641" s="491"/>
      <c r="U641" s="491"/>
      <c r="V641" s="491"/>
      <c r="W641" s="491"/>
      <c r="X641" s="491"/>
      <c r="Y641" s="491"/>
      <c r="Z641" s="491"/>
      <c r="AA641" s="491"/>
      <c r="AB641" s="491"/>
      <c r="AC641" s="491"/>
    </row>
    <row r="642" spans="1:29">
      <c r="A642" s="491"/>
      <c r="B642" s="491"/>
      <c r="C642" s="491"/>
      <c r="D642" s="491"/>
      <c r="E642" s="491"/>
      <c r="F642" s="491"/>
      <c r="G642" s="491"/>
      <c r="H642" s="491"/>
      <c r="I642" s="491"/>
      <c r="J642" s="491"/>
      <c r="K642" s="505"/>
      <c r="L642" s="506"/>
      <c r="M642" s="491"/>
      <c r="N642" s="491"/>
      <c r="O642" s="491"/>
      <c r="P642" s="604"/>
      <c r="Q642" s="491"/>
      <c r="R642" s="491"/>
      <c r="S642" s="491"/>
      <c r="T642" s="491"/>
      <c r="U642" s="491"/>
      <c r="V642" s="491"/>
      <c r="W642" s="491"/>
      <c r="X642" s="491"/>
      <c r="Y642" s="491"/>
      <c r="Z642" s="491"/>
      <c r="AA642" s="491"/>
      <c r="AB642" s="491"/>
      <c r="AC642" s="491"/>
    </row>
    <row r="643" spans="1:29">
      <c r="A643" s="491"/>
      <c r="B643" s="491"/>
      <c r="C643" s="491"/>
      <c r="D643" s="491"/>
      <c r="E643" s="491"/>
      <c r="F643" s="491"/>
      <c r="G643" s="491"/>
      <c r="H643" s="491"/>
      <c r="I643" s="491"/>
      <c r="J643" s="491"/>
      <c r="K643" s="505"/>
      <c r="L643" s="506"/>
      <c r="M643" s="491"/>
      <c r="N643" s="491"/>
      <c r="O643" s="491"/>
      <c r="P643" s="604"/>
      <c r="Q643" s="491"/>
      <c r="R643" s="491"/>
      <c r="S643" s="491"/>
      <c r="T643" s="491"/>
      <c r="U643" s="491"/>
      <c r="V643" s="491"/>
      <c r="W643" s="491"/>
      <c r="X643" s="491"/>
      <c r="Y643" s="491"/>
      <c r="Z643" s="491"/>
      <c r="AA643" s="491"/>
      <c r="AB643" s="491"/>
      <c r="AC643" s="491"/>
    </row>
    <row r="644" spans="1:29">
      <c r="A644" s="491"/>
      <c r="B644" s="491"/>
      <c r="C644" s="491"/>
      <c r="D644" s="491"/>
      <c r="E644" s="491"/>
      <c r="F644" s="491"/>
      <c r="G644" s="491"/>
      <c r="H644" s="491"/>
      <c r="I644" s="491"/>
      <c r="J644" s="491"/>
      <c r="K644" s="505"/>
      <c r="L644" s="506"/>
      <c r="M644" s="491"/>
      <c r="N644" s="491"/>
      <c r="O644" s="491"/>
      <c r="P644" s="604"/>
      <c r="Q644" s="491"/>
      <c r="R644" s="491"/>
      <c r="S644" s="491"/>
      <c r="T644" s="491"/>
      <c r="U644" s="491"/>
      <c r="V644" s="491"/>
      <c r="W644" s="491"/>
      <c r="X644" s="491"/>
      <c r="Y644" s="491"/>
      <c r="Z644" s="491"/>
      <c r="AA644" s="491"/>
      <c r="AB644" s="491"/>
      <c r="AC644" s="491"/>
    </row>
    <row r="645" spans="1:29">
      <c r="A645" s="491"/>
      <c r="B645" s="491"/>
      <c r="C645" s="491"/>
      <c r="D645" s="491"/>
      <c r="E645" s="491"/>
      <c r="F645" s="491"/>
      <c r="G645" s="491"/>
      <c r="H645" s="491"/>
      <c r="I645" s="491"/>
      <c r="J645" s="491"/>
      <c r="K645" s="505"/>
      <c r="L645" s="506"/>
      <c r="M645" s="491"/>
      <c r="N645" s="491"/>
      <c r="O645" s="491"/>
      <c r="P645" s="604"/>
      <c r="Q645" s="491"/>
      <c r="R645" s="491"/>
      <c r="S645" s="491"/>
      <c r="T645" s="491"/>
      <c r="U645" s="491"/>
      <c r="V645" s="491"/>
      <c r="W645" s="491"/>
      <c r="X645" s="491"/>
      <c r="Y645" s="491"/>
      <c r="Z645" s="491"/>
      <c r="AA645" s="491"/>
      <c r="AB645" s="491"/>
      <c r="AC645" s="491"/>
    </row>
    <row r="646" spans="1:29">
      <c r="A646" s="491"/>
      <c r="B646" s="491"/>
      <c r="C646" s="491"/>
      <c r="D646" s="491"/>
      <c r="E646" s="491"/>
      <c r="F646" s="491"/>
      <c r="G646" s="491"/>
      <c r="H646" s="491"/>
      <c r="I646" s="491"/>
      <c r="J646" s="491"/>
      <c r="K646" s="505"/>
      <c r="L646" s="506"/>
      <c r="M646" s="491"/>
      <c r="N646" s="491"/>
      <c r="O646" s="491"/>
      <c r="P646" s="604"/>
      <c r="Q646" s="491"/>
      <c r="R646" s="491"/>
      <c r="S646" s="491"/>
      <c r="T646" s="491"/>
      <c r="U646" s="491"/>
      <c r="V646" s="491"/>
      <c r="W646" s="491"/>
      <c r="X646" s="491"/>
      <c r="Y646" s="491"/>
      <c r="Z646" s="491"/>
      <c r="AA646" s="491"/>
      <c r="AB646" s="491"/>
      <c r="AC646" s="491"/>
    </row>
    <row r="647" spans="1:29">
      <c r="A647" s="491"/>
      <c r="B647" s="491"/>
      <c r="C647" s="491"/>
      <c r="D647" s="491"/>
      <c r="E647" s="491"/>
      <c r="F647" s="491"/>
      <c r="G647" s="491"/>
      <c r="H647" s="491"/>
      <c r="I647" s="491"/>
      <c r="J647" s="491"/>
      <c r="K647" s="505"/>
      <c r="L647" s="506"/>
      <c r="M647" s="491"/>
      <c r="N647" s="491"/>
      <c r="O647" s="491"/>
      <c r="P647" s="604"/>
      <c r="Q647" s="491"/>
      <c r="R647" s="491"/>
      <c r="S647" s="491"/>
      <c r="T647" s="491"/>
      <c r="U647" s="491"/>
      <c r="V647" s="491"/>
      <c r="W647" s="491"/>
      <c r="X647" s="491"/>
      <c r="Y647" s="491"/>
      <c r="Z647" s="491"/>
      <c r="AA647" s="491"/>
      <c r="AB647" s="491"/>
      <c r="AC647" s="491"/>
    </row>
    <row r="648" spans="1:29">
      <c r="A648" s="491"/>
      <c r="B648" s="491"/>
      <c r="C648" s="491"/>
      <c r="D648" s="491"/>
      <c r="E648" s="491"/>
      <c r="F648" s="491"/>
      <c r="G648" s="491"/>
      <c r="H648" s="491"/>
      <c r="I648" s="491"/>
      <c r="J648" s="491"/>
      <c r="K648" s="505"/>
      <c r="L648" s="506"/>
      <c r="M648" s="491"/>
      <c r="N648" s="491"/>
      <c r="O648" s="491"/>
      <c r="P648" s="604"/>
      <c r="Q648" s="491"/>
      <c r="R648" s="491"/>
      <c r="S648" s="491"/>
      <c r="T648" s="491"/>
      <c r="U648" s="491"/>
      <c r="V648" s="491"/>
      <c r="W648" s="491"/>
      <c r="X648" s="491"/>
      <c r="Y648" s="491"/>
      <c r="Z648" s="491"/>
      <c r="AA648" s="491"/>
      <c r="AB648" s="491"/>
      <c r="AC648" s="491"/>
    </row>
    <row r="649" spans="1:29">
      <c r="A649" s="491"/>
      <c r="B649" s="491"/>
      <c r="C649" s="491"/>
      <c r="D649" s="491"/>
      <c r="E649" s="491"/>
      <c r="F649" s="491"/>
      <c r="G649" s="491"/>
      <c r="H649" s="491"/>
      <c r="I649" s="491"/>
      <c r="J649" s="491"/>
      <c r="K649" s="505"/>
      <c r="L649" s="506"/>
      <c r="M649" s="491"/>
      <c r="N649" s="491"/>
      <c r="O649" s="491"/>
      <c r="P649" s="604"/>
      <c r="Q649" s="491"/>
      <c r="R649" s="491"/>
      <c r="S649" s="491"/>
      <c r="T649" s="491"/>
      <c r="U649" s="491"/>
      <c r="V649" s="491"/>
      <c r="W649" s="491"/>
      <c r="X649" s="491"/>
      <c r="Y649" s="491"/>
      <c r="Z649" s="491"/>
      <c r="AA649" s="491"/>
      <c r="AB649" s="491"/>
      <c r="AC649" s="491"/>
    </row>
    <row r="650" spans="1:29">
      <c r="A650" s="491"/>
      <c r="B650" s="491"/>
      <c r="C650" s="491"/>
      <c r="D650" s="491"/>
      <c r="E650" s="491"/>
      <c r="F650" s="491"/>
      <c r="G650" s="491"/>
      <c r="H650" s="491"/>
      <c r="I650" s="491"/>
      <c r="J650" s="491"/>
      <c r="K650" s="505"/>
      <c r="L650" s="506"/>
      <c r="M650" s="491"/>
      <c r="N650" s="491"/>
      <c r="O650" s="491"/>
      <c r="P650" s="604"/>
      <c r="Q650" s="491"/>
      <c r="R650" s="491"/>
      <c r="S650" s="491"/>
      <c r="T650" s="491"/>
      <c r="U650" s="491"/>
      <c r="V650" s="491"/>
      <c r="W650" s="491"/>
      <c r="X650" s="491"/>
      <c r="Y650" s="491"/>
      <c r="Z650" s="491"/>
      <c r="AA650" s="491"/>
      <c r="AB650" s="491"/>
      <c r="AC650" s="491"/>
    </row>
    <row r="651" spans="1:29">
      <c r="A651" s="491"/>
      <c r="B651" s="491"/>
      <c r="C651" s="491"/>
      <c r="D651" s="491"/>
      <c r="E651" s="491"/>
      <c r="F651" s="491"/>
      <c r="G651" s="491"/>
      <c r="H651" s="491"/>
      <c r="I651" s="491"/>
      <c r="J651" s="491"/>
      <c r="K651" s="505"/>
      <c r="L651" s="506"/>
      <c r="M651" s="491"/>
      <c r="N651" s="491"/>
      <c r="O651" s="491"/>
      <c r="P651" s="604"/>
      <c r="Q651" s="491"/>
      <c r="R651" s="491"/>
      <c r="S651" s="491"/>
      <c r="T651" s="491"/>
      <c r="U651" s="491"/>
      <c r="V651" s="491"/>
      <c r="W651" s="491"/>
      <c r="X651" s="491"/>
      <c r="Y651" s="491"/>
      <c r="Z651" s="491"/>
      <c r="AA651" s="491"/>
      <c r="AB651" s="491"/>
      <c r="AC651" s="491"/>
    </row>
    <row r="652" spans="1:29">
      <c r="A652" s="491"/>
      <c r="B652" s="491"/>
      <c r="C652" s="491"/>
      <c r="D652" s="491"/>
      <c r="E652" s="491"/>
      <c r="F652" s="491"/>
      <c r="G652" s="491"/>
      <c r="H652" s="491"/>
      <c r="I652" s="491"/>
      <c r="J652" s="491"/>
      <c r="K652" s="505"/>
      <c r="L652" s="506"/>
      <c r="M652" s="491"/>
      <c r="N652" s="491"/>
      <c r="O652" s="491"/>
      <c r="P652" s="604"/>
      <c r="Q652" s="491"/>
      <c r="R652" s="491"/>
      <c r="S652" s="491"/>
      <c r="T652" s="491"/>
      <c r="U652" s="491"/>
      <c r="V652" s="491"/>
      <c r="W652" s="491"/>
      <c r="X652" s="491"/>
      <c r="Y652" s="491"/>
      <c r="Z652" s="491"/>
      <c r="AA652" s="491"/>
      <c r="AB652" s="491"/>
      <c r="AC652" s="491"/>
    </row>
    <row r="653" spans="1:29">
      <c r="A653" s="491"/>
      <c r="B653" s="491"/>
      <c r="C653" s="491"/>
      <c r="D653" s="491"/>
      <c r="E653" s="491"/>
      <c r="F653" s="491"/>
      <c r="G653" s="491"/>
      <c r="H653" s="491"/>
      <c r="I653" s="491"/>
      <c r="J653" s="491"/>
      <c r="K653" s="505"/>
      <c r="L653" s="506"/>
      <c r="M653" s="491"/>
      <c r="N653" s="491"/>
      <c r="O653" s="491"/>
      <c r="P653" s="604"/>
      <c r="Q653" s="491"/>
      <c r="R653" s="491"/>
      <c r="S653" s="491"/>
      <c r="T653" s="491"/>
      <c r="U653" s="491"/>
      <c r="V653" s="491"/>
      <c r="W653" s="491"/>
      <c r="X653" s="491"/>
      <c r="Y653" s="491"/>
      <c r="Z653" s="491"/>
      <c r="AA653" s="491"/>
      <c r="AB653" s="491"/>
      <c r="AC653" s="491"/>
    </row>
    <row r="654" spans="1:29">
      <c r="A654" s="491"/>
      <c r="B654" s="491"/>
      <c r="C654" s="491"/>
      <c r="D654" s="491"/>
      <c r="E654" s="491"/>
      <c r="F654" s="491"/>
      <c r="G654" s="491"/>
      <c r="H654" s="491"/>
      <c r="I654" s="491"/>
      <c r="J654" s="491"/>
      <c r="K654" s="505"/>
      <c r="L654" s="506"/>
      <c r="M654" s="491"/>
      <c r="N654" s="491"/>
      <c r="O654" s="491"/>
      <c r="P654" s="604"/>
      <c r="Q654" s="491"/>
      <c r="R654" s="491"/>
      <c r="S654" s="491"/>
      <c r="T654" s="491"/>
      <c r="U654" s="491"/>
      <c r="V654" s="491"/>
      <c r="W654" s="491"/>
      <c r="X654" s="491"/>
      <c r="Y654" s="491"/>
      <c r="Z654" s="491"/>
      <c r="AA654" s="491"/>
      <c r="AB654" s="491"/>
      <c r="AC654" s="491"/>
    </row>
    <row r="655" spans="1:29">
      <c r="A655" s="491"/>
      <c r="B655" s="491"/>
      <c r="C655" s="491"/>
      <c r="D655" s="491"/>
      <c r="E655" s="491"/>
      <c r="F655" s="491"/>
      <c r="G655" s="491"/>
      <c r="H655" s="491"/>
      <c r="I655" s="491"/>
      <c r="J655" s="491"/>
      <c r="K655" s="505"/>
      <c r="L655" s="506"/>
      <c r="M655" s="491"/>
      <c r="N655" s="491"/>
      <c r="O655" s="491"/>
      <c r="P655" s="604"/>
      <c r="Q655" s="491"/>
      <c r="R655" s="491"/>
      <c r="S655" s="491"/>
      <c r="T655" s="491"/>
      <c r="U655" s="491"/>
      <c r="V655" s="491"/>
      <c r="W655" s="491"/>
      <c r="X655" s="491"/>
      <c r="Y655" s="491"/>
      <c r="Z655" s="491"/>
      <c r="AA655" s="491"/>
      <c r="AB655" s="491"/>
      <c r="AC655" s="491"/>
    </row>
    <row r="656" spans="1:29">
      <c r="A656" s="491"/>
      <c r="B656" s="491"/>
      <c r="C656" s="491"/>
      <c r="D656" s="491"/>
      <c r="E656" s="491"/>
      <c r="F656" s="491"/>
      <c r="G656" s="491"/>
      <c r="H656" s="491"/>
      <c r="I656" s="491"/>
      <c r="J656" s="491"/>
      <c r="K656" s="505"/>
      <c r="L656" s="506"/>
      <c r="M656" s="491"/>
      <c r="N656" s="491"/>
      <c r="O656" s="491"/>
      <c r="P656" s="604"/>
      <c r="Q656" s="491"/>
      <c r="R656" s="491"/>
      <c r="S656" s="491"/>
      <c r="T656" s="491"/>
      <c r="U656" s="491"/>
      <c r="V656" s="491"/>
      <c r="W656" s="491"/>
      <c r="X656" s="491"/>
      <c r="Y656" s="491"/>
      <c r="Z656" s="491"/>
      <c r="AA656" s="491"/>
      <c r="AB656" s="491"/>
      <c r="AC656" s="491"/>
    </row>
    <row r="657" spans="1:29">
      <c r="A657" s="491"/>
      <c r="B657" s="491"/>
      <c r="C657" s="491"/>
      <c r="D657" s="491"/>
      <c r="E657" s="491"/>
      <c r="F657" s="491"/>
      <c r="G657" s="491"/>
      <c r="H657" s="491"/>
      <c r="I657" s="491"/>
      <c r="J657" s="491"/>
      <c r="K657" s="505"/>
      <c r="L657" s="506"/>
      <c r="M657" s="491"/>
      <c r="N657" s="491"/>
      <c r="O657" s="491"/>
      <c r="P657" s="604"/>
      <c r="Q657" s="491"/>
      <c r="R657" s="491"/>
      <c r="S657" s="491"/>
      <c r="T657" s="491"/>
      <c r="U657" s="491"/>
      <c r="V657" s="491"/>
      <c r="W657" s="491"/>
      <c r="X657" s="491"/>
      <c r="Y657" s="491"/>
      <c r="Z657" s="491"/>
      <c r="AA657" s="491"/>
      <c r="AB657" s="491"/>
      <c r="AC657" s="491"/>
    </row>
    <row r="658" spans="1:29">
      <c r="A658" s="491"/>
      <c r="B658" s="491"/>
      <c r="C658" s="491"/>
      <c r="D658" s="491"/>
      <c r="E658" s="491"/>
      <c r="F658" s="491"/>
      <c r="G658" s="491"/>
      <c r="H658" s="491"/>
      <c r="I658" s="491"/>
      <c r="J658" s="491"/>
      <c r="K658" s="505"/>
      <c r="L658" s="506"/>
      <c r="M658" s="491"/>
      <c r="N658" s="491"/>
      <c r="O658" s="491"/>
      <c r="P658" s="604"/>
      <c r="Q658" s="491"/>
      <c r="R658" s="491"/>
      <c r="S658" s="491"/>
      <c r="T658" s="491"/>
      <c r="U658" s="491"/>
      <c r="V658" s="491"/>
      <c r="W658" s="491"/>
      <c r="X658" s="491"/>
      <c r="Y658" s="491"/>
      <c r="Z658" s="491"/>
      <c r="AA658" s="491"/>
      <c r="AB658" s="491"/>
      <c r="AC658" s="491"/>
    </row>
    <row r="659" spans="1:29">
      <c r="A659" s="491"/>
      <c r="B659" s="491"/>
      <c r="C659" s="491"/>
      <c r="D659" s="491"/>
      <c r="E659" s="491"/>
      <c r="F659" s="491"/>
      <c r="G659" s="491"/>
      <c r="H659" s="491"/>
      <c r="I659" s="491"/>
      <c r="J659" s="491"/>
      <c r="K659" s="505"/>
      <c r="L659" s="506"/>
      <c r="M659" s="491"/>
      <c r="N659" s="491"/>
      <c r="O659" s="491"/>
      <c r="P659" s="604"/>
      <c r="Q659" s="491"/>
      <c r="R659" s="491"/>
      <c r="S659" s="491"/>
      <c r="T659" s="491"/>
      <c r="U659" s="491"/>
      <c r="V659" s="491"/>
      <c r="W659" s="491"/>
      <c r="X659" s="491"/>
      <c r="Y659" s="491"/>
      <c r="Z659" s="491"/>
      <c r="AA659" s="491"/>
      <c r="AB659" s="491"/>
      <c r="AC659" s="491"/>
    </row>
    <row r="660" spans="1:29">
      <c r="A660" s="491"/>
      <c r="B660" s="491"/>
      <c r="C660" s="491"/>
      <c r="D660" s="491"/>
      <c r="E660" s="491"/>
      <c r="F660" s="491"/>
      <c r="G660" s="491"/>
      <c r="H660" s="491"/>
      <c r="I660" s="491"/>
      <c r="J660" s="491"/>
      <c r="K660" s="505"/>
      <c r="L660" s="506"/>
      <c r="M660" s="491"/>
      <c r="N660" s="491"/>
      <c r="O660" s="491"/>
      <c r="P660" s="604"/>
      <c r="Q660" s="491"/>
      <c r="R660" s="491"/>
      <c r="S660" s="491"/>
      <c r="T660" s="491"/>
      <c r="U660" s="491"/>
      <c r="V660" s="491"/>
      <c r="W660" s="491"/>
      <c r="X660" s="491"/>
      <c r="Y660" s="491"/>
      <c r="Z660" s="491"/>
      <c r="AA660" s="491"/>
      <c r="AB660" s="491"/>
      <c r="AC660" s="491"/>
    </row>
    <row r="661" spans="1:29">
      <c r="A661" s="491"/>
      <c r="B661" s="491"/>
      <c r="C661" s="491"/>
      <c r="D661" s="491"/>
      <c r="E661" s="491"/>
      <c r="F661" s="491"/>
      <c r="G661" s="491"/>
      <c r="H661" s="491"/>
      <c r="I661" s="491"/>
      <c r="J661" s="491"/>
      <c r="K661" s="505"/>
      <c r="L661" s="506"/>
      <c r="M661" s="491"/>
      <c r="N661" s="491"/>
      <c r="O661" s="491"/>
      <c r="P661" s="604"/>
      <c r="Q661" s="491"/>
      <c r="R661" s="491"/>
      <c r="S661" s="491"/>
      <c r="T661" s="491"/>
      <c r="U661" s="491"/>
      <c r="V661" s="491"/>
      <c r="W661" s="491"/>
      <c r="X661" s="491"/>
      <c r="Y661" s="491"/>
      <c r="Z661" s="491"/>
      <c r="AA661" s="491"/>
      <c r="AB661" s="491"/>
      <c r="AC661" s="491"/>
    </row>
    <row r="662" spans="1:29">
      <c r="A662" s="491"/>
      <c r="B662" s="491"/>
      <c r="C662" s="491"/>
      <c r="D662" s="491"/>
      <c r="E662" s="491"/>
      <c r="F662" s="491"/>
      <c r="G662" s="491"/>
      <c r="H662" s="491"/>
      <c r="I662" s="491"/>
      <c r="J662" s="491"/>
      <c r="K662" s="505"/>
      <c r="L662" s="506"/>
      <c r="M662" s="491"/>
      <c r="N662" s="491"/>
      <c r="O662" s="491"/>
      <c r="P662" s="604"/>
      <c r="Q662" s="491"/>
      <c r="R662" s="491"/>
      <c r="S662" s="491"/>
      <c r="T662" s="491"/>
      <c r="U662" s="491"/>
      <c r="V662" s="491"/>
      <c r="W662" s="491"/>
      <c r="X662" s="491"/>
      <c r="Y662" s="491"/>
      <c r="Z662" s="491"/>
      <c r="AA662" s="491"/>
      <c r="AB662" s="491"/>
      <c r="AC662" s="491"/>
    </row>
    <row r="663" spans="1:29">
      <c r="A663" s="491"/>
      <c r="B663" s="491"/>
      <c r="C663" s="491"/>
      <c r="D663" s="491"/>
      <c r="E663" s="491"/>
      <c r="F663" s="491"/>
      <c r="G663" s="491"/>
      <c r="H663" s="491"/>
      <c r="I663" s="491"/>
      <c r="J663" s="491"/>
      <c r="K663" s="505"/>
      <c r="L663" s="506"/>
      <c r="M663" s="491"/>
      <c r="N663" s="491"/>
      <c r="O663" s="491"/>
      <c r="P663" s="604"/>
      <c r="Q663" s="491"/>
      <c r="R663" s="491"/>
      <c r="S663" s="491"/>
      <c r="T663" s="491"/>
      <c r="U663" s="491"/>
      <c r="V663" s="491"/>
      <c r="W663" s="491"/>
      <c r="X663" s="491"/>
      <c r="Y663" s="491"/>
      <c r="Z663" s="491"/>
      <c r="AA663" s="491"/>
      <c r="AB663" s="491"/>
      <c r="AC663" s="491"/>
    </row>
    <row r="664" spans="1:29">
      <c r="A664" s="491"/>
      <c r="B664" s="491"/>
      <c r="C664" s="491"/>
      <c r="D664" s="491"/>
      <c r="E664" s="491"/>
      <c r="F664" s="491"/>
      <c r="G664" s="491"/>
      <c r="H664" s="491"/>
      <c r="I664" s="491"/>
      <c r="J664" s="491"/>
      <c r="K664" s="505"/>
      <c r="L664" s="506"/>
      <c r="M664" s="491"/>
      <c r="N664" s="491"/>
      <c r="O664" s="491"/>
      <c r="P664" s="604"/>
      <c r="Q664" s="491"/>
      <c r="R664" s="491"/>
      <c r="S664" s="491"/>
      <c r="T664" s="491"/>
      <c r="U664" s="491"/>
      <c r="V664" s="491"/>
      <c r="W664" s="491"/>
      <c r="X664" s="491"/>
      <c r="Y664" s="491"/>
      <c r="Z664" s="491"/>
      <c r="AA664" s="491"/>
      <c r="AB664" s="491"/>
      <c r="AC664" s="491"/>
    </row>
    <row r="665" spans="1:29">
      <c r="A665" s="491"/>
      <c r="B665" s="491"/>
      <c r="C665" s="491"/>
      <c r="D665" s="491"/>
      <c r="E665" s="491"/>
      <c r="F665" s="491"/>
      <c r="G665" s="491"/>
      <c r="H665" s="491"/>
      <c r="I665" s="491"/>
      <c r="J665" s="491"/>
      <c r="K665" s="505"/>
      <c r="L665" s="506"/>
      <c r="M665" s="491"/>
      <c r="N665" s="491"/>
      <c r="O665" s="491"/>
      <c r="P665" s="604"/>
      <c r="Q665" s="491"/>
      <c r="R665" s="491"/>
      <c r="S665" s="491"/>
      <c r="T665" s="491"/>
      <c r="U665" s="491"/>
      <c r="V665" s="491"/>
      <c r="W665" s="491"/>
      <c r="X665" s="491"/>
      <c r="Y665" s="491"/>
      <c r="Z665" s="491"/>
      <c r="AA665" s="491"/>
      <c r="AB665" s="491"/>
      <c r="AC665" s="491"/>
    </row>
    <row r="666" spans="1:29">
      <c r="A666" s="491"/>
      <c r="B666" s="491"/>
      <c r="C666" s="491"/>
      <c r="D666" s="491"/>
      <c r="E666" s="491"/>
      <c r="F666" s="491"/>
      <c r="G666" s="491"/>
      <c r="H666" s="491"/>
      <c r="I666" s="491"/>
      <c r="J666" s="491"/>
      <c r="K666" s="505"/>
      <c r="L666" s="506"/>
      <c r="M666" s="491"/>
      <c r="N666" s="491"/>
      <c r="O666" s="491"/>
      <c r="P666" s="604"/>
      <c r="Q666" s="491"/>
      <c r="R666" s="491"/>
      <c r="S666" s="491"/>
      <c r="T666" s="491"/>
      <c r="U666" s="491"/>
      <c r="V666" s="491"/>
      <c r="W666" s="491"/>
      <c r="X666" s="491"/>
      <c r="Y666" s="491"/>
      <c r="Z666" s="491"/>
      <c r="AA666" s="491"/>
      <c r="AB666" s="491"/>
      <c r="AC666" s="491"/>
    </row>
    <row r="667" spans="1:29">
      <c r="A667" s="491"/>
      <c r="B667" s="491"/>
      <c r="C667" s="491"/>
      <c r="D667" s="491"/>
      <c r="E667" s="491"/>
      <c r="F667" s="491"/>
      <c r="G667" s="491"/>
      <c r="H667" s="491"/>
      <c r="I667" s="491"/>
      <c r="J667" s="491"/>
      <c r="K667" s="505"/>
      <c r="L667" s="506"/>
      <c r="M667" s="491"/>
      <c r="N667" s="491"/>
      <c r="O667" s="491"/>
      <c r="P667" s="604"/>
      <c r="Q667" s="491"/>
      <c r="R667" s="491"/>
      <c r="S667" s="491"/>
      <c r="T667" s="491"/>
      <c r="U667" s="491"/>
      <c r="V667" s="491"/>
      <c r="W667" s="491"/>
      <c r="X667" s="491"/>
      <c r="Y667" s="491"/>
      <c r="Z667" s="491"/>
      <c r="AA667" s="491"/>
      <c r="AB667" s="491"/>
      <c r="AC667" s="491"/>
    </row>
    <row r="668" spans="1:29">
      <c r="A668" s="491"/>
      <c r="B668" s="491"/>
      <c r="C668" s="491"/>
      <c r="D668" s="491"/>
      <c r="E668" s="491"/>
      <c r="F668" s="491"/>
      <c r="G668" s="491"/>
      <c r="H668" s="491"/>
      <c r="I668" s="491"/>
      <c r="J668" s="491"/>
      <c r="K668" s="505"/>
      <c r="L668" s="506"/>
      <c r="M668" s="491"/>
      <c r="N668" s="491"/>
      <c r="O668" s="491"/>
      <c r="P668" s="604"/>
      <c r="Q668" s="491"/>
      <c r="R668" s="491"/>
      <c r="S668" s="491"/>
      <c r="T668" s="491"/>
      <c r="U668" s="491"/>
      <c r="V668" s="491"/>
      <c r="W668" s="491"/>
      <c r="X668" s="491"/>
      <c r="Y668" s="491"/>
      <c r="Z668" s="491"/>
      <c r="AA668" s="491"/>
      <c r="AB668" s="491"/>
      <c r="AC668" s="491"/>
    </row>
    <row r="669" spans="1:29">
      <c r="A669" s="491"/>
      <c r="B669" s="491"/>
      <c r="C669" s="491"/>
      <c r="D669" s="491"/>
      <c r="E669" s="491"/>
      <c r="F669" s="491"/>
      <c r="G669" s="491"/>
      <c r="H669" s="491"/>
      <c r="I669" s="491"/>
      <c r="J669" s="491"/>
      <c r="K669" s="505"/>
      <c r="L669" s="506"/>
      <c r="M669" s="491"/>
      <c r="N669" s="491"/>
      <c r="O669" s="491"/>
      <c r="P669" s="604"/>
      <c r="Q669" s="491"/>
      <c r="R669" s="491"/>
      <c r="S669" s="491"/>
      <c r="T669" s="491"/>
      <c r="U669" s="491"/>
      <c r="V669" s="491"/>
      <c r="W669" s="491"/>
      <c r="X669" s="491"/>
      <c r="Y669" s="491"/>
      <c r="Z669" s="491"/>
      <c r="AA669" s="491"/>
      <c r="AB669" s="491"/>
      <c r="AC669" s="491"/>
    </row>
    <row r="670" spans="1:29">
      <c r="A670" s="491"/>
      <c r="B670" s="491"/>
      <c r="C670" s="491"/>
      <c r="D670" s="491"/>
      <c r="E670" s="491"/>
      <c r="F670" s="491"/>
      <c r="G670" s="491"/>
      <c r="H670" s="491"/>
      <c r="I670" s="491"/>
      <c r="J670" s="491"/>
      <c r="K670" s="505"/>
      <c r="L670" s="506"/>
      <c r="M670" s="491"/>
      <c r="N670" s="491"/>
      <c r="O670" s="491"/>
      <c r="P670" s="604"/>
      <c r="Q670" s="491"/>
      <c r="R670" s="491"/>
      <c r="S670" s="491"/>
      <c r="T670" s="491"/>
      <c r="U670" s="491"/>
      <c r="V670" s="491"/>
      <c r="W670" s="491"/>
      <c r="X670" s="491"/>
      <c r="Y670" s="491"/>
      <c r="Z670" s="491"/>
      <c r="AA670" s="491"/>
      <c r="AB670" s="491"/>
      <c r="AC670" s="491"/>
    </row>
    <row r="671" spans="1:29">
      <c r="A671" s="491"/>
      <c r="B671" s="491"/>
      <c r="C671" s="491"/>
      <c r="D671" s="491"/>
      <c r="E671" s="491"/>
      <c r="F671" s="491"/>
      <c r="G671" s="491"/>
      <c r="H671" s="491"/>
      <c r="I671" s="491"/>
      <c r="J671" s="491"/>
      <c r="K671" s="505"/>
      <c r="L671" s="506"/>
      <c r="M671" s="491"/>
      <c r="N671" s="491"/>
      <c r="O671" s="491"/>
      <c r="P671" s="604"/>
      <c r="Q671" s="491"/>
      <c r="R671" s="491"/>
      <c r="S671" s="491"/>
      <c r="T671" s="491"/>
      <c r="U671" s="491"/>
      <c r="V671" s="491"/>
      <c r="W671" s="491"/>
      <c r="X671" s="491"/>
      <c r="Y671" s="491"/>
      <c r="Z671" s="491"/>
      <c r="AA671" s="491"/>
      <c r="AB671" s="491"/>
      <c r="AC671" s="491"/>
    </row>
    <row r="672" spans="1:29">
      <c r="A672" s="491"/>
      <c r="B672" s="491"/>
      <c r="C672" s="491"/>
      <c r="D672" s="491"/>
      <c r="E672" s="491"/>
      <c r="F672" s="491"/>
      <c r="G672" s="491"/>
      <c r="H672" s="491"/>
      <c r="I672" s="491"/>
      <c r="J672" s="491"/>
      <c r="K672" s="505"/>
      <c r="L672" s="506"/>
      <c r="M672" s="491"/>
      <c r="N672" s="491"/>
      <c r="O672" s="491"/>
      <c r="P672" s="604"/>
      <c r="Q672" s="491"/>
      <c r="R672" s="491"/>
      <c r="S672" s="491"/>
      <c r="T672" s="491"/>
      <c r="U672" s="491"/>
      <c r="V672" s="491"/>
      <c r="W672" s="491"/>
      <c r="X672" s="491"/>
      <c r="Y672" s="491"/>
      <c r="Z672" s="491"/>
      <c r="AA672" s="491"/>
      <c r="AB672" s="491"/>
      <c r="AC672" s="491"/>
    </row>
    <row r="673" spans="1:29">
      <c r="A673" s="491"/>
      <c r="B673" s="491"/>
      <c r="C673" s="491"/>
      <c r="D673" s="491"/>
      <c r="E673" s="491"/>
      <c r="F673" s="491"/>
      <c r="G673" s="491"/>
      <c r="H673" s="491"/>
      <c r="I673" s="491"/>
      <c r="J673" s="491"/>
      <c r="K673" s="505"/>
      <c r="L673" s="506"/>
      <c r="M673" s="491"/>
      <c r="N673" s="491"/>
      <c r="O673" s="491"/>
      <c r="P673" s="604"/>
      <c r="Q673" s="491"/>
      <c r="R673" s="491"/>
      <c r="S673" s="491"/>
      <c r="T673" s="491"/>
      <c r="U673" s="491"/>
      <c r="V673" s="491"/>
      <c r="W673" s="491"/>
      <c r="X673" s="491"/>
      <c r="Y673" s="491"/>
      <c r="Z673" s="491"/>
      <c r="AA673" s="491"/>
      <c r="AB673" s="491"/>
      <c r="AC673" s="491"/>
    </row>
    <row r="674" spans="1:29">
      <c r="A674" s="491"/>
      <c r="B674" s="491"/>
      <c r="C674" s="491"/>
      <c r="D674" s="491"/>
      <c r="E674" s="491"/>
      <c r="F674" s="491"/>
      <c r="G674" s="491"/>
      <c r="H674" s="491"/>
      <c r="I674" s="491"/>
      <c r="J674" s="491"/>
      <c r="K674" s="505"/>
      <c r="L674" s="506"/>
      <c r="M674" s="491"/>
      <c r="N674" s="491"/>
      <c r="O674" s="491"/>
      <c r="P674" s="604"/>
      <c r="Q674" s="491"/>
      <c r="R674" s="491"/>
      <c r="S674" s="491"/>
      <c r="T674" s="491"/>
      <c r="U674" s="491"/>
      <c r="V674" s="491"/>
      <c r="W674" s="491"/>
      <c r="X674" s="491"/>
      <c r="Y674" s="491"/>
      <c r="Z674" s="491"/>
      <c r="AA674" s="491"/>
      <c r="AB674" s="491"/>
      <c r="AC674" s="491"/>
    </row>
    <row r="675" spans="1:29">
      <c r="A675" s="491"/>
      <c r="B675" s="491"/>
      <c r="C675" s="491"/>
      <c r="D675" s="491"/>
      <c r="E675" s="491"/>
      <c r="F675" s="491"/>
      <c r="G675" s="491"/>
      <c r="H675" s="491"/>
      <c r="I675" s="491"/>
      <c r="J675" s="491"/>
      <c r="K675" s="505"/>
      <c r="L675" s="506"/>
      <c r="M675" s="491"/>
      <c r="N675" s="491"/>
      <c r="O675" s="491"/>
      <c r="P675" s="604"/>
      <c r="Q675" s="491"/>
      <c r="R675" s="491"/>
      <c r="S675" s="491"/>
      <c r="T675" s="491"/>
      <c r="U675" s="491"/>
      <c r="V675" s="491"/>
      <c r="W675" s="491"/>
      <c r="X675" s="491"/>
      <c r="Y675" s="491"/>
      <c r="Z675" s="491"/>
      <c r="AA675" s="491"/>
      <c r="AB675" s="491"/>
      <c r="AC675" s="491"/>
    </row>
    <row r="676" spans="1:29">
      <c r="A676" s="491"/>
      <c r="B676" s="491"/>
      <c r="C676" s="491"/>
      <c r="D676" s="491"/>
      <c r="E676" s="491"/>
      <c r="F676" s="491"/>
      <c r="G676" s="491"/>
      <c r="H676" s="491"/>
      <c r="I676" s="491"/>
      <c r="J676" s="491"/>
      <c r="K676" s="505"/>
      <c r="L676" s="506"/>
      <c r="M676" s="491"/>
      <c r="N676" s="491"/>
      <c r="O676" s="491"/>
      <c r="P676" s="604"/>
      <c r="Q676" s="491"/>
      <c r="R676" s="491"/>
      <c r="S676" s="491"/>
      <c r="T676" s="491"/>
      <c r="U676" s="491"/>
      <c r="V676" s="491"/>
      <c r="W676" s="491"/>
      <c r="X676" s="491"/>
      <c r="Y676" s="491"/>
      <c r="Z676" s="491"/>
      <c r="AA676" s="491"/>
      <c r="AB676" s="491"/>
      <c r="AC676" s="491"/>
    </row>
    <row r="677" spans="1:29">
      <c r="A677" s="491"/>
      <c r="B677" s="491"/>
      <c r="C677" s="491"/>
      <c r="D677" s="491"/>
      <c r="E677" s="491"/>
      <c r="F677" s="491"/>
      <c r="G677" s="491"/>
      <c r="H677" s="491"/>
      <c r="I677" s="491"/>
      <c r="J677" s="491"/>
      <c r="K677" s="505"/>
      <c r="L677" s="506"/>
      <c r="M677" s="491"/>
      <c r="N677" s="491"/>
      <c r="O677" s="491"/>
      <c r="P677" s="604"/>
      <c r="Q677" s="491"/>
      <c r="R677" s="491"/>
      <c r="S677" s="491"/>
      <c r="T677" s="491"/>
      <c r="U677" s="491"/>
      <c r="V677" s="491"/>
      <c r="W677" s="491"/>
      <c r="X677" s="491"/>
      <c r="Y677" s="491"/>
      <c r="Z677" s="491"/>
      <c r="AA677" s="491"/>
      <c r="AB677" s="491"/>
      <c r="AC677" s="491"/>
    </row>
    <row r="678" spans="1:29">
      <c r="A678" s="491"/>
      <c r="B678" s="491"/>
      <c r="C678" s="491"/>
      <c r="D678" s="491"/>
      <c r="E678" s="491"/>
      <c r="F678" s="491"/>
      <c r="G678" s="491"/>
      <c r="H678" s="491"/>
      <c r="I678" s="491"/>
      <c r="J678" s="491"/>
      <c r="K678" s="505"/>
      <c r="L678" s="506"/>
      <c r="M678" s="491"/>
      <c r="N678" s="491"/>
      <c r="O678" s="491"/>
      <c r="P678" s="604"/>
      <c r="Q678" s="491"/>
      <c r="R678" s="491"/>
      <c r="S678" s="491"/>
      <c r="T678" s="491"/>
      <c r="U678" s="491"/>
      <c r="V678" s="491"/>
      <c r="W678" s="491"/>
      <c r="X678" s="491"/>
      <c r="Y678" s="491"/>
      <c r="Z678" s="491"/>
      <c r="AA678" s="491"/>
      <c r="AB678" s="491"/>
      <c r="AC678" s="491"/>
    </row>
    <row r="679" spans="1:29">
      <c r="A679" s="491"/>
      <c r="B679" s="491"/>
      <c r="C679" s="491"/>
      <c r="D679" s="491"/>
      <c r="E679" s="491"/>
      <c r="F679" s="491"/>
      <c r="G679" s="491"/>
      <c r="H679" s="491"/>
      <c r="I679" s="491"/>
      <c r="J679" s="491"/>
      <c r="K679" s="505"/>
      <c r="L679" s="506"/>
      <c r="M679" s="491"/>
      <c r="N679" s="491"/>
      <c r="O679" s="491"/>
      <c r="P679" s="604"/>
      <c r="Q679" s="491"/>
      <c r="R679" s="491"/>
      <c r="S679" s="491"/>
      <c r="T679" s="491"/>
      <c r="U679" s="491"/>
      <c r="V679" s="491"/>
      <c r="W679" s="491"/>
      <c r="X679" s="491"/>
      <c r="Y679" s="491"/>
      <c r="Z679" s="491"/>
      <c r="AA679" s="491"/>
      <c r="AB679" s="491"/>
      <c r="AC679" s="491"/>
    </row>
    <row r="680" spans="1:29">
      <c r="A680" s="491"/>
      <c r="B680" s="491"/>
      <c r="C680" s="491"/>
      <c r="D680" s="491"/>
      <c r="E680" s="491"/>
      <c r="F680" s="491"/>
      <c r="G680" s="491"/>
      <c r="H680" s="491"/>
      <c r="I680" s="491"/>
      <c r="J680" s="491"/>
      <c r="K680" s="505"/>
      <c r="L680" s="506"/>
      <c r="M680" s="491"/>
      <c r="N680" s="491"/>
      <c r="O680" s="491"/>
      <c r="P680" s="604"/>
      <c r="Q680" s="491"/>
      <c r="R680" s="491"/>
      <c r="S680" s="491"/>
      <c r="T680" s="491"/>
      <c r="U680" s="491"/>
      <c r="V680" s="491"/>
      <c r="W680" s="491"/>
      <c r="X680" s="491"/>
      <c r="Y680" s="491"/>
      <c r="Z680" s="491"/>
      <c r="AA680" s="491"/>
      <c r="AB680" s="491"/>
      <c r="AC680" s="491"/>
    </row>
    <row r="681" spans="1:29">
      <c r="A681" s="491"/>
      <c r="B681" s="491"/>
      <c r="C681" s="491"/>
      <c r="D681" s="491"/>
      <c r="E681" s="491"/>
      <c r="F681" s="491"/>
      <c r="G681" s="491"/>
      <c r="H681" s="491"/>
      <c r="I681" s="491"/>
      <c r="J681" s="491"/>
      <c r="K681" s="505"/>
      <c r="L681" s="506"/>
      <c r="M681" s="491"/>
      <c r="N681" s="491"/>
      <c r="O681" s="491"/>
      <c r="P681" s="604"/>
      <c r="Q681" s="491"/>
      <c r="R681" s="491"/>
      <c r="S681" s="491"/>
      <c r="T681" s="491"/>
      <c r="U681" s="491"/>
      <c r="V681" s="491"/>
      <c r="W681" s="491"/>
      <c r="X681" s="491"/>
      <c r="Y681" s="491"/>
      <c r="Z681" s="491"/>
      <c r="AA681" s="491"/>
      <c r="AB681" s="491"/>
      <c r="AC681" s="491"/>
    </row>
    <row r="682" spans="1:29">
      <c r="A682" s="491"/>
      <c r="B682" s="491"/>
      <c r="C682" s="491"/>
      <c r="D682" s="491"/>
      <c r="E682" s="491"/>
      <c r="F682" s="491"/>
      <c r="G682" s="491"/>
      <c r="H682" s="491"/>
      <c r="I682" s="491"/>
      <c r="J682" s="491"/>
      <c r="K682" s="505"/>
      <c r="L682" s="506"/>
      <c r="M682" s="491"/>
      <c r="N682" s="491"/>
      <c r="O682" s="491"/>
      <c r="P682" s="604"/>
      <c r="Q682" s="491"/>
      <c r="R682" s="491"/>
      <c r="S682" s="491"/>
      <c r="T682" s="491"/>
      <c r="U682" s="491"/>
      <c r="V682" s="491"/>
      <c r="W682" s="491"/>
      <c r="X682" s="491"/>
      <c r="Y682" s="491"/>
      <c r="Z682" s="491"/>
      <c r="AA682" s="491"/>
      <c r="AB682" s="491"/>
      <c r="AC682" s="491"/>
    </row>
    <row r="683" spans="1:29">
      <c r="A683" s="491"/>
      <c r="B683" s="491"/>
      <c r="C683" s="491"/>
      <c r="D683" s="491"/>
      <c r="E683" s="491"/>
      <c r="F683" s="491"/>
      <c r="G683" s="491"/>
      <c r="H683" s="491"/>
      <c r="I683" s="491"/>
      <c r="J683" s="491"/>
      <c r="K683" s="505"/>
      <c r="L683" s="506"/>
      <c r="M683" s="491"/>
      <c r="N683" s="491"/>
      <c r="O683" s="491"/>
      <c r="P683" s="604"/>
      <c r="Q683" s="491"/>
      <c r="R683" s="491"/>
      <c r="S683" s="491"/>
      <c r="T683" s="491"/>
      <c r="U683" s="491"/>
      <c r="V683" s="491"/>
      <c r="W683" s="491"/>
      <c r="X683" s="491"/>
      <c r="Y683" s="491"/>
      <c r="Z683" s="491"/>
      <c r="AA683" s="491"/>
      <c r="AB683" s="491"/>
      <c r="AC683" s="491"/>
    </row>
    <row r="684" spans="1:29">
      <c r="A684" s="491"/>
      <c r="B684" s="491"/>
      <c r="C684" s="491"/>
      <c r="D684" s="491"/>
      <c r="E684" s="491"/>
      <c r="F684" s="491"/>
      <c r="G684" s="491"/>
      <c r="H684" s="491"/>
      <c r="I684" s="491"/>
      <c r="J684" s="491"/>
      <c r="K684" s="505"/>
      <c r="L684" s="506"/>
      <c r="M684" s="491"/>
      <c r="N684" s="491"/>
      <c r="O684" s="491"/>
      <c r="P684" s="604"/>
      <c r="Q684" s="491"/>
      <c r="R684" s="491"/>
      <c r="S684" s="491"/>
      <c r="T684" s="491"/>
      <c r="U684" s="491"/>
      <c r="V684" s="491"/>
      <c r="W684" s="491"/>
      <c r="X684" s="491"/>
      <c r="Y684" s="491"/>
      <c r="Z684" s="491"/>
      <c r="AA684" s="491"/>
      <c r="AB684" s="491"/>
      <c r="AC684" s="491"/>
    </row>
    <row r="685" spans="1:29">
      <c r="A685" s="491"/>
      <c r="B685" s="491"/>
      <c r="C685" s="491"/>
      <c r="D685" s="491"/>
      <c r="E685" s="491"/>
      <c r="F685" s="491"/>
      <c r="G685" s="491"/>
      <c r="H685" s="491"/>
      <c r="I685" s="491"/>
      <c r="J685" s="491"/>
      <c r="K685" s="505"/>
      <c r="L685" s="506"/>
      <c r="M685" s="491"/>
      <c r="N685" s="491"/>
      <c r="O685" s="491"/>
      <c r="P685" s="604"/>
      <c r="Q685" s="491"/>
      <c r="R685" s="491"/>
      <c r="S685" s="491"/>
      <c r="T685" s="491"/>
      <c r="U685" s="491"/>
      <c r="V685" s="491"/>
      <c r="W685" s="491"/>
      <c r="X685" s="491"/>
      <c r="Y685" s="491"/>
      <c r="Z685" s="491"/>
      <c r="AA685" s="491"/>
      <c r="AB685" s="491"/>
      <c r="AC685" s="491"/>
    </row>
    <row r="686" spans="1:29">
      <c r="A686" s="491"/>
      <c r="B686" s="491"/>
      <c r="C686" s="491"/>
      <c r="D686" s="491"/>
      <c r="E686" s="491"/>
      <c r="F686" s="491"/>
      <c r="G686" s="491"/>
      <c r="H686" s="491"/>
      <c r="I686" s="491"/>
      <c r="J686" s="491"/>
      <c r="K686" s="505"/>
      <c r="L686" s="506"/>
      <c r="M686" s="491"/>
      <c r="N686" s="491"/>
      <c r="O686" s="491"/>
      <c r="P686" s="604"/>
      <c r="Q686" s="491"/>
      <c r="R686" s="491"/>
      <c r="S686" s="491"/>
      <c r="T686" s="491"/>
      <c r="U686" s="491"/>
      <c r="V686" s="491"/>
      <c r="W686" s="491"/>
      <c r="X686" s="491"/>
      <c r="Y686" s="491"/>
      <c r="Z686" s="491"/>
      <c r="AA686" s="491"/>
      <c r="AB686" s="491"/>
      <c r="AC686" s="491"/>
    </row>
    <row r="687" spans="1:29">
      <c r="A687" s="491"/>
      <c r="B687" s="491"/>
      <c r="C687" s="491"/>
      <c r="D687" s="491"/>
      <c r="E687" s="491"/>
      <c r="F687" s="491"/>
      <c r="G687" s="491"/>
      <c r="H687" s="491"/>
      <c r="I687" s="491"/>
      <c r="J687" s="491"/>
      <c r="K687" s="505"/>
      <c r="L687" s="506"/>
      <c r="M687" s="491"/>
      <c r="N687" s="491"/>
      <c r="O687" s="491"/>
      <c r="P687" s="604"/>
      <c r="Q687" s="491"/>
      <c r="R687" s="491"/>
      <c r="S687" s="491"/>
      <c r="T687" s="491"/>
      <c r="U687" s="491"/>
      <c r="V687" s="491"/>
      <c r="W687" s="491"/>
      <c r="X687" s="491"/>
      <c r="Y687" s="491"/>
      <c r="Z687" s="491"/>
      <c r="AA687" s="491"/>
      <c r="AB687" s="491"/>
      <c r="AC687" s="491"/>
    </row>
    <row r="688" spans="1:29">
      <c r="A688" s="491"/>
      <c r="B688" s="491"/>
      <c r="C688" s="491"/>
      <c r="D688" s="491"/>
      <c r="E688" s="491"/>
      <c r="F688" s="491"/>
      <c r="G688" s="491"/>
      <c r="H688" s="491"/>
      <c r="I688" s="491"/>
      <c r="J688" s="491"/>
      <c r="K688" s="505"/>
      <c r="L688" s="506"/>
      <c r="M688" s="491"/>
      <c r="N688" s="491"/>
      <c r="O688" s="491"/>
      <c r="P688" s="604"/>
      <c r="Q688" s="491"/>
      <c r="R688" s="491"/>
      <c r="S688" s="491"/>
      <c r="T688" s="491"/>
      <c r="U688" s="491"/>
      <c r="V688" s="491"/>
      <c r="W688" s="491"/>
      <c r="X688" s="491"/>
      <c r="Y688" s="491"/>
      <c r="Z688" s="491"/>
      <c r="AA688" s="491"/>
      <c r="AB688" s="491"/>
      <c r="AC688" s="491"/>
    </row>
    <row r="689" spans="1:29">
      <c r="A689" s="491"/>
      <c r="B689" s="491"/>
      <c r="C689" s="491"/>
      <c r="D689" s="491"/>
      <c r="E689" s="491"/>
      <c r="F689" s="491"/>
      <c r="G689" s="491"/>
      <c r="H689" s="491"/>
      <c r="I689" s="491"/>
      <c r="J689" s="491"/>
      <c r="K689" s="505"/>
      <c r="L689" s="506"/>
      <c r="M689" s="491"/>
      <c r="N689" s="491"/>
      <c r="O689" s="491"/>
      <c r="P689" s="604"/>
      <c r="Q689" s="491"/>
      <c r="R689" s="491"/>
      <c r="S689" s="491"/>
      <c r="T689" s="491"/>
      <c r="U689" s="491"/>
      <c r="V689" s="491"/>
      <c r="W689" s="491"/>
      <c r="X689" s="491"/>
      <c r="Y689" s="491"/>
      <c r="Z689" s="491"/>
      <c r="AA689" s="491"/>
      <c r="AB689" s="491"/>
      <c r="AC689" s="491"/>
    </row>
    <row r="690" spans="1:29">
      <c r="A690" s="491"/>
      <c r="B690" s="491"/>
      <c r="C690" s="491"/>
      <c r="D690" s="491"/>
      <c r="E690" s="491"/>
      <c r="F690" s="491"/>
      <c r="G690" s="491"/>
      <c r="H690" s="491"/>
      <c r="I690" s="491"/>
      <c r="J690" s="491"/>
      <c r="K690" s="505"/>
      <c r="L690" s="506"/>
      <c r="M690" s="491"/>
      <c r="N690" s="491"/>
      <c r="O690" s="491"/>
      <c r="P690" s="604"/>
      <c r="Q690" s="491"/>
      <c r="R690" s="491"/>
      <c r="S690" s="491"/>
      <c r="T690" s="491"/>
      <c r="U690" s="491"/>
      <c r="V690" s="491"/>
      <c r="W690" s="491"/>
      <c r="X690" s="491"/>
      <c r="Y690" s="491"/>
      <c r="Z690" s="491"/>
      <c r="AA690" s="491"/>
      <c r="AB690" s="491"/>
      <c r="AC690" s="491"/>
    </row>
    <row r="691" spans="1:29">
      <c r="A691" s="491"/>
      <c r="B691" s="491"/>
      <c r="C691" s="491"/>
      <c r="D691" s="491"/>
      <c r="E691" s="491"/>
      <c r="F691" s="491"/>
      <c r="G691" s="491"/>
      <c r="H691" s="491"/>
      <c r="I691" s="491"/>
      <c r="J691" s="491"/>
      <c r="K691" s="505"/>
      <c r="L691" s="506"/>
      <c r="M691" s="491"/>
      <c r="N691" s="491"/>
      <c r="O691" s="491"/>
      <c r="P691" s="604"/>
      <c r="Q691" s="491"/>
      <c r="R691" s="491"/>
      <c r="S691" s="491"/>
      <c r="T691" s="491"/>
      <c r="U691" s="491"/>
      <c r="V691" s="491"/>
      <c r="W691" s="491"/>
      <c r="X691" s="491"/>
      <c r="Y691" s="491"/>
      <c r="Z691" s="491"/>
      <c r="AA691" s="491"/>
      <c r="AB691" s="491"/>
      <c r="AC691" s="491"/>
    </row>
    <row r="692" spans="1:29">
      <c r="A692" s="491"/>
      <c r="B692" s="491"/>
      <c r="C692" s="491"/>
      <c r="D692" s="491"/>
      <c r="E692" s="491"/>
      <c r="F692" s="491"/>
      <c r="G692" s="491"/>
      <c r="H692" s="491"/>
      <c r="I692" s="491"/>
      <c r="J692" s="491"/>
      <c r="K692" s="505"/>
      <c r="L692" s="506"/>
      <c r="M692" s="491"/>
      <c r="N692" s="491"/>
      <c r="O692" s="491"/>
      <c r="P692" s="604"/>
      <c r="Q692" s="491"/>
      <c r="R692" s="491"/>
      <c r="S692" s="491"/>
      <c r="T692" s="491"/>
      <c r="U692" s="491"/>
      <c r="V692" s="491"/>
      <c r="W692" s="491"/>
      <c r="X692" s="491"/>
      <c r="Y692" s="491"/>
      <c r="Z692" s="491"/>
      <c r="AA692" s="491"/>
      <c r="AB692" s="491"/>
      <c r="AC692" s="491"/>
    </row>
    <row r="693" spans="1:29">
      <c r="A693" s="491"/>
      <c r="B693" s="491"/>
      <c r="C693" s="491"/>
      <c r="D693" s="491"/>
      <c r="E693" s="491"/>
      <c r="F693" s="491"/>
      <c r="G693" s="491"/>
      <c r="H693" s="491"/>
      <c r="I693" s="491"/>
      <c r="J693" s="491"/>
      <c r="K693" s="505"/>
      <c r="L693" s="506"/>
      <c r="M693" s="491"/>
      <c r="N693" s="491"/>
      <c r="O693" s="491"/>
      <c r="P693" s="604"/>
      <c r="Q693" s="491"/>
      <c r="R693" s="491"/>
      <c r="S693" s="491"/>
      <c r="T693" s="491"/>
      <c r="U693" s="491"/>
      <c r="V693" s="491"/>
      <c r="W693" s="491"/>
      <c r="X693" s="491"/>
      <c r="Y693" s="491"/>
      <c r="Z693" s="491"/>
      <c r="AA693" s="491"/>
      <c r="AB693" s="491"/>
      <c r="AC693" s="491"/>
    </row>
    <row r="694" spans="1:29">
      <c r="A694" s="491"/>
      <c r="B694" s="491"/>
      <c r="C694" s="491"/>
      <c r="D694" s="491"/>
      <c r="E694" s="491"/>
      <c r="F694" s="491"/>
      <c r="G694" s="491"/>
      <c r="H694" s="491"/>
      <c r="I694" s="491"/>
      <c r="J694" s="491"/>
      <c r="K694" s="505"/>
      <c r="L694" s="506"/>
      <c r="M694" s="491"/>
      <c r="N694" s="491"/>
      <c r="O694" s="491"/>
      <c r="P694" s="604"/>
      <c r="Q694" s="491"/>
      <c r="R694" s="491"/>
      <c r="S694" s="491"/>
      <c r="T694" s="491"/>
      <c r="U694" s="491"/>
      <c r="V694" s="491"/>
      <c r="W694" s="491"/>
      <c r="X694" s="491"/>
      <c r="Y694" s="491"/>
      <c r="Z694" s="491"/>
      <c r="AA694" s="491"/>
      <c r="AB694" s="491"/>
      <c r="AC694" s="491"/>
    </row>
    <row r="695" spans="1:29">
      <c r="A695" s="491"/>
      <c r="B695" s="491"/>
      <c r="C695" s="491"/>
      <c r="D695" s="491"/>
      <c r="E695" s="491"/>
      <c r="F695" s="491"/>
      <c r="G695" s="491"/>
      <c r="H695" s="491"/>
      <c r="I695" s="491"/>
      <c r="J695" s="491"/>
      <c r="K695" s="505"/>
      <c r="L695" s="506"/>
      <c r="M695" s="491"/>
      <c r="N695" s="491"/>
      <c r="O695" s="491"/>
      <c r="P695" s="604"/>
      <c r="Q695" s="491"/>
      <c r="R695" s="491"/>
      <c r="S695" s="491"/>
      <c r="T695" s="491"/>
      <c r="U695" s="491"/>
      <c r="V695" s="491"/>
      <c r="W695" s="491"/>
      <c r="X695" s="491"/>
      <c r="Y695" s="491"/>
      <c r="Z695" s="491"/>
      <c r="AA695" s="491"/>
      <c r="AB695" s="491"/>
      <c r="AC695" s="491"/>
    </row>
    <row r="696" spans="1:29">
      <c r="A696" s="491"/>
      <c r="B696" s="491"/>
      <c r="C696" s="491"/>
      <c r="D696" s="491"/>
      <c r="E696" s="491"/>
      <c r="F696" s="491"/>
      <c r="G696" s="491"/>
      <c r="H696" s="491"/>
      <c r="I696" s="491"/>
      <c r="J696" s="491"/>
      <c r="K696" s="505"/>
      <c r="L696" s="506"/>
      <c r="M696" s="491"/>
      <c r="N696" s="491"/>
      <c r="O696" s="491"/>
      <c r="P696" s="604"/>
      <c r="Q696" s="491"/>
      <c r="R696" s="491"/>
      <c r="S696" s="491"/>
      <c r="T696" s="491"/>
      <c r="U696" s="491"/>
      <c r="V696" s="491"/>
      <c r="W696" s="491"/>
      <c r="X696" s="491"/>
      <c r="Y696" s="491"/>
      <c r="Z696" s="491"/>
      <c r="AA696" s="491"/>
      <c r="AB696" s="491"/>
      <c r="AC696" s="491"/>
    </row>
    <row r="697" spans="1:29">
      <c r="A697" s="491"/>
      <c r="B697" s="491"/>
      <c r="C697" s="491"/>
      <c r="D697" s="491"/>
      <c r="E697" s="491"/>
      <c r="F697" s="491"/>
      <c r="G697" s="491"/>
      <c r="H697" s="491"/>
      <c r="I697" s="491"/>
      <c r="J697" s="491"/>
      <c r="K697" s="505"/>
      <c r="L697" s="506"/>
      <c r="M697" s="491"/>
      <c r="N697" s="491"/>
      <c r="O697" s="491"/>
      <c r="P697" s="604"/>
      <c r="Q697" s="491"/>
      <c r="R697" s="491"/>
      <c r="S697" s="491"/>
      <c r="T697" s="491"/>
      <c r="U697" s="491"/>
      <c r="V697" s="491"/>
      <c r="W697" s="491"/>
      <c r="X697" s="491"/>
      <c r="Y697" s="491"/>
      <c r="Z697" s="491"/>
      <c r="AA697" s="491"/>
      <c r="AB697" s="491"/>
      <c r="AC697" s="491"/>
    </row>
    <row r="698" spans="1:29">
      <c r="A698" s="491"/>
      <c r="B698" s="491"/>
      <c r="C698" s="491"/>
      <c r="D698" s="491"/>
      <c r="E698" s="491"/>
      <c r="F698" s="491"/>
      <c r="G698" s="491"/>
      <c r="H698" s="491"/>
      <c r="I698" s="491"/>
      <c r="J698" s="491"/>
      <c r="K698" s="505"/>
      <c r="L698" s="506"/>
      <c r="M698" s="491"/>
      <c r="N698" s="491"/>
      <c r="O698" s="491"/>
      <c r="P698" s="604"/>
      <c r="Q698" s="491"/>
      <c r="R698" s="491"/>
      <c r="S698" s="491"/>
      <c r="T698" s="491"/>
      <c r="U698" s="491"/>
      <c r="V698" s="491"/>
      <c r="W698" s="491"/>
      <c r="X698" s="491"/>
      <c r="Y698" s="491"/>
      <c r="Z698" s="491"/>
      <c r="AA698" s="491"/>
      <c r="AB698" s="491"/>
      <c r="AC698" s="491"/>
    </row>
    <row r="699" spans="1:29">
      <c r="A699" s="491"/>
      <c r="B699" s="491"/>
      <c r="C699" s="491"/>
      <c r="D699" s="491"/>
      <c r="E699" s="491"/>
      <c r="F699" s="491"/>
      <c r="G699" s="491"/>
      <c r="H699" s="491"/>
      <c r="I699" s="491"/>
      <c r="J699" s="491"/>
      <c r="K699" s="505"/>
      <c r="L699" s="506"/>
      <c r="M699" s="491"/>
      <c r="N699" s="491"/>
      <c r="O699" s="491"/>
      <c r="P699" s="604"/>
      <c r="Q699" s="491"/>
      <c r="R699" s="491"/>
      <c r="S699" s="491"/>
      <c r="T699" s="491"/>
      <c r="U699" s="491"/>
      <c r="V699" s="491"/>
      <c r="W699" s="491"/>
      <c r="X699" s="491"/>
      <c r="Y699" s="491"/>
      <c r="Z699" s="491"/>
      <c r="AA699" s="491"/>
      <c r="AB699" s="491"/>
      <c r="AC699" s="491"/>
    </row>
    <row r="700" spans="1:29">
      <c r="A700" s="491"/>
      <c r="B700" s="491"/>
      <c r="C700" s="491"/>
      <c r="D700" s="491"/>
      <c r="E700" s="491"/>
      <c r="F700" s="491"/>
      <c r="G700" s="491"/>
      <c r="H700" s="491"/>
      <c r="I700" s="491"/>
      <c r="J700" s="491"/>
      <c r="K700" s="505"/>
      <c r="L700" s="506"/>
      <c r="M700" s="491"/>
      <c r="N700" s="491"/>
      <c r="O700" s="491"/>
      <c r="P700" s="604"/>
      <c r="Q700" s="491"/>
      <c r="R700" s="491"/>
      <c r="S700" s="491"/>
      <c r="T700" s="491"/>
      <c r="U700" s="491"/>
      <c r="V700" s="491"/>
      <c r="W700" s="491"/>
      <c r="X700" s="491"/>
      <c r="Y700" s="491"/>
      <c r="Z700" s="491"/>
      <c r="AA700" s="491"/>
      <c r="AB700" s="491"/>
      <c r="AC700" s="491"/>
    </row>
    <row r="701" spans="1:29">
      <c r="A701" s="491"/>
      <c r="B701" s="491"/>
      <c r="C701" s="491"/>
      <c r="D701" s="491"/>
      <c r="E701" s="491"/>
      <c r="F701" s="491"/>
      <c r="G701" s="491"/>
      <c r="H701" s="491"/>
      <c r="I701" s="491"/>
      <c r="J701" s="491"/>
      <c r="K701" s="505"/>
      <c r="L701" s="506"/>
      <c r="M701" s="491"/>
      <c r="N701" s="491"/>
      <c r="O701" s="491"/>
      <c r="P701" s="604"/>
      <c r="Q701" s="491"/>
      <c r="R701" s="491"/>
      <c r="S701" s="491"/>
      <c r="T701" s="491"/>
      <c r="U701" s="491"/>
      <c r="V701" s="491"/>
      <c r="W701" s="491"/>
      <c r="X701" s="491"/>
      <c r="Y701" s="491"/>
      <c r="Z701" s="491"/>
      <c r="AA701" s="491"/>
      <c r="AB701" s="491"/>
      <c r="AC701" s="491"/>
    </row>
    <row r="702" spans="1:29">
      <c r="A702" s="491"/>
      <c r="B702" s="491"/>
      <c r="C702" s="491"/>
      <c r="D702" s="491"/>
      <c r="E702" s="491"/>
      <c r="F702" s="491"/>
      <c r="G702" s="491"/>
      <c r="H702" s="491"/>
      <c r="I702" s="491"/>
      <c r="J702" s="491"/>
      <c r="K702" s="505"/>
      <c r="L702" s="506"/>
      <c r="M702" s="491"/>
      <c r="N702" s="491"/>
      <c r="O702" s="491"/>
      <c r="P702" s="604"/>
      <c r="Q702" s="491"/>
      <c r="R702" s="491"/>
      <c r="S702" s="491"/>
      <c r="T702" s="491"/>
      <c r="U702" s="491"/>
      <c r="V702" s="491"/>
      <c r="W702" s="491"/>
      <c r="X702" s="491"/>
      <c r="Y702" s="491"/>
      <c r="Z702" s="491"/>
      <c r="AA702" s="491"/>
      <c r="AB702" s="491"/>
      <c r="AC702" s="491"/>
    </row>
    <row r="703" spans="1:29">
      <c r="A703" s="491"/>
      <c r="B703" s="491"/>
      <c r="C703" s="491"/>
      <c r="D703" s="491"/>
      <c r="E703" s="491"/>
      <c r="F703" s="491"/>
      <c r="G703" s="491"/>
      <c r="H703" s="491"/>
      <c r="I703" s="491"/>
      <c r="J703" s="491"/>
      <c r="K703" s="505"/>
      <c r="L703" s="506"/>
      <c r="M703" s="491"/>
      <c r="N703" s="491"/>
      <c r="O703" s="491"/>
      <c r="P703" s="604"/>
      <c r="Q703" s="491"/>
      <c r="R703" s="491"/>
      <c r="S703" s="491"/>
      <c r="T703" s="491"/>
      <c r="U703" s="491"/>
      <c r="V703" s="491"/>
      <c r="W703" s="491"/>
      <c r="X703" s="491"/>
      <c r="Y703" s="491"/>
      <c r="Z703" s="491"/>
      <c r="AA703" s="491"/>
      <c r="AB703" s="491"/>
      <c r="AC703" s="491"/>
    </row>
    <row r="704" spans="1:29">
      <c r="A704" s="491"/>
      <c r="B704" s="491"/>
      <c r="C704" s="491"/>
      <c r="D704" s="491"/>
      <c r="E704" s="491"/>
      <c r="F704" s="491"/>
      <c r="G704" s="491"/>
      <c r="H704" s="491"/>
      <c r="I704" s="491"/>
      <c r="J704" s="491"/>
      <c r="K704" s="505"/>
      <c r="L704" s="506"/>
      <c r="M704" s="491"/>
      <c r="N704" s="491"/>
      <c r="O704" s="491"/>
      <c r="P704" s="604"/>
      <c r="Q704" s="491"/>
      <c r="R704" s="491"/>
      <c r="S704" s="491"/>
      <c r="T704" s="491"/>
      <c r="U704" s="491"/>
      <c r="V704" s="491"/>
      <c r="W704" s="491"/>
      <c r="X704" s="491"/>
      <c r="Y704" s="491"/>
      <c r="Z704" s="491"/>
      <c r="AA704" s="491"/>
      <c r="AB704" s="491"/>
      <c r="AC704" s="491"/>
    </row>
    <row r="705" spans="1:29">
      <c r="A705" s="491"/>
      <c r="B705" s="491"/>
      <c r="C705" s="491"/>
      <c r="D705" s="491"/>
      <c r="E705" s="491"/>
      <c r="F705" s="491"/>
      <c r="G705" s="491"/>
      <c r="H705" s="491"/>
      <c r="I705" s="491"/>
      <c r="J705" s="491"/>
      <c r="K705" s="505"/>
      <c r="L705" s="506"/>
      <c r="M705" s="491"/>
      <c r="N705" s="491"/>
      <c r="O705" s="491"/>
      <c r="P705" s="604"/>
      <c r="Q705" s="491"/>
      <c r="R705" s="491"/>
      <c r="S705" s="491"/>
      <c r="T705" s="491"/>
      <c r="U705" s="491"/>
      <c r="V705" s="491"/>
      <c r="W705" s="491"/>
      <c r="X705" s="491"/>
      <c r="Y705" s="491"/>
      <c r="Z705" s="491"/>
      <c r="AA705" s="491"/>
      <c r="AB705" s="491"/>
      <c r="AC705" s="491"/>
    </row>
    <row r="706" spans="1:29">
      <c r="A706" s="491"/>
      <c r="B706" s="491"/>
      <c r="C706" s="491"/>
      <c r="D706" s="491"/>
      <c r="E706" s="491"/>
      <c r="F706" s="491"/>
      <c r="G706" s="491"/>
      <c r="H706" s="491"/>
      <c r="I706" s="491"/>
      <c r="J706" s="491"/>
      <c r="K706" s="505"/>
      <c r="L706" s="506"/>
      <c r="M706" s="491"/>
      <c r="N706" s="491"/>
      <c r="O706" s="491"/>
      <c r="P706" s="604"/>
      <c r="Q706" s="491"/>
      <c r="R706" s="491"/>
      <c r="S706" s="491"/>
      <c r="T706" s="491"/>
      <c r="U706" s="491"/>
      <c r="V706" s="491"/>
      <c r="W706" s="491"/>
      <c r="X706" s="491"/>
      <c r="Y706" s="491"/>
      <c r="Z706" s="491"/>
      <c r="AA706" s="491"/>
      <c r="AB706" s="491"/>
      <c r="AC706" s="491"/>
    </row>
    <row r="707" spans="1:29">
      <c r="A707" s="491"/>
      <c r="B707" s="491"/>
      <c r="C707" s="491"/>
      <c r="D707" s="491"/>
      <c r="E707" s="491"/>
      <c r="F707" s="491"/>
      <c r="G707" s="491"/>
      <c r="H707" s="491"/>
      <c r="I707" s="491"/>
      <c r="J707" s="491"/>
      <c r="K707" s="505"/>
      <c r="L707" s="506"/>
      <c r="M707" s="491"/>
      <c r="N707" s="491"/>
      <c r="O707" s="491"/>
      <c r="P707" s="604"/>
      <c r="Q707" s="491"/>
      <c r="R707" s="491"/>
      <c r="S707" s="491"/>
      <c r="T707" s="491"/>
      <c r="U707" s="491"/>
      <c r="V707" s="491"/>
      <c r="W707" s="491"/>
      <c r="X707" s="491"/>
      <c r="Y707" s="491"/>
      <c r="Z707" s="491"/>
      <c r="AA707" s="491"/>
      <c r="AB707" s="491"/>
      <c r="AC707" s="491"/>
    </row>
    <row r="708" spans="1:29">
      <c r="A708" s="491"/>
      <c r="B708" s="491"/>
      <c r="C708" s="491"/>
      <c r="D708" s="491"/>
      <c r="E708" s="491"/>
      <c r="F708" s="491"/>
      <c r="G708" s="491"/>
      <c r="H708" s="491"/>
      <c r="I708" s="491"/>
      <c r="J708" s="491"/>
      <c r="K708" s="505"/>
      <c r="L708" s="506"/>
      <c r="M708" s="491"/>
      <c r="N708" s="491"/>
      <c r="O708" s="491"/>
      <c r="P708" s="604"/>
      <c r="Q708" s="491"/>
      <c r="R708" s="491"/>
      <c r="S708" s="491"/>
      <c r="T708" s="491"/>
      <c r="U708" s="491"/>
      <c r="V708" s="491"/>
      <c r="W708" s="491"/>
      <c r="X708" s="491"/>
      <c r="Y708" s="491"/>
      <c r="Z708" s="491"/>
      <c r="AA708" s="491"/>
      <c r="AB708" s="491"/>
      <c r="AC708" s="491"/>
    </row>
    <row r="709" spans="1:29">
      <c r="A709" s="491"/>
      <c r="B709" s="491"/>
      <c r="C709" s="491"/>
      <c r="D709" s="491"/>
      <c r="E709" s="491"/>
      <c r="F709" s="491"/>
      <c r="G709" s="491"/>
      <c r="H709" s="491"/>
      <c r="I709" s="491"/>
      <c r="J709" s="491"/>
      <c r="K709" s="505"/>
      <c r="L709" s="506"/>
      <c r="M709" s="491"/>
      <c r="N709" s="491"/>
      <c r="O709" s="491"/>
      <c r="P709" s="604"/>
      <c r="Q709" s="491"/>
      <c r="R709" s="491"/>
      <c r="S709" s="491"/>
      <c r="T709" s="491"/>
      <c r="U709" s="491"/>
      <c r="V709" s="491"/>
      <c r="W709" s="491"/>
      <c r="X709" s="491"/>
      <c r="Y709" s="491"/>
      <c r="Z709" s="491"/>
      <c r="AA709" s="491"/>
      <c r="AB709" s="491"/>
      <c r="AC709" s="491"/>
    </row>
    <row r="710" spans="1:29">
      <c r="A710" s="491"/>
      <c r="B710" s="491"/>
      <c r="C710" s="491"/>
      <c r="D710" s="491"/>
      <c r="E710" s="491"/>
      <c r="F710" s="491"/>
      <c r="G710" s="491"/>
      <c r="H710" s="491"/>
      <c r="I710" s="491"/>
      <c r="J710" s="491"/>
      <c r="K710" s="505"/>
      <c r="L710" s="506"/>
      <c r="M710" s="491"/>
      <c r="N710" s="491"/>
      <c r="O710" s="491"/>
      <c r="P710" s="604"/>
      <c r="Q710" s="491"/>
      <c r="R710" s="491"/>
      <c r="S710" s="491"/>
      <c r="T710" s="491"/>
      <c r="U710" s="491"/>
      <c r="V710" s="491"/>
      <c r="W710" s="491"/>
      <c r="X710" s="491"/>
      <c r="Y710" s="491"/>
      <c r="Z710" s="491"/>
      <c r="AA710" s="491"/>
      <c r="AB710" s="491"/>
      <c r="AC710" s="491"/>
    </row>
    <row r="711" spans="1:29">
      <c r="A711" s="491"/>
      <c r="B711" s="491"/>
      <c r="C711" s="491"/>
      <c r="D711" s="491"/>
      <c r="E711" s="491"/>
      <c r="F711" s="491"/>
      <c r="G711" s="491"/>
      <c r="H711" s="491"/>
      <c r="I711" s="491"/>
      <c r="J711" s="491"/>
      <c r="K711" s="505"/>
      <c r="L711" s="506"/>
      <c r="M711" s="491"/>
      <c r="N711" s="491"/>
      <c r="O711" s="491"/>
      <c r="P711" s="604"/>
      <c r="Q711" s="491"/>
      <c r="R711" s="491"/>
      <c r="S711" s="491"/>
      <c r="T711" s="491"/>
      <c r="U711" s="491"/>
      <c r="V711" s="491"/>
      <c r="W711" s="491"/>
      <c r="X711" s="491"/>
      <c r="Y711" s="491"/>
      <c r="Z711" s="491"/>
      <c r="AA711" s="491"/>
      <c r="AB711" s="491"/>
      <c r="AC711" s="491"/>
    </row>
    <row r="712" spans="1:29">
      <c r="A712" s="491"/>
      <c r="B712" s="491"/>
      <c r="C712" s="491"/>
      <c r="D712" s="491"/>
      <c r="E712" s="491"/>
      <c r="F712" s="491"/>
      <c r="G712" s="491"/>
      <c r="H712" s="491"/>
      <c r="I712" s="491"/>
      <c r="J712" s="491"/>
      <c r="K712" s="505"/>
      <c r="L712" s="506"/>
      <c r="M712" s="491"/>
      <c r="N712" s="491"/>
      <c r="O712" s="491"/>
      <c r="P712" s="604"/>
      <c r="Q712" s="491"/>
      <c r="R712" s="491"/>
      <c r="S712" s="491"/>
      <c r="T712" s="491"/>
      <c r="U712" s="491"/>
      <c r="V712" s="491"/>
      <c r="W712" s="491"/>
      <c r="X712" s="491"/>
      <c r="Y712" s="491"/>
      <c r="Z712" s="491"/>
      <c r="AA712" s="491"/>
      <c r="AB712" s="491"/>
      <c r="AC712" s="491"/>
    </row>
    <row r="713" spans="1:29">
      <c r="A713" s="491"/>
      <c r="B713" s="491"/>
      <c r="C713" s="491"/>
      <c r="D713" s="491"/>
      <c r="E713" s="491"/>
      <c r="F713" s="491"/>
      <c r="G713" s="491"/>
      <c r="H713" s="491"/>
      <c r="I713" s="491"/>
      <c r="J713" s="491"/>
      <c r="K713" s="505"/>
      <c r="L713" s="506"/>
      <c r="M713" s="491"/>
      <c r="N713" s="491"/>
      <c r="O713" s="491"/>
      <c r="P713" s="604"/>
      <c r="Q713" s="491"/>
      <c r="R713" s="491"/>
      <c r="S713" s="491"/>
      <c r="T713" s="491"/>
      <c r="U713" s="491"/>
      <c r="V713" s="491"/>
      <c r="W713" s="491"/>
      <c r="X713" s="491"/>
      <c r="Y713" s="491"/>
      <c r="Z713" s="491"/>
      <c r="AA713" s="491"/>
      <c r="AB713" s="491"/>
      <c r="AC713" s="491"/>
    </row>
    <row r="714" spans="1:29">
      <c r="A714" s="491"/>
      <c r="B714" s="491"/>
      <c r="C714" s="491"/>
      <c r="D714" s="491"/>
      <c r="E714" s="491"/>
      <c r="F714" s="491"/>
      <c r="G714" s="491"/>
      <c r="H714" s="491"/>
      <c r="I714" s="491"/>
      <c r="J714" s="491"/>
      <c r="K714" s="505"/>
      <c r="L714" s="506"/>
      <c r="M714" s="491"/>
      <c r="N714" s="491"/>
      <c r="O714" s="491"/>
      <c r="P714" s="604"/>
      <c r="Q714" s="491"/>
      <c r="R714" s="491"/>
      <c r="S714" s="491"/>
      <c r="T714" s="491"/>
      <c r="U714" s="491"/>
      <c r="V714" s="491"/>
      <c r="W714" s="491"/>
      <c r="X714" s="491"/>
      <c r="Y714" s="491"/>
      <c r="Z714" s="491"/>
      <c r="AA714" s="491"/>
      <c r="AB714" s="491"/>
      <c r="AC714" s="491"/>
    </row>
    <row r="715" spans="1:29">
      <c r="A715" s="491"/>
      <c r="B715" s="491"/>
      <c r="C715" s="491"/>
      <c r="D715" s="491"/>
      <c r="E715" s="491"/>
      <c r="F715" s="491"/>
      <c r="G715" s="491"/>
      <c r="H715" s="491"/>
      <c r="I715" s="491"/>
      <c r="J715" s="491"/>
      <c r="K715" s="505"/>
      <c r="L715" s="506"/>
      <c r="M715" s="491"/>
      <c r="N715" s="491"/>
      <c r="O715" s="491"/>
      <c r="P715" s="604"/>
      <c r="Q715" s="491"/>
      <c r="R715" s="491"/>
      <c r="S715" s="491"/>
      <c r="T715" s="491"/>
      <c r="U715" s="491"/>
      <c r="V715" s="491"/>
      <c r="W715" s="491"/>
      <c r="X715" s="491"/>
      <c r="Y715" s="491"/>
      <c r="Z715" s="491"/>
      <c r="AA715" s="491"/>
      <c r="AB715" s="491"/>
      <c r="AC715" s="491"/>
    </row>
    <row r="716" spans="1:29">
      <c r="A716" s="491"/>
      <c r="B716" s="491"/>
      <c r="C716" s="491"/>
      <c r="D716" s="491"/>
      <c r="E716" s="491"/>
      <c r="F716" s="491"/>
      <c r="G716" s="491"/>
      <c r="H716" s="491"/>
      <c r="I716" s="491"/>
      <c r="J716" s="491"/>
      <c r="K716" s="505"/>
      <c r="L716" s="506"/>
      <c r="M716" s="491"/>
      <c r="N716" s="491"/>
      <c r="O716" s="491"/>
      <c r="P716" s="604"/>
      <c r="Q716" s="491"/>
      <c r="R716" s="491"/>
      <c r="S716" s="491"/>
      <c r="T716" s="491"/>
      <c r="U716" s="491"/>
      <c r="V716" s="491"/>
      <c r="W716" s="491"/>
      <c r="X716" s="491"/>
      <c r="Y716" s="491"/>
      <c r="Z716" s="491"/>
      <c r="AA716" s="491"/>
      <c r="AB716" s="491"/>
      <c r="AC716" s="491"/>
    </row>
    <row r="717" spans="1:29">
      <c r="A717" s="491"/>
      <c r="B717" s="491"/>
      <c r="C717" s="491"/>
      <c r="D717" s="491"/>
      <c r="E717" s="491"/>
      <c r="F717" s="491"/>
      <c r="G717" s="491"/>
      <c r="H717" s="491"/>
      <c r="I717" s="491"/>
      <c r="J717" s="491"/>
      <c r="K717" s="505"/>
      <c r="L717" s="506"/>
      <c r="M717" s="491"/>
      <c r="N717" s="491"/>
      <c r="O717" s="491"/>
      <c r="P717" s="604"/>
      <c r="Q717" s="491"/>
      <c r="R717" s="491"/>
      <c r="S717" s="491"/>
      <c r="T717" s="491"/>
      <c r="U717" s="491"/>
      <c r="V717" s="491"/>
      <c r="W717" s="491"/>
      <c r="X717" s="491"/>
      <c r="Y717" s="491"/>
      <c r="Z717" s="491"/>
      <c r="AA717" s="491"/>
      <c r="AB717" s="491"/>
      <c r="AC717" s="491"/>
    </row>
    <row r="718" spans="1:29">
      <c r="A718" s="491"/>
      <c r="B718" s="491"/>
      <c r="C718" s="491"/>
      <c r="D718" s="491"/>
      <c r="E718" s="491"/>
      <c r="F718" s="491"/>
      <c r="G718" s="491"/>
      <c r="H718" s="491"/>
      <c r="I718" s="491"/>
      <c r="J718" s="491"/>
      <c r="K718" s="505"/>
      <c r="L718" s="506"/>
      <c r="M718" s="491"/>
      <c r="N718" s="491"/>
      <c r="O718" s="491"/>
      <c r="P718" s="604"/>
      <c r="Q718" s="491"/>
      <c r="R718" s="491"/>
      <c r="S718" s="491"/>
      <c r="T718" s="491"/>
      <c r="U718" s="491"/>
      <c r="V718" s="491"/>
      <c r="W718" s="491"/>
      <c r="X718" s="491"/>
      <c r="Y718" s="491"/>
      <c r="Z718" s="491"/>
      <c r="AA718" s="491"/>
      <c r="AB718" s="491"/>
      <c r="AC718" s="491"/>
    </row>
    <row r="719" spans="1:29">
      <c r="A719" s="491"/>
      <c r="B719" s="491"/>
      <c r="C719" s="491"/>
      <c r="D719" s="491"/>
      <c r="E719" s="491"/>
      <c r="F719" s="491"/>
      <c r="G719" s="491"/>
      <c r="H719" s="491"/>
      <c r="I719" s="491"/>
      <c r="J719" s="491"/>
      <c r="K719" s="505"/>
      <c r="L719" s="506"/>
      <c r="M719" s="491"/>
      <c r="N719" s="491"/>
      <c r="O719" s="491"/>
      <c r="P719" s="604"/>
      <c r="Q719" s="491"/>
      <c r="R719" s="491"/>
      <c r="S719" s="491"/>
      <c r="T719" s="491"/>
      <c r="U719" s="491"/>
      <c r="V719" s="491"/>
      <c r="W719" s="491"/>
      <c r="X719" s="491"/>
      <c r="Y719" s="491"/>
      <c r="Z719" s="491"/>
      <c r="AA719" s="491"/>
      <c r="AB719" s="491"/>
      <c r="AC719" s="491"/>
    </row>
    <row r="720" spans="1:29">
      <c r="A720" s="491"/>
      <c r="B720" s="491"/>
      <c r="C720" s="491"/>
      <c r="D720" s="491"/>
      <c r="E720" s="491"/>
      <c r="F720" s="491"/>
      <c r="G720" s="491"/>
      <c r="H720" s="491"/>
      <c r="I720" s="491"/>
      <c r="J720" s="491"/>
      <c r="K720" s="505"/>
      <c r="L720" s="506"/>
      <c r="M720" s="491"/>
      <c r="N720" s="491"/>
      <c r="O720" s="491"/>
      <c r="P720" s="604"/>
      <c r="Q720" s="491"/>
      <c r="R720" s="491"/>
      <c r="S720" s="491"/>
      <c r="T720" s="491"/>
      <c r="U720" s="491"/>
      <c r="V720" s="491"/>
      <c r="W720" s="491"/>
      <c r="X720" s="491"/>
      <c r="Y720" s="491"/>
      <c r="Z720" s="491"/>
      <c r="AA720" s="491"/>
      <c r="AB720" s="491"/>
      <c r="AC720" s="491"/>
    </row>
    <row r="721" spans="1:29">
      <c r="A721" s="491"/>
      <c r="B721" s="491"/>
      <c r="C721" s="491"/>
      <c r="D721" s="491"/>
      <c r="E721" s="491"/>
      <c r="F721" s="491"/>
      <c r="G721" s="491"/>
      <c r="H721" s="491"/>
      <c r="I721" s="491"/>
      <c r="J721" s="491"/>
      <c r="K721" s="505"/>
      <c r="L721" s="506"/>
      <c r="M721" s="491"/>
      <c r="N721" s="491"/>
      <c r="O721" s="491"/>
      <c r="P721" s="604"/>
      <c r="Q721" s="491"/>
      <c r="R721" s="491"/>
      <c r="S721" s="491"/>
      <c r="T721" s="491"/>
      <c r="U721" s="491"/>
      <c r="V721" s="491"/>
      <c r="W721" s="491"/>
      <c r="X721" s="491"/>
      <c r="Y721" s="491"/>
      <c r="Z721" s="491"/>
      <c r="AA721" s="491"/>
      <c r="AB721" s="491"/>
      <c r="AC721" s="491"/>
    </row>
    <row r="722" spans="1:29">
      <c r="A722" s="491"/>
      <c r="B722" s="491"/>
      <c r="C722" s="491"/>
      <c r="D722" s="491"/>
      <c r="E722" s="491"/>
      <c r="F722" s="491"/>
      <c r="G722" s="491"/>
      <c r="H722" s="491"/>
      <c r="I722" s="491"/>
      <c r="J722" s="491"/>
      <c r="K722" s="505"/>
      <c r="L722" s="506"/>
      <c r="M722" s="491"/>
      <c r="N722" s="491"/>
      <c r="O722" s="491"/>
      <c r="P722" s="604"/>
      <c r="Q722" s="491"/>
      <c r="R722" s="491"/>
      <c r="S722" s="491"/>
      <c r="T722" s="491"/>
      <c r="U722" s="491"/>
      <c r="V722" s="491"/>
      <c r="W722" s="491"/>
      <c r="X722" s="491"/>
      <c r="Y722" s="491"/>
      <c r="Z722" s="491"/>
      <c r="AA722" s="491"/>
      <c r="AB722" s="491"/>
      <c r="AC722" s="491"/>
    </row>
    <row r="723" spans="1:29">
      <c r="A723" s="491"/>
      <c r="B723" s="491"/>
      <c r="C723" s="491"/>
      <c r="D723" s="491"/>
      <c r="E723" s="491"/>
      <c r="F723" s="491"/>
      <c r="G723" s="491"/>
      <c r="H723" s="491"/>
      <c r="I723" s="491"/>
      <c r="J723" s="491"/>
      <c r="K723" s="505"/>
      <c r="L723" s="506"/>
      <c r="M723" s="491"/>
      <c r="N723" s="491"/>
      <c r="O723" s="491"/>
      <c r="P723" s="604"/>
      <c r="Q723" s="491"/>
      <c r="R723" s="491"/>
      <c r="S723" s="491"/>
      <c r="T723" s="491"/>
      <c r="U723" s="491"/>
      <c r="V723" s="491"/>
      <c r="W723" s="491"/>
      <c r="X723" s="491"/>
      <c r="Y723" s="491"/>
      <c r="Z723" s="491"/>
      <c r="AA723" s="491"/>
      <c r="AB723" s="491"/>
      <c r="AC723" s="491"/>
    </row>
    <row r="724" spans="1:29">
      <c r="A724" s="491"/>
      <c r="B724" s="491"/>
      <c r="C724" s="491"/>
      <c r="D724" s="491"/>
      <c r="E724" s="491"/>
      <c r="F724" s="491"/>
      <c r="G724" s="491"/>
      <c r="H724" s="491"/>
      <c r="I724" s="491"/>
      <c r="J724" s="491"/>
      <c r="K724" s="505"/>
      <c r="L724" s="506"/>
      <c r="M724" s="491"/>
      <c r="N724" s="491"/>
      <c r="O724" s="491"/>
      <c r="P724" s="604"/>
      <c r="Q724" s="491"/>
      <c r="R724" s="491"/>
      <c r="S724" s="491"/>
      <c r="T724" s="491"/>
      <c r="U724" s="491"/>
      <c r="V724" s="491"/>
      <c r="W724" s="491"/>
      <c r="X724" s="491"/>
      <c r="Y724" s="491"/>
      <c r="Z724" s="491"/>
      <c r="AA724" s="491"/>
      <c r="AB724" s="491"/>
      <c r="AC724" s="491"/>
    </row>
    <row r="725" spans="1:29">
      <c r="A725" s="491"/>
      <c r="B725" s="491"/>
      <c r="C725" s="491"/>
      <c r="D725" s="491"/>
      <c r="E725" s="491"/>
      <c r="F725" s="491"/>
      <c r="G725" s="491"/>
      <c r="H725" s="491"/>
      <c r="I725" s="491"/>
      <c r="J725" s="491"/>
      <c r="K725" s="505"/>
      <c r="L725" s="506"/>
      <c r="M725" s="491"/>
      <c r="N725" s="491"/>
      <c r="O725" s="491"/>
      <c r="P725" s="604"/>
      <c r="Q725" s="491"/>
      <c r="R725" s="491"/>
      <c r="S725" s="491"/>
      <c r="T725" s="491"/>
      <c r="U725" s="491"/>
      <c r="V725" s="491"/>
      <c r="W725" s="491"/>
      <c r="X725" s="491"/>
      <c r="Y725" s="491"/>
      <c r="Z725" s="491"/>
      <c r="AA725" s="491"/>
      <c r="AB725" s="491"/>
      <c r="AC725" s="491"/>
    </row>
    <row r="726" spans="1:29">
      <c r="A726" s="491"/>
      <c r="B726" s="491"/>
      <c r="C726" s="491"/>
      <c r="D726" s="491"/>
      <c r="E726" s="491"/>
      <c r="F726" s="491"/>
      <c r="G726" s="491"/>
      <c r="H726" s="491"/>
      <c r="I726" s="491"/>
      <c r="J726" s="491"/>
      <c r="K726" s="505"/>
      <c r="L726" s="506"/>
      <c r="M726" s="491"/>
      <c r="N726" s="491"/>
      <c r="O726" s="491"/>
      <c r="P726" s="604"/>
      <c r="Q726" s="491"/>
      <c r="R726" s="491"/>
      <c r="S726" s="491"/>
      <c r="T726" s="491"/>
      <c r="U726" s="491"/>
      <c r="V726" s="491"/>
      <c r="W726" s="491"/>
      <c r="X726" s="491"/>
      <c r="Y726" s="491"/>
      <c r="Z726" s="491"/>
      <c r="AA726" s="491"/>
      <c r="AB726" s="491"/>
      <c r="AC726" s="491"/>
    </row>
    <row r="727" spans="1:29">
      <c r="A727" s="491"/>
      <c r="B727" s="491"/>
      <c r="C727" s="491"/>
      <c r="D727" s="491"/>
      <c r="E727" s="491"/>
      <c r="F727" s="491"/>
      <c r="G727" s="491"/>
      <c r="H727" s="491"/>
      <c r="I727" s="491"/>
      <c r="J727" s="491"/>
      <c r="K727" s="505"/>
      <c r="L727" s="506"/>
      <c r="M727" s="491"/>
      <c r="N727" s="491"/>
      <c r="O727" s="491"/>
      <c r="P727" s="604"/>
      <c r="Q727" s="491"/>
      <c r="R727" s="491"/>
      <c r="S727" s="491"/>
      <c r="T727" s="491"/>
      <c r="U727" s="491"/>
      <c r="V727" s="491"/>
      <c r="W727" s="491"/>
      <c r="X727" s="491"/>
      <c r="Y727" s="491"/>
      <c r="Z727" s="491"/>
      <c r="AA727" s="491"/>
      <c r="AB727" s="491"/>
      <c r="AC727" s="491"/>
    </row>
    <row r="728" spans="1:29">
      <c r="A728" s="491"/>
      <c r="B728" s="491"/>
      <c r="C728" s="491"/>
      <c r="D728" s="491"/>
      <c r="E728" s="491"/>
      <c r="F728" s="491"/>
      <c r="G728" s="491"/>
      <c r="H728" s="491"/>
      <c r="I728" s="491"/>
      <c r="J728" s="491"/>
      <c r="K728" s="505"/>
      <c r="L728" s="506"/>
      <c r="M728" s="491"/>
      <c r="N728" s="491"/>
      <c r="O728" s="491"/>
      <c r="P728" s="604"/>
      <c r="Q728" s="491"/>
      <c r="R728" s="491"/>
      <c r="S728" s="491"/>
      <c r="T728" s="491"/>
      <c r="U728" s="491"/>
      <c r="V728" s="491"/>
      <c r="W728" s="491"/>
      <c r="X728" s="491"/>
      <c r="Y728" s="491"/>
      <c r="Z728" s="491"/>
      <c r="AA728" s="491"/>
      <c r="AB728" s="491"/>
      <c r="AC728" s="491"/>
    </row>
    <row r="729" spans="1:29">
      <c r="A729" s="491"/>
      <c r="B729" s="491"/>
      <c r="C729" s="491"/>
      <c r="D729" s="491"/>
      <c r="E729" s="491"/>
      <c r="F729" s="491"/>
      <c r="G729" s="491"/>
      <c r="H729" s="491"/>
      <c r="I729" s="491"/>
      <c r="J729" s="491"/>
      <c r="K729" s="505"/>
      <c r="L729" s="506"/>
      <c r="M729" s="491"/>
      <c r="N729" s="491"/>
      <c r="O729" s="491"/>
      <c r="P729" s="604"/>
      <c r="Q729" s="491"/>
      <c r="R729" s="491"/>
      <c r="S729" s="491"/>
      <c r="T729" s="491"/>
      <c r="U729" s="491"/>
      <c r="V729" s="491"/>
      <c r="W729" s="491"/>
      <c r="X729" s="491"/>
      <c r="Y729" s="491"/>
      <c r="Z729" s="491"/>
      <c r="AA729" s="491"/>
      <c r="AB729" s="491"/>
      <c r="AC729" s="491"/>
    </row>
    <row r="730" spans="1:29">
      <c r="A730" s="491"/>
      <c r="B730" s="491"/>
      <c r="C730" s="491"/>
      <c r="D730" s="491"/>
      <c r="E730" s="491"/>
      <c r="F730" s="491"/>
      <c r="G730" s="491"/>
      <c r="H730" s="491"/>
      <c r="I730" s="491"/>
      <c r="J730" s="491"/>
      <c r="K730" s="505"/>
      <c r="L730" s="506"/>
      <c r="M730" s="491"/>
      <c r="N730" s="491"/>
      <c r="O730" s="491"/>
      <c r="P730" s="604"/>
      <c r="Q730" s="491"/>
      <c r="R730" s="491"/>
      <c r="S730" s="491"/>
      <c r="T730" s="491"/>
      <c r="U730" s="491"/>
      <c r="V730" s="491"/>
      <c r="W730" s="491"/>
      <c r="X730" s="491"/>
      <c r="Y730" s="491"/>
      <c r="Z730" s="491"/>
      <c r="AA730" s="491"/>
      <c r="AB730" s="491"/>
      <c r="AC730" s="491"/>
    </row>
    <row r="731" spans="1:29">
      <c r="A731" s="491"/>
      <c r="B731" s="491"/>
      <c r="C731" s="491"/>
      <c r="D731" s="491"/>
      <c r="E731" s="491"/>
      <c r="F731" s="491"/>
      <c r="G731" s="491"/>
      <c r="H731" s="491"/>
      <c r="I731" s="491"/>
      <c r="J731" s="491"/>
      <c r="K731" s="505"/>
      <c r="L731" s="506"/>
      <c r="M731" s="491"/>
      <c r="N731" s="491"/>
      <c r="O731" s="491"/>
      <c r="P731" s="604"/>
      <c r="Q731" s="491"/>
      <c r="R731" s="491"/>
      <c r="S731" s="491"/>
      <c r="T731" s="491"/>
      <c r="U731" s="491"/>
      <c r="V731" s="491"/>
      <c r="W731" s="491"/>
      <c r="X731" s="491"/>
      <c r="Y731" s="491"/>
      <c r="Z731" s="491"/>
      <c r="AA731" s="491"/>
      <c r="AB731" s="491"/>
      <c r="AC731" s="491"/>
    </row>
    <row r="732" spans="1:29">
      <c r="A732" s="491"/>
      <c r="B732" s="491"/>
      <c r="C732" s="491"/>
      <c r="D732" s="491"/>
      <c r="E732" s="491"/>
      <c r="F732" s="491"/>
      <c r="G732" s="491"/>
      <c r="H732" s="491"/>
      <c r="I732" s="491"/>
      <c r="J732" s="491"/>
      <c r="K732" s="505"/>
      <c r="L732" s="506"/>
      <c r="M732" s="491"/>
      <c r="N732" s="491"/>
      <c r="O732" s="491"/>
      <c r="P732" s="604"/>
      <c r="Q732" s="491"/>
      <c r="R732" s="491"/>
      <c r="S732" s="491"/>
      <c r="T732" s="491"/>
      <c r="U732" s="491"/>
      <c r="V732" s="491"/>
      <c r="W732" s="491"/>
      <c r="X732" s="491"/>
      <c r="Y732" s="491"/>
      <c r="Z732" s="491"/>
      <c r="AA732" s="491"/>
      <c r="AB732" s="491"/>
      <c r="AC732" s="491"/>
    </row>
    <row r="733" spans="1:29">
      <c r="A733" s="491"/>
      <c r="B733" s="491"/>
      <c r="C733" s="491"/>
      <c r="D733" s="491"/>
      <c r="E733" s="491"/>
      <c r="F733" s="491"/>
      <c r="G733" s="491"/>
      <c r="H733" s="491"/>
      <c r="I733" s="491"/>
      <c r="J733" s="491"/>
      <c r="K733" s="505"/>
      <c r="L733" s="506"/>
      <c r="M733" s="491"/>
      <c r="N733" s="491"/>
      <c r="O733" s="491"/>
      <c r="P733" s="604"/>
      <c r="Q733" s="491"/>
      <c r="R733" s="491"/>
      <c r="S733" s="491"/>
      <c r="T733" s="491"/>
      <c r="U733" s="491"/>
      <c r="V733" s="491"/>
      <c r="W733" s="491"/>
      <c r="X733" s="491"/>
      <c r="Y733" s="491"/>
      <c r="Z733" s="491"/>
      <c r="AA733" s="491"/>
      <c r="AB733" s="491"/>
      <c r="AC733" s="491"/>
    </row>
    <row r="734" spans="1:29">
      <c r="A734" s="491"/>
      <c r="B734" s="491"/>
      <c r="C734" s="491"/>
      <c r="D734" s="491"/>
      <c r="E734" s="491"/>
      <c r="F734" s="491"/>
      <c r="G734" s="491"/>
      <c r="H734" s="491"/>
      <c r="I734" s="491"/>
      <c r="J734" s="491"/>
      <c r="K734" s="505"/>
      <c r="L734" s="506"/>
      <c r="M734" s="491"/>
      <c r="N734" s="491"/>
      <c r="O734" s="491"/>
      <c r="P734" s="604"/>
      <c r="Q734" s="491"/>
      <c r="R734" s="491"/>
      <c r="S734" s="491"/>
      <c r="T734" s="491"/>
      <c r="U734" s="491"/>
      <c r="V734" s="491"/>
      <c r="W734" s="491"/>
      <c r="X734" s="491"/>
      <c r="Y734" s="491"/>
      <c r="Z734" s="491"/>
      <c r="AA734" s="491"/>
      <c r="AB734" s="491"/>
      <c r="AC734" s="491"/>
    </row>
    <row r="735" spans="1:29">
      <c r="A735" s="491"/>
      <c r="B735" s="491"/>
      <c r="C735" s="491"/>
      <c r="D735" s="491"/>
      <c r="E735" s="491"/>
      <c r="F735" s="491"/>
      <c r="G735" s="491"/>
      <c r="H735" s="491"/>
      <c r="I735" s="491"/>
      <c r="J735" s="491"/>
      <c r="K735" s="505"/>
      <c r="L735" s="506"/>
      <c r="M735" s="491"/>
      <c r="N735" s="491"/>
      <c r="O735" s="491"/>
      <c r="P735" s="604"/>
      <c r="Q735" s="491"/>
      <c r="R735" s="491"/>
      <c r="S735" s="491"/>
      <c r="T735" s="491"/>
      <c r="U735" s="491"/>
      <c r="V735" s="491"/>
      <c r="W735" s="491"/>
      <c r="X735" s="491"/>
      <c r="Y735" s="491"/>
      <c r="Z735" s="491"/>
      <c r="AA735" s="491"/>
      <c r="AB735" s="491"/>
      <c r="AC735" s="491"/>
    </row>
    <row r="736" spans="1:29">
      <c r="A736" s="491"/>
      <c r="B736" s="491"/>
      <c r="C736" s="491"/>
      <c r="D736" s="491"/>
      <c r="E736" s="491"/>
      <c r="F736" s="491"/>
      <c r="G736" s="491"/>
      <c r="H736" s="491"/>
      <c r="I736" s="491"/>
      <c r="J736" s="491"/>
      <c r="K736" s="505"/>
      <c r="L736" s="506"/>
      <c r="M736" s="491"/>
      <c r="N736" s="491"/>
      <c r="O736" s="491"/>
      <c r="P736" s="604"/>
      <c r="Q736" s="491"/>
      <c r="R736" s="491"/>
      <c r="S736" s="491"/>
      <c r="T736" s="491"/>
      <c r="U736" s="491"/>
      <c r="V736" s="491"/>
      <c r="W736" s="491"/>
      <c r="X736" s="491"/>
      <c r="Y736" s="491"/>
      <c r="Z736" s="491"/>
      <c r="AA736" s="491"/>
      <c r="AB736" s="491"/>
      <c r="AC736" s="491"/>
    </row>
    <row r="737" spans="1:29">
      <c r="A737" s="491"/>
      <c r="B737" s="491"/>
      <c r="C737" s="491"/>
      <c r="D737" s="491"/>
      <c r="E737" s="491"/>
      <c r="F737" s="491"/>
      <c r="G737" s="491"/>
      <c r="H737" s="491"/>
      <c r="I737" s="491"/>
      <c r="J737" s="491"/>
      <c r="K737" s="505"/>
      <c r="L737" s="506"/>
      <c r="M737" s="491"/>
      <c r="N737" s="491"/>
      <c r="O737" s="491"/>
      <c r="P737" s="604"/>
      <c r="Q737" s="491"/>
      <c r="R737" s="491"/>
      <c r="S737" s="491"/>
      <c r="T737" s="491"/>
      <c r="U737" s="491"/>
      <c r="V737" s="491"/>
      <c r="W737" s="491"/>
      <c r="X737" s="491"/>
      <c r="Y737" s="491"/>
      <c r="Z737" s="491"/>
      <c r="AA737" s="491"/>
      <c r="AB737" s="491"/>
      <c r="AC737" s="491"/>
    </row>
    <row r="738" spans="1:29">
      <c r="A738" s="491"/>
      <c r="B738" s="491"/>
      <c r="C738" s="491"/>
      <c r="D738" s="491"/>
      <c r="E738" s="491"/>
      <c r="F738" s="491"/>
      <c r="G738" s="491"/>
      <c r="H738" s="491"/>
      <c r="I738" s="491"/>
      <c r="J738" s="491"/>
      <c r="K738" s="505"/>
      <c r="L738" s="506"/>
      <c r="M738" s="491"/>
      <c r="N738" s="491"/>
      <c r="O738" s="491"/>
      <c r="P738" s="604"/>
      <c r="Q738" s="491"/>
      <c r="R738" s="491"/>
      <c r="S738" s="491"/>
      <c r="T738" s="491"/>
      <c r="U738" s="491"/>
      <c r="V738" s="491"/>
      <c r="W738" s="491"/>
      <c r="X738" s="491"/>
      <c r="Y738" s="491"/>
      <c r="Z738" s="491"/>
      <c r="AA738" s="491"/>
      <c r="AB738" s="491"/>
      <c r="AC738" s="491"/>
    </row>
    <row r="739" spans="1:29">
      <c r="A739" s="491"/>
      <c r="B739" s="491"/>
      <c r="C739" s="491"/>
      <c r="D739" s="491"/>
      <c r="E739" s="491"/>
      <c r="F739" s="491"/>
      <c r="G739" s="491"/>
      <c r="H739" s="491"/>
      <c r="I739" s="491"/>
      <c r="J739" s="491"/>
      <c r="K739" s="505"/>
      <c r="L739" s="506"/>
      <c r="M739" s="491"/>
      <c r="N739" s="491"/>
      <c r="O739" s="491"/>
      <c r="P739" s="604"/>
      <c r="Q739" s="491"/>
      <c r="R739" s="491"/>
      <c r="S739" s="491"/>
      <c r="T739" s="491"/>
      <c r="U739" s="491"/>
      <c r="V739" s="491"/>
      <c r="W739" s="491"/>
      <c r="X739" s="491"/>
      <c r="Y739" s="491"/>
      <c r="Z739" s="491"/>
      <c r="AA739" s="491"/>
      <c r="AB739" s="491"/>
      <c r="AC739" s="491"/>
    </row>
    <row r="740" spans="1:29">
      <c r="A740" s="491"/>
      <c r="B740" s="491"/>
      <c r="C740" s="491"/>
      <c r="D740" s="491"/>
      <c r="E740" s="491"/>
      <c r="F740" s="491"/>
      <c r="G740" s="491"/>
      <c r="H740" s="491"/>
      <c r="I740" s="491"/>
      <c r="J740" s="491"/>
      <c r="K740" s="505"/>
      <c r="L740" s="506"/>
      <c r="M740" s="491"/>
      <c r="N740" s="491"/>
      <c r="O740" s="491"/>
      <c r="P740" s="604"/>
      <c r="Q740" s="491"/>
      <c r="R740" s="491"/>
      <c r="S740" s="491"/>
      <c r="T740" s="491"/>
      <c r="U740" s="491"/>
      <c r="V740" s="491"/>
      <c r="W740" s="491"/>
      <c r="X740" s="491"/>
      <c r="Y740" s="491"/>
      <c r="Z740" s="491"/>
      <c r="AA740" s="491"/>
      <c r="AB740" s="491"/>
      <c r="AC740" s="491"/>
    </row>
    <row r="741" spans="1:29">
      <c r="A741" s="491"/>
      <c r="B741" s="491"/>
      <c r="C741" s="491"/>
      <c r="D741" s="491"/>
      <c r="E741" s="491"/>
      <c r="F741" s="491"/>
      <c r="G741" s="491"/>
      <c r="H741" s="491"/>
      <c r="I741" s="491"/>
      <c r="J741" s="491"/>
      <c r="K741" s="505"/>
      <c r="L741" s="506"/>
      <c r="M741" s="491"/>
      <c r="N741" s="491"/>
      <c r="O741" s="491"/>
      <c r="P741" s="604"/>
      <c r="Q741" s="491"/>
      <c r="R741" s="491"/>
      <c r="S741" s="491"/>
      <c r="T741" s="491"/>
      <c r="U741" s="491"/>
      <c r="V741" s="491"/>
      <c r="W741" s="491"/>
      <c r="X741" s="491"/>
      <c r="Y741" s="491"/>
      <c r="Z741" s="491"/>
      <c r="AA741" s="491"/>
      <c r="AB741" s="491"/>
      <c r="AC741" s="491"/>
    </row>
    <row r="742" spans="1:29">
      <c r="A742" s="491"/>
      <c r="B742" s="491"/>
      <c r="C742" s="491"/>
      <c r="D742" s="491"/>
      <c r="E742" s="491"/>
      <c r="F742" s="491"/>
      <c r="G742" s="491"/>
      <c r="H742" s="491"/>
      <c r="I742" s="491"/>
      <c r="J742" s="491"/>
      <c r="K742" s="505"/>
      <c r="L742" s="506"/>
      <c r="M742" s="491"/>
      <c r="N742" s="491"/>
      <c r="O742" s="491"/>
      <c r="P742" s="604"/>
      <c r="Q742" s="491"/>
      <c r="R742" s="491"/>
      <c r="S742" s="491"/>
      <c r="T742" s="491"/>
      <c r="U742" s="491"/>
      <c r="V742" s="491"/>
      <c r="W742" s="491"/>
      <c r="X742" s="491"/>
      <c r="Y742" s="491"/>
      <c r="Z742" s="491"/>
      <c r="AA742" s="491"/>
      <c r="AB742" s="491"/>
      <c r="AC742" s="491"/>
    </row>
    <row r="743" spans="1:29">
      <c r="A743" s="491"/>
      <c r="B743" s="491"/>
      <c r="C743" s="491"/>
      <c r="D743" s="491"/>
      <c r="E743" s="491"/>
      <c r="F743" s="491"/>
      <c r="G743" s="491"/>
      <c r="H743" s="491"/>
      <c r="I743" s="491"/>
      <c r="J743" s="491"/>
      <c r="K743" s="505"/>
      <c r="L743" s="506"/>
      <c r="M743" s="491"/>
      <c r="N743" s="491"/>
      <c r="O743" s="491"/>
      <c r="P743" s="604"/>
      <c r="Q743" s="491"/>
      <c r="R743" s="491"/>
      <c r="S743" s="491"/>
      <c r="T743" s="491"/>
      <c r="U743" s="491"/>
      <c r="V743" s="491"/>
      <c r="W743" s="491"/>
      <c r="X743" s="491"/>
      <c r="Y743" s="491"/>
      <c r="Z743" s="491"/>
      <c r="AA743" s="491"/>
      <c r="AB743" s="491"/>
      <c r="AC743" s="491"/>
    </row>
    <row r="744" spans="1:29">
      <c r="A744" s="491"/>
      <c r="B744" s="491"/>
      <c r="C744" s="491"/>
      <c r="D744" s="491"/>
      <c r="E744" s="491"/>
      <c r="F744" s="491"/>
      <c r="G744" s="491"/>
      <c r="H744" s="491"/>
      <c r="I744" s="491"/>
      <c r="J744" s="491"/>
      <c r="K744" s="505"/>
      <c r="L744" s="506"/>
      <c r="M744" s="491"/>
      <c r="N744" s="491"/>
      <c r="O744" s="491"/>
      <c r="P744" s="604"/>
      <c r="Q744" s="491"/>
      <c r="R744" s="491"/>
      <c r="S744" s="491"/>
      <c r="T744" s="491"/>
      <c r="U744" s="491"/>
      <c r="V744" s="491"/>
      <c r="W744" s="491"/>
      <c r="X744" s="491"/>
      <c r="Y744" s="491"/>
      <c r="Z744" s="491"/>
      <c r="AA744" s="491"/>
      <c r="AB744" s="491"/>
      <c r="AC744" s="491"/>
    </row>
    <row r="745" spans="1:29">
      <c r="A745" s="491"/>
      <c r="B745" s="491"/>
      <c r="C745" s="491"/>
      <c r="D745" s="491"/>
      <c r="E745" s="491"/>
      <c r="F745" s="491"/>
      <c r="G745" s="491"/>
      <c r="H745" s="491"/>
      <c r="I745" s="491"/>
      <c r="J745" s="491"/>
      <c r="K745" s="505"/>
      <c r="L745" s="506"/>
      <c r="M745" s="491"/>
      <c r="N745" s="491"/>
      <c r="O745" s="491"/>
      <c r="P745" s="604"/>
      <c r="Q745" s="491"/>
      <c r="R745" s="491"/>
      <c r="S745" s="491"/>
      <c r="T745" s="491"/>
      <c r="U745" s="491"/>
      <c r="V745" s="491"/>
      <c r="W745" s="491"/>
      <c r="X745" s="491"/>
      <c r="Y745" s="491"/>
      <c r="Z745" s="491"/>
      <c r="AA745" s="491"/>
      <c r="AB745" s="491"/>
      <c r="AC745" s="491"/>
    </row>
    <row r="746" spans="1:29">
      <c r="A746" s="491"/>
      <c r="B746" s="491"/>
      <c r="C746" s="491"/>
      <c r="D746" s="491"/>
      <c r="E746" s="491"/>
      <c r="F746" s="491"/>
      <c r="G746" s="491"/>
      <c r="H746" s="491"/>
      <c r="I746" s="491"/>
      <c r="J746" s="491"/>
      <c r="K746" s="505"/>
      <c r="L746" s="506"/>
      <c r="M746" s="491"/>
      <c r="N746" s="491"/>
      <c r="O746" s="491"/>
      <c r="P746" s="604"/>
      <c r="Q746" s="491"/>
      <c r="R746" s="491"/>
      <c r="S746" s="491"/>
      <c r="T746" s="491"/>
      <c r="U746" s="491"/>
      <c r="V746" s="491"/>
      <c r="W746" s="491"/>
      <c r="X746" s="491"/>
      <c r="Y746" s="491"/>
      <c r="Z746" s="491"/>
      <c r="AA746" s="491"/>
      <c r="AB746" s="491"/>
      <c r="AC746" s="491"/>
    </row>
    <row r="747" spans="1:29">
      <c r="A747" s="491"/>
      <c r="B747" s="491"/>
      <c r="C747" s="491"/>
      <c r="D747" s="491"/>
      <c r="E747" s="491"/>
      <c r="F747" s="491"/>
      <c r="G747" s="491"/>
      <c r="H747" s="491"/>
      <c r="I747" s="491"/>
      <c r="J747" s="491"/>
      <c r="K747" s="505"/>
      <c r="L747" s="506"/>
      <c r="M747" s="491"/>
      <c r="N747" s="491"/>
      <c r="O747" s="491"/>
      <c r="P747" s="604"/>
      <c r="Q747" s="491"/>
      <c r="R747" s="491"/>
      <c r="S747" s="491"/>
      <c r="T747" s="491"/>
      <c r="U747" s="491"/>
      <c r="V747" s="491"/>
      <c r="W747" s="491"/>
      <c r="X747" s="491"/>
      <c r="Y747" s="491"/>
      <c r="Z747" s="491"/>
      <c r="AA747" s="491"/>
      <c r="AB747" s="491"/>
      <c r="AC747" s="491"/>
    </row>
    <row r="748" spans="1:29">
      <c r="A748" s="491"/>
      <c r="B748" s="491"/>
      <c r="C748" s="491"/>
      <c r="D748" s="491"/>
      <c r="E748" s="491"/>
      <c r="F748" s="491"/>
      <c r="G748" s="491"/>
      <c r="H748" s="491"/>
      <c r="I748" s="491"/>
      <c r="J748" s="491"/>
      <c r="K748" s="505"/>
      <c r="L748" s="506"/>
      <c r="M748" s="491"/>
      <c r="N748" s="491"/>
      <c r="O748" s="491"/>
      <c r="P748" s="604"/>
      <c r="Q748" s="491"/>
      <c r="R748" s="491"/>
      <c r="S748" s="491"/>
      <c r="T748" s="491"/>
      <c r="U748" s="491"/>
      <c r="V748" s="491"/>
      <c r="W748" s="491"/>
      <c r="X748" s="491"/>
      <c r="Y748" s="491"/>
      <c r="Z748" s="491"/>
      <c r="AA748" s="491"/>
      <c r="AB748" s="491"/>
      <c r="AC748" s="491"/>
    </row>
    <row r="749" spans="1:29">
      <c r="A749" s="491"/>
      <c r="B749" s="491"/>
      <c r="C749" s="491"/>
      <c r="D749" s="491"/>
      <c r="E749" s="491"/>
      <c r="F749" s="491"/>
      <c r="G749" s="491"/>
      <c r="H749" s="491"/>
      <c r="I749" s="491"/>
      <c r="J749" s="491"/>
      <c r="K749" s="505"/>
      <c r="L749" s="506"/>
      <c r="M749" s="491"/>
      <c r="N749" s="491"/>
      <c r="O749" s="491"/>
      <c r="P749" s="604"/>
      <c r="Q749" s="491"/>
      <c r="R749" s="491"/>
      <c r="S749" s="491"/>
      <c r="T749" s="491"/>
      <c r="U749" s="491"/>
      <c r="V749" s="491"/>
      <c r="W749" s="491"/>
      <c r="X749" s="491"/>
      <c r="Y749" s="491"/>
      <c r="Z749" s="491"/>
      <c r="AA749" s="491"/>
      <c r="AB749" s="491"/>
      <c r="AC749" s="491"/>
    </row>
    <row r="750" spans="1:29">
      <c r="A750" s="491"/>
      <c r="B750" s="491"/>
      <c r="C750" s="491"/>
      <c r="D750" s="491"/>
      <c r="E750" s="491"/>
      <c r="F750" s="491"/>
      <c r="G750" s="491"/>
      <c r="H750" s="491"/>
      <c r="I750" s="491"/>
      <c r="J750" s="491"/>
      <c r="K750" s="505"/>
      <c r="L750" s="506"/>
      <c r="M750" s="491"/>
      <c r="N750" s="491"/>
      <c r="O750" s="491"/>
      <c r="P750" s="604"/>
      <c r="Q750" s="491"/>
      <c r="R750" s="491"/>
      <c r="S750" s="491"/>
      <c r="T750" s="491"/>
      <c r="U750" s="491"/>
      <c r="V750" s="491"/>
      <c r="W750" s="491"/>
      <c r="X750" s="491"/>
      <c r="Y750" s="491"/>
      <c r="Z750" s="491"/>
      <c r="AA750" s="491"/>
      <c r="AB750" s="491"/>
      <c r="AC750" s="491"/>
    </row>
    <row r="751" spans="1:29">
      <c r="A751" s="491"/>
      <c r="B751" s="491"/>
      <c r="C751" s="491"/>
      <c r="D751" s="491"/>
      <c r="E751" s="491"/>
      <c r="F751" s="491"/>
      <c r="G751" s="491"/>
      <c r="H751" s="491"/>
      <c r="I751" s="491"/>
      <c r="J751" s="491"/>
      <c r="K751" s="505"/>
      <c r="L751" s="506"/>
      <c r="M751" s="491"/>
      <c r="N751" s="491"/>
      <c r="O751" s="491"/>
      <c r="P751" s="604"/>
      <c r="Q751" s="491"/>
      <c r="R751" s="491"/>
      <c r="S751" s="491"/>
      <c r="T751" s="491"/>
      <c r="U751" s="491"/>
      <c r="V751" s="491"/>
      <c r="W751" s="491"/>
      <c r="X751" s="491"/>
      <c r="Y751" s="491"/>
      <c r="Z751" s="491"/>
      <c r="AA751" s="491"/>
      <c r="AB751" s="491"/>
      <c r="AC751" s="491"/>
    </row>
    <row r="752" spans="1:29">
      <c r="A752" s="491"/>
      <c r="B752" s="491"/>
      <c r="C752" s="491"/>
      <c r="D752" s="491"/>
      <c r="E752" s="491"/>
      <c r="F752" s="491"/>
      <c r="G752" s="491"/>
      <c r="H752" s="491"/>
      <c r="I752" s="491"/>
      <c r="J752" s="491"/>
      <c r="K752" s="505"/>
      <c r="L752" s="506"/>
      <c r="M752" s="491"/>
      <c r="N752" s="491"/>
      <c r="O752" s="491"/>
      <c r="P752" s="604"/>
      <c r="Q752" s="491"/>
      <c r="R752" s="491"/>
      <c r="S752" s="491"/>
      <c r="T752" s="491"/>
      <c r="U752" s="491"/>
      <c r="V752" s="491"/>
      <c r="W752" s="491"/>
      <c r="X752" s="491"/>
      <c r="Y752" s="491"/>
      <c r="Z752" s="491"/>
      <c r="AA752" s="491"/>
      <c r="AB752" s="491"/>
      <c r="AC752" s="491"/>
    </row>
    <row r="753" spans="1:29">
      <c r="A753" s="491"/>
      <c r="B753" s="491"/>
      <c r="C753" s="491"/>
      <c r="D753" s="491"/>
      <c r="E753" s="491"/>
      <c r="F753" s="491"/>
      <c r="G753" s="491"/>
      <c r="H753" s="491"/>
      <c r="I753" s="491"/>
      <c r="J753" s="491"/>
      <c r="K753" s="505"/>
      <c r="L753" s="506"/>
      <c r="M753" s="491"/>
      <c r="N753" s="491"/>
      <c r="O753" s="491"/>
      <c r="P753" s="604"/>
      <c r="Q753" s="491"/>
      <c r="R753" s="491"/>
      <c r="S753" s="491"/>
      <c r="T753" s="491"/>
      <c r="U753" s="491"/>
      <c r="V753" s="491"/>
      <c r="W753" s="491"/>
      <c r="X753" s="491"/>
      <c r="Y753" s="491"/>
      <c r="Z753" s="491"/>
      <c r="AA753" s="491"/>
      <c r="AB753" s="491"/>
      <c r="AC753" s="491"/>
    </row>
    <row r="754" spans="1:29">
      <c r="A754" s="491"/>
      <c r="B754" s="491"/>
      <c r="C754" s="491"/>
      <c r="D754" s="491"/>
      <c r="E754" s="491"/>
      <c r="F754" s="491"/>
      <c r="G754" s="491"/>
      <c r="H754" s="491"/>
      <c r="I754" s="491"/>
      <c r="J754" s="491"/>
      <c r="K754" s="505"/>
      <c r="L754" s="506"/>
      <c r="M754" s="491"/>
      <c r="N754" s="491"/>
      <c r="O754" s="491"/>
      <c r="P754" s="604"/>
      <c r="Q754" s="491"/>
      <c r="R754" s="491"/>
      <c r="S754" s="491"/>
      <c r="T754" s="491"/>
      <c r="U754" s="491"/>
      <c r="V754" s="491"/>
      <c r="W754" s="491"/>
      <c r="X754" s="491"/>
      <c r="Y754" s="491"/>
      <c r="Z754" s="491"/>
      <c r="AA754" s="491"/>
      <c r="AB754" s="491"/>
      <c r="AC754" s="491"/>
    </row>
    <row r="755" spans="1:29">
      <c r="A755" s="491"/>
      <c r="B755" s="491"/>
      <c r="C755" s="491"/>
      <c r="D755" s="491"/>
      <c r="E755" s="491"/>
      <c r="F755" s="491"/>
      <c r="G755" s="491"/>
      <c r="H755" s="491"/>
      <c r="I755" s="491"/>
      <c r="J755" s="491"/>
      <c r="K755" s="505"/>
      <c r="L755" s="506"/>
      <c r="M755" s="491"/>
      <c r="N755" s="491"/>
      <c r="O755" s="491"/>
      <c r="P755" s="604"/>
      <c r="Q755" s="491"/>
      <c r="R755" s="491"/>
      <c r="S755" s="491"/>
      <c r="T755" s="491"/>
      <c r="U755" s="491"/>
      <c r="V755" s="491"/>
      <c r="W755" s="491"/>
      <c r="X755" s="491"/>
      <c r="Y755" s="491"/>
      <c r="Z755" s="491"/>
      <c r="AA755" s="491"/>
      <c r="AB755" s="491"/>
      <c r="AC755" s="491"/>
    </row>
    <row r="756" spans="1:29">
      <c r="A756" s="491"/>
      <c r="B756" s="491"/>
      <c r="C756" s="491"/>
      <c r="D756" s="491"/>
      <c r="E756" s="491"/>
      <c r="F756" s="491"/>
      <c r="G756" s="491"/>
      <c r="H756" s="491"/>
      <c r="I756" s="491"/>
      <c r="J756" s="491"/>
      <c r="K756" s="505"/>
      <c r="L756" s="506"/>
      <c r="M756" s="491"/>
      <c r="N756" s="491"/>
      <c r="O756" s="491"/>
      <c r="P756" s="604"/>
      <c r="Q756" s="491"/>
      <c r="R756" s="491"/>
      <c r="S756" s="491"/>
      <c r="T756" s="491"/>
      <c r="U756" s="491"/>
      <c r="V756" s="491"/>
      <c r="W756" s="491"/>
      <c r="X756" s="491"/>
      <c r="Y756" s="491"/>
      <c r="Z756" s="491"/>
      <c r="AA756" s="491"/>
      <c r="AB756" s="491"/>
      <c r="AC756" s="491"/>
    </row>
    <row r="757" spans="1:29">
      <c r="A757" s="491"/>
      <c r="B757" s="491"/>
      <c r="C757" s="491"/>
      <c r="D757" s="491"/>
      <c r="E757" s="491"/>
      <c r="F757" s="491"/>
      <c r="G757" s="491"/>
      <c r="H757" s="491"/>
      <c r="I757" s="491"/>
      <c r="J757" s="491"/>
      <c r="K757" s="505"/>
      <c r="L757" s="506"/>
      <c r="M757" s="491"/>
      <c r="N757" s="491"/>
      <c r="O757" s="491"/>
      <c r="P757" s="604"/>
      <c r="Q757" s="491"/>
      <c r="R757" s="491"/>
      <c r="S757" s="491"/>
      <c r="T757" s="491"/>
      <c r="U757" s="491"/>
      <c r="V757" s="491"/>
      <c r="W757" s="491"/>
      <c r="X757" s="491"/>
      <c r="Y757" s="491"/>
      <c r="Z757" s="491"/>
      <c r="AA757" s="491"/>
      <c r="AB757" s="491"/>
      <c r="AC757" s="491"/>
    </row>
    <row r="758" spans="1:29">
      <c r="A758" s="491"/>
      <c r="B758" s="491"/>
      <c r="C758" s="491"/>
      <c r="D758" s="491"/>
      <c r="E758" s="491"/>
      <c r="F758" s="491"/>
      <c r="G758" s="491"/>
      <c r="H758" s="491"/>
      <c r="I758" s="491"/>
      <c r="J758" s="491"/>
      <c r="K758" s="505"/>
      <c r="L758" s="506"/>
      <c r="M758" s="491"/>
      <c r="N758" s="491"/>
      <c r="O758" s="491"/>
      <c r="P758" s="604"/>
      <c r="Q758" s="491"/>
      <c r="R758" s="491"/>
      <c r="S758" s="491"/>
      <c r="T758" s="491"/>
      <c r="U758" s="491"/>
      <c r="V758" s="491"/>
      <c r="W758" s="491"/>
      <c r="X758" s="491"/>
      <c r="Y758" s="491"/>
      <c r="Z758" s="491"/>
      <c r="AA758" s="491"/>
      <c r="AB758" s="491"/>
      <c r="AC758" s="491"/>
    </row>
    <row r="759" spans="1:29">
      <c r="A759" s="491"/>
      <c r="B759" s="491"/>
      <c r="C759" s="491"/>
      <c r="D759" s="491"/>
      <c r="E759" s="491"/>
      <c r="F759" s="491"/>
      <c r="G759" s="491"/>
      <c r="H759" s="491"/>
      <c r="I759" s="491"/>
      <c r="J759" s="491"/>
      <c r="K759" s="505"/>
      <c r="L759" s="506"/>
      <c r="M759" s="491"/>
      <c r="N759" s="491"/>
      <c r="O759" s="491"/>
      <c r="P759" s="604"/>
      <c r="Q759" s="491"/>
      <c r="R759" s="491"/>
      <c r="S759" s="491"/>
      <c r="T759" s="491"/>
      <c r="U759" s="491"/>
      <c r="V759" s="491"/>
      <c r="W759" s="491"/>
      <c r="X759" s="491"/>
      <c r="Y759" s="491"/>
      <c r="Z759" s="491"/>
      <c r="AA759" s="491"/>
      <c r="AB759" s="491"/>
      <c r="AC759" s="491"/>
    </row>
    <row r="760" spans="1:29">
      <c r="A760" s="491"/>
      <c r="B760" s="491"/>
      <c r="C760" s="491"/>
      <c r="D760" s="491"/>
      <c r="E760" s="491"/>
      <c r="F760" s="491"/>
      <c r="G760" s="491"/>
      <c r="H760" s="491"/>
      <c r="I760" s="491"/>
      <c r="J760" s="491"/>
      <c r="K760" s="505"/>
      <c r="L760" s="506"/>
      <c r="M760" s="491"/>
      <c r="N760" s="491"/>
      <c r="O760" s="491"/>
      <c r="P760" s="604"/>
      <c r="Q760" s="491"/>
      <c r="R760" s="491"/>
      <c r="S760" s="491"/>
      <c r="T760" s="491"/>
      <c r="U760" s="491"/>
      <c r="V760" s="491"/>
      <c r="W760" s="491"/>
      <c r="X760" s="491"/>
      <c r="Y760" s="491"/>
      <c r="Z760" s="491"/>
      <c r="AA760" s="491"/>
      <c r="AB760" s="491"/>
      <c r="AC760" s="491"/>
    </row>
    <row r="761" spans="1:29">
      <c r="A761" s="491"/>
      <c r="B761" s="491"/>
      <c r="C761" s="491"/>
      <c r="D761" s="491"/>
      <c r="E761" s="491"/>
      <c r="F761" s="491"/>
      <c r="G761" s="491"/>
      <c r="H761" s="491"/>
      <c r="I761" s="491"/>
      <c r="J761" s="491"/>
      <c r="K761" s="505"/>
      <c r="L761" s="506"/>
      <c r="M761" s="491"/>
      <c r="N761" s="491"/>
      <c r="O761" s="491"/>
      <c r="P761" s="604"/>
      <c r="Q761" s="491"/>
      <c r="R761" s="491"/>
      <c r="S761" s="491"/>
      <c r="T761" s="491"/>
      <c r="U761" s="491"/>
      <c r="V761" s="491"/>
      <c r="W761" s="491"/>
      <c r="X761" s="491"/>
      <c r="Y761" s="491"/>
      <c r="Z761" s="491"/>
      <c r="AA761" s="491"/>
      <c r="AB761" s="491"/>
      <c r="AC761" s="491"/>
    </row>
    <row r="762" spans="1:29">
      <c r="A762" s="491"/>
      <c r="B762" s="491"/>
      <c r="C762" s="491"/>
      <c r="D762" s="491"/>
      <c r="E762" s="491"/>
      <c r="F762" s="491"/>
      <c r="G762" s="491"/>
      <c r="H762" s="491"/>
      <c r="I762" s="491"/>
      <c r="J762" s="491"/>
      <c r="K762" s="505"/>
      <c r="L762" s="506"/>
      <c r="M762" s="491"/>
      <c r="N762" s="491"/>
      <c r="O762" s="491"/>
      <c r="P762" s="604"/>
      <c r="Q762" s="491"/>
      <c r="R762" s="491"/>
      <c r="S762" s="491"/>
      <c r="T762" s="491"/>
      <c r="U762" s="491"/>
      <c r="V762" s="491"/>
      <c r="W762" s="491"/>
      <c r="X762" s="491"/>
      <c r="Y762" s="491"/>
      <c r="Z762" s="491"/>
      <c r="AA762" s="491"/>
      <c r="AB762" s="491"/>
      <c r="AC762" s="491"/>
    </row>
    <row r="763" spans="1:29">
      <c r="A763" s="491"/>
      <c r="B763" s="491"/>
      <c r="C763" s="491"/>
      <c r="D763" s="491"/>
      <c r="E763" s="491"/>
      <c r="F763" s="491"/>
      <c r="G763" s="491"/>
      <c r="H763" s="491"/>
      <c r="I763" s="491"/>
      <c r="J763" s="491"/>
      <c r="K763" s="505"/>
      <c r="L763" s="506"/>
      <c r="M763" s="491"/>
      <c r="N763" s="491"/>
      <c r="O763" s="491"/>
      <c r="P763" s="604"/>
      <c r="Q763" s="491"/>
      <c r="R763" s="491"/>
      <c r="S763" s="491"/>
      <c r="T763" s="491"/>
      <c r="U763" s="491"/>
      <c r="V763" s="491"/>
      <c r="W763" s="491"/>
      <c r="X763" s="491"/>
      <c r="Y763" s="491"/>
      <c r="Z763" s="491"/>
      <c r="AA763" s="491"/>
      <c r="AB763" s="491"/>
      <c r="AC763" s="491"/>
    </row>
    <row r="764" spans="1:29">
      <c r="A764" s="491"/>
      <c r="B764" s="491"/>
      <c r="C764" s="491"/>
      <c r="D764" s="491"/>
      <c r="E764" s="491"/>
      <c r="F764" s="491"/>
      <c r="G764" s="491"/>
      <c r="H764" s="491"/>
      <c r="I764" s="491"/>
      <c r="J764" s="491"/>
      <c r="K764" s="505"/>
      <c r="L764" s="506"/>
      <c r="M764" s="491"/>
      <c r="N764" s="491"/>
      <c r="O764" s="491"/>
      <c r="P764" s="604"/>
      <c r="Q764" s="491"/>
      <c r="R764" s="491"/>
      <c r="S764" s="491"/>
      <c r="T764" s="491"/>
      <c r="U764" s="491"/>
      <c r="V764" s="491"/>
      <c r="W764" s="491"/>
      <c r="X764" s="491"/>
      <c r="Y764" s="491"/>
      <c r="Z764" s="491"/>
      <c r="AA764" s="491"/>
      <c r="AB764" s="491"/>
      <c r="AC764" s="491"/>
    </row>
    <row r="765" spans="1:29">
      <c r="A765" s="491"/>
      <c r="B765" s="491"/>
      <c r="C765" s="491"/>
      <c r="D765" s="491"/>
      <c r="E765" s="491"/>
      <c r="F765" s="491"/>
      <c r="G765" s="491"/>
      <c r="H765" s="491"/>
      <c r="I765" s="491"/>
      <c r="J765" s="491"/>
      <c r="K765" s="505"/>
      <c r="L765" s="506"/>
      <c r="M765" s="491"/>
      <c r="N765" s="491"/>
      <c r="O765" s="491"/>
      <c r="P765" s="604"/>
      <c r="Q765" s="491"/>
      <c r="R765" s="491"/>
      <c r="S765" s="491"/>
      <c r="T765" s="491"/>
      <c r="U765" s="491"/>
      <c r="V765" s="491"/>
      <c r="W765" s="491"/>
      <c r="X765" s="491"/>
      <c r="Y765" s="491"/>
      <c r="Z765" s="491"/>
      <c r="AA765" s="491"/>
      <c r="AB765" s="491"/>
      <c r="AC765" s="491"/>
    </row>
    <row r="766" spans="1:29">
      <c r="A766" s="491"/>
      <c r="B766" s="491"/>
      <c r="C766" s="491"/>
      <c r="D766" s="491"/>
      <c r="E766" s="491"/>
      <c r="F766" s="491"/>
      <c r="G766" s="491"/>
      <c r="H766" s="491"/>
      <c r="I766" s="491"/>
      <c r="J766" s="491"/>
      <c r="K766" s="505"/>
      <c r="L766" s="506"/>
      <c r="M766" s="491"/>
      <c r="N766" s="491"/>
      <c r="O766" s="491"/>
      <c r="P766" s="604"/>
      <c r="Q766" s="491"/>
      <c r="R766" s="491"/>
      <c r="S766" s="491"/>
      <c r="T766" s="491"/>
      <c r="U766" s="491"/>
      <c r="V766" s="491"/>
      <c r="W766" s="491"/>
      <c r="X766" s="491"/>
      <c r="Y766" s="491"/>
      <c r="Z766" s="491"/>
      <c r="AA766" s="491"/>
      <c r="AB766" s="491"/>
      <c r="AC766" s="491"/>
    </row>
    <row r="767" spans="1:29">
      <c r="A767" s="491"/>
      <c r="B767" s="491"/>
      <c r="C767" s="491"/>
      <c r="D767" s="491"/>
      <c r="E767" s="491"/>
      <c r="F767" s="491"/>
      <c r="G767" s="491"/>
      <c r="H767" s="491"/>
      <c r="I767" s="491"/>
      <c r="J767" s="491"/>
      <c r="K767" s="505"/>
      <c r="L767" s="506"/>
      <c r="M767" s="491"/>
      <c r="N767" s="491"/>
      <c r="O767" s="491"/>
      <c r="P767" s="604"/>
      <c r="Q767" s="491"/>
      <c r="R767" s="491"/>
      <c r="S767" s="491"/>
      <c r="T767" s="491"/>
      <c r="U767" s="491"/>
      <c r="V767" s="491"/>
      <c r="W767" s="491"/>
      <c r="X767" s="491"/>
      <c r="Y767" s="491"/>
      <c r="Z767" s="491"/>
      <c r="AA767" s="491"/>
      <c r="AB767" s="491"/>
      <c r="AC767" s="491"/>
    </row>
    <row r="768" spans="1:29">
      <c r="A768" s="491"/>
      <c r="B768" s="491"/>
      <c r="C768" s="491"/>
      <c r="D768" s="491"/>
      <c r="E768" s="491"/>
      <c r="F768" s="491"/>
      <c r="G768" s="491"/>
      <c r="H768" s="491"/>
      <c r="I768" s="491"/>
      <c r="J768" s="491"/>
      <c r="K768" s="505"/>
      <c r="L768" s="506"/>
      <c r="M768" s="491"/>
      <c r="N768" s="491"/>
      <c r="O768" s="491"/>
      <c r="P768" s="604"/>
      <c r="Q768" s="491"/>
      <c r="R768" s="491"/>
      <c r="S768" s="491"/>
      <c r="T768" s="491"/>
      <c r="U768" s="491"/>
      <c r="V768" s="491"/>
      <c r="W768" s="491"/>
      <c r="X768" s="491"/>
      <c r="Y768" s="491"/>
      <c r="Z768" s="491"/>
      <c r="AA768" s="491"/>
      <c r="AB768" s="491"/>
      <c r="AC768" s="491"/>
    </row>
    <row r="769" spans="1:29">
      <c r="A769" s="491"/>
      <c r="B769" s="491"/>
      <c r="C769" s="491"/>
      <c r="D769" s="491"/>
      <c r="E769" s="491"/>
      <c r="F769" s="491"/>
      <c r="G769" s="491"/>
      <c r="H769" s="491"/>
      <c r="I769" s="491"/>
      <c r="J769" s="491"/>
      <c r="K769" s="505"/>
      <c r="L769" s="506"/>
      <c r="M769" s="491"/>
      <c r="N769" s="491"/>
      <c r="O769" s="491"/>
      <c r="P769" s="604"/>
      <c r="Q769" s="491"/>
      <c r="R769" s="491"/>
      <c r="S769" s="491"/>
      <c r="T769" s="491"/>
      <c r="U769" s="491"/>
      <c r="V769" s="491"/>
      <c r="W769" s="491"/>
      <c r="X769" s="491"/>
      <c r="Y769" s="491"/>
      <c r="Z769" s="491"/>
      <c r="AA769" s="491"/>
      <c r="AB769" s="491"/>
      <c r="AC769" s="491"/>
    </row>
    <row r="770" spans="1:29">
      <c r="A770" s="491"/>
      <c r="B770" s="491"/>
      <c r="C770" s="491"/>
      <c r="D770" s="491"/>
      <c r="E770" s="491"/>
      <c r="F770" s="491"/>
      <c r="G770" s="491"/>
      <c r="H770" s="491"/>
      <c r="I770" s="491"/>
      <c r="J770" s="491"/>
      <c r="K770" s="505"/>
      <c r="L770" s="506"/>
      <c r="M770" s="491"/>
      <c r="N770" s="491"/>
      <c r="O770" s="491"/>
      <c r="P770" s="604"/>
      <c r="Q770" s="491"/>
      <c r="R770" s="491"/>
      <c r="S770" s="491"/>
      <c r="T770" s="491"/>
      <c r="U770" s="491"/>
      <c r="V770" s="491"/>
      <c r="W770" s="491"/>
      <c r="X770" s="491"/>
      <c r="Y770" s="491"/>
      <c r="Z770" s="491"/>
      <c r="AA770" s="491"/>
      <c r="AB770" s="491"/>
      <c r="AC770" s="491"/>
    </row>
    <row r="771" spans="1:29">
      <c r="A771" s="491"/>
      <c r="B771" s="491"/>
      <c r="C771" s="491"/>
      <c r="D771" s="491"/>
      <c r="E771" s="491"/>
      <c r="F771" s="491"/>
      <c r="G771" s="491"/>
      <c r="H771" s="491"/>
      <c r="I771" s="491"/>
      <c r="J771" s="491"/>
      <c r="K771" s="505"/>
      <c r="L771" s="506"/>
      <c r="M771" s="491"/>
      <c r="N771" s="491"/>
      <c r="O771" s="491"/>
      <c r="P771" s="604"/>
      <c r="Q771" s="491"/>
      <c r="R771" s="491"/>
      <c r="S771" s="491"/>
      <c r="T771" s="491"/>
      <c r="U771" s="491"/>
      <c r="V771" s="491"/>
      <c r="W771" s="491"/>
      <c r="X771" s="491"/>
      <c r="Y771" s="491"/>
      <c r="Z771" s="491"/>
      <c r="AA771" s="491"/>
      <c r="AB771" s="491"/>
      <c r="AC771" s="491"/>
    </row>
    <row r="772" spans="1:29">
      <c r="A772" s="491"/>
      <c r="B772" s="491"/>
      <c r="C772" s="491"/>
      <c r="D772" s="491"/>
      <c r="E772" s="491"/>
      <c r="F772" s="491"/>
      <c r="G772" s="491"/>
      <c r="H772" s="491"/>
      <c r="I772" s="491"/>
      <c r="J772" s="491"/>
      <c r="K772" s="505"/>
      <c r="L772" s="506"/>
      <c r="M772" s="491"/>
      <c r="N772" s="491"/>
      <c r="O772" s="491"/>
      <c r="P772" s="604"/>
      <c r="Q772" s="491"/>
      <c r="R772" s="491"/>
      <c r="S772" s="491"/>
      <c r="T772" s="491"/>
      <c r="U772" s="491"/>
      <c r="V772" s="491"/>
      <c r="W772" s="491"/>
      <c r="X772" s="491"/>
      <c r="Y772" s="491"/>
      <c r="Z772" s="491"/>
      <c r="AA772" s="491"/>
      <c r="AB772" s="491"/>
      <c r="AC772" s="491"/>
    </row>
    <row r="773" spans="1:29">
      <c r="A773" s="491"/>
      <c r="B773" s="491"/>
      <c r="C773" s="491"/>
      <c r="D773" s="491"/>
      <c r="E773" s="491"/>
      <c r="F773" s="491"/>
      <c r="G773" s="491"/>
      <c r="H773" s="491"/>
      <c r="I773" s="491"/>
      <c r="J773" s="491"/>
      <c r="K773" s="505"/>
      <c r="L773" s="506"/>
      <c r="M773" s="491"/>
      <c r="N773" s="491"/>
      <c r="O773" s="491"/>
      <c r="P773" s="604"/>
      <c r="Q773" s="491"/>
      <c r="R773" s="491"/>
      <c r="S773" s="491"/>
      <c r="T773" s="491"/>
      <c r="U773" s="491"/>
      <c r="V773" s="491"/>
      <c r="W773" s="491"/>
      <c r="X773" s="491"/>
      <c r="Y773" s="491"/>
      <c r="Z773" s="491"/>
      <c r="AA773" s="491"/>
      <c r="AB773" s="491"/>
      <c r="AC773" s="491"/>
    </row>
    <row r="774" spans="1:29">
      <c r="A774" s="491"/>
      <c r="B774" s="491"/>
      <c r="C774" s="491"/>
      <c r="D774" s="491"/>
      <c r="E774" s="491"/>
      <c r="F774" s="491"/>
      <c r="G774" s="491"/>
      <c r="H774" s="491"/>
      <c r="I774" s="491"/>
      <c r="J774" s="491"/>
      <c r="K774" s="505"/>
      <c r="L774" s="506"/>
      <c r="M774" s="491"/>
      <c r="N774" s="491"/>
      <c r="O774" s="491"/>
      <c r="P774" s="604"/>
      <c r="Q774" s="491"/>
      <c r="R774" s="491"/>
      <c r="S774" s="491"/>
      <c r="T774" s="491"/>
      <c r="U774" s="491"/>
      <c r="V774" s="491"/>
      <c r="W774" s="491"/>
      <c r="X774" s="491"/>
      <c r="Y774" s="491"/>
      <c r="Z774" s="491"/>
      <c r="AA774" s="491"/>
      <c r="AB774" s="491"/>
      <c r="AC774" s="491"/>
    </row>
    <row r="775" spans="1:29">
      <c r="A775" s="491"/>
      <c r="B775" s="491"/>
      <c r="C775" s="491"/>
      <c r="D775" s="491"/>
      <c r="E775" s="491"/>
      <c r="F775" s="491"/>
      <c r="G775" s="491"/>
      <c r="H775" s="491"/>
      <c r="I775" s="491"/>
      <c r="J775" s="491"/>
      <c r="K775" s="505"/>
      <c r="L775" s="506"/>
      <c r="M775" s="491"/>
      <c r="N775" s="491"/>
      <c r="O775" s="491"/>
      <c r="P775" s="604"/>
      <c r="Q775" s="491"/>
      <c r="R775" s="491"/>
      <c r="S775" s="491"/>
      <c r="T775" s="491"/>
      <c r="U775" s="491"/>
      <c r="V775" s="491"/>
      <c r="W775" s="491"/>
      <c r="X775" s="491"/>
      <c r="Y775" s="491"/>
      <c r="Z775" s="491"/>
      <c r="AA775" s="491"/>
      <c r="AB775" s="491"/>
      <c r="AC775" s="491"/>
    </row>
    <row r="776" spans="1:29">
      <c r="A776" s="491"/>
      <c r="B776" s="491"/>
      <c r="C776" s="491"/>
      <c r="D776" s="491"/>
      <c r="E776" s="491"/>
      <c r="F776" s="491"/>
      <c r="G776" s="491"/>
      <c r="H776" s="491"/>
      <c r="I776" s="491"/>
      <c r="J776" s="491"/>
      <c r="K776" s="505"/>
      <c r="L776" s="506"/>
      <c r="M776" s="491"/>
      <c r="N776" s="491"/>
      <c r="O776" s="491"/>
      <c r="P776" s="604"/>
      <c r="Q776" s="491"/>
      <c r="R776" s="491"/>
      <c r="S776" s="491"/>
      <c r="T776" s="491"/>
      <c r="U776" s="491"/>
      <c r="V776" s="491"/>
      <c r="W776" s="491"/>
      <c r="X776" s="491"/>
      <c r="Y776" s="491"/>
      <c r="Z776" s="491"/>
      <c r="AA776" s="491"/>
      <c r="AB776" s="491"/>
      <c r="AC776" s="491"/>
    </row>
    <row r="777" spans="1:29">
      <c r="A777" s="491"/>
      <c r="B777" s="491"/>
      <c r="C777" s="491"/>
      <c r="D777" s="491"/>
      <c r="E777" s="491"/>
      <c r="F777" s="491"/>
      <c r="G777" s="491"/>
      <c r="H777" s="491"/>
      <c r="I777" s="491"/>
      <c r="J777" s="491"/>
      <c r="K777" s="505"/>
      <c r="L777" s="506"/>
      <c r="M777" s="491"/>
      <c r="N777" s="491"/>
      <c r="O777" s="491"/>
      <c r="P777" s="604"/>
      <c r="Q777" s="491"/>
      <c r="R777" s="491"/>
      <c r="S777" s="491"/>
      <c r="T777" s="491"/>
      <c r="U777" s="491"/>
      <c r="V777" s="491"/>
      <c r="W777" s="491"/>
      <c r="X777" s="491"/>
      <c r="Y777" s="491"/>
      <c r="Z777" s="491"/>
      <c r="AA777" s="491"/>
      <c r="AB777" s="491"/>
      <c r="AC777" s="491"/>
    </row>
    <row r="778" spans="1:29">
      <c r="A778" s="491"/>
      <c r="B778" s="491"/>
      <c r="C778" s="491"/>
      <c r="D778" s="491"/>
      <c r="E778" s="491"/>
      <c r="F778" s="491"/>
      <c r="G778" s="491"/>
      <c r="H778" s="491"/>
      <c r="I778" s="491"/>
      <c r="J778" s="491"/>
      <c r="K778" s="505"/>
      <c r="L778" s="506"/>
      <c r="M778" s="491"/>
      <c r="N778" s="491"/>
      <c r="O778" s="491"/>
      <c r="P778" s="604"/>
      <c r="Q778" s="491"/>
      <c r="R778" s="491"/>
      <c r="S778" s="491"/>
      <c r="T778" s="491"/>
      <c r="U778" s="491"/>
      <c r="V778" s="491"/>
      <c r="W778" s="491"/>
      <c r="X778" s="491"/>
      <c r="Y778" s="491"/>
      <c r="Z778" s="491"/>
      <c r="AA778" s="491"/>
      <c r="AB778" s="491"/>
      <c r="AC778" s="491"/>
    </row>
    <row r="779" spans="1:29">
      <c r="A779" s="491"/>
      <c r="B779" s="491"/>
      <c r="C779" s="491"/>
      <c r="D779" s="491"/>
      <c r="E779" s="491"/>
      <c r="F779" s="491"/>
      <c r="G779" s="491"/>
      <c r="H779" s="491"/>
      <c r="I779" s="491"/>
      <c r="J779" s="491"/>
      <c r="K779" s="505"/>
      <c r="L779" s="506"/>
      <c r="M779" s="491"/>
      <c r="N779" s="491"/>
      <c r="O779" s="491"/>
      <c r="P779" s="604"/>
      <c r="Q779" s="491"/>
      <c r="R779" s="491"/>
      <c r="S779" s="491"/>
      <c r="T779" s="491"/>
      <c r="U779" s="491"/>
      <c r="V779" s="491"/>
      <c r="W779" s="491"/>
      <c r="X779" s="491"/>
      <c r="Y779" s="491"/>
      <c r="Z779" s="491"/>
      <c r="AA779" s="491"/>
      <c r="AB779" s="491"/>
      <c r="AC779" s="491"/>
    </row>
    <row r="780" spans="1:29">
      <c r="A780" s="491"/>
      <c r="B780" s="491"/>
      <c r="C780" s="491"/>
      <c r="D780" s="491"/>
      <c r="E780" s="491"/>
      <c r="F780" s="491"/>
      <c r="G780" s="491"/>
      <c r="H780" s="491"/>
      <c r="I780" s="491"/>
      <c r="J780" s="491"/>
      <c r="K780" s="505"/>
      <c r="L780" s="506"/>
      <c r="M780" s="491"/>
      <c r="N780" s="491"/>
      <c r="O780" s="491"/>
      <c r="P780" s="604"/>
      <c r="Q780" s="491"/>
      <c r="R780" s="491"/>
      <c r="S780" s="491"/>
      <c r="T780" s="491"/>
      <c r="U780" s="491"/>
      <c r="V780" s="491"/>
      <c r="W780" s="491"/>
      <c r="X780" s="491"/>
      <c r="Y780" s="491"/>
      <c r="Z780" s="491"/>
      <c r="AA780" s="491"/>
      <c r="AB780" s="491"/>
      <c r="AC780" s="491"/>
    </row>
    <row r="781" spans="1:29">
      <c r="A781" s="491"/>
      <c r="B781" s="491"/>
      <c r="C781" s="491"/>
      <c r="D781" s="491"/>
      <c r="E781" s="491"/>
      <c r="F781" s="491"/>
      <c r="G781" s="491"/>
      <c r="H781" s="491"/>
      <c r="I781" s="491"/>
      <c r="J781" s="491"/>
      <c r="K781" s="505"/>
      <c r="L781" s="506"/>
      <c r="M781" s="491"/>
      <c r="N781" s="491"/>
      <c r="O781" s="491"/>
      <c r="P781" s="604"/>
      <c r="Q781" s="491"/>
      <c r="R781" s="491"/>
      <c r="S781" s="491"/>
      <c r="T781" s="491"/>
      <c r="U781" s="491"/>
      <c r="V781" s="491"/>
      <c r="W781" s="491"/>
      <c r="X781" s="491"/>
      <c r="Y781" s="491"/>
      <c r="Z781" s="491"/>
      <c r="AA781" s="491"/>
      <c r="AB781" s="491"/>
      <c r="AC781" s="491"/>
    </row>
    <row r="782" spans="1:29">
      <c r="A782" s="491"/>
      <c r="B782" s="491"/>
      <c r="C782" s="491"/>
      <c r="D782" s="491"/>
      <c r="E782" s="491"/>
      <c r="F782" s="491"/>
      <c r="G782" s="491"/>
      <c r="H782" s="491"/>
      <c r="I782" s="491"/>
      <c r="J782" s="491"/>
      <c r="K782" s="505"/>
      <c r="L782" s="506"/>
      <c r="M782" s="491"/>
      <c r="N782" s="491"/>
      <c r="O782" s="491"/>
      <c r="P782" s="604"/>
      <c r="Q782" s="491"/>
      <c r="R782" s="491"/>
      <c r="S782" s="491"/>
      <c r="T782" s="491"/>
      <c r="U782" s="491"/>
      <c r="V782" s="491"/>
      <c r="W782" s="491"/>
      <c r="X782" s="491"/>
      <c r="Y782" s="491"/>
      <c r="Z782" s="491"/>
      <c r="AA782" s="491"/>
      <c r="AB782" s="491"/>
      <c r="AC782" s="491"/>
    </row>
    <row r="783" spans="1:29">
      <c r="A783" s="491"/>
      <c r="B783" s="491"/>
      <c r="C783" s="491"/>
      <c r="D783" s="491"/>
      <c r="E783" s="491"/>
      <c r="F783" s="491"/>
      <c r="G783" s="491"/>
      <c r="H783" s="491"/>
      <c r="I783" s="491"/>
      <c r="J783" s="491"/>
      <c r="K783" s="505"/>
      <c r="L783" s="506"/>
      <c r="M783" s="491"/>
      <c r="N783" s="491"/>
      <c r="O783" s="491"/>
      <c r="P783" s="604"/>
      <c r="Q783" s="491"/>
      <c r="R783" s="491"/>
      <c r="S783" s="491"/>
      <c r="T783" s="491"/>
      <c r="U783" s="491"/>
      <c r="V783" s="491"/>
      <c r="W783" s="491"/>
      <c r="X783" s="491"/>
      <c r="Y783" s="491"/>
      <c r="Z783" s="491"/>
      <c r="AA783" s="491"/>
      <c r="AB783" s="491"/>
      <c r="AC783" s="491"/>
    </row>
    <row r="784" spans="1:29">
      <c r="A784" s="491"/>
      <c r="B784" s="491"/>
      <c r="C784" s="491"/>
      <c r="D784" s="491"/>
      <c r="E784" s="491"/>
      <c r="F784" s="491"/>
      <c r="G784" s="491"/>
      <c r="H784" s="491"/>
      <c r="I784" s="491"/>
      <c r="J784" s="491"/>
      <c r="K784" s="505"/>
      <c r="L784" s="506"/>
      <c r="M784" s="491"/>
      <c r="N784" s="491"/>
      <c r="O784" s="491"/>
      <c r="P784" s="604"/>
      <c r="Q784" s="491"/>
      <c r="R784" s="491"/>
      <c r="S784" s="491"/>
      <c r="T784" s="491"/>
      <c r="U784" s="491"/>
      <c r="V784" s="491"/>
      <c r="W784" s="491"/>
      <c r="X784" s="491"/>
      <c r="Y784" s="491"/>
      <c r="Z784" s="491"/>
      <c r="AA784" s="491"/>
      <c r="AB784" s="491"/>
      <c r="AC784" s="491"/>
    </row>
    <row r="785" spans="1:29">
      <c r="A785" s="491"/>
      <c r="B785" s="491"/>
      <c r="C785" s="491"/>
      <c r="D785" s="491"/>
      <c r="E785" s="491"/>
      <c r="F785" s="491"/>
      <c r="G785" s="491"/>
      <c r="H785" s="491"/>
      <c r="I785" s="491"/>
      <c r="J785" s="491"/>
      <c r="K785" s="505"/>
      <c r="L785" s="506"/>
      <c r="M785" s="491"/>
      <c r="N785" s="491"/>
      <c r="O785" s="491"/>
      <c r="P785" s="604"/>
      <c r="Q785" s="491"/>
      <c r="R785" s="491"/>
      <c r="S785" s="491"/>
      <c r="T785" s="491"/>
      <c r="U785" s="491"/>
      <c r="V785" s="491"/>
      <c r="W785" s="491"/>
      <c r="X785" s="491"/>
      <c r="Y785" s="491"/>
      <c r="Z785" s="491"/>
      <c r="AA785" s="491"/>
      <c r="AB785" s="491"/>
      <c r="AC785" s="491"/>
    </row>
    <row r="786" spans="1:29">
      <c r="A786" s="491"/>
      <c r="B786" s="491"/>
      <c r="C786" s="491"/>
      <c r="D786" s="491"/>
      <c r="E786" s="491"/>
      <c r="F786" s="491"/>
      <c r="G786" s="491"/>
      <c r="H786" s="491"/>
      <c r="I786" s="491"/>
      <c r="J786" s="491"/>
      <c r="K786" s="505"/>
      <c r="L786" s="506"/>
      <c r="M786" s="491"/>
      <c r="N786" s="491"/>
      <c r="O786" s="491"/>
      <c r="P786" s="604"/>
      <c r="Q786" s="491"/>
      <c r="R786" s="491"/>
      <c r="S786" s="491"/>
      <c r="T786" s="491"/>
      <c r="U786" s="491"/>
      <c r="V786" s="491"/>
      <c r="W786" s="491"/>
      <c r="X786" s="491"/>
      <c r="Y786" s="491"/>
      <c r="Z786" s="491"/>
      <c r="AA786" s="491"/>
      <c r="AB786" s="491"/>
      <c r="AC786" s="491"/>
    </row>
    <row r="787" spans="1:29">
      <c r="A787" s="491"/>
      <c r="B787" s="491"/>
      <c r="C787" s="491"/>
      <c r="D787" s="491"/>
      <c r="E787" s="491"/>
      <c r="F787" s="491"/>
      <c r="G787" s="491"/>
      <c r="H787" s="491"/>
      <c r="I787" s="491"/>
      <c r="J787" s="491"/>
      <c r="K787" s="505"/>
      <c r="L787" s="506"/>
      <c r="M787" s="491"/>
      <c r="N787" s="491"/>
      <c r="O787" s="491"/>
      <c r="P787" s="604"/>
      <c r="Q787" s="491"/>
      <c r="R787" s="491"/>
      <c r="S787" s="491"/>
      <c r="T787" s="491"/>
      <c r="U787" s="491"/>
      <c r="V787" s="491"/>
      <c r="W787" s="491"/>
      <c r="X787" s="491"/>
      <c r="Y787" s="491"/>
      <c r="Z787" s="491"/>
      <c r="AA787" s="491"/>
      <c r="AB787" s="491"/>
      <c r="AC787" s="491"/>
    </row>
    <row r="788" spans="1:29">
      <c r="A788" s="491"/>
      <c r="B788" s="491"/>
      <c r="C788" s="491"/>
      <c r="D788" s="491"/>
      <c r="E788" s="491"/>
      <c r="F788" s="491"/>
      <c r="G788" s="491"/>
      <c r="H788" s="491"/>
      <c r="I788" s="491"/>
      <c r="J788" s="491"/>
      <c r="K788" s="505"/>
      <c r="L788" s="506"/>
      <c r="M788" s="491"/>
      <c r="N788" s="491"/>
      <c r="O788" s="491"/>
      <c r="P788" s="604"/>
      <c r="Q788" s="491"/>
      <c r="R788" s="491"/>
      <c r="S788" s="491"/>
      <c r="T788" s="491"/>
      <c r="U788" s="491"/>
      <c r="V788" s="491"/>
      <c r="W788" s="491"/>
      <c r="X788" s="491"/>
      <c r="Y788" s="491"/>
      <c r="Z788" s="491"/>
      <c r="AA788" s="491"/>
      <c r="AB788" s="491"/>
      <c r="AC788" s="491"/>
    </row>
    <row r="789" spans="1:29">
      <c r="A789" s="491"/>
      <c r="B789" s="491"/>
      <c r="C789" s="491"/>
      <c r="D789" s="491"/>
      <c r="E789" s="491"/>
      <c r="F789" s="491"/>
      <c r="G789" s="491"/>
      <c r="H789" s="491"/>
      <c r="I789" s="491"/>
      <c r="J789" s="491"/>
      <c r="K789" s="505"/>
      <c r="L789" s="506"/>
      <c r="M789" s="491"/>
      <c r="N789" s="491"/>
      <c r="O789" s="491"/>
      <c r="P789" s="604"/>
      <c r="Q789" s="491"/>
      <c r="R789" s="491"/>
      <c r="S789" s="491"/>
      <c r="T789" s="491"/>
      <c r="U789" s="491"/>
      <c r="V789" s="491"/>
      <c r="W789" s="491"/>
      <c r="X789" s="491"/>
      <c r="Y789" s="491"/>
      <c r="Z789" s="491"/>
      <c r="AA789" s="491"/>
      <c r="AB789" s="491"/>
      <c r="AC789" s="491"/>
    </row>
    <row r="790" spans="1:29">
      <c r="A790" s="491"/>
      <c r="B790" s="491"/>
      <c r="C790" s="491"/>
      <c r="D790" s="491"/>
      <c r="E790" s="491"/>
      <c r="F790" s="491"/>
      <c r="G790" s="491"/>
      <c r="H790" s="491"/>
      <c r="I790" s="491"/>
      <c r="J790" s="491"/>
      <c r="K790" s="505"/>
      <c r="L790" s="506"/>
      <c r="M790" s="491"/>
      <c r="N790" s="491"/>
      <c r="O790" s="491"/>
      <c r="P790" s="604"/>
      <c r="Q790" s="491"/>
      <c r="R790" s="491"/>
      <c r="S790" s="491"/>
      <c r="T790" s="491"/>
      <c r="U790" s="491"/>
      <c r="V790" s="491"/>
      <c r="W790" s="491"/>
      <c r="X790" s="491"/>
      <c r="Y790" s="491"/>
      <c r="Z790" s="491"/>
      <c r="AA790" s="491"/>
      <c r="AB790" s="491"/>
      <c r="AC790" s="491"/>
    </row>
    <row r="791" spans="1:29">
      <c r="A791" s="491"/>
      <c r="B791" s="491"/>
      <c r="C791" s="491"/>
      <c r="D791" s="491"/>
      <c r="E791" s="491"/>
      <c r="F791" s="491"/>
      <c r="G791" s="491"/>
      <c r="H791" s="491"/>
      <c r="I791" s="491"/>
      <c r="J791" s="491"/>
      <c r="K791" s="505"/>
      <c r="L791" s="506"/>
      <c r="M791" s="491"/>
      <c r="N791" s="491"/>
      <c r="O791" s="491"/>
      <c r="P791" s="604"/>
      <c r="Q791" s="491"/>
      <c r="R791" s="491"/>
      <c r="S791" s="491"/>
      <c r="T791" s="491"/>
      <c r="U791" s="491"/>
      <c r="V791" s="491"/>
      <c r="W791" s="491"/>
      <c r="X791" s="491"/>
      <c r="Y791" s="491"/>
      <c r="Z791" s="491"/>
      <c r="AA791" s="491"/>
      <c r="AB791" s="491"/>
      <c r="AC791" s="491"/>
    </row>
    <row r="792" spans="1:29">
      <c r="A792" s="491"/>
      <c r="B792" s="491"/>
      <c r="C792" s="491"/>
      <c r="D792" s="491"/>
      <c r="E792" s="491"/>
      <c r="F792" s="491"/>
      <c r="G792" s="491"/>
      <c r="H792" s="491"/>
      <c r="I792" s="491"/>
      <c r="J792" s="491"/>
      <c r="K792" s="505"/>
      <c r="L792" s="506"/>
      <c r="M792" s="491"/>
      <c r="N792" s="491"/>
      <c r="O792" s="491"/>
      <c r="P792" s="604"/>
      <c r="Q792" s="491"/>
      <c r="R792" s="491"/>
      <c r="S792" s="491"/>
      <c r="T792" s="491"/>
      <c r="U792" s="491"/>
      <c r="V792" s="491"/>
      <c r="W792" s="491"/>
      <c r="X792" s="491"/>
      <c r="Y792" s="491"/>
      <c r="Z792" s="491"/>
      <c r="AA792" s="491"/>
      <c r="AB792" s="491"/>
      <c r="AC792" s="491"/>
    </row>
    <row r="793" spans="1:29">
      <c r="A793" s="491"/>
      <c r="B793" s="491"/>
      <c r="C793" s="491"/>
      <c r="D793" s="491"/>
      <c r="E793" s="491"/>
      <c r="F793" s="491"/>
      <c r="G793" s="491"/>
      <c r="H793" s="491"/>
      <c r="I793" s="491"/>
      <c r="J793" s="491"/>
      <c r="K793" s="505"/>
      <c r="L793" s="506"/>
      <c r="M793" s="491"/>
      <c r="N793" s="491"/>
      <c r="O793" s="491"/>
      <c r="P793" s="604"/>
      <c r="Q793" s="491"/>
      <c r="R793" s="491"/>
      <c r="S793" s="491"/>
      <c r="T793" s="491"/>
      <c r="U793" s="491"/>
      <c r="V793" s="491"/>
      <c r="W793" s="491"/>
      <c r="X793" s="491"/>
      <c r="Y793" s="491"/>
      <c r="Z793" s="491"/>
      <c r="AA793" s="491"/>
      <c r="AB793" s="491"/>
      <c r="AC793" s="491"/>
    </row>
    <row r="794" spans="1:29">
      <c r="A794" s="491"/>
      <c r="B794" s="491"/>
      <c r="C794" s="491"/>
      <c r="D794" s="491"/>
      <c r="E794" s="491"/>
      <c r="F794" s="491"/>
      <c r="G794" s="491"/>
      <c r="H794" s="491"/>
      <c r="I794" s="491"/>
      <c r="J794" s="491"/>
      <c r="K794" s="505"/>
      <c r="L794" s="506"/>
      <c r="M794" s="491"/>
      <c r="N794" s="491"/>
      <c r="O794" s="491"/>
      <c r="P794" s="604"/>
      <c r="Q794" s="491"/>
      <c r="R794" s="491"/>
      <c r="S794" s="491"/>
      <c r="T794" s="491"/>
      <c r="U794" s="491"/>
      <c r="V794" s="491"/>
      <c r="W794" s="491"/>
      <c r="X794" s="491"/>
      <c r="Y794" s="491"/>
      <c r="Z794" s="491"/>
      <c r="AA794" s="491"/>
      <c r="AB794" s="491"/>
      <c r="AC794" s="491"/>
    </row>
    <row r="795" spans="1:29">
      <c r="A795" s="491"/>
      <c r="B795" s="491"/>
      <c r="C795" s="491"/>
      <c r="D795" s="491"/>
      <c r="E795" s="491"/>
      <c r="F795" s="491"/>
      <c r="G795" s="491"/>
      <c r="H795" s="491"/>
      <c r="I795" s="491"/>
      <c r="J795" s="491"/>
      <c r="K795" s="505"/>
      <c r="L795" s="506"/>
      <c r="M795" s="491"/>
      <c r="N795" s="491"/>
      <c r="O795" s="491"/>
      <c r="P795" s="604"/>
      <c r="Q795" s="491"/>
      <c r="R795" s="491"/>
      <c r="S795" s="491"/>
      <c r="T795" s="491"/>
      <c r="U795" s="491"/>
      <c r="V795" s="491"/>
      <c r="W795" s="491"/>
      <c r="X795" s="491"/>
      <c r="Y795" s="491"/>
      <c r="Z795" s="491"/>
      <c r="AA795" s="491"/>
      <c r="AB795" s="491"/>
      <c r="AC795" s="491"/>
    </row>
    <row r="796" spans="1:29">
      <c r="A796" s="491"/>
      <c r="B796" s="491"/>
      <c r="C796" s="491"/>
      <c r="D796" s="491"/>
      <c r="E796" s="491"/>
      <c r="F796" s="491"/>
      <c r="G796" s="491"/>
      <c r="H796" s="491"/>
      <c r="I796" s="491"/>
      <c r="J796" s="491"/>
      <c r="K796" s="505"/>
      <c r="L796" s="506"/>
      <c r="M796" s="491"/>
      <c r="N796" s="491"/>
      <c r="O796" s="491"/>
      <c r="P796" s="604"/>
      <c r="Q796" s="491"/>
      <c r="R796" s="491"/>
      <c r="S796" s="491"/>
      <c r="T796" s="491"/>
      <c r="U796" s="491"/>
      <c r="V796" s="491"/>
      <c r="W796" s="491"/>
      <c r="X796" s="491"/>
      <c r="Y796" s="491"/>
      <c r="Z796" s="491"/>
      <c r="AA796" s="491"/>
      <c r="AB796" s="491"/>
      <c r="AC796" s="491"/>
    </row>
    <row r="797" spans="1:29">
      <c r="A797" s="491"/>
      <c r="B797" s="491"/>
      <c r="C797" s="491"/>
      <c r="D797" s="491"/>
      <c r="E797" s="491"/>
      <c r="F797" s="491"/>
      <c r="G797" s="491"/>
      <c r="H797" s="491"/>
      <c r="I797" s="491"/>
      <c r="J797" s="491"/>
      <c r="K797" s="505"/>
      <c r="L797" s="506"/>
      <c r="M797" s="491"/>
      <c r="N797" s="491"/>
      <c r="O797" s="491"/>
      <c r="P797" s="604"/>
      <c r="Q797" s="491"/>
      <c r="R797" s="491"/>
      <c r="S797" s="491"/>
      <c r="T797" s="491"/>
      <c r="U797" s="491"/>
      <c r="V797" s="491"/>
      <c r="W797" s="491"/>
      <c r="X797" s="491"/>
      <c r="Y797" s="491"/>
      <c r="Z797" s="491"/>
      <c r="AA797" s="491"/>
      <c r="AB797" s="491"/>
      <c r="AC797" s="491"/>
    </row>
    <row r="798" spans="1:29">
      <c r="A798" s="491"/>
      <c r="B798" s="491"/>
      <c r="C798" s="491"/>
      <c r="D798" s="491"/>
      <c r="E798" s="491"/>
      <c r="F798" s="491"/>
      <c r="G798" s="491"/>
      <c r="H798" s="491"/>
      <c r="I798" s="491"/>
      <c r="J798" s="491"/>
      <c r="K798" s="505"/>
      <c r="L798" s="506"/>
      <c r="M798" s="491"/>
      <c r="N798" s="491"/>
      <c r="O798" s="491"/>
      <c r="P798" s="604"/>
      <c r="Q798" s="491"/>
      <c r="R798" s="491"/>
      <c r="S798" s="491"/>
      <c r="T798" s="491"/>
      <c r="U798" s="491"/>
      <c r="V798" s="491"/>
      <c r="W798" s="491"/>
      <c r="X798" s="491"/>
      <c r="Y798" s="491"/>
      <c r="Z798" s="491"/>
      <c r="AA798" s="491"/>
      <c r="AB798" s="491"/>
      <c r="AC798" s="491"/>
    </row>
    <row r="799" spans="1:29">
      <c r="A799" s="491"/>
      <c r="B799" s="491"/>
      <c r="C799" s="491"/>
      <c r="D799" s="491"/>
      <c r="E799" s="491"/>
      <c r="F799" s="491"/>
      <c r="G799" s="491"/>
      <c r="H799" s="491"/>
      <c r="I799" s="491"/>
      <c r="J799" s="491"/>
      <c r="K799" s="505"/>
      <c r="L799" s="506"/>
      <c r="M799" s="491"/>
      <c r="N799" s="491"/>
      <c r="O799" s="491"/>
      <c r="P799" s="604"/>
      <c r="Q799" s="491"/>
      <c r="R799" s="491"/>
      <c r="S799" s="491"/>
      <c r="T799" s="491"/>
      <c r="U799" s="491"/>
      <c r="V799" s="491"/>
      <c r="W799" s="491"/>
      <c r="X799" s="491"/>
      <c r="Y799" s="491"/>
      <c r="Z799" s="491"/>
      <c r="AA799" s="491"/>
      <c r="AB799" s="491"/>
      <c r="AC799" s="491"/>
    </row>
    <row r="800" spans="1:29">
      <c r="A800" s="491"/>
      <c r="B800" s="491"/>
      <c r="C800" s="491"/>
      <c r="D800" s="491"/>
      <c r="E800" s="491"/>
      <c r="F800" s="491"/>
      <c r="G800" s="491"/>
      <c r="H800" s="491"/>
      <c r="I800" s="491"/>
      <c r="J800" s="491"/>
      <c r="K800" s="505"/>
      <c r="L800" s="506"/>
      <c r="M800" s="491"/>
      <c r="N800" s="491"/>
      <c r="O800" s="491"/>
      <c r="P800" s="604"/>
      <c r="Q800" s="491"/>
      <c r="R800" s="491"/>
      <c r="S800" s="491"/>
      <c r="T800" s="491"/>
      <c r="U800" s="491"/>
      <c r="V800" s="491"/>
      <c r="W800" s="491"/>
      <c r="X800" s="491"/>
      <c r="Y800" s="491"/>
      <c r="Z800" s="491"/>
      <c r="AA800" s="491"/>
      <c r="AB800" s="491"/>
      <c r="AC800" s="491"/>
    </row>
    <row r="801" spans="1:29">
      <c r="A801" s="491"/>
      <c r="B801" s="491"/>
      <c r="C801" s="491"/>
      <c r="D801" s="491"/>
      <c r="E801" s="491"/>
      <c r="F801" s="491"/>
      <c r="G801" s="491"/>
      <c r="H801" s="491"/>
      <c r="I801" s="491"/>
      <c r="J801" s="491"/>
      <c r="K801" s="505"/>
      <c r="L801" s="506"/>
      <c r="M801" s="491"/>
      <c r="N801" s="491"/>
      <c r="O801" s="491"/>
      <c r="P801" s="604"/>
      <c r="Q801" s="491"/>
      <c r="R801" s="491"/>
      <c r="S801" s="491"/>
      <c r="T801" s="491"/>
      <c r="U801" s="491"/>
      <c r="V801" s="491"/>
      <c r="W801" s="491"/>
      <c r="X801" s="491"/>
      <c r="Y801" s="491"/>
      <c r="Z801" s="491"/>
      <c r="AA801" s="491"/>
      <c r="AB801" s="491"/>
      <c r="AC801" s="491"/>
    </row>
    <row r="802" spans="1:29">
      <c r="A802" s="491"/>
      <c r="B802" s="491"/>
      <c r="C802" s="491"/>
      <c r="D802" s="491"/>
      <c r="E802" s="491"/>
      <c r="F802" s="491"/>
      <c r="G802" s="491"/>
      <c r="H802" s="491"/>
      <c r="I802" s="491"/>
      <c r="J802" s="491"/>
      <c r="K802" s="505"/>
      <c r="L802" s="506"/>
      <c r="M802" s="491"/>
      <c r="N802" s="491"/>
      <c r="O802" s="491"/>
      <c r="P802" s="604"/>
      <c r="Q802" s="491"/>
      <c r="R802" s="491"/>
      <c r="S802" s="491"/>
      <c r="T802" s="491"/>
      <c r="U802" s="491"/>
      <c r="V802" s="491"/>
      <c r="W802" s="491"/>
      <c r="X802" s="491"/>
      <c r="Y802" s="491"/>
      <c r="Z802" s="491"/>
      <c r="AA802" s="491"/>
      <c r="AB802" s="491"/>
      <c r="AC802" s="491"/>
    </row>
    <row r="803" spans="1:29">
      <c r="A803" s="491"/>
      <c r="B803" s="491"/>
      <c r="C803" s="491"/>
      <c r="D803" s="491"/>
      <c r="E803" s="491"/>
      <c r="F803" s="491"/>
      <c r="G803" s="491"/>
      <c r="H803" s="491"/>
      <c r="I803" s="491"/>
      <c r="J803" s="491"/>
      <c r="K803" s="505"/>
      <c r="L803" s="506"/>
      <c r="M803" s="491"/>
      <c r="N803" s="491"/>
      <c r="O803" s="491"/>
      <c r="P803" s="604"/>
      <c r="Q803" s="491"/>
      <c r="R803" s="491"/>
      <c r="S803" s="491"/>
      <c r="T803" s="491"/>
      <c r="U803" s="491"/>
      <c r="V803" s="491"/>
      <c r="W803" s="491"/>
      <c r="X803" s="491"/>
      <c r="Y803" s="491"/>
      <c r="Z803" s="491"/>
      <c r="AA803" s="491"/>
      <c r="AB803" s="491"/>
      <c r="AC803" s="491"/>
    </row>
    <row r="804" spans="1:29">
      <c r="A804" s="491"/>
      <c r="B804" s="491"/>
      <c r="C804" s="491"/>
      <c r="D804" s="491"/>
      <c r="E804" s="491"/>
      <c r="F804" s="491"/>
      <c r="G804" s="491"/>
      <c r="H804" s="491"/>
      <c r="I804" s="491"/>
      <c r="J804" s="491"/>
      <c r="K804" s="505"/>
      <c r="L804" s="506"/>
      <c r="M804" s="491"/>
      <c r="N804" s="491"/>
      <c r="O804" s="491"/>
      <c r="P804" s="604"/>
      <c r="Q804" s="491"/>
      <c r="R804" s="491"/>
      <c r="S804" s="491"/>
      <c r="T804" s="491"/>
      <c r="U804" s="491"/>
      <c r="V804" s="491"/>
      <c r="W804" s="491"/>
      <c r="X804" s="491"/>
      <c r="Y804" s="491"/>
      <c r="Z804" s="491"/>
      <c r="AA804" s="491"/>
      <c r="AB804" s="491"/>
      <c r="AC804" s="491"/>
    </row>
    <row r="805" spans="1:29">
      <c r="A805" s="491"/>
      <c r="B805" s="491"/>
      <c r="C805" s="491"/>
      <c r="D805" s="491"/>
      <c r="E805" s="491"/>
      <c r="F805" s="491"/>
      <c r="G805" s="491"/>
      <c r="H805" s="491"/>
      <c r="I805" s="491"/>
      <c r="J805" s="491"/>
      <c r="K805" s="505"/>
      <c r="L805" s="506"/>
      <c r="M805" s="491"/>
      <c r="N805" s="491"/>
      <c r="O805" s="491"/>
      <c r="P805" s="604"/>
      <c r="Q805" s="491"/>
      <c r="R805" s="491"/>
      <c r="S805" s="491"/>
      <c r="T805" s="491"/>
      <c r="U805" s="491"/>
      <c r="V805" s="491"/>
      <c r="W805" s="491"/>
      <c r="X805" s="491"/>
      <c r="Y805" s="491"/>
      <c r="Z805" s="491"/>
      <c r="AA805" s="491"/>
      <c r="AB805" s="491"/>
      <c r="AC805" s="491"/>
    </row>
    <row r="806" spans="1:29">
      <c r="A806" s="491"/>
      <c r="B806" s="491"/>
      <c r="C806" s="491"/>
      <c r="D806" s="491"/>
      <c r="E806" s="491"/>
      <c r="F806" s="491"/>
      <c r="G806" s="491"/>
      <c r="H806" s="491"/>
      <c r="I806" s="491"/>
      <c r="J806" s="491"/>
      <c r="K806" s="505"/>
      <c r="L806" s="506"/>
      <c r="M806" s="491"/>
      <c r="N806" s="491"/>
      <c r="O806" s="491"/>
      <c r="P806" s="604"/>
      <c r="Q806" s="491"/>
      <c r="R806" s="491"/>
      <c r="S806" s="491"/>
      <c r="T806" s="491"/>
      <c r="U806" s="491"/>
      <c r="V806" s="491"/>
      <c r="W806" s="491"/>
      <c r="X806" s="491"/>
      <c r="Y806" s="491"/>
      <c r="Z806" s="491"/>
      <c r="AA806" s="491"/>
      <c r="AB806" s="491"/>
      <c r="AC806" s="491"/>
    </row>
    <row r="807" spans="1:29">
      <c r="A807" s="491"/>
      <c r="B807" s="491"/>
      <c r="C807" s="491"/>
      <c r="D807" s="491"/>
      <c r="E807" s="491"/>
      <c r="F807" s="491"/>
      <c r="G807" s="491"/>
      <c r="H807" s="491"/>
      <c r="I807" s="491"/>
      <c r="J807" s="491"/>
      <c r="K807" s="505"/>
      <c r="L807" s="506"/>
      <c r="M807" s="491"/>
      <c r="N807" s="491"/>
      <c r="O807" s="491"/>
      <c r="P807" s="604"/>
      <c r="Q807" s="491"/>
      <c r="R807" s="491"/>
      <c r="S807" s="491"/>
      <c r="T807" s="491"/>
      <c r="U807" s="491"/>
      <c r="V807" s="491"/>
      <c r="W807" s="491"/>
      <c r="X807" s="491"/>
      <c r="Y807" s="491"/>
      <c r="Z807" s="491"/>
      <c r="AA807" s="491"/>
      <c r="AB807" s="491"/>
      <c r="AC807" s="491"/>
    </row>
    <row r="808" spans="1:29">
      <c r="A808" s="491"/>
      <c r="B808" s="491"/>
      <c r="C808" s="491"/>
      <c r="D808" s="491"/>
      <c r="E808" s="491"/>
      <c r="F808" s="491"/>
      <c r="G808" s="491"/>
      <c r="H808" s="491"/>
      <c r="I808" s="491"/>
      <c r="J808" s="491"/>
      <c r="K808" s="505"/>
      <c r="L808" s="506"/>
      <c r="M808" s="491"/>
      <c r="N808" s="491"/>
      <c r="O808" s="491"/>
      <c r="P808" s="604"/>
      <c r="Q808" s="491"/>
      <c r="R808" s="491"/>
      <c r="S808" s="491"/>
      <c r="T808" s="491"/>
      <c r="U808" s="491"/>
      <c r="V808" s="491"/>
      <c r="W808" s="491"/>
      <c r="X808" s="491"/>
      <c r="Y808" s="491"/>
      <c r="Z808" s="491"/>
      <c r="AA808" s="491"/>
      <c r="AB808" s="491"/>
      <c r="AC808" s="491"/>
    </row>
    <row r="809" spans="1:29">
      <c r="A809" s="491"/>
      <c r="B809" s="491"/>
      <c r="C809" s="491"/>
      <c r="D809" s="491"/>
      <c r="E809" s="491"/>
      <c r="F809" s="491"/>
      <c r="G809" s="491"/>
      <c r="H809" s="491"/>
      <c r="I809" s="491"/>
      <c r="J809" s="491"/>
      <c r="K809" s="505"/>
      <c r="L809" s="506"/>
      <c r="M809" s="491"/>
      <c r="N809" s="491"/>
      <c r="O809" s="491"/>
      <c r="P809" s="604"/>
      <c r="Q809" s="491"/>
      <c r="R809" s="491"/>
      <c r="S809" s="491"/>
      <c r="T809" s="491"/>
      <c r="U809" s="491"/>
      <c r="V809" s="491"/>
      <c r="W809" s="491"/>
      <c r="X809" s="491"/>
      <c r="Y809" s="491"/>
      <c r="Z809" s="491"/>
      <c r="AA809" s="491"/>
      <c r="AB809" s="491"/>
      <c r="AC809" s="491"/>
    </row>
    <row r="810" spans="1:29">
      <c r="A810" s="491"/>
      <c r="B810" s="491"/>
      <c r="C810" s="491"/>
      <c r="D810" s="491"/>
      <c r="E810" s="491"/>
      <c r="F810" s="491"/>
      <c r="G810" s="491"/>
      <c r="H810" s="491"/>
      <c r="I810" s="491"/>
      <c r="J810" s="491"/>
      <c r="K810" s="505"/>
      <c r="L810" s="506"/>
      <c r="M810" s="491"/>
      <c r="N810" s="491"/>
      <c r="O810" s="491"/>
      <c r="P810" s="604"/>
      <c r="Q810" s="491"/>
      <c r="R810" s="491"/>
      <c r="S810" s="491"/>
      <c r="T810" s="491"/>
      <c r="U810" s="491"/>
      <c r="V810" s="491"/>
      <c r="W810" s="491"/>
      <c r="X810" s="491"/>
      <c r="Y810" s="491"/>
      <c r="Z810" s="491"/>
      <c r="AA810" s="491"/>
      <c r="AB810" s="491"/>
      <c r="AC810" s="491"/>
    </row>
    <row r="811" spans="1:29">
      <c r="A811" s="491"/>
      <c r="B811" s="491"/>
      <c r="C811" s="491"/>
      <c r="D811" s="491"/>
      <c r="E811" s="491"/>
      <c r="F811" s="491"/>
      <c r="G811" s="491"/>
      <c r="H811" s="491"/>
      <c r="I811" s="491"/>
      <c r="J811" s="491"/>
      <c r="K811" s="505"/>
      <c r="L811" s="506"/>
      <c r="M811" s="491"/>
      <c r="N811" s="491"/>
      <c r="O811" s="491"/>
      <c r="P811" s="604"/>
      <c r="Q811" s="491"/>
      <c r="R811" s="491"/>
      <c r="S811" s="491"/>
      <c r="T811" s="491"/>
      <c r="U811" s="491"/>
      <c r="V811" s="491"/>
      <c r="W811" s="491"/>
      <c r="X811" s="491"/>
      <c r="Y811" s="491"/>
      <c r="Z811" s="491"/>
      <c r="AA811" s="491"/>
      <c r="AB811" s="491"/>
      <c r="AC811" s="491"/>
    </row>
    <row r="812" spans="1:29">
      <c r="A812" s="491"/>
      <c r="B812" s="491"/>
      <c r="C812" s="491"/>
      <c r="D812" s="491"/>
      <c r="E812" s="491"/>
      <c r="F812" s="491"/>
      <c r="G812" s="491"/>
      <c r="H812" s="491"/>
      <c r="I812" s="491"/>
      <c r="J812" s="491"/>
      <c r="K812" s="505"/>
      <c r="L812" s="506"/>
      <c r="M812" s="491"/>
      <c r="N812" s="491"/>
      <c r="O812" s="491"/>
      <c r="P812" s="604"/>
      <c r="Q812" s="491"/>
      <c r="R812" s="491"/>
      <c r="S812" s="491"/>
      <c r="T812" s="491"/>
      <c r="U812" s="491"/>
      <c r="V812" s="491"/>
      <c r="W812" s="491"/>
      <c r="X812" s="491"/>
      <c r="Y812" s="491"/>
      <c r="Z812" s="491"/>
      <c r="AA812" s="491"/>
      <c r="AB812" s="491"/>
      <c r="AC812" s="491"/>
    </row>
    <row r="813" spans="1:29">
      <c r="A813" s="491"/>
      <c r="B813" s="491"/>
      <c r="C813" s="491"/>
      <c r="D813" s="491"/>
      <c r="E813" s="491"/>
      <c r="F813" s="491"/>
      <c r="G813" s="491"/>
      <c r="H813" s="491"/>
      <c r="I813" s="491"/>
      <c r="J813" s="491"/>
      <c r="K813" s="505"/>
      <c r="L813" s="506"/>
      <c r="M813" s="491"/>
      <c r="N813" s="491"/>
      <c r="O813" s="491"/>
      <c r="P813" s="604"/>
      <c r="Q813" s="491"/>
      <c r="R813" s="491"/>
      <c r="S813" s="491"/>
      <c r="T813" s="491"/>
      <c r="U813" s="491"/>
      <c r="V813" s="491"/>
      <c r="W813" s="491"/>
      <c r="X813" s="491"/>
      <c r="Y813" s="491"/>
      <c r="Z813" s="491"/>
      <c r="AA813" s="491"/>
      <c r="AB813" s="491"/>
      <c r="AC813" s="491"/>
    </row>
    <row r="814" spans="1:29">
      <c r="A814" s="491"/>
      <c r="B814" s="491"/>
      <c r="C814" s="491"/>
      <c r="D814" s="491"/>
      <c r="E814" s="491"/>
      <c r="F814" s="491"/>
      <c r="G814" s="491"/>
      <c r="H814" s="491"/>
      <c r="I814" s="491"/>
      <c r="J814" s="491"/>
      <c r="K814" s="505"/>
      <c r="L814" s="506"/>
      <c r="M814" s="491"/>
      <c r="N814" s="491"/>
      <c r="O814" s="491"/>
      <c r="P814" s="604"/>
      <c r="Q814" s="491"/>
      <c r="R814" s="491"/>
      <c r="S814" s="491"/>
      <c r="T814" s="491"/>
      <c r="U814" s="491"/>
      <c r="V814" s="491"/>
      <c r="W814" s="491"/>
      <c r="X814" s="491"/>
      <c r="Y814" s="491"/>
      <c r="Z814" s="491"/>
      <c r="AA814" s="491"/>
      <c r="AB814" s="491"/>
      <c r="AC814" s="491"/>
    </row>
    <row r="815" spans="1:29">
      <c r="A815" s="491"/>
      <c r="B815" s="491"/>
      <c r="C815" s="491"/>
      <c r="D815" s="491"/>
      <c r="E815" s="491"/>
      <c r="F815" s="491"/>
      <c r="G815" s="491"/>
      <c r="H815" s="491"/>
      <c r="I815" s="491"/>
      <c r="J815" s="491"/>
      <c r="K815" s="505"/>
      <c r="L815" s="506"/>
      <c r="M815" s="491"/>
      <c r="N815" s="491"/>
      <c r="O815" s="491"/>
      <c r="P815" s="604"/>
      <c r="Q815" s="491"/>
      <c r="R815" s="491"/>
      <c r="S815" s="491"/>
      <c r="T815" s="491"/>
      <c r="U815" s="491"/>
      <c r="V815" s="491"/>
      <c r="W815" s="491"/>
      <c r="X815" s="491"/>
      <c r="Y815" s="491"/>
      <c r="Z815" s="491"/>
      <c r="AA815" s="491"/>
      <c r="AB815" s="491"/>
      <c r="AC815" s="491"/>
    </row>
    <row r="816" spans="1:29">
      <c r="A816" s="491"/>
      <c r="B816" s="491"/>
      <c r="C816" s="491"/>
      <c r="D816" s="491"/>
      <c r="E816" s="491"/>
      <c r="F816" s="491"/>
      <c r="G816" s="491"/>
      <c r="H816" s="491"/>
      <c r="I816" s="491"/>
      <c r="J816" s="491"/>
      <c r="K816" s="505"/>
      <c r="L816" s="506"/>
      <c r="M816" s="491"/>
      <c r="N816" s="491"/>
      <c r="O816" s="491"/>
      <c r="P816" s="604"/>
      <c r="Q816" s="491"/>
      <c r="R816" s="491"/>
      <c r="S816" s="491"/>
      <c r="T816" s="491"/>
      <c r="U816" s="491"/>
      <c r="V816" s="491"/>
      <c r="W816" s="491"/>
      <c r="X816" s="491"/>
      <c r="Y816" s="491"/>
      <c r="Z816" s="491"/>
      <c r="AA816" s="491"/>
      <c r="AB816" s="491"/>
      <c r="AC816" s="491"/>
    </row>
    <row r="817" spans="1:29">
      <c r="A817" s="491"/>
      <c r="B817" s="491"/>
      <c r="C817" s="491"/>
      <c r="D817" s="491"/>
      <c r="E817" s="491"/>
      <c r="F817" s="491"/>
      <c r="G817" s="491"/>
      <c r="H817" s="491"/>
      <c r="I817" s="491"/>
      <c r="J817" s="491"/>
      <c r="K817" s="505"/>
      <c r="L817" s="506"/>
      <c r="M817" s="491"/>
      <c r="N817" s="491"/>
      <c r="O817" s="491"/>
      <c r="P817" s="604"/>
      <c r="Q817" s="491"/>
      <c r="R817" s="491"/>
      <c r="S817" s="491"/>
      <c r="T817" s="491"/>
      <c r="U817" s="491"/>
      <c r="V817" s="491"/>
      <c r="W817" s="491"/>
      <c r="X817" s="491"/>
      <c r="Y817" s="491"/>
      <c r="Z817" s="491"/>
      <c r="AA817" s="491"/>
      <c r="AB817" s="491"/>
      <c r="AC817" s="491"/>
    </row>
    <row r="818" spans="1:29">
      <c r="A818" s="491"/>
      <c r="B818" s="491"/>
      <c r="C818" s="491"/>
      <c r="D818" s="491"/>
      <c r="E818" s="491"/>
      <c r="F818" s="491"/>
      <c r="G818" s="491"/>
      <c r="H818" s="491"/>
      <c r="I818" s="491"/>
      <c r="J818" s="491"/>
      <c r="K818" s="505"/>
      <c r="L818" s="506"/>
      <c r="M818" s="491"/>
      <c r="N818" s="491"/>
      <c r="O818" s="491"/>
      <c r="P818" s="604"/>
      <c r="Q818" s="491"/>
      <c r="R818" s="491"/>
      <c r="S818" s="491"/>
      <c r="T818" s="491"/>
      <c r="U818" s="491"/>
      <c r="V818" s="491"/>
      <c r="W818" s="491"/>
      <c r="X818" s="491"/>
      <c r="Y818" s="491"/>
      <c r="Z818" s="491"/>
      <c r="AA818" s="491"/>
      <c r="AB818" s="491"/>
      <c r="AC818" s="491"/>
    </row>
    <row r="819" spans="1:29">
      <c r="A819" s="491"/>
      <c r="B819" s="491"/>
      <c r="C819" s="491"/>
      <c r="D819" s="491"/>
      <c r="E819" s="491"/>
      <c r="F819" s="491"/>
      <c r="G819" s="491"/>
      <c r="H819" s="491"/>
      <c r="I819" s="491"/>
      <c r="J819" s="491"/>
      <c r="K819" s="505"/>
      <c r="L819" s="506"/>
      <c r="M819" s="491"/>
      <c r="N819" s="491"/>
      <c r="O819" s="491"/>
      <c r="P819" s="604"/>
      <c r="Q819" s="491"/>
      <c r="R819" s="491"/>
      <c r="S819" s="491"/>
      <c r="T819" s="491"/>
      <c r="U819" s="491"/>
      <c r="V819" s="491"/>
      <c r="W819" s="491"/>
      <c r="X819" s="491"/>
      <c r="Y819" s="491"/>
      <c r="Z819" s="491"/>
      <c r="AA819" s="491"/>
      <c r="AB819" s="491"/>
      <c r="AC819" s="491"/>
    </row>
    <row r="820" spans="1:29">
      <c r="A820" s="491"/>
      <c r="B820" s="491"/>
      <c r="C820" s="491"/>
      <c r="D820" s="491"/>
      <c r="E820" s="491"/>
      <c r="F820" s="491"/>
      <c r="G820" s="491"/>
      <c r="H820" s="491"/>
      <c r="I820" s="491"/>
      <c r="J820" s="491"/>
      <c r="K820" s="505"/>
      <c r="L820" s="506"/>
      <c r="M820" s="491"/>
      <c r="N820" s="491"/>
      <c r="O820" s="491"/>
      <c r="P820" s="604"/>
      <c r="Q820" s="491"/>
      <c r="R820" s="491"/>
      <c r="S820" s="491"/>
      <c r="T820" s="491"/>
      <c r="U820" s="491"/>
      <c r="V820" s="491"/>
      <c r="W820" s="491"/>
      <c r="X820" s="491"/>
      <c r="Y820" s="491"/>
      <c r="Z820" s="491"/>
      <c r="AA820" s="491"/>
      <c r="AB820" s="491"/>
      <c r="AC820" s="491"/>
    </row>
    <row r="821" spans="1:29">
      <c r="A821" s="491"/>
      <c r="B821" s="491"/>
      <c r="C821" s="491"/>
      <c r="D821" s="491"/>
      <c r="E821" s="491"/>
      <c r="F821" s="491"/>
      <c r="G821" s="491"/>
      <c r="H821" s="491"/>
      <c r="I821" s="491"/>
      <c r="J821" s="491"/>
      <c r="K821" s="505"/>
      <c r="L821" s="506"/>
      <c r="M821" s="491"/>
      <c r="N821" s="491"/>
      <c r="O821" s="491"/>
      <c r="P821" s="604"/>
      <c r="Q821" s="491"/>
      <c r="R821" s="491"/>
      <c r="S821" s="491"/>
      <c r="T821" s="491"/>
      <c r="U821" s="491"/>
      <c r="V821" s="491"/>
      <c r="W821" s="491"/>
      <c r="X821" s="491"/>
      <c r="Y821" s="491"/>
      <c r="Z821" s="491"/>
      <c r="AA821" s="491"/>
      <c r="AB821" s="491"/>
      <c r="AC821" s="491"/>
    </row>
    <row r="822" spans="1:29">
      <c r="A822" s="491"/>
      <c r="B822" s="491"/>
      <c r="C822" s="491"/>
      <c r="D822" s="491"/>
      <c r="E822" s="491"/>
      <c r="F822" s="491"/>
      <c r="G822" s="491"/>
      <c r="H822" s="491"/>
      <c r="I822" s="491"/>
      <c r="J822" s="491"/>
      <c r="K822" s="505"/>
      <c r="L822" s="506"/>
      <c r="M822" s="491"/>
      <c r="N822" s="491"/>
      <c r="O822" s="491"/>
      <c r="P822" s="604"/>
      <c r="Q822" s="491"/>
      <c r="R822" s="491"/>
      <c r="S822" s="491"/>
      <c r="T822" s="491"/>
      <c r="U822" s="491"/>
      <c r="V822" s="491"/>
      <c r="W822" s="491"/>
      <c r="X822" s="491"/>
      <c r="Y822" s="491"/>
      <c r="Z822" s="491"/>
      <c r="AA822" s="491"/>
      <c r="AB822" s="491"/>
      <c r="AC822" s="491"/>
    </row>
    <row r="823" spans="1:29">
      <c r="A823" s="491"/>
      <c r="B823" s="491"/>
      <c r="C823" s="491"/>
      <c r="D823" s="491"/>
      <c r="E823" s="491"/>
      <c r="F823" s="491"/>
      <c r="G823" s="491"/>
      <c r="H823" s="491"/>
      <c r="I823" s="491"/>
      <c r="J823" s="491"/>
      <c r="K823" s="505"/>
      <c r="L823" s="506"/>
      <c r="M823" s="491"/>
      <c r="N823" s="491"/>
      <c r="O823" s="491"/>
      <c r="P823" s="604"/>
      <c r="Q823" s="491"/>
      <c r="R823" s="491"/>
      <c r="S823" s="491"/>
      <c r="T823" s="491"/>
      <c r="U823" s="491"/>
      <c r="V823" s="491"/>
      <c r="W823" s="491"/>
      <c r="X823" s="491"/>
      <c r="Y823" s="491"/>
      <c r="Z823" s="491"/>
      <c r="AA823" s="491"/>
      <c r="AB823" s="491"/>
      <c r="AC823" s="491"/>
    </row>
    <row r="824" spans="1:29">
      <c r="A824" s="491"/>
      <c r="B824" s="491"/>
      <c r="C824" s="491"/>
      <c r="D824" s="491"/>
      <c r="E824" s="491"/>
      <c r="F824" s="491"/>
      <c r="G824" s="491"/>
      <c r="H824" s="491"/>
      <c r="I824" s="491"/>
      <c r="J824" s="491"/>
      <c r="K824" s="505"/>
      <c r="L824" s="506"/>
      <c r="M824" s="491"/>
      <c r="N824" s="491"/>
      <c r="O824" s="491"/>
      <c r="P824" s="604"/>
      <c r="Q824" s="491"/>
      <c r="R824" s="491"/>
      <c r="S824" s="491"/>
      <c r="T824" s="491"/>
      <c r="U824" s="491"/>
      <c r="V824" s="491"/>
      <c r="W824" s="491"/>
      <c r="X824" s="491"/>
      <c r="Y824" s="491"/>
      <c r="Z824" s="491"/>
      <c r="AA824" s="491"/>
      <c r="AB824" s="491"/>
      <c r="AC824" s="491"/>
    </row>
    <row r="825" spans="1:29">
      <c r="A825" s="491"/>
      <c r="B825" s="491"/>
      <c r="C825" s="491"/>
      <c r="D825" s="491"/>
      <c r="E825" s="491"/>
      <c r="F825" s="491"/>
      <c r="G825" s="491"/>
      <c r="H825" s="491"/>
      <c r="I825" s="491"/>
      <c r="J825" s="491"/>
      <c r="K825" s="505"/>
      <c r="L825" s="506"/>
      <c r="M825" s="491"/>
      <c r="N825" s="491"/>
      <c r="O825" s="491"/>
      <c r="P825" s="604"/>
      <c r="Q825" s="491"/>
      <c r="R825" s="491"/>
      <c r="S825" s="491"/>
      <c r="T825" s="491"/>
      <c r="U825" s="491"/>
      <c r="V825" s="491"/>
      <c r="W825" s="491"/>
      <c r="X825" s="491"/>
      <c r="Y825" s="491"/>
      <c r="Z825" s="491"/>
      <c r="AA825" s="491"/>
      <c r="AB825" s="491"/>
      <c r="AC825" s="491"/>
    </row>
    <row r="826" spans="1:29">
      <c r="A826" s="491"/>
      <c r="B826" s="491"/>
      <c r="C826" s="491"/>
      <c r="D826" s="491"/>
      <c r="E826" s="491"/>
      <c r="F826" s="491"/>
      <c r="G826" s="491"/>
      <c r="H826" s="491"/>
      <c r="I826" s="491"/>
      <c r="J826" s="491"/>
      <c r="K826" s="505"/>
      <c r="L826" s="506"/>
      <c r="M826" s="491"/>
      <c r="N826" s="491"/>
      <c r="O826" s="491"/>
      <c r="P826" s="604"/>
      <c r="Q826" s="491"/>
      <c r="R826" s="491"/>
      <c r="S826" s="491"/>
      <c r="T826" s="491"/>
      <c r="U826" s="491"/>
      <c r="V826" s="491"/>
      <c r="W826" s="491"/>
      <c r="X826" s="491"/>
      <c r="Y826" s="491"/>
      <c r="Z826" s="491"/>
      <c r="AA826" s="491"/>
      <c r="AB826" s="491"/>
      <c r="AC826" s="491"/>
    </row>
    <row r="827" spans="1:29">
      <c r="A827" s="491"/>
      <c r="B827" s="491"/>
      <c r="C827" s="491"/>
      <c r="D827" s="491"/>
      <c r="E827" s="491"/>
      <c r="F827" s="491"/>
      <c r="G827" s="491"/>
      <c r="H827" s="491"/>
      <c r="I827" s="491"/>
      <c r="J827" s="491"/>
      <c r="K827" s="505"/>
      <c r="L827" s="506"/>
      <c r="M827" s="491"/>
      <c r="N827" s="491"/>
      <c r="O827" s="491"/>
      <c r="P827" s="604"/>
      <c r="Q827" s="491"/>
      <c r="R827" s="491"/>
      <c r="S827" s="491"/>
      <c r="T827" s="491"/>
      <c r="U827" s="491"/>
      <c r="V827" s="491"/>
      <c r="W827" s="491"/>
      <c r="X827" s="491"/>
      <c r="Y827" s="491"/>
      <c r="Z827" s="491"/>
      <c r="AA827" s="491"/>
      <c r="AB827" s="491"/>
      <c r="AC827" s="491"/>
    </row>
    <row r="828" spans="1:29">
      <c r="A828" s="491"/>
      <c r="B828" s="491"/>
      <c r="C828" s="491"/>
      <c r="D828" s="491"/>
      <c r="E828" s="491"/>
      <c r="F828" s="491"/>
      <c r="G828" s="491"/>
      <c r="H828" s="491"/>
      <c r="I828" s="491"/>
      <c r="J828" s="491"/>
      <c r="K828" s="505"/>
      <c r="L828" s="506"/>
      <c r="M828" s="491"/>
      <c r="N828" s="491"/>
      <c r="O828" s="491"/>
      <c r="P828" s="604"/>
      <c r="Q828" s="491"/>
      <c r="R828" s="491"/>
      <c r="S828" s="491"/>
      <c r="T828" s="491"/>
      <c r="U828" s="491"/>
      <c r="V828" s="491"/>
      <c r="W828" s="491"/>
      <c r="X828" s="491"/>
      <c r="Y828" s="491"/>
      <c r="Z828" s="491"/>
      <c r="AA828" s="491"/>
      <c r="AB828" s="491"/>
      <c r="AC828" s="491"/>
    </row>
    <row r="829" spans="1:29">
      <c r="A829" s="491"/>
      <c r="B829" s="491"/>
      <c r="C829" s="491"/>
      <c r="D829" s="491"/>
      <c r="E829" s="491"/>
      <c r="F829" s="491"/>
      <c r="G829" s="491"/>
      <c r="H829" s="491"/>
      <c r="I829" s="491"/>
      <c r="J829" s="491"/>
      <c r="K829" s="505"/>
      <c r="L829" s="506"/>
      <c r="M829" s="491"/>
      <c r="N829" s="491"/>
      <c r="O829" s="491"/>
      <c r="P829" s="604"/>
      <c r="Q829" s="491"/>
      <c r="R829" s="491"/>
      <c r="S829" s="491"/>
      <c r="T829" s="491"/>
      <c r="U829" s="491"/>
      <c r="V829" s="491"/>
      <c r="W829" s="491"/>
      <c r="X829" s="491"/>
      <c r="Y829" s="491"/>
      <c r="Z829" s="491"/>
      <c r="AA829" s="491"/>
      <c r="AB829" s="491"/>
      <c r="AC829" s="491"/>
    </row>
    <row r="830" spans="1:29">
      <c r="A830" s="491"/>
      <c r="B830" s="491"/>
      <c r="C830" s="491"/>
      <c r="D830" s="491"/>
      <c r="E830" s="491"/>
      <c r="F830" s="491"/>
      <c r="G830" s="491"/>
      <c r="H830" s="491"/>
      <c r="I830" s="491"/>
      <c r="J830" s="491"/>
      <c r="K830" s="505"/>
      <c r="L830" s="506"/>
      <c r="M830" s="491"/>
      <c r="N830" s="491"/>
      <c r="O830" s="491"/>
      <c r="P830" s="604"/>
      <c r="Q830" s="491"/>
      <c r="R830" s="491"/>
      <c r="S830" s="491"/>
      <c r="T830" s="491"/>
      <c r="U830" s="491"/>
      <c r="V830" s="491"/>
      <c r="W830" s="491"/>
      <c r="X830" s="491"/>
      <c r="Y830" s="491"/>
      <c r="Z830" s="491"/>
      <c r="AA830" s="491"/>
      <c r="AB830" s="491"/>
      <c r="AC830" s="491"/>
    </row>
    <row r="831" spans="1:29">
      <c r="A831" s="491"/>
      <c r="B831" s="491"/>
      <c r="C831" s="491"/>
      <c r="D831" s="491"/>
      <c r="E831" s="491"/>
      <c r="F831" s="491"/>
      <c r="G831" s="491"/>
      <c r="H831" s="491"/>
      <c r="I831" s="491"/>
      <c r="J831" s="491"/>
      <c r="K831" s="505"/>
      <c r="L831" s="506"/>
      <c r="M831" s="491"/>
      <c r="N831" s="491"/>
      <c r="O831" s="491"/>
      <c r="P831" s="604"/>
      <c r="Q831" s="491"/>
      <c r="R831" s="491"/>
      <c r="S831" s="491"/>
      <c r="T831" s="491"/>
      <c r="U831" s="491"/>
      <c r="V831" s="491"/>
      <c r="W831" s="491"/>
      <c r="X831" s="491"/>
      <c r="Y831" s="491"/>
      <c r="Z831" s="491"/>
      <c r="AA831" s="491"/>
      <c r="AB831" s="491"/>
      <c r="AC831" s="491"/>
    </row>
    <row r="832" spans="1:29">
      <c r="A832" s="491"/>
      <c r="B832" s="491"/>
      <c r="C832" s="491"/>
      <c r="D832" s="491"/>
      <c r="E832" s="491"/>
      <c r="F832" s="491"/>
      <c r="G832" s="491"/>
      <c r="H832" s="491"/>
      <c r="I832" s="491"/>
      <c r="J832" s="491"/>
      <c r="K832" s="505"/>
      <c r="L832" s="506"/>
      <c r="M832" s="491"/>
      <c r="N832" s="491"/>
      <c r="O832" s="491"/>
      <c r="P832" s="604"/>
      <c r="Q832" s="491"/>
      <c r="R832" s="491"/>
      <c r="S832" s="491"/>
      <c r="T832" s="491"/>
      <c r="U832" s="491"/>
      <c r="V832" s="491"/>
      <c r="W832" s="491"/>
      <c r="X832" s="491"/>
      <c r="Y832" s="491"/>
      <c r="Z832" s="491"/>
      <c r="AA832" s="491"/>
      <c r="AB832" s="491"/>
      <c r="AC832" s="491"/>
    </row>
    <row r="833" spans="1:29">
      <c r="A833" s="491"/>
      <c r="B833" s="491"/>
      <c r="C833" s="491"/>
      <c r="D833" s="491"/>
      <c r="E833" s="491"/>
      <c r="F833" s="491"/>
      <c r="G833" s="491"/>
      <c r="H833" s="491"/>
      <c r="I833" s="491"/>
      <c r="J833" s="491"/>
      <c r="K833" s="505"/>
      <c r="L833" s="506"/>
      <c r="M833" s="491"/>
      <c r="N833" s="491"/>
      <c r="O833" s="491"/>
      <c r="P833" s="604"/>
      <c r="Q833" s="491"/>
      <c r="R833" s="491"/>
      <c r="S833" s="491"/>
      <c r="T833" s="491"/>
      <c r="U833" s="491"/>
      <c r="V833" s="491"/>
      <c r="W833" s="491"/>
      <c r="X833" s="491"/>
      <c r="Y833" s="491"/>
      <c r="Z833" s="491"/>
      <c r="AA833" s="491"/>
      <c r="AB833" s="491"/>
      <c r="AC833" s="491"/>
    </row>
    <row r="834" spans="1:29">
      <c r="A834" s="491"/>
      <c r="B834" s="491"/>
      <c r="C834" s="491"/>
      <c r="D834" s="491"/>
      <c r="E834" s="491"/>
      <c r="F834" s="491"/>
      <c r="G834" s="491"/>
      <c r="H834" s="491"/>
      <c r="I834" s="491"/>
      <c r="J834" s="491"/>
      <c r="K834" s="505"/>
      <c r="L834" s="506"/>
      <c r="M834" s="491"/>
      <c r="N834" s="491"/>
      <c r="O834" s="491"/>
      <c r="P834" s="604"/>
      <c r="Q834" s="491"/>
      <c r="R834" s="491"/>
      <c r="S834" s="491"/>
      <c r="T834" s="491"/>
      <c r="U834" s="491"/>
      <c r="V834" s="491"/>
      <c r="W834" s="491"/>
      <c r="X834" s="491"/>
      <c r="Y834" s="491"/>
      <c r="Z834" s="491"/>
      <c r="AA834" s="491"/>
      <c r="AB834" s="491"/>
      <c r="AC834" s="491"/>
    </row>
    <row r="835" spans="1:29">
      <c r="A835" s="491"/>
      <c r="B835" s="491"/>
      <c r="C835" s="491"/>
      <c r="D835" s="491"/>
      <c r="E835" s="491"/>
      <c r="F835" s="491"/>
      <c r="G835" s="491"/>
      <c r="H835" s="491"/>
      <c r="I835" s="491"/>
      <c r="J835" s="491"/>
      <c r="K835" s="505"/>
      <c r="L835" s="506"/>
      <c r="M835" s="491"/>
      <c r="N835" s="491"/>
      <c r="O835" s="491"/>
      <c r="P835" s="604"/>
      <c r="Q835" s="491"/>
      <c r="R835" s="491"/>
      <c r="S835" s="491"/>
      <c r="T835" s="491"/>
      <c r="U835" s="491"/>
      <c r="V835" s="491"/>
      <c r="W835" s="491"/>
      <c r="X835" s="491"/>
      <c r="Y835" s="491"/>
      <c r="Z835" s="491"/>
      <c r="AA835" s="491"/>
      <c r="AB835" s="491"/>
      <c r="AC835" s="491"/>
    </row>
    <row r="836" spans="1:29">
      <c r="A836" s="491"/>
      <c r="B836" s="491"/>
      <c r="C836" s="491"/>
      <c r="D836" s="491"/>
      <c r="E836" s="491"/>
      <c r="F836" s="491"/>
      <c r="G836" s="491"/>
      <c r="H836" s="491"/>
      <c r="I836" s="491"/>
      <c r="J836" s="491"/>
      <c r="K836" s="505"/>
      <c r="L836" s="506"/>
      <c r="M836" s="491"/>
      <c r="N836" s="491"/>
      <c r="O836" s="491"/>
      <c r="P836" s="604"/>
      <c r="Q836" s="491"/>
      <c r="R836" s="491"/>
      <c r="S836" s="491"/>
      <c r="T836" s="491"/>
      <c r="U836" s="491"/>
      <c r="V836" s="491"/>
      <c r="W836" s="491"/>
      <c r="X836" s="491"/>
      <c r="Y836" s="491"/>
      <c r="Z836" s="491"/>
      <c r="AA836" s="491"/>
      <c r="AB836" s="491"/>
      <c r="AC836" s="491"/>
    </row>
    <row r="837" spans="1:29">
      <c r="A837" s="491"/>
      <c r="B837" s="491"/>
      <c r="C837" s="491"/>
      <c r="D837" s="491"/>
      <c r="E837" s="491"/>
      <c r="F837" s="491"/>
      <c r="G837" s="491"/>
      <c r="H837" s="491"/>
      <c r="I837" s="491"/>
      <c r="J837" s="491"/>
      <c r="K837" s="505"/>
      <c r="L837" s="506"/>
      <c r="M837" s="491"/>
      <c r="N837" s="491"/>
      <c r="O837" s="491"/>
      <c r="P837" s="604"/>
      <c r="Q837" s="491"/>
      <c r="R837" s="491"/>
      <c r="S837" s="491"/>
      <c r="T837" s="491"/>
      <c r="U837" s="491"/>
      <c r="V837" s="491"/>
      <c r="W837" s="491"/>
      <c r="X837" s="491"/>
      <c r="Y837" s="491"/>
      <c r="Z837" s="491"/>
      <c r="AA837" s="491"/>
      <c r="AB837" s="491"/>
      <c r="AC837" s="491"/>
    </row>
    <row r="838" spans="1:29">
      <c r="A838" s="491"/>
      <c r="B838" s="491"/>
      <c r="C838" s="491"/>
      <c r="D838" s="491"/>
      <c r="E838" s="491"/>
      <c r="F838" s="491"/>
      <c r="G838" s="491"/>
      <c r="H838" s="491"/>
      <c r="I838" s="491"/>
      <c r="J838" s="491"/>
      <c r="K838" s="505"/>
      <c r="L838" s="506"/>
      <c r="M838" s="491"/>
      <c r="N838" s="491"/>
      <c r="O838" s="491"/>
      <c r="P838" s="604"/>
      <c r="Q838" s="491"/>
      <c r="R838" s="491"/>
      <c r="S838" s="491"/>
      <c r="T838" s="491"/>
      <c r="U838" s="491"/>
      <c r="V838" s="491"/>
      <c r="W838" s="491"/>
      <c r="X838" s="491"/>
      <c r="Y838" s="491"/>
      <c r="Z838" s="491"/>
      <c r="AA838" s="491"/>
      <c r="AB838" s="491"/>
      <c r="AC838" s="491"/>
    </row>
    <row r="839" spans="1:29">
      <c r="A839" s="491"/>
      <c r="B839" s="491"/>
      <c r="C839" s="491"/>
      <c r="D839" s="491"/>
      <c r="E839" s="491"/>
      <c r="F839" s="491"/>
      <c r="G839" s="491"/>
      <c r="H839" s="491"/>
      <c r="I839" s="491"/>
      <c r="J839" s="491"/>
      <c r="K839" s="505"/>
      <c r="L839" s="506"/>
      <c r="M839" s="491"/>
      <c r="N839" s="491"/>
      <c r="O839" s="491"/>
      <c r="P839" s="604"/>
      <c r="Q839" s="491"/>
      <c r="R839" s="491"/>
      <c r="S839" s="491"/>
      <c r="T839" s="491"/>
      <c r="U839" s="491"/>
      <c r="V839" s="491"/>
      <c r="W839" s="491"/>
      <c r="X839" s="491"/>
      <c r="Y839" s="491"/>
      <c r="Z839" s="491"/>
      <c r="AA839" s="491"/>
      <c r="AB839" s="491"/>
      <c r="AC839" s="491"/>
    </row>
    <row r="840" spans="1:29">
      <c r="A840" s="491"/>
      <c r="B840" s="491"/>
      <c r="C840" s="491"/>
      <c r="D840" s="491"/>
      <c r="E840" s="491"/>
      <c r="F840" s="491"/>
      <c r="G840" s="491"/>
      <c r="H840" s="491"/>
      <c r="I840" s="491"/>
      <c r="J840" s="491"/>
      <c r="K840" s="505"/>
      <c r="L840" s="506"/>
      <c r="M840" s="491"/>
      <c r="N840" s="491"/>
      <c r="O840" s="491"/>
      <c r="P840" s="604"/>
      <c r="Q840" s="491"/>
      <c r="R840" s="491"/>
      <c r="S840" s="491"/>
      <c r="T840" s="491"/>
      <c r="U840" s="491"/>
      <c r="V840" s="491"/>
      <c r="W840" s="491"/>
      <c r="X840" s="491"/>
      <c r="Y840" s="491"/>
      <c r="Z840" s="491"/>
      <c r="AA840" s="491"/>
      <c r="AB840" s="491"/>
      <c r="AC840" s="491"/>
    </row>
    <row r="841" spans="1:29">
      <c r="A841" s="491"/>
      <c r="B841" s="491"/>
      <c r="C841" s="491"/>
      <c r="D841" s="491"/>
      <c r="E841" s="491"/>
      <c r="F841" s="491"/>
      <c r="G841" s="491"/>
      <c r="H841" s="491"/>
      <c r="I841" s="491"/>
      <c r="J841" s="491"/>
      <c r="K841" s="505"/>
      <c r="L841" s="506"/>
      <c r="M841" s="491"/>
      <c r="N841" s="491"/>
      <c r="O841" s="491"/>
      <c r="P841" s="604"/>
      <c r="Q841" s="491"/>
      <c r="R841" s="491"/>
      <c r="S841" s="491"/>
      <c r="T841" s="491"/>
      <c r="U841" s="491"/>
      <c r="V841" s="491"/>
      <c r="W841" s="491"/>
      <c r="X841" s="491"/>
      <c r="Y841" s="491"/>
      <c r="Z841" s="491"/>
      <c r="AA841" s="491"/>
      <c r="AB841" s="491"/>
      <c r="AC841" s="491"/>
    </row>
    <row r="842" spans="1:29">
      <c r="A842" s="491"/>
      <c r="B842" s="491"/>
      <c r="C842" s="491"/>
      <c r="D842" s="491"/>
      <c r="E842" s="491"/>
      <c r="F842" s="491"/>
      <c r="G842" s="491"/>
      <c r="H842" s="491"/>
      <c r="I842" s="491"/>
      <c r="J842" s="491"/>
      <c r="K842" s="505"/>
      <c r="L842" s="506"/>
      <c r="M842" s="491"/>
      <c r="N842" s="491"/>
      <c r="O842" s="491"/>
      <c r="P842" s="604"/>
      <c r="Q842" s="491"/>
      <c r="R842" s="491"/>
      <c r="S842" s="491"/>
      <c r="T842" s="491"/>
      <c r="U842" s="491"/>
      <c r="V842" s="491"/>
      <c r="W842" s="491"/>
      <c r="X842" s="491"/>
      <c r="Y842" s="491"/>
      <c r="Z842" s="491"/>
      <c r="AA842" s="491"/>
      <c r="AB842" s="491"/>
      <c r="AC842" s="491"/>
    </row>
    <row r="843" spans="1:29">
      <c r="A843" s="491"/>
      <c r="B843" s="491"/>
      <c r="C843" s="491"/>
      <c r="D843" s="491"/>
      <c r="E843" s="491"/>
      <c r="F843" s="491"/>
      <c r="G843" s="491"/>
      <c r="H843" s="491"/>
      <c r="I843" s="491"/>
      <c r="J843" s="491"/>
      <c r="K843" s="505"/>
      <c r="L843" s="506"/>
      <c r="M843" s="491"/>
      <c r="N843" s="491"/>
      <c r="O843" s="491"/>
      <c r="P843" s="604"/>
      <c r="Q843" s="491"/>
      <c r="R843" s="491"/>
      <c r="S843" s="491"/>
      <c r="T843" s="491"/>
      <c r="U843" s="491"/>
      <c r="V843" s="491"/>
      <c r="W843" s="491"/>
      <c r="X843" s="491"/>
      <c r="Y843" s="491"/>
      <c r="Z843" s="491"/>
      <c r="AA843" s="491"/>
      <c r="AB843" s="491"/>
      <c r="AC843" s="491"/>
    </row>
    <row r="844" spans="1:29">
      <c r="A844" s="491"/>
      <c r="B844" s="491"/>
      <c r="C844" s="491"/>
      <c r="D844" s="491"/>
      <c r="E844" s="491"/>
      <c r="F844" s="491"/>
      <c r="G844" s="491"/>
      <c r="H844" s="491"/>
      <c r="I844" s="491"/>
      <c r="J844" s="491"/>
      <c r="K844" s="505"/>
      <c r="L844" s="506"/>
      <c r="M844" s="491"/>
      <c r="N844" s="491"/>
      <c r="O844" s="491"/>
      <c r="P844" s="604"/>
      <c r="Q844" s="491"/>
      <c r="R844" s="491"/>
      <c r="S844" s="491"/>
      <c r="T844" s="491"/>
      <c r="U844" s="491"/>
      <c r="V844" s="491"/>
      <c r="W844" s="491"/>
      <c r="X844" s="491"/>
      <c r="Y844" s="491"/>
      <c r="Z844" s="491"/>
      <c r="AA844" s="491"/>
      <c r="AB844" s="491"/>
      <c r="AC844" s="491"/>
    </row>
    <row r="845" spans="1:29">
      <c r="A845" s="491"/>
      <c r="B845" s="491"/>
      <c r="C845" s="491"/>
      <c r="D845" s="491"/>
      <c r="E845" s="491"/>
      <c r="F845" s="491"/>
      <c r="G845" s="491"/>
      <c r="H845" s="491"/>
      <c r="I845" s="491"/>
      <c r="J845" s="491"/>
      <c r="K845" s="505"/>
      <c r="L845" s="506"/>
      <c r="M845" s="491"/>
      <c r="N845" s="491"/>
      <c r="O845" s="491"/>
      <c r="P845" s="604"/>
      <c r="Q845" s="491"/>
      <c r="R845" s="491"/>
      <c r="S845" s="491"/>
      <c r="T845" s="491"/>
      <c r="U845" s="491"/>
      <c r="V845" s="491"/>
      <c r="W845" s="491"/>
      <c r="X845" s="491"/>
      <c r="Y845" s="491"/>
      <c r="Z845" s="491"/>
      <c r="AA845" s="491"/>
      <c r="AB845" s="491"/>
      <c r="AC845" s="491"/>
    </row>
    <row r="846" spans="1:29">
      <c r="A846" s="491"/>
      <c r="B846" s="491"/>
      <c r="C846" s="491"/>
      <c r="D846" s="491"/>
      <c r="E846" s="491"/>
      <c r="F846" s="491"/>
      <c r="G846" s="491"/>
      <c r="H846" s="491"/>
      <c r="I846" s="491"/>
      <c r="J846" s="491"/>
      <c r="K846" s="505"/>
      <c r="L846" s="506"/>
      <c r="M846" s="491"/>
      <c r="N846" s="491"/>
      <c r="O846" s="491"/>
      <c r="P846" s="604"/>
      <c r="Q846" s="491"/>
      <c r="R846" s="491"/>
      <c r="S846" s="491"/>
      <c r="T846" s="491"/>
      <c r="U846" s="491"/>
      <c r="V846" s="491"/>
      <c r="W846" s="491"/>
      <c r="X846" s="491"/>
      <c r="Y846" s="491"/>
      <c r="Z846" s="491"/>
      <c r="AA846" s="491"/>
      <c r="AB846" s="491"/>
      <c r="AC846" s="491"/>
    </row>
    <row r="847" spans="1:29">
      <c r="A847" s="491"/>
      <c r="B847" s="491"/>
      <c r="C847" s="491"/>
      <c r="D847" s="491"/>
      <c r="E847" s="491"/>
      <c r="F847" s="491"/>
      <c r="G847" s="491"/>
      <c r="H847" s="491"/>
      <c r="I847" s="491"/>
      <c r="J847" s="491"/>
      <c r="K847" s="505"/>
      <c r="L847" s="506"/>
      <c r="M847" s="491"/>
      <c r="N847" s="491"/>
      <c r="O847" s="491"/>
      <c r="P847" s="604"/>
      <c r="Q847" s="491"/>
      <c r="R847" s="491"/>
      <c r="S847" s="491"/>
      <c r="T847" s="491"/>
      <c r="U847" s="491"/>
      <c r="V847" s="491"/>
      <c r="W847" s="491"/>
      <c r="X847" s="491"/>
      <c r="Y847" s="491"/>
      <c r="Z847" s="491"/>
      <c r="AA847" s="491"/>
      <c r="AB847" s="491"/>
      <c r="AC847" s="491"/>
    </row>
    <row r="848" spans="1:29">
      <c r="A848" s="491"/>
      <c r="B848" s="491"/>
      <c r="C848" s="491"/>
      <c r="D848" s="491"/>
      <c r="E848" s="491"/>
      <c r="F848" s="491"/>
      <c r="G848" s="491"/>
      <c r="H848" s="491"/>
      <c r="I848" s="491"/>
      <c r="J848" s="491"/>
      <c r="K848" s="505"/>
      <c r="L848" s="506"/>
      <c r="M848" s="491"/>
      <c r="N848" s="491"/>
      <c r="O848" s="491"/>
      <c r="P848" s="604"/>
      <c r="Q848" s="491"/>
      <c r="R848" s="491"/>
      <c r="S848" s="491"/>
      <c r="T848" s="491"/>
      <c r="U848" s="491"/>
      <c r="V848" s="491"/>
      <c r="W848" s="491"/>
      <c r="X848" s="491"/>
      <c r="Y848" s="491"/>
      <c r="Z848" s="491"/>
      <c r="AA848" s="491"/>
      <c r="AB848" s="491"/>
      <c r="AC848" s="491"/>
    </row>
    <row r="849" spans="1:29">
      <c r="A849" s="491"/>
      <c r="B849" s="491"/>
      <c r="C849" s="491"/>
      <c r="D849" s="491"/>
      <c r="E849" s="491"/>
      <c r="F849" s="491"/>
      <c r="G849" s="491"/>
      <c r="H849" s="491"/>
      <c r="I849" s="491"/>
      <c r="J849" s="491"/>
      <c r="K849" s="505"/>
      <c r="L849" s="506"/>
      <c r="M849" s="491"/>
      <c r="N849" s="491"/>
      <c r="O849" s="491"/>
      <c r="P849" s="604"/>
      <c r="Q849" s="491"/>
      <c r="R849" s="491"/>
      <c r="S849" s="491"/>
      <c r="T849" s="491"/>
      <c r="U849" s="491"/>
      <c r="V849" s="491"/>
      <c r="W849" s="491"/>
      <c r="X849" s="491"/>
      <c r="Y849" s="491"/>
      <c r="Z849" s="491"/>
      <c r="AA849" s="491"/>
      <c r="AB849" s="491"/>
      <c r="AC849" s="491"/>
    </row>
    <row r="850" spans="1:29">
      <c r="A850" s="491"/>
      <c r="B850" s="491"/>
      <c r="C850" s="491"/>
      <c r="D850" s="491"/>
      <c r="E850" s="491"/>
      <c r="F850" s="491"/>
      <c r="G850" s="491"/>
      <c r="H850" s="491"/>
      <c r="I850" s="491"/>
      <c r="J850" s="491"/>
      <c r="K850" s="505"/>
      <c r="L850" s="506"/>
      <c r="M850" s="491"/>
      <c r="N850" s="491"/>
      <c r="O850" s="491"/>
      <c r="P850" s="604"/>
      <c r="Q850" s="491"/>
      <c r="R850" s="491"/>
      <c r="S850" s="491"/>
      <c r="T850" s="491"/>
      <c r="U850" s="491"/>
      <c r="V850" s="491"/>
      <c r="W850" s="491"/>
      <c r="X850" s="491"/>
      <c r="Y850" s="491"/>
      <c r="Z850" s="491"/>
      <c r="AA850" s="491"/>
      <c r="AB850" s="491"/>
      <c r="AC850" s="491"/>
    </row>
    <row r="851" spans="1:29">
      <c r="A851" s="491"/>
      <c r="B851" s="491"/>
      <c r="C851" s="491"/>
      <c r="D851" s="491"/>
      <c r="E851" s="491"/>
      <c r="F851" s="491"/>
      <c r="G851" s="491"/>
      <c r="H851" s="491"/>
      <c r="I851" s="491"/>
      <c r="J851" s="491"/>
      <c r="K851" s="505"/>
      <c r="L851" s="506"/>
      <c r="M851" s="491"/>
      <c r="N851" s="491"/>
      <c r="O851" s="491"/>
      <c r="P851" s="604"/>
      <c r="Q851" s="491"/>
      <c r="R851" s="491"/>
      <c r="S851" s="491"/>
      <c r="T851" s="491"/>
      <c r="U851" s="491"/>
      <c r="V851" s="491"/>
      <c r="W851" s="491"/>
      <c r="X851" s="491"/>
      <c r="Y851" s="491"/>
      <c r="Z851" s="491"/>
      <c r="AA851" s="491"/>
      <c r="AB851" s="491"/>
      <c r="AC851" s="491"/>
    </row>
    <row r="852" spans="1:29">
      <c r="A852" s="491"/>
      <c r="B852" s="491"/>
      <c r="C852" s="491"/>
      <c r="D852" s="491"/>
      <c r="E852" s="491"/>
      <c r="F852" s="491"/>
      <c r="G852" s="491"/>
      <c r="H852" s="491"/>
      <c r="I852" s="491"/>
      <c r="J852" s="491"/>
      <c r="K852" s="505"/>
      <c r="L852" s="506"/>
      <c r="M852" s="491"/>
      <c r="N852" s="491"/>
      <c r="O852" s="491"/>
      <c r="P852" s="604"/>
      <c r="Q852" s="491"/>
      <c r="R852" s="491"/>
      <c r="S852" s="491"/>
      <c r="T852" s="491"/>
      <c r="U852" s="491"/>
      <c r="V852" s="491"/>
      <c r="W852" s="491"/>
      <c r="X852" s="491"/>
      <c r="Y852" s="491"/>
      <c r="Z852" s="491"/>
      <c r="AA852" s="491"/>
      <c r="AB852" s="491"/>
      <c r="AC852" s="491"/>
    </row>
    <row r="853" spans="1:29">
      <c r="A853" s="491"/>
      <c r="B853" s="491"/>
      <c r="C853" s="491"/>
      <c r="D853" s="491"/>
      <c r="E853" s="491"/>
      <c r="F853" s="491"/>
      <c r="G853" s="491"/>
      <c r="H853" s="491"/>
      <c r="I853" s="491"/>
      <c r="J853" s="491"/>
      <c r="K853" s="505"/>
      <c r="L853" s="506"/>
      <c r="M853" s="491"/>
      <c r="N853" s="491"/>
      <c r="O853" s="491"/>
      <c r="P853" s="604"/>
      <c r="Q853" s="491"/>
      <c r="R853" s="491"/>
      <c r="S853" s="491"/>
      <c r="T853" s="491"/>
      <c r="U853" s="491"/>
      <c r="V853" s="491"/>
      <c r="W853" s="491"/>
      <c r="X853" s="491"/>
      <c r="Y853" s="491"/>
      <c r="Z853" s="491"/>
      <c r="AA853" s="491"/>
      <c r="AB853" s="491"/>
      <c r="AC853" s="49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7" priority="4">
      <formula>$D$49="简单平均"</formula>
    </cfRule>
  </conditionalFormatting>
  <conditionalFormatting sqref="H49">
    <cfRule type="expression" dxfId="7" priority="3">
      <formula>$D$49="简单平均"</formula>
    </cfRule>
  </conditionalFormatting>
  <conditionalFormatting sqref="J49">
    <cfRule type="expression" dxfId="7" priority="2">
      <formula>$D$49="简单平均"</formula>
    </cfRule>
  </conditionalFormatting>
  <conditionalFormatting sqref="E53">
    <cfRule type="expression" dxfId="10" priority="16" stopIfTrue="1">
      <formula>$F$53="超过30%"</formula>
    </cfRule>
  </conditionalFormatting>
  <conditionalFormatting sqref="G53">
    <cfRule type="expression" dxfId="10" priority="12" stopIfTrue="1">
      <formula>$H$53="超过30%"</formula>
    </cfRule>
  </conditionalFormatting>
  <conditionalFormatting sqref="I53">
    <cfRule type="expression" dxfId="10" priority="7" stopIfTrue="1">
      <formula>$J$53="超过30%"</formula>
    </cfRule>
  </conditionalFormatting>
  <conditionalFormatting sqref="E54">
    <cfRule type="expression" dxfId="10" priority="15" stopIfTrue="1">
      <formula>$F$54="超过20%"</formula>
    </cfRule>
  </conditionalFormatting>
  <conditionalFormatting sqref="G54">
    <cfRule type="expression" dxfId="10" priority="11" stopIfTrue="1">
      <formula>$H$54="超过20%"</formula>
    </cfRule>
  </conditionalFormatting>
  <conditionalFormatting sqref="I54">
    <cfRule type="expression" dxfId="10" priority="6" stopIfTrue="1">
      <formula>$J$53+$J$54="超过20%"</formula>
    </cfRule>
  </conditionalFormatting>
  <conditionalFormatting sqref="E55">
    <cfRule type="expression" dxfId="10" priority="14" stopIfTrue="1">
      <formula>$F$55="超过30%"</formula>
    </cfRule>
  </conditionalFormatting>
  <conditionalFormatting sqref="G55">
    <cfRule type="expression" dxfId="10" priority="13" stopIfTrue="1">
      <formula>$H$55="超过30%"</formula>
    </cfRule>
  </conditionalFormatting>
  <conditionalFormatting sqref="I55">
    <cfRule type="expression" dxfId="10" priority="5" stopIfTrue="1">
      <formula>$J$55="超过30%"</formula>
    </cfRule>
  </conditionalFormatting>
  <conditionalFormatting sqref="J53:J55">
    <cfRule type="containsText" dxfId="12" priority="8" stopIfTrue="1" operator="between" text="超过">
      <formula>NOT(ISERROR(SEARCH("超过",J53)))</formula>
    </cfRule>
  </conditionalFormatting>
  <conditionalFormatting sqref="F7:F47 H7:H47 J7:J47">
    <cfRule type="cellIs" dxfId="11" priority="1" operator="notEqual">
      <formula>100</formula>
    </cfRule>
  </conditionalFormatting>
  <conditionalFormatting sqref="F53:F55 H53:H55">
    <cfRule type="containsText" dxfId="12" priority="17" stopIfTrue="1" operator="between" text="超过">
      <formula>NOT(ISERROR(SEARCH("超过",F53)))</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45" style="194" customWidth="1"/>
    <col min="2" max="2" width="15.725" style="194" customWidth="1"/>
    <col min="3" max="3" width="14.366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2345</v>
      </c>
      <c r="B1" s="539" t="s">
        <v>1098</v>
      </c>
      <c r="C1" s="199" t="s">
        <v>2347</v>
      </c>
      <c r="D1" s="200"/>
      <c r="E1" s="201"/>
      <c r="F1" s="202"/>
      <c r="G1" s="203" t="s">
        <v>2349</v>
      </c>
      <c r="H1" s="201"/>
      <c r="I1" s="201"/>
      <c r="J1" s="201"/>
      <c r="K1" s="377"/>
      <c r="L1" s="378"/>
      <c r="M1" s="379"/>
      <c r="N1" s="379"/>
      <c r="O1" s="379"/>
      <c r="P1" s="380"/>
      <c r="Q1" s="380"/>
      <c r="R1" s="380"/>
      <c r="S1" s="380"/>
      <c r="T1" s="380"/>
      <c r="U1" s="380"/>
      <c r="V1" s="380"/>
      <c r="W1" s="380"/>
      <c r="X1" s="380"/>
      <c r="Y1" s="380"/>
      <c r="Z1" s="380"/>
      <c r="AA1" s="380"/>
      <c r="AB1" s="380"/>
      <c r="AC1" s="477"/>
    </row>
    <row r="2" s="188" customFormat="1" ht="28.5" customHeight="1" spans="1:29">
      <c r="A2" s="204" t="s">
        <v>919</v>
      </c>
      <c r="B2" s="205" t="e">
        <f>ROUND(B3*D3/10000,0)</f>
        <v>#DIV/0!</v>
      </c>
      <c r="C2" s="206"/>
      <c r="D2" s="206"/>
      <c r="E2" s="207"/>
      <c r="F2" s="208"/>
      <c r="G2" s="207"/>
      <c r="H2" s="207"/>
      <c r="I2" s="207"/>
      <c r="J2" s="207"/>
      <c r="K2" s="207"/>
      <c r="L2" s="382"/>
      <c r="M2" s="380"/>
      <c r="N2" s="380"/>
      <c r="O2" s="380"/>
      <c r="P2" s="380"/>
      <c r="Q2" s="380"/>
      <c r="R2" s="380"/>
      <c r="S2" s="380"/>
      <c r="T2" s="380"/>
      <c r="U2" s="380"/>
      <c r="V2" s="380"/>
      <c r="W2" s="380"/>
      <c r="X2" s="380"/>
      <c r="Y2" s="380"/>
      <c r="Z2" s="380"/>
      <c r="AA2" s="380"/>
      <c r="AB2" s="380"/>
      <c r="AC2" s="477"/>
    </row>
    <row r="3" s="188" customFormat="1" ht="28.5" customHeight="1" spans="1:29">
      <c r="A3" s="209" t="s">
        <v>2350</v>
      </c>
      <c r="B3" s="210" t="e">
        <f>C43</f>
        <v>#DIV/0!</v>
      </c>
      <c r="C3" s="211" t="s">
        <v>2351</v>
      </c>
      <c r="D3" s="212">
        <f>SUMIF('数据-汇总表'!$C19:$C33,D1,'数据-汇总表'!$E19:$E33)</f>
        <v>0</v>
      </c>
      <c r="E3" s="207"/>
      <c r="F3" s="208"/>
      <c r="G3" s="207"/>
      <c r="H3" s="207"/>
      <c r="I3" s="207"/>
      <c r="J3" s="207"/>
      <c r="K3" s="381"/>
      <c r="L3" s="382"/>
      <c r="M3" s="380"/>
      <c r="N3" s="380"/>
      <c r="O3" s="380"/>
      <c r="P3" s="380"/>
      <c r="Q3" s="380"/>
      <c r="R3" s="380"/>
      <c r="S3" s="380"/>
      <c r="T3" s="380"/>
      <c r="U3" s="380"/>
      <c r="V3" s="380"/>
      <c r="W3" s="380"/>
      <c r="X3" s="380"/>
      <c r="Y3" s="380"/>
      <c r="Z3" s="380"/>
      <c r="AA3" s="380"/>
      <c r="AB3" s="478"/>
      <c r="AC3" s="477"/>
    </row>
    <row r="4" ht="15" spans="1:29">
      <c r="A4" s="213" t="s">
        <v>923</v>
      </c>
      <c r="B4" s="214"/>
      <c r="C4" s="215" t="s">
        <v>924</v>
      </c>
      <c r="D4" s="216"/>
      <c r="E4" s="217" t="s">
        <v>925</v>
      </c>
      <c r="F4" s="218"/>
      <c r="G4" s="215" t="s">
        <v>926</v>
      </c>
      <c r="H4" s="216"/>
      <c r="I4" s="215" t="s">
        <v>927</v>
      </c>
      <c r="J4" s="216"/>
      <c r="K4" s="383" t="s">
        <v>928</v>
      </c>
      <c r="L4" s="384"/>
      <c r="M4" s="338"/>
      <c r="N4" s="338"/>
      <c r="O4" s="338"/>
      <c r="P4" s="276" t="s">
        <v>929</v>
      </c>
      <c r="Q4" s="450"/>
      <c r="R4" s="451" t="s">
        <v>925</v>
      </c>
      <c r="S4" s="452"/>
      <c r="T4" s="451" t="s">
        <v>926</v>
      </c>
      <c r="U4" s="452"/>
      <c r="V4" s="453" t="s">
        <v>927</v>
      </c>
      <c r="W4" s="453"/>
      <c r="X4" s="454"/>
      <c r="Y4" s="451" t="s">
        <v>929</v>
      </c>
      <c r="Z4" s="452"/>
      <c r="AA4" s="479" t="s">
        <v>925</v>
      </c>
      <c r="AB4" s="454" t="s">
        <v>926</v>
      </c>
      <c r="AC4" s="479" t="s">
        <v>927</v>
      </c>
    </row>
    <row r="5" ht="15" spans="1:29">
      <c r="A5" s="219"/>
      <c r="B5" s="220"/>
      <c r="C5" s="221" t="s">
        <v>930</v>
      </c>
      <c r="D5" s="222"/>
      <c r="E5" s="223" t="s">
        <v>1099</v>
      </c>
      <c r="F5" s="224"/>
      <c r="G5" s="221" t="s">
        <v>1100</v>
      </c>
      <c r="H5" s="222"/>
      <c r="I5" s="221" t="s">
        <v>1101</v>
      </c>
      <c r="J5" s="222"/>
      <c r="K5" s="383"/>
      <c r="L5" s="384"/>
      <c r="M5" s="338"/>
      <c r="N5" s="338"/>
      <c r="O5" s="338"/>
      <c r="P5" s="282"/>
      <c r="Q5" s="455"/>
      <c r="R5" s="456"/>
      <c r="S5" s="457"/>
      <c r="T5" s="456"/>
      <c r="U5" s="457"/>
      <c r="V5" s="453"/>
      <c r="W5" s="453"/>
      <c r="X5" s="454"/>
      <c r="Y5" s="456"/>
      <c r="Z5" s="457"/>
      <c r="AA5" s="454"/>
      <c r="AB5" s="454"/>
      <c r="AC5" s="454"/>
    </row>
    <row r="6" ht="15.75" spans="1:29">
      <c r="A6" s="225"/>
      <c r="B6" s="226"/>
      <c r="C6" s="227" t="s">
        <v>931</v>
      </c>
      <c r="D6" s="228"/>
      <c r="E6" s="229" t="s">
        <v>931</v>
      </c>
      <c r="F6" s="230"/>
      <c r="G6" s="227" t="s">
        <v>931</v>
      </c>
      <c r="H6" s="228"/>
      <c r="I6" s="227" t="s">
        <v>931</v>
      </c>
      <c r="J6" s="228"/>
      <c r="K6" s="383" t="s">
        <v>932</v>
      </c>
      <c r="L6" s="384"/>
      <c r="M6" s="338"/>
      <c r="N6" s="338"/>
      <c r="O6" s="338"/>
      <c r="P6" s="270"/>
      <c r="Q6" s="458"/>
      <c r="R6" s="456"/>
      <c r="S6" s="457"/>
      <c r="T6" s="459"/>
      <c r="U6" s="460"/>
      <c r="V6" s="453"/>
      <c r="W6" s="453"/>
      <c r="X6" s="454"/>
      <c r="Y6" s="459"/>
      <c r="Z6" s="460"/>
      <c r="AA6" s="480"/>
      <c r="AB6" s="480"/>
      <c r="AC6" s="480"/>
    </row>
    <row r="7" s="189" customFormat="1" ht="15.75" spans="1:29">
      <c r="A7" s="231"/>
      <c r="B7" s="232" t="s">
        <v>933</v>
      </c>
      <c r="C7" s="233">
        <f>'数据-取费表'!B2</f>
        <v>45252</v>
      </c>
      <c r="D7" s="234">
        <v>100</v>
      </c>
      <c r="E7" s="235"/>
      <c r="F7" s="236">
        <f>SUMIF(52:52,YEAR(E7)&amp;"-"&amp;MONTH(E7),53:53)</f>
        <v>0</v>
      </c>
      <c r="G7" s="235"/>
      <c r="H7" s="234">
        <f>SUMIF(52:52,YEAR(G7)&amp;"-"&amp;MONTH(G7),53:53)</f>
        <v>0</v>
      </c>
      <c r="I7" s="235"/>
      <c r="J7" s="234">
        <f>SUMIF(52:52,YEAR(I7)&amp;"-"&amp;MONTH(I7),53:53)</f>
        <v>0</v>
      </c>
      <c r="K7" s="385"/>
      <c r="L7" s="386"/>
      <c r="M7" s="387"/>
      <c r="N7" s="387"/>
      <c r="O7" s="387"/>
      <c r="P7" s="388" t="s">
        <v>934</v>
      </c>
      <c r="Q7" s="461"/>
      <c r="R7" s="462" t="s">
        <v>935</v>
      </c>
      <c r="S7" s="463">
        <f t="shared" ref="S7:S15" si="0">F7</f>
        <v>0</v>
      </c>
      <c r="T7" s="462" t="s">
        <v>935</v>
      </c>
      <c r="U7" s="463">
        <f t="shared" ref="U7:U15" si="1">H7</f>
        <v>0</v>
      </c>
      <c r="V7" s="462" t="s">
        <v>935</v>
      </c>
      <c r="W7" s="463">
        <f t="shared" ref="W7:W15" si="2">J7</f>
        <v>0</v>
      </c>
      <c r="X7" s="464"/>
      <c r="Y7" s="388" t="s">
        <v>934</v>
      </c>
      <c r="Z7" s="465"/>
      <c r="AA7" s="481" t="e">
        <f>D7/F7</f>
        <v>#DIV/0!</v>
      </c>
      <c r="AB7" s="481" t="e">
        <f>D7/H7</f>
        <v>#DIV/0!</v>
      </c>
      <c r="AC7" s="481" t="e">
        <f>D7/J7</f>
        <v>#DIV/0!</v>
      </c>
    </row>
    <row r="8" s="189" customFormat="1" ht="15.75" spans="1:29">
      <c r="A8" s="238"/>
      <c r="B8" s="239" t="s">
        <v>936</v>
      </c>
      <c r="C8" s="240" t="s">
        <v>937</v>
      </c>
      <c r="D8" s="234">
        <v>100</v>
      </c>
      <c r="E8" s="240"/>
      <c r="F8" s="236">
        <f>SUMIF(55:55,E8,56:56)-SUMIF(55:55,C8,56:56)+100</f>
        <v>0</v>
      </c>
      <c r="G8" s="240"/>
      <c r="H8" s="234">
        <f>SUMIF(55:55,G8,56:56)-SUMIF(55:55,C8,56:56)+100</f>
        <v>0</v>
      </c>
      <c r="I8" s="240"/>
      <c r="J8" s="234">
        <f>SUMIF(55:55,I8,56:56)-SUMIF(55:55,C8,56:56)+100</f>
        <v>0</v>
      </c>
      <c r="K8" s="385"/>
      <c r="L8" s="386"/>
      <c r="M8" s="387"/>
      <c r="N8" s="387"/>
      <c r="O8" s="387"/>
      <c r="P8" s="388" t="s">
        <v>939</v>
      </c>
      <c r="Q8" s="465"/>
      <c r="R8" s="462" t="s">
        <v>935</v>
      </c>
      <c r="S8" s="463">
        <f t="shared" si="0"/>
        <v>0</v>
      </c>
      <c r="T8" s="462" t="s">
        <v>935</v>
      </c>
      <c r="U8" s="463">
        <f t="shared" si="1"/>
        <v>0</v>
      </c>
      <c r="V8" s="462" t="s">
        <v>935</v>
      </c>
      <c r="W8" s="463">
        <f t="shared" si="2"/>
        <v>0</v>
      </c>
      <c r="X8" s="464"/>
      <c r="Y8" s="388" t="s">
        <v>939</v>
      </c>
      <c r="Z8" s="465"/>
      <c r="AA8" s="481" t="e">
        <f t="shared" ref="AA8:AA40" si="3">D8/F8</f>
        <v>#DIV/0!</v>
      </c>
      <c r="AB8" s="481" t="e">
        <f t="shared" ref="AB8:AB40" si="4">D8/H8</f>
        <v>#DIV/0!</v>
      </c>
      <c r="AC8" s="481" t="e">
        <f t="shared" ref="AC8:AC40" si="5">D8/J8</f>
        <v>#DIV/0!</v>
      </c>
    </row>
    <row r="9" s="189" customFormat="1" ht="15" spans="1:29">
      <c r="A9" s="241"/>
      <c r="B9" s="242" t="s">
        <v>940</v>
      </c>
      <c r="C9" s="243"/>
      <c r="D9" s="244">
        <v>100</v>
      </c>
      <c r="E9" s="245"/>
      <c r="F9" s="244">
        <f>SUMIF(57:57,E9,58:58)-SUMIF(57:57,C9,58:58)+100</f>
        <v>100</v>
      </c>
      <c r="G9" s="511"/>
      <c r="H9" s="244">
        <f>SUMIF(57:57,G9,58:58)-SUMIF(57:57,C9,58:58)+100</f>
        <v>100</v>
      </c>
      <c r="I9" s="511"/>
      <c r="J9" s="244">
        <f>SUMIF(57:57,I9,58:58)-SUMIF(57:57,C9,58:58)+100</f>
        <v>100</v>
      </c>
      <c r="K9" s="385"/>
      <c r="L9" s="386"/>
      <c r="M9" s="387"/>
      <c r="N9" s="387"/>
      <c r="O9" s="389"/>
      <c r="P9" s="390" t="s">
        <v>941</v>
      </c>
      <c r="Q9" s="466" t="str">
        <f t="shared" ref="Q9:Q15" si="6">B9</f>
        <v>用途</v>
      </c>
      <c r="R9" s="462" t="s">
        <v>935</v>
      </c>
      <c r="S9" s="463">
        <f t="shared" si="0"/>
        <v>100</v>
      </c>
      <c r="T9" s="462" t="s">
        <v>935</v>
      </c>
      <c r="U9" s="463">
        <f t="shared" si="1"/>
        <v>100</v>
      </c>
      <c r="V9" s="462" t="s">
        <v>935</v>
      </c>
      <c r="W9" s="463">
        <f t="shared" si="2"/>
        <v>100</v>
      </c>
      <c r="X9" s="464"/>
      <c r="Y9" s="466" t="s">
        <v>942</v>
      </c>
      <c r="Z9" s="481" t="str">
        <f t="shared" ref="Z9:Z15" si="7">Q9</f>
        <v>用途</v>
      </c>
      <c r="AA9" s="481">
        <f t="shared" si="3"/>
        <v>1</v>
      </c>
      <c r="AB9" s="481">
        <f t="shared" si="4"/>
        <v>1</v>
      </c>
      <c r="AC9" s="481">
        <f t="shared" si="5"/>
        <v>1</v>
      </c>
    </row>
    <row r="10" s="190" customFormat="1" ht="27" spans="1:29">
      <c r="A10" s="246"/>
      <c r="B10" s="239" t="s">
        <v>943</v>
      </c>
      <c r="C10" s="247"/>
      <c r="D10" s="248">
        <v>100</v>
      </c>
      <c r="E10" s="247"/>
      <c r="F10" s="248">
        <f>SUMIF(59:59,E10,60:60)-SUMIF(59:59,C10,60:60)+100</f>
        <v>100</v>
      </c>
      <c r="G10" s="249"/>
      <c r="H10" s="248">
        <f>SUMIF(59:59,G10,60:60)-SUMIF(59:59,C10,60:60)+100</f>
        <v>100</v>
      </c>
      <c r="I10" s="247"/>
      <c r="J10" s="248">
        <f>SUMIF(59:59,I10,60:60)-SUMIF(59:59,C10,60:60)+100</f>
        <v>100</v>
      </c>
      <c r="K10" s="391"/>
      <c r="L10" s="392"/>
      <c r="M10" s="393"/>
      <c r="N10" s="393"/>
      <c r="O10" s="394"/>
      <c r="P10" s="390"/>
      <c r="Q10" s="466" t="str">
        <f t="shared" si="6"/>
        <v>土地使用年限（年）</v>
      </c>
      <c r="R10" s="462" t="s">
        <v>935</v>
      </c>
      <c r="S10" s="463">
        <f t="shared" si="0"/>
        <v>100</v>
      </c>
      <c r="T10" s="462" t="s">
        <v>935</v>
      </c>
      <c r="U10" s="463">
        <f t="shared" si="1"/>
        <v>100</v>
      </c>
      <c r="V10" s="462" t="s">
        <v>935</v>
      </c>
      <c r="W10" s="463">
        <f t="shared" si="2"/>
        <v>100</v>
      </c>
      <c r="X10" s="464"/>
      <c r="Y10" s="466"/>
      <c r="Z10" s="481" t="str">
        <f t="shared" si="7"/>
        <v>土地使用年限（年）</v>
      </c>
      <c r="AA10" s="481">
        <f t="shared" si="3"/>
        <v>1</v>
      </c>
      <c r="AB10" s="481">
        <f t="shared" si="4"/>
        <v>1</v>
      </c>
      <c r="AC10" s="481">
        <f t="shared" si="5"/>
        <v>1</v>
      </c>
    </row>
    <row r="11" ht="15" spans="1:29">
      <c r="A11" s="540"/>
      <c r="B11" s="239" t="s">
        <v>944</v>
      </c>
      <c r="C11" s="541"/>
      <c r="D11" s="248">
        <v>100</v>
      </c>
      <c r="E11" s="541"/>
      <c r="F11" s="248" t="e">
        <f>LOOKUP(E11,62:62,63:63)-LOOKUP(C11,62:62,63:63)+100</f>
        <v>#N/A</v>
      </c>
      <c r="G11" s="542"/>
      <c r="H11" s="248" t="e">
        <f>LOOKUP(G11,62:62,63:63)-LOOKUP(C11,62:62,63:63)+100</f>
        <v>#N/A</v>
      </c>
      <c r="I11" s="541"/>
      <c r="J11" s="248" t="e">
        <f>LOOKUP(I11,62:62,63:63)-LOOKUP(C11,62:62,63:63)+100</f>
        <v>#N/A</v>
      </c>
      <c r="K11" s="391"/>
      <c r="L11" s="396"/>
      <c r="M11" s="338"/>
      <c r="N11" s="338"/>
      <c r="O11" s="397"/>
      <c r="P11" s="390"/>
      <c r="Q11" s="466" t="str">
        <f t="shared" si="6"/>
        <v>容积率</v>
      </c>
      <c r="R11" s="462" t="s">
        <v>935</v>
      </c>
      <c r="S11" s="463" t="e">
        <f t="shared" si="0"/>
        <v>#N/A</v>
      </c>
      <c r="T11" s="462" t="s">
        <v>935</v>
      </c>
      <c r="U11" s="463" t="e">
        <f t="shared" si="1"/>
        <v>#N/A</v>
      </c>
      <c r="V11" s="462" t="s">
        <v>935</v>
      </c>
      <c r="W11" s="463" t="e">
        <f t="shared" si="2"/>
        <v>#N/A</v>
      </c>
      <c r="X11" s="464"/>
      <c r="Y11" s="466"/>
      <c r="Z11" s="481" t="str">
        <f t="shared" si="7"/>
        <v>容积率</v>
      </c>
      <c r="AA11" s="481" t="e">
        <f t="shared" si="3"/>
        <v>#N/A</v>
      </c>
      <c r="AB11" s="481" t="e">
        <f t="shared" si="4"/>
        <v>#N/A</v>
      </c>
      <c r="AC11" s="481" t="e">
        <f t="shared" si="5"/>
        <v>#N/A</v>
      </c>
    </row>
    <row r="12" s="189" customFormat="1" ht="15" spans="1:29">
      <c r="A12" s="250"/>
      <c r="B12" s="251">
        <v>111</v>
      </c>
      <c r="C12" s="252"/>
      <c r="D12" s="254">
        <v>100</v>
      </c>
      <c r="E12" s="257"/>
      <c r="F12" s="248">
        <f>SUMIF(64:64,E12,65:65)-SUMIF(64:64,C12,65:65)+100</f>
        <v>100</v>
      </c>
      <c r="G12" s="543"/>
      <c r="H12" s="248">
        <f>SUMIF(64:64,G12,65:65)-SUMIF(64:64,C12,65:65)+100</f>
        <v>100</v>
      </c>
      <c r="I12" s="253"/>
      <c r="J12" s="248">
        <f>SUMIF(64:64,I12,65:65)-SUMIF(64:64,C12,65:65)+100</f>
        <v>100</v>
      </c>
      <c r="K12" s="395"/>
      <c r="L12" s="386"/>
      <c r="M12" s="387"/>
      <c r="N12" s="387"/>
      <c r="O12" s="389"/>
      <c r="P12" s="390"/>
      <c r="Q12" s="466">
        <f t="shared" si="6"/>
        <v>111</v>
      </c>
      <c r="R12" s="462" t="s">
        <v>935</v>
      </c>
      <c r="S12" s="463">
        <f t="shared" si="0"/>
        <v>100</v>
      </c>
      <c r="T12" s="462" t="s">
        <v>935</v>
      </c>
      <c r="U12" s="463">
        <f t="shared" si="1"/>
        <v>100</v>
      </c>
      <c r="V12" s="462" t="s">
        <v>935</v>
      </c>
      <c r="W12" s="463">
        <f t="shared" si="2"/>
        <v>100</v>
      </c>
      <c r="X12" s="464"/>
      <c r="Y12" s="466"/>
      <c r="Z12" s="481">
        <f t="shared" si="7"/>
        <v>111</v>
      </c>
      <c r="AA12" s="481">
        <f t="shared" si="3"/>
        <v>1</v>
      </c>
      <c r="AB12" s="481">
        <f t="shared" si="4"/>
        <v>1</v>
      </c>
      <c r="AC12" s="481">
        <f t="shared" si="5"/>
        <v>1</v>
      </c>
    </row>
    <row r="13" ht="15" spans="1:29">
      <c r="A13" s="250"/>
      <c r="B13" s="251">
        <v>111</v>
      </c>
      <c r="C13" s="257"/>
      <c r="D13" s="258">
        <v>100</v>
      </c>
      <c r="E13" s="257"/>
      <c r="F13" s="248">
        <f>SUMIF(66:66,E13,67:67)-SUMIF(66:66,C13,67:67)+100</f>
        <v>100</v>
      </c>
      <c r="G13" s="543"/>
      <c r="H13" s="258">
        <f>SUMIF(66:66,G13,67:67)-SUMIF(66:66,C13,67:67)+100</f>
        <v>100</v>
      </c>
      <c r="I13" s="253"/>
      <c r="J13" s="258">
        <f>SUMIF(66:66,I13,67:67)-SUMIF(66:66,C13,67:67)+100</f>
        <v>100</v>
      </c>
      <c r="K13" s="395"/>
      <c r="L13" s="398"/>
      <c r="M13" s="338"/>
      <c r="N13" s="338"/>
      <c r="O13" s="397"/>
      <c r="P13" s="390"/>
      <c r="Q13" s="466">
        <f t="shared" si="6"/>
        <v>111</v>
      </c>
      <c r="R13" s="462" t="s">
        <v>935</v>
      </c>
      <c r="S13" s="463">
        <f t="shared" si="0"/>
        <v>100</v>
      </c>
      <c r="T13" s="462" t="s">
        <v>935</v>
      </c>
      <c r="U13" s="463">
        <f t="shared" si="1"/>
        <v>100</v>
      </c>
      <c r="V13" s="462" t="s">
        <v>935</v>
      </c>
      <c r="W13" s="463">
        <f t="shared" si="2"/>
        <v>100</v>
      </c>
      <c r="X13" s="464"/>
      <c r="Y13" s="466"/>
      <c r="Z13" s="481">
        <f t="shared" si="7"/>
        <v>111</v>
      </c>
      <c r="AA13" s="481">
        <f t="shared" si="3"/>
        <v>1</v>
      </c>
      <c r="AB13" s="481">
        <f t="shared" si="4"/>
        <v>1</v>
      </c>
      <c r="AC13" s="481">
        <f t="shared" si="5"/>
        <v>1</v>
      </c>
    </row>
    <row r="14" ht="15.75" spans="1:29">
      <c r="A14" s="255"/>
      <c r="B14" s="256">
        <v>111</v>
      </c>
      <c r="C14" s="307"/>
      <c r="D14" s="308">
        <v>100</v>
      </c>
      <c r="E14" s="307"/>
      <c r="F14" s="308">
        <f>SUMIF(68:68,E14,69:69)-SUMIF(68:68,C14,69:69)+100</f>
        <v>100</v>
      </c>
      <c r="G14" s="543"/>
      <c r="H14" s="308">
        <f>SUMIF(68:68,G14,69:69)-SUMIF(68:68,C14,69:69)+100</f>
        <v>100</v>
      </c>
      <c r="I14" s="253"/>
      <c r="J14" s="308">
        <f>SUMIF(68:68,I14,69:69)-SUMIF(68:68,C14,69:69)+100</f>
        <v>100</v>
      </c>
      <c r="K14" s="395"/>
      <c r="L14" s="398"/>
      <c r="M14" s="338"/>
      <c r="N14" s="338"/>
      <c r="O14" s="397"/>
      <c r="P14" s="390"/>
      <c r="Q14" s="466">
        <f t="shared" si="6"/>
        <v>111</v>
      </c>
      <c r="R14" s="462" t="s">
        <v>935</v>
      </c>
      <c r="S14" s="463">
        <f t="shared" si="0"/>
        <v>100</v>
      </c>
      <c r="T14" s="462" t="s">
        <v>935</v>
      </c>
      <c r="U14" s="463">
        <f t="shared" si="1"/>
        <v>100</v>
      </c>
      <c r="V14" s="462" t="s">
        <v>935</v>
      </c>
      <c r="W14" s="463">
        <f t="shared" si="2"/>
        <v>100</v>
      </c>
      <c r="X14" s="464"/>
      <c r="Y14" s="466"/>
      <c r="Z14" s="481">
        <f t="shared" si="7"/>
        <v>111</v>
      </c>
      <c r="AA14" s="481">
        <f t="shared" si="3"/>
        <v>1</v>
      </c>
      <c r="AB14" s="481">
        <f t="shared" si="4"/>
        <v>1</v>
      </c>
      <c r="AC14" s="481">
        <f t="shared" si="5"/>
        <v>1</v>
      </c>
    </row>
    <row r="15" ht="56.25" spans="1:29">
      <c r="A15" s="259" t="s">
        <v>946</v>
      </c>
      <c r="B15" s="260" t="s">
        <v>228</v>
      </c>
      <c r="C15" s="261" t="str">
        <f>估价对象房地状况!G3</f>
        <v>估价对象位于XX开发区，园区建设成熟度XX，产业集聚程度XX</v>
      </c>
      <c r="D15" s="262">
        <v>100</v>
      </c>
      <c r="E15" s="263"/>
      <c r="F15" s="264">
        <f>SUMIF(70:70,E16,71:71)-SUMIF(70:70,C16,71:71)+100</f>
        <v>100</v>
      </c>
      <c r="G15" s="265"/>
      <c r="H15" s="262">
        <f>SUMIF(70:70,G16,71:71)-SUMIF(70:70,C16,71:71)+100</f>
        <v>100</v>
      </c>
      <c r="I15" s="263"/>
      <c r="J15" s="262">
        <f>SUMIF(70:70,I16,71:71)-SUMIF(70:70,C16,71:71)+100</f>
        <v>100</v>
      </c>
      <c r="K15" s="399"/>
      <c r="L15" s="398"/>
      <c r="M15" s="338"/>
      <c r="N15" s="338"/>
      <c r="O15" s="397"/>
      <c r="P15" s="400" t="s">
        <v>947</v>
      </c>
      <c r="Q15" s="390" t="str">
        <f t="shared" si="6"/>
        <v>产业集聚程度</v>
      </c>
      <c r="R15" s="467" t="s">
        <v>935</v>
      </c>
      <c r="S15" s="468">
        <f t="shared" si="0"/>
        <v>100</v>
      </c>
      <c r="T15" s="467" t="s">
        <v>935</v>
      </c>
      <c r="U15" s="468">
        <f t="shared" si="1"/>
        <v>100</v>
      </c>
      <c r="V15" s="467" t="s">
        <v>935</v>
      </c>
      <c r="W15" s="468">
        <f t="shared" si="2"/>
        <v>100</v>
      </c>
      <c r="X15" s="454"/>
      <c r="Y15" s="400" t="s">
        <v>947</v>
      </c>
      <c r="Z15" s="453" t="str">
        <f t="shared" si="7"/>
        <v>产业集聚程度</v>
      </c>
      <c r="AA15" s="453">
        <f t="shared" si="3"/>
        <v>1</v>
      </c>
      <c r="AB15" s="453">
        <f t="shared" si="4"/>
        <v>1</v>
      </c>
      <c r="AC15" s="453">
        <f t="shared" si="5"/>
        <v>1</v>
      </c>
    </row>
    <row r="16" ht="15" spans="1:29">
      <c r="A16" s="266"/>
      <c r="B16" s="267"/>
      <c r="C16" s="268"/>
      <c r="D16" s="269"/>
      <c r="E16" s="268"/>
      <c r="F16" s="270"/>
      <c r="G16" s="268"/>
      <c r="H16" s="271"/>
      <c r="I16" s="268"/>
      <c r="J16" s="269"/>
      <c r="K16" s="401"/>
      <c r="L16" s="398"/>
      <c r="M16" s="338"/>
      <c r="N16" s="338"/>
      <c r="O16" s="397"/>
      <c r="P16" s="367"/>
      <c r="Q16" s="390"/>
      <c r="R16" s="467"/>
      <c r="S16" s="468"/>
      <c r="T16" s="467"/>
      <c r="U16" s="468"/>
      <c r="V16" s="467"/>
      <c r="W16" s="468"/>
      <c r="X16" s="454"/>
      <c r="Y16" s="367"/>
      <c r="Z16" s="453"/>
      <c r="AA16" s="453">
        <v>1</v>
      </c>
      <c r="AB16" s="453">
        <v>1</v>
      </c>
      <c r="AC16" s="453">
        <v>1</v>
      </c>
    </row>
    <row r="17" ht="81" spans="1:29">
      <c r="A17" s="266"/>
      <c r="B17" s="285" t="s">
        <v>229</v>
      </c>
      <c r="C17" s="273" t="str">
        <f>估价对象房地状况!G4</f>
        <v>估价对象周边道路状况、公共交通通达情况、停车便捷程度，综合评价交通便捷度较好</v>
      </c>
      <c r="D17" s="271">
        <v>100</v>
      </c>
      <c r="E17" s="281"/>
      <c r="F17" s="282">
        <f>SUMIF(72:72,E18,73:73)-SUMIF(72:72,C18,73:73)+100</f>
        <v>100</v>
      </c>
      <c r="G17" s="283"/>
      <c r="H17" s="274">
        <f>SUMIF(72:72,G18,73:73)-SUMIF(72:72,C18,73:73)+100</f>
        <v>100</v>
      </c>
      <c r="I17" s="281"/>
      <c r="J17" s="274">
        <f>SUMIF(72:72,I18,73:73)-SUMIF(72:72,C18,73:73)+100</f>
        <v>100</v>
      </c>
      <c r="K17" s="399"/>
      <c r="L17" s="398"/>
      <c r="M17" s="338"/>
      <c r="N17" s="338"/>
      <c r="O17" s="397"/>
      <c r="P17" s="367"/>
      <c r="Q17" s="390" t="str">
        <f>B17</f>
        <v>交通便捷度</v>
      </c>
      <c r="R17" s="467" t="s">
        <v>935</v>
      </c>
      <c r="S17" s="468">
        <f>F17</f>
        <v>100</v>
      </c>
      <c r="T17" s="467" t="s">
        <v>935</v>
      </c>
      <c r="U17" s="468">
        <f>H17</f>
        <v>100</v>
      </c>
      <c r="V17" s="467" t="s">
        <v>935</v>
      </c>
      <c r="W17" s="468">
        <f>J17</f>
        <v>100</v>
      </c>
      <c r="X17" s="454"/>
      <c r="Y17" s="367"/>
      <c r="Z17" s="453" t="str">
        <f>Q17</f>
        <v>交通便捷度</v>
      </c>
      <c r="AA17" s="453">
        <f t="shared" si="3"/>
        <v>1</v>
      </c>
      <c r="AB17" s="453">
        <f t="shared" si="4"/>
        <v>1</v>
      </c>
      <c r="AC17" s="453">
        <f t="shared" si="5"/>
        <v>1</v>
      </c>
    </row>
    <row r="18" ht="15" spans="1:29">
      <c r="A18" s="266"/>
      <c r="B18" s="286"/>
      <c r="C18" s="279"/>
      <c r="D18" s="271"/>
      <c r="E18" s="544"/>
      <c r="F18" s="282"/>
      <c r="G18" s="545"/>
      <c r="H18" s="269"/>
      <c r="I18" s="544"/>
      <c r="J18" s="269"/>
      <c r="K18" s="401"/>
      <c r="L18" s="398"/>
      <c r="M18" s="338"/>
      <c r="N18" s="338"/>
      <c r="O18" s="397"/>
      <c r="P18" s="367"/>
      <c r="Q18" s="390"/>
      <c r="R18" s="467"/>
      <c r="S18" s="468"/>
      <c r="T18" s="467"/>
      <c r="U18" s="468"/>
      <c r="V18" s="467"/>
      <c r="W18" s="468"/>
      <c r="X18" s="454"/>
      <c r="Y18" s="367"/>
      <c r="Z18" s="453"/>
      <c r="AA18" s="453">
        <v>1</v>
      </c>
      <c r="AB18" s="453">
        <v>1</v>
      </c>
      <c r="AC18" s="453">
        <v>1</v>
      </c>
    </row>
    <row r="19" ht="40.5" spans="1:29">
      <c r="A19" s="266"/>
      <c r="B19" s="272" t="s">
        <v>231</v>
      </c>
      <c r="C19" s="273" t="str">
        <f>估价对象房地状况!G5</f>
        <v>估价对象所在区域公共配套设施齐备情况</v>
      </c>
      <c r="D19" s="274">
        <v>100</v>
      </c>
      <c r="E19" s="275"/>
      <c r="F19" s="276">
        <f>SUMIF(74:74,E20,75:75)-SUMIF(74:74,C20,75:75)+100</f>
        <v>100</v>
      </c>
      <c r="G19" s="277"/>
      <c r="H19" s="271">
        <f>SUMIF(74:74,G20,75:75)-SUMIF(74:74,C20,75:75)+100</f>
        <v>100</v>
      </c>
      <c r="I19" s="275"/>
      <c r="J19" s="271">
        <f>SUMIF(74:74,I20,75:75)-SUMIF(74:74,C20,75:75)+100</f>
        <v>100</v>
      </c>
      <c r="K19" s="399"/>
      <c r="L19" s="398"/>
      <c r="M19" s="338"/>
      <c r="N19" s="338"/>
      <c r="O19" s="397"/>
      <c r="P19" s="367"/>
      <c r="Q19" s="390" t="str">
        <f>B19</f>
        <v>公共配套设施</v>
      </c>
      <c r="R19" s="467" t="s">
        <v>935</v>
      </c>
      <c r="S19" s="468">
        <f>F19</f>
        <v>100</v>
      </c>
      <c r="T19" s="467" t="s">
        <v>935</v>
      </c>
      <c r="U19" s="468">
        <f>H19</f>
        <v>100</v>
      </c>
      <c r="V19" s="467" t="s">
        <v>935</v>
      </c>
      <c r="W19" s="468">
        <f>J19</f>
        <v>100</v>
      </c>
      <c r="X19" s="454"/>
      <c r="Y19" s="367"/>
      <c r="Z19" s="453" t="str">
        <f>Q19</f>
        <v>公共配套设施</v>
      </c>
      <c r="AA19" s="453">
        <f t="shared" si="3"/>
        <v>1</v>
      </c>
      <c r="AB19" s="453">
        <f t="shared" si="4"/>
        <v>1</v>
      </c>
      <c r="AC19" s="453">
        <f t="shared" si="5"/>
        <v>1</v>
      </c>
    </row>
    <row r="20" ht="15" spans="1:29">
      <c r="A20" s="266"/>
      <c r="B20" s="278"/>
      <c r="C20" s="268"/>
      <c r="D20" s="269"/>
      <c r="E20" s="546"/>
      <c r="F20" s="270"/>
      <c r="G20" s="547"/>
      <c r="H20" s="269"/>
      <c r="I20" s="546"/>
      <c r="J20" s="269"/>
      <c r="K20" s="401"/>
      <c r="L20" s="398"/>
      <c r="M20" s="338"/>
      <c r="N20" s="338"/>
      <c r="O20" s="397"/>
      <c r="P20" s="367"/>
      <c r="Q20" s="390"/>
      <c r="R20" s="467"/>
      <c r="S20" s="468"/>
      <c r="T20" s="467"/>
      <c r="U20" s="468"/>
      <c r="V20" s="467"/>
      <c r="W20" s="468"/>
      <c r="X20" s="454"/>
      <c r="Y20" s="367"/>
      <c r="Z20" s="453"/>
      <c r="AA20" s="453">
        <v>1</v>
      </c>
      <c r="AB20" s="453">
        <v>1</v>
      </c>
      <c r="AC20" s="453">
        <v>1</v>
      </c>
    </row>
    <row r="21" ht="27" spans="1:29">
      <c r="A21" s="266"/>
      <c r="B21" s="280" t="s">
        <v>232</v>
      </c>
      <c r="C21" s="273" t="str">
        <f>估价对象房地状况!G6</f>
        <v>估价对象所在区域基础设施水平</v>
      </c>
      <c r="D21" s="274">
        <v>100</v>
      </c>
      <c r="E21" s="277"/>
      <c r="F21" s="276">
        <f>SUMIF(76:76,E22,77:77)-SUMIF(76:76,C22,77:77)+100</f>
        <v>100</v>
      </c>
      <c r="G21" s="277"/>
      <c r="H21" s="274">
        <f>SUMIF(76:76,G22,77:77)-SUMIF(76:76,C22,77:77)+100</f>
        <v>100</v>
      </c>
      <c r="I21" s="275"/>
      <c r="J21" s="274">
        <f>SUMIF(76:76,I22,77:77)-SUMIF(76:76,C22,77:77)+100</f>
        <v>100</v>
      </c>
      <c r="K21" s="399"/>
      <c r="L21" s="398"/>
      <c r="M21" s="338"/>
      <c r="N21" s="338"/>
      <c r="O21" s="397"/>
      <c r="P21" s="367"/>
      <c r="Q21" s="390" t="str">
        <f>B21</f>
        <v>基础设施水平</v>
      </c>
      <c r="R21" s="467" t="s">
        <v>935</v>
      </c>
      <c r="S21" s="468">
        <f>F21</f>
        <v>100</v>
      </c>
      <c r="T21" s="467" t="s">
        <v>935</v>
      </c>
      <c r="U21" s="468">
        <f>H21</f>
        <v>100</v>
      </c>
      <c r="V21" s="467" t="s">
        <v>935</v>
      </c>
      <c r="W21" s="468">
        <f>J21</f>
        <v>100</v>
      </c>
      <c r="X21" s="454"/>
      <c r="Y21" s="367"/>
      <c r="Z21" s="453" t="str">
        <f>Q21</f>
        <v>基础设施水平</v>
      </c>
      <c r="AA21" s="453">
        <f t="shared" ref="AA21" si="8">D21/F21</f>
        <v>1</v>
      </c>
      <c r="AB21" s="453">
        <f t="shared" ref="AB21" si="9">D21/H21</f>
        <v>1</v>
      </c>
      <c r="AC21" s="453">
        <f t="shared" ref="AC21" si="10">D21/J21</f>
        <v>1</v>
      </c>
    </row>
    <row r="22" ht="15" spans="1:29">
      <c r="A22" s="266"/>
      <c r="B22" s="284"/>
      <c r="C22" s="279"/>
      <c r="D22" s="269"/>
      <c r="E22" s="268"/>
      <c r="F22" s="270"/>
      <c r="G22" s="268"/>
      <c r="H22" s="269"/>
      <c r="I22" s="268"/>
      <c r="J22" s="269"/>
      <c r="K22" s="402"/>
      <c r="L22" s="398"/>
      <c r="M22" s="338"/>
      <c r="N22" s="338"/>
      <c r="O22" s="397"/>
      <c r="P22" s="367"/>
      <c r="Q22" s="390"/>
      <c r="R22" s="467"/>
      <c r="S22" s="468"/>
      <c r="T22" s="467"/>
      <c r="U22" s="468"/>
      <c r="V22" s="467"/>
      <c r="W22" s="468"/>
      <c r="X22" s="454"/>
      <c r="Y22" s="367"/>
      <c r="Z22" s="453"/>
      <c r="AA22" s="453">
        <v>1</v>
      </c>
      <c r="AB22" s="453">
        <v>1</v>
      </c>
      <c r="AC22" s="453">
        <v>1</v>
      </c>
    </row>
    <row r="23" ht="67.5" spans="1:29">
      <c r="A23" s="266"/>
      <c r="B23" s="285" t="s">
        <v>233</v>
      </c>
      <c r="C23" s="273" t="str">
        <f>估价对象房地状况!G7</f>
        <v>该园区内是否有污染型企业，绿化情况，卫生条件，整体环境状况判断</v>
      </c>
      <c r="D23" s="271">
        <v>100</v>
      </c>
      <c r="E23" s="281"/>
      <c r="F23" s="282">
        <f>SUMIF(78:78,E24,79:79)-SUMIF(78:78,C24,79:79)+100</f>
        <v>100</v>
      </c>
      <c r="G23" s="283"/>
      <c r="H23" s="271">
        <f>SUMIF(78:78,G24,79:79)-SUMIF(78:78,C24,79:79)+100</f>
        <v>100</v>
      </c>
      <c r="I23" s="281"/>
      <c r="J23" s="271">
        <f>SUMIF(78:78,I24,79:79)-SUMIF(78:78,C24,79:79)+100</f>
        <v>100</v>
      </c>
      <c r="K23" s="399"/>
      <c r="L23" s="398"/>
      <c r="M23" s="338"/>
      <c r="N23" s="338"/>
      <c r="O23" s="397"/>
      <c r="P23" s="367"/>
      <c r="Q23" s="390" t="str">
        <f>B23</f>
        <v>环境质量</v>
      </c>
      <c r="R23" s="467" t="s">
        <v>935</v>
      </c>
      <c r="S23" s="468">
        <f>F23</f>
        <v>100</v>
      </c>
      <c r="T23" s="467" t="s">
        <v>935</v>
      </c>
      <c r="U23" s="468">
        <f>H23</f>
        <v>100</v>
      </c>
      <c r="V23" s="467" t="s">
        <v>935</v>
      </c>
      <c r="W23" s="468">
        <f>J23</f>
        <v>100</v>
      </c>
      <c r="X23" s="454"/>
      <c r="Y23" s="367"/>
      <c r="Z23" s="453" t="str">
        <f>Q23</f>
        <v>环境质量</v>
      </c>
      <c r="AA23" s="453">
        <f t="shared" si="3"/>
        <v>1</v>
      </c>
      <c r="AB23" s="453">
        <f t="shared" si="4"/>
        <v>1</v>
      </c>
      <c r="AC23" s="453">
        <f t="shared" si="5"/>
        <v>1</v>
      </c>
    </row>
    <row r="24" ht="15" spans="1:29">
      <c r="A24" s="266"/>
      <c r="B24" s="292"/>
      <c r="C24" s="268"/>
      <c r="D24" s="269"/>
      <c r="E24" s="546"/>
      <c r="F24" s="270"/>
      <c r="G24" s="547"/>
      <c r="H24" s="269"/>
      <c r="I24" s="546"/>
      <c r="J24" s="269"/>
      <c r="K24" s="401"/>
      <c r="L24" s="398"/>
      <c r="M24" s="338"/>
      <c r="N24" s="338"/>
      <c r="O24" s="397"/>
      <c r="P24" s="367"/>
      <c r="Q24" s="390"/>
      <c r="R24" s="467"/>
      <c r="S24" s="468"/>
      <c r="T24" s="467"/>
      <c r="U24" s="468"/>
      <c r="V24" s="467"/>
      <c r="W24" s="468"/>
      <c r="X24" s="454"/>
      <c r="Y24" s="367"/>
      <c r="Z24" s="453"/>
      <c r="AA24" s="453">
        <v>1</v>
      </c>
      <c r="AB24" s="453">
        <v>1</v>
      </c>
      <c r="AC24" s="453">
        <v>1</v>
      </c>
    </row>
    <row r="25" ht="15" spans="1:29">
      <c r="A25" s="219"/>
      <c r="B25" s="548">
        <v>111</v>
      </c>
      <c r="C25" s="257"/>
      <c r="D25" s="258">
        <v>100</v>
      </c>
      <c r="E25" s="257"/>
      <c r="F25" s="288">
        <f>SUMIF(80:80,E25,81:81)-SUMIF(80:80,C25,81:81)+100</f>
        <v>100</v>
      </c>
      <c r="G25" s="257"/>
      <c r="H25" s="258">
        <f>SUMIF(80:80,G25,81:81)-SUMIF(80:80,C25,81:81)+100</f>
        <v>100</v>
      </c>
      <c r="I25" s="257"/>
      <c r="J25" s="258">
        <f>SUMIF(80:80,I25,81:81)-SUMIF(80:80,C25,81:81)+100</f>
        <v>100</v>
      </c>
      <c r="K25" s="395"/>
      <c r="L25" s="398"/>
      <c r="M25" s="338"/>
      <c r="N25" s="338"/>
      <c r="O25" s="397"/>
      <c r="P25" s="367"/>
      <c r="Q25" s="390">
        <f>B25</f>
        <v>111</v>
      </c>
      <c r="R25" s="467" t="s">
        <v>935</v>
      </c>
      <c r="S25" s="468">
        <f>F25</f>
        <v>100</v>
      </c>
      <c r="T25" s="467" t="s">
        <v>935</v>
      </c>
      <c r="U25" s="468">
        <f>H25</f>
        <v>100</v>
      </c>
      <c r="V25" s="467" t="s">
        <v>935</v>
      </c>
      <c r="W25" s="468">
        <f>J25</f>
        <v>100</v>
      </c>
      <c r="X25" s="454"/>
      <c r="Y25" s="367"/>
      <c r="Z25" s="453">
        <f>Q25</f>
        <v>111</v>
      </c>
      <c r="AA25" s="453">
        <f t="shared" si="3"/>
        <v>1</v>
      </c>
      <c r="AB25" s="453">
        <f t="shared" si="4"/>
        <v>1</v>
      </c>
      <c r="AC25" s="453">
        <f t="shared" si="5"/>
        <v>1</v>
      </c>
    </row>
    <row r="26" ht="15" spans="1:29">
      <c r="A26" s="266"/>
      <c r="B26" s="548">
        <v>111</v>
      </c>
      <c r="C26" s="257"/>
      <c r="D26" s="258">
        <v>100</v>
      </c>
      <c r="E26" s="257"/>
      <c r="F26" s="288">
        <f>SUMIF(82:82,E26,83:83)-SUMIF(82:82,C26,83:83)+100</f>
        <v>100</v>
      </c>
      <c r="G26" s="257"/>
      <c r="H26" s="258">
        <f>SUMIF(82:82,G26,83:83)-SUMIF(82:82,C26,83:83)+100</f>
        <v>100</v>
      </c>
      <c r="I26" s="257"/>
      <c r="J26" s="258">
        <f>SUMIF(82:82,I26,83:83)-SUMIF(82:82,C26,83:83)+100</f>
        <v>100</v>
      </c>
      <c r="K26" s="395"/>
      <c r="L26" s="398"/>
      <c r="M26" s="338"/>
      <c r="N26" s="338"/>
      <c r="O26" s="397"/>
      <c r="P26" s="367"/>
      <c r="Q26" s="390">
        <f t="shared" ref="Q26:Q40" si="11">B26</f>
        <v>111</v>
      </c>
      <c r="R26" s="467" t="s">
        <v>935</v>
      </c>
      <c r="S26" s="468">
        <f>F26</f>
        <v>100</v>
      </c>
      <c r="T26" s="467" t="s">
        <v>935</v>
      </c>
      <c r="U26" s="468">
        <f>H26</f>
        <v>100</v>
      </c>
      <c r="V26" s="467" t="s">
        <v>935</v>
      </c>
      <c r="W26" s="468">
        <f>J26</f>
        <v>100</v>
      </c>
      <c r="X26" s="454"/>
      <c r="Y26" s="367"/>
      <c r="Z26" s="453">
        <f>Q26</f>
        <v>111</v>
      </c>
      <c r="AA26" s="453">
        <f t="shared" si="3"/>
        <v>1</v>
      </c>
      <c r="AB26" s="453">
        <f t="shared" si="4"/>
        <v>1</v>
      </c>
      <c r="AC26" s="453">
        <f t="shared" si="5"/>
        <v>1</v>
      </c>
    </row>
    <row r="27" s="189" customFormat="1" ht="15" spans="1:29">
      <c r="A27" s="290"/>
      <c r="B27" s="548">
        <v>111</v>
      </c>
      <c r="C27" s="257"/>
      <c r="D27" s="278">
        <v>100</v>
      </c>
      <c r="E27" s="257"/>
      <c r="F27" s="286">
        <f>SUMIF(84:84,E27,85:85)-SUMIF(84:84,C27,85:85)+100</f>
        <v>100</v>
      </c>
      <c r="G27" s="257"/>
      <c r="H27" s="278">
        <f>SUMIF(84:84,G27,85:85)-SUMIF(84:84,C27,85:85)+100</f>
        <v>100</v>
      </c>
      <c r="I27" s="257"/>
      <c r="J27" s="278">
        <f>SUMIF(84:84,I27,85:85)-SUMIF(84:84,C27,85:85)+100</f>
        <v>100</v>
      </c>
      <c r="K27" s="395"/>
      <c r="L27" s="386"/>
      <c r="M27" s="387"/>
      <c r="N27" s="387"/>
      <c r="O27" s="389"/>
      <c r="P27" s="367"/>
      <c r="Q27" s="466">
        <f t="shared" si="11"/>
        <v>111</v>
      </c>
      <c r="R27" s="462" t="s">
        <v>935</v>
      </c>
      <c r="S27" s="463">
        <f>F27</f>
        <v>100</v>
      </c>
      <c r="T27" s="462" t="s">
        <v>935</v>
      </c>
      <c r="U27" s="463">
        <f>H27</f>
        <v>100</v>
      </c>
      <c r="V27" s="462" t="s">
        <v>935</v>
      </c>
      <c r="W27" s="463">
        <f>J27</f>
        <v>100</v>
      </c>
      <c r="X27" s="464"/>
      <c r="Y27" s="367"/>
      <c r="Z27" s="481">
        <f>Q27</f>
        <v>111</v>
      </c>
      <c r="AA27" s="453">
        <f t="shared" si="3"/>
        <v>1</v>
      </c>
      <c r="AB27" s="453">
        <f t="shared" si="4"/>
        <v>1</v>
      </c>
      <c r="AC27" s="453">
        <f t="shared" si="5"/>
        <v>1</v>
      </c>
    </row>
    <row r="28" ht="15.75" spans="1:29">
      <c r="A28" s="549"/>
      <c r="B28" s="548">
        <v>111</v>
      </c>
      <c r="C28" s="307"/>
      <c r="D28" s="308">
        <v>100</v>
      </c>
      <c r="E28" s="257"/>
      <c r="F28" s="310">
        <f>SUMIF(86:86,E28,87:87)-SUMIF(86:86,C28,87:87)+100</f>
        <v>100</v>
      </c>
      <c r="G28" s="253"/>
      <c r="H28" s="308">
        <f>SUMIF(86:86,G28,87:87)-SUMIF(86:86,C28,87:87)+100</f>
        <v>100</v>
      </c>
      <c r="I28" s="253"/>
      <c r="J28" s="308">
        <f>SUMIF(86:86,I28,87:87)-SUMIF(86:86,C28,87:87)+100</f>
        <v>100</v>
      </c>
      <c r="K28" s="395"/>
      <c r="L28" s="398"/>
      <c r="M28" s="338"/>
      <c r="N28" s="338"/>
      <c r="O28" s="397"/>
      <c r="P28" s="367"/>
      <c r="Q28" s="390">
        <f t="shared" si="11"/>
        <v>111</v>
      </c>
      <c r="R28" s="467" t="s">
        <v>935</v>
      </c>
      <c r="S28" s="468">
        <f t="shared" ref="S28:S40" si="12">F28</f>
        <v>100</v>
      </c>
      <c r="T28" s="467" t="s">
        <v>935</v>
      </c>
      <c r="U28" s="468">
        <f t="shared" ref="U28:U40" si="13">H28</f>
        <v>100</v>
      </c>
      <c r="V28" s="467" t="s">
        <v>935</v>
      </c>
      <c r="W28" s="468">
        <f t="shared" ref="W28:W40" si="14">J28</f>
        <v>100</v>
      </c>
      <c r="X28" s="454"/>
      <c r="Y28" s="367"/>
      <c r="Z28" s="453">
        <f t="shared" ref="Z28:Z40" si="15">Q28</f>
        <v>111</v>
      </c>
      <c r="AA28" s="453">
        <f t="shared" si="3"/>
        <v>1</v>
      </c>
      <c r="AB28" s="453">
        <f t="shared" si="4"/>
        <v>1</v>
      </c>
      <c r="AC28" s="453">
        <f t="shared" si="5"/>
        <v>1</v>
      </c>
    </row>
    <row r="29" ht="15" spans="1:29">
      <c r="A29" s="293" t="s">
        <v>955</v>
      </c>
      <c r="B29" s="294" t="s">
        <v>2360</v>
      </c>
      <c r="C29" s="295"/>
      <c r="D29" s="216">
        <v>100</v>
      </c>
      <c r="E29" s="295"/>
      <c r="F29" s="288">
        <f>SUMIF(88:88,E29,89:89)-SUMIF(88:88,C29,89:89)+100</f>
        <v>100</v>
      </c>
      <c r="G29" s="295"/>
      <c r="H29" s="258">
        <f>SUMIF(88:88,G29,89:89)-SUMIF(88:88,C29,89:89)+100</f>
        <v>100</v>
      </c>
      <c r="I29" s="295"/>
      <c r="J29" s="216">
        <f>SUMIF(88:88,I29,89:89)-SUMIF(88:88,C29,89:89)+100</f>
        <v>100</v>
      </c>
      <c r="K29" s="391"/>
      <c r="L29" s="398"/>
      <c r="M29" s="338"/>
      <c r="N29" s="338"/>
      <c r="O29" s="397"/>
      <c r="P29" s="403" t="s">
        <v>954</v>
      </c>
      <c r="Q29" s="390" t="str">
        <f t="shared" si="11"/>
        <v>建筑类型</v>
      </c>
      <c r="R29" s="467" t="s">
        <v>935</v>
      </c>
      <c r="S29" s="468">
        <f t="shared" si="12"/>
        <v>100</v>
      </c>
      <c r="T29" s="467" t="s">
        <v>935</v>
      </c>
      <c r="U29" s="468">
        <f t="shared" si="13"/>
        <v>100</v>
      </c>
      <c r="V29" s="467" t="s">
        <v>935</v>
      </c>
      <c r="W29" s="468">
        <f t="shared" si="14"/>
        <v>100</v>
      </c>
      <c r="X29" s="454"/>
      <c r="Y29" s="406" t="s">
        <v>954</v>
      </c>
      <c r="Z29" s="453" t="str">
        <f t="shared" si="15"/>
        <v>建筑类型</v>
      </c>
      <c r="AA29" s="453">
        <f t="shared" si="3"/>
        <v>1</v>
      </c>
      <c r="AB29" s="453">
        <f t="shared" si="4"/>
        <v>1</v>
      </c>
      <c r="AC29" s="453">
        <f t="shared" si="5"/>
        <v>1</v>
      </c>
    </row>
    <row r="30" s="191" customFormat="1" ht="15" spans="1:29">
      <c r="A30" s="296"/>
      <c r="B30" s="297" t="s">
        <v>2362</v>
      </c>
      <c r="C30" s="253"/>
      <c r="D30" s="248">
        <v>100</v>
      </c>
      <c r="E30" s="542"/>
      <c r="F30" s="297" t="e">
        <f>LOOKUP(E30,91:91,92:92)-LOOKUP(C30,91:91,92:92)+100</f>
        <v>#N/A</v>
      </c>
      <c r="G30" s="541"/>
      <c r="H30" s="248" t="e">
        <f>LOOKUP(G30,91:91,92:92)-LOOKUP(C30,91:91,92:92)+100</f>
        <v>#N/A</v>
      </c>
      <c r="I30" s="541"/>
      <c r="J30" s="248" t="e">
        <f>LOOKUP(I30,91:91,92:92)-LOOKUP(C30,91:91,92:92)+100</f>
        <v>#N/A</v>
      </c>
      <c r="K30" s="395"/>
      <c r="L30" s="396"/>
      <c r="M30" s="404"/>
      <c r="N30" s="404"/>
      <c r="O30" s="405"/>
      <c r="P30" s="406"/>
      <c r="Q30" s="469" t="str">
        <f t="shared" si="11"/>
        <v>项目建筑规模</v>
      </c>
      <c r="R30" s="470" t="s">
        <v>935</v>
      </c>
      <c r="S30" s="471" t="e">
        <f t="shared" si="12"/>
        <v>#N/A</v>
      </c>
      <c r="T30" s="470" t="s">
        <v>935</v>
      </c>
      <c r="U30" s="471" t="e">
        <f t="shared" si="13"/>
        <v>#N/A</v>
      </c>
      <c r="V30" s="470" t="s">
        <v>935</v>
      </c>
      <c r="W30" s="471" t="e">
        <f t="shared" si="14"/>
        <v>#N/A</v>
      </c>
      <c r="X30" s="472"/>
      <c r="Y30" s="406"/>
      <c r="Z30" s="482" t="str">
        <f t="shared" si="15"/>
        <v>项目建筑规模</v>
      </c>
      <c r="AA30" s="453" t="e">
        <f t="shared" si="3"/>
        <v>#N/A</v>
      </c>
      <c r="AB30" s="453" t="e">
        <f t="shared" si="4"/>
        <v>#N/A</v>
      </c>
      <c r="AC30" s="453" t="e">
        <f t="shared" si="5"/>
        <v>#N/A</v>
      </c>
    </row>
    <row r="31" ht="15" spans="1:29">
      <c r="A31" s="301"/>
      <c r="B31" s="297" t="s">
        <v>2363</v>
      </c>
      <c r="C31" s="302"/>
      <c r="D31" s="258">
        <v>100</v>
      </c>
      <c r="E31" s="302"/>
      <c r="F31" s="288">
        <f>SUMIF(93:93,E31,94:94)-SUMIF(93:93,C31,94:94)+100</f>
        <v>100</v>
      </c>
      <c r="G31" s="302"/>
      <c r="H31" s="258">
        <f>SUMIF(93:93,G31,94:94)-SUMIF(93:93,C31,94:94)+100</f>
        <v>100</v>
      </c>
      <c r="I31" s="302"/>
      <c r="J31" s="258">
        <f>SUMIF(93:93,I31,94:94)-SUMIF(93:93,C31,94:94)+100</f>
        <v>100</v>
      </c>
      <c r="K31" s="391"/>
      <c r="L31" s="398"/>
      <c r="M31" s="338"/>
      <c r="N31" s="338"/>
      <c r="O31" s="397"/>
      <c r="P31" s="406"/>
      <c r="Q31" s="390" t="str">
        <f t="shared" si="11"/>
        <v>建筑结构</v>
      </c>
      <c r="R31" s="467" t="s">
        <v>935</v>
      </c>
      <c r="S31" s="468">
        <f t="shared" si="12"/>
        <v>100</v>
      </c>
      <c r="T31" s="467" t="s">
        <v>935</v>
      </c>
      <c r="U31" s="468">
        <f t="shared" si="13"/>
        <v>100</v>
      </c>
      <c r="V31" s="467" t="s">
        <v>935</v>
      </c>
      <c r="W31" s="468">
        <f t="shared" si="14"/>
        <v>100</v>
      </c>
      <c r="X31" s="454"/>
      <c r="Y31" s="406"/>
      <c r="Z31" s="453" t="str">
        <f t="shared" si="15"/>
        <v>建筑结构</v>
      </c>
      <c r="AA31" s="453">
        <f t="shared" si="3"/>
        <v>1</v>
      </c>
      <c r="AB31" s="453">
        <f t="shared" si="4"/>
        <v>1</v>
      </c>
      <c r="AC31" s="453">
        <f t="shared" si="5"/>
        <v>1</v>
      </c>
    </row>
    <row r="32" ht="15" spans="1:29">
      <c r="A32" s="301"/>
      <c r="B32" s="297" t="s">
        <v>2365</v>
      </c>
      <c r="C32" s="302"/>
      <c r="D32" s="258">
        <v>100</v>
      </c>
      <c r="E32" s="302"/>
      <c r="F32" s="288">
        <f>SUMIF(95:95,E32,96:96)-SUMIF(95:95,C32,96:96)+100</f>
        <v>100</v>
      </c>
      <c r="G32" s="302"/>
      <c r="H32" s="258">
        <f>SUMIF(95:95,G32,96:96)-SUMIF(95:95,C32,96:96)+100</f>
        <v>100</v>
      </c>
      <c r="I32" s="302"/>
      <c r="J32" s="258">
        <f>SUMIF(95:95,I32,96:96)-SUMIF(95:95,C32,96:96)+100</f>
        <v>100</v>
      </c>
      <c r="K32" s="391"/>
      <c r="L32" s="398"/>
      <c r="M32" s="338"/>
      <c r="N32" s="338"/>
      <c r="O32" s="397"/>
      <c r="P32" s="406"/>
      <c r="Q32" s="390" t="str">
        <f t="shared" si="11"/>
        <v>公共部分装修</v>
      </c>
      <c r="R32" s="467" t="s">
        <v>935</v>
      </c>
      <c r="S32" s="468">
        <f t="shared" si="12"/>
        <v>100</v>
      </c>
      <c r="T32" s="467" t="s">
        <v>935</v>
      </c>
      <c r="U32" s="468">
        <f t="shared" si="13"/>
        <v>100</v>
      </c>
      <c r="V32" s="467" t="s">
        <v>935</v>
      </c>
      <c r="W32" s="468">
        <f t="shared" si="14"/>
        <v>100</v>
      </c>
      <c r="X32" s="454"/>
      <c r="Y32" s="406"/>
      <c r="Z32" s="453" t="str">
        <f t="shared" si="15"/>
        <v>公共部分装修</v>
      </c>
      <c r="AA32" s="453">
        <f t="shared" si="3"/>
        <v>1</v>
      </c>
      <c r="AB32" s="453">
        <f t="shared" si="4"/>
        <v>1</v>
      </c>
      <c r="AC32" s="453">
        <f t="shared" si="5"/>
        <v>1</v>
      </c>
    </row>
    <row r="33" ht="15" spans="1:29">
      <c r="A33" s="301"/>
      <c r="B33" s="297" t="s">
        <v>2367</v>
      </c>
      <c r="C33" s="253"/>
      <c r="D33" s="258">
        <v>100</v>
      </c>
      <c r="E33" s="298"/>
      <c r="F33" s="288" t="e">
        <f>LOOKUP(E33,98:98,99:99)-LOOKUP(C33,98:98,99:99)+100</f>
        <v>#N/A</v>
      </c>
      <c r="G33" s="298"/>
      <c r="H33" s="288" t="e">
        <f>LOOKUP(G33,98:98,99:99)-LOOKUP(C33,98:98,99:99)+100</f>
        <v>#N/A</v>
      </c>
      <c r="I33" s="298"/>
      <c r="J33" s="258" t="e">
        <f>LOOKUP(I33,98:98,99:99)-LOOKUP(C33,98:98,99:99)+100</f>
        <v>#N/A</v>
      </c>
      <c r="K33" s="391"/>
      <c r="L33" s="398"/>
      <c r="M33" s="338"/>
      <c r="N33" s="338"/>
      <c r="O33" s="397"/>
      <c r="P33" s="406"/>
      <c r="Q33" s="390" t="str">
        <f t="shared" si="11"/>
        <v>成新度</v>
      </c>
      <c r="R33" s="467" t="s">
        <v>935</v>
      </c>
      <c r="S33" s="468" t="e">
        <f t="shared" si="12"/>
        <v>#N/A</v>
      </c>
      <c r="T33" s="467" t="s">
        <v>935</v>
      </c>
      <c r="U33" s="468" t="e">
        <f t="shared" si="13"/>
        <v>#N/A</v>
      </c>
      <c r="V33" s="467" t="s">
        <v>935</v>
      </c>
      <c r="W33" s="468" t="e">
        <f t="shared" si="14"/>
        <v>#N/A</v>
      </c>
      <c r="X33" s="454"/>
      <c r="Y33" s="406"/>
      <c r="Z33" s="453" t="str">
        <f t="shared" si="15"/>
        <v>成新度</v>
      </c>
      <c r="AA33" s="453" t="e">
        <f t="shared" si="3"/>
        <v>#N/A</v>
      </c>
      <c r="AB33" s="453" t="e">
        <f t="shared" si="4"/>
        <v>#N/A</v>
      </c>
      <c r="AC33" s="453" t="e">
        <f t="shared" si="5"/>
        <v>#N/A</v>
      </c>
    </row>
    <row r="34" s="189" customFormat="1" ht="15" spans="1:29">
      <c r="A34" s="304"/>
      <c r="B34" s="297" t="s">
        <v>2368</v>
      </c>
      <c r="C34" s="302"/>
      <c r="D34" s="248">
        <v>100</v>
      </c>
      <c r="E34" s="302"/>
      <c r="F34" s="288">
        <f>SUMIF(100:100,E34,101:101)-SUMIF(100:100,C34,101:101)+100</f>
        <v>100</v>
      </c>
      <c r="G34" s="302"/>
      <c r="H34" s="258">
        <f>SUMIF(100:100,G34,101:101)-SUMIF(100:100,C34,101:101)+100</f>
        <v>100</v>
      </c>
      <c r="I34" s="302"/>
      <c r="J34" s="258">
        <f>SUMIF(100:100,I34,101:101)-SUMIF(100:100,C34,101:101)+100</f>
        <v>100</v>
      </c>
      <c r="K34" s="391"/>
      <c r="L34" s="386"/>
      <c r="M34" s="387"/>
      <c r="N34" s="387"/>
      <c r="O34" s="389"/>
      <c r="P34" s="406"/>
      <c r="Q34" s="466" t="str">
        <f t="shared" si="11"/>
        <v>物业管理</v>
      </c>
      <c r="R34" s="462" t="s">
        <v>935</v>
      </c>
      <c r="S34" s="463">
        <f t="shared" si="12"/>
        <v>100</v>
      </c>
      <c r="T34" s="462" t="s">
        <v>935</v>
      </c>
      <c r="U34" s="463">
        <f t="shared" si="13"/>
        <v>100</v>
      </c>
      <c r="V34" s="462" t="s">
        <v>935</v>
      </c>
      <c r="W34" s="463">
        <f t="shared" si="14"/>
        <v>100</v>
      </c>
      <c r="X34" s="464"/>
      <c r="Y34" s="406"/>
      <c r="Z34" s="481" t="str">
        <f t="shared" si="15"/>
        <v>物业管理</v>
      </c>
      <c r="AA34" s="481">
        <f t="shared" si="3"/>
        <v>1</v>
      </c>
      <c r="AB34" s="481">
        <f t="shared" si="4"/>
        <v>1</v>
      </c>
      <c r="AC34" s="481">
        <f t="shared" si="5"/>
        <v>1</v>
      </c>
    </row>
    <row r="35" ht="15" spans="1:29">
      <c r="A35" s="301"/>
      <c r="B35" s="550" t="s">
        <v>2370</v>
      </c>
      <c r="C35" s="302"/>
      <c r="D35" s="258">
        <v>100</v>
      </c>
      <c r="E35" s="302"/>
      <c r="F35" s="288">
        <f>SUMIF(102:102,E35,103:103)-SUMIF(102:102,C35,103:103)+100</f>
        <v>100</v>
      </c>
      <c r="G35" s="302"/>
      <c r="H35" s="258">
        <f>SUMIF(102:102,G35,103:103)-SUMIF(102:102,C35,103:103)+100</f>
        <v>100</v>
      </c>
      <c r="I35" s="302"/>
      <c r="J35" s="258">
        <f>SUMIF(102:102,I35,103:103)-SUMIF(102:102,C35,103:103)+100</f>
        <v>100</v>
      </c>
      <c r="K35" s="391"/>
      <c r="L35" s="398"/>
      <c r="M35" s="338"/>
      <c r="N35" s="338"/>
      <c r="O35" s="397"/>
      <c r="P35" s="406" t="s">
        <v>954</v>
      </c>
      <c r="Q35" s="390" t="str">
        <f t="shared" si="11"/>
        <v>市政基础设施</v>
      </c>
      <c r="R35" s="467" t="s">
        <v>935</v>
      </c>
      <c r="S35" s="468">
        <f t="shared" si="12"/>
        <v>100</v>
      </c>
      <c r="T35" s="467" t="s">
        <v>935</v>
      </c>
      <c r="U35" s="468">
        <f t="shared" si="13"/>
        <v>100</v>
      </c>
      <c r="V35" s="467" t="s">
        <v>935</v>
      </c>
      <c r="W35" s="468">
        <f t="shared" si="14"/>
        <v>100</v>
      </c>
      <c r="X35" s="454"/>
      <c r="Y35" s="406" t="s">
        <v>954</v>
      </c>
      <c r="Z35" s="453" t="str">
        <f t="shared" si="15"/>
        <v>市政基础设施</v>
      </c>
      <c r="AA35" s="453">
        <f t="shared" si="3"/>
        <v>1</v>
      </c>
      <c r="AB35" s="453">
        <f t="shared" si="4"/>
        <v>1</v>
      </c>
      <c r="AC35" s="453">
        <f t="shared" si="5"/>
        <v>1</v>
      </c>
    </row>
    <row r="36" ht="15" spans="1:29">
      <c r="A36" s="301"/>
      <c r="B36" s="297" t="s">
        <v>2373</v>
      </c>
      <c r="C36" s="302"/>
      <c r="D36" s="258">
        <v>100</v>
      </c>
      <c r="E36" s="302"/>
      <c r="F36" s="288">
        <f>SUMIF(104:104,E36,105:105)-SUMIF(104:104,C36,105:105)+100</f>
        <v>100</v>
      </c>
      <c r="G36" s="302"/>
      <c r="H36" s="258">
        <f>SUMIF(104:104,G36,105:105)-SUMIF(104:104,C36,105:105)+100</f>
        <v>100</v>
      </c>
      <c r="I36" s="302"/>
      <c r="J36" s="258">
        <f>SUMIF(104:104,I36,105:105)-SUMIF(104:104,C36,105:105)+100</f>
        <v>100</v>
      </c>
      <c r="K36" s="391"/>
      <c r="L36" s="398"/>
      <c r="M36" s="338"/>
      <c r="N36" s="338"/>
      <c r="O36" s="397"/>
      <c r="P36" s="406"/>
      <c r="Q36" s="390" t="str">
        <f t="shared" si="11"/>
        <v>内部装修</v>
      </c>
      <c r="R36" s="467" t="s">
        <v>935</v>
      </c>
      <c r="S36" s="468">
        <f t="shared" si="12"/>
        <v>100</v>
      </c>
      <c r="T36" s="467" t="s">
        <v>935</v>
      </c>
      <c r="U36" s="468">
        <f t="shared" si="13"/>
        <v>100</v>
      </c>
      <c r="V36" s="467" t="s">
        <v>935</v>
      </c>
      <c r="W36" s="468">
        <f t="shared" si="14"/>
        <v>100</v>
      </c>
      <c r="X36" s="454"/>
      <c r="Y36" s="406"/>
      <c r="Z36" s="453" t="str">
        <f t="shared" si="15"/>
        <v>内部装修</v>
      </c>
      <c r="AA36" s="453">
        <f t="shared" si="3"/>
        <v>1</v>
      </c>
      <c r="AB36" s="453">
        <f t="shared" si="4"/>
        <v>1</v>
      </c>
      <c r="AC36" s="453">
        <f t="shared" si="5"/>
        <v>1</v>
      </c>
    </row>
    <row r="37" ht="15" spans="1:29">
      <c r="A37" s="301"/>
      <c r="B37" s="297" t="s">
        <v>2585</v>
      </c>
      <c r="C37" s="287"/>
      <c r="D37" s="258">
        <v>100</v>
      </c>
      <c r="E37" s="287"/>
      <c r="F37" s="288">
        <f>SUMIF(106:106,E37,107:107)-SUMIF(106:106,C37,107:107)+100</f>
        <v>100</v>
      </c>
      <c r="G37" s="287"/>
      <c r="H37" s="258">
        <f>SUMIF(106:106,G37,107:107)-SUMIF(106:106,C37,107:107)+100</f>
        <v>100</v>
      </c>
      <c r="I37" s="287"/>
      <c r="J37" s="258">
        <f>SUMIF(106:106,I37,107:107)-SUMIF(106:106,C37,107:107)+100</f>
        <v>100</v>
      </c>
      <c r="K37" s="391"/>
      <c r="L37" s="398"/>
      <c r="M37" s="338"/>
      <c r="N37" s="338"/>
      <c r="O37" s="397"/>
      <c r="P37" s="406"/>
      <c r="Q37" s="390" t="str">
        <f t="shared" si="11"/>
        <v>内部装修状况</v>
      </c>
      <c r="R37" s="467" t="s">
        <v>935</v>
      </c>
      <c r="S37" s="468">
        <f t="shared" si="12"/>
        <v>100</v>
      </c>
      <c r="T37" s="467" t="s">
        <v>935</v>
      </c>
      <c r="U37" s="468">
        <f t="shared" si="13"/>
        <v>100</v>
      </c>
      <c r="V37" s="467" t="s">
        <v>935</v>
      </c>
      <c r="W37" s="468">
        <f t="shared" si="14"/>
        <v>100</v>
      </c>
      <c r="X37" s="454"/>
      <c r="Y37" s="406"/>
      <c r="Z37" s="453" t="str">
        <f t="shared" si="15"/>
        <v>内部装修状况</v>
      </c>
      <c r="AA37" s="453">
        <f t="shared" si="3"/>
        <v>1</v>
      </c>
      <c r="AB37" s="453">
        <f t="shared" si="4"/>
        <v>1</v>
      </c>
      <c r="AC37" s="453">
        <f t="shared" si="5"/>
        <v>1</v>
      </c>
    </row>
    <row r="38" s="191" customFormat="1" ht="15" spans="1:29">
      <c r="A38" s="296"/>
      <c r="B38" s="548">
        <v>111</v>
      </c>
      <c r="C38" s="253"/>
      <c r="D38" s="258">
        <v>100</v>
      </c>
      <c r="E38" s="257"/>
      <c r="F38" s="288">
        <f>SUMIF(108:108,E38,109:109)-SUMIF(108:108,C38,109:109)+100</f>
        <v>100</v>
      </c>
      <c r="G38" s="253"/>
      <c r="H38" s="258">
        <f>SUMIF(108:108,G38,109:109)-SUMIF(108:108,C38,109:109)+100</f>
        <v>100</v>
      </c>
      <c r="I38" s="253"/>
      <c r="J38" s="258">
        <f>SUMIF(108:108,I38,109:1038)-SUMIF(108:108,C38,109:109)+100</f>
        <v>100</v>
      </c>
      <c r="K38" s="395"/>
      <c r="L38" s="396"/>
      <c r="M38" s="404"/>
      <c r="N38" s="404"/>
      <c r="O38" s="405"/>
      <c r="P38" s="406"/>
      <c r="Q38" s="469">
        <f t="shared" si="11"/>
        <v>111</v>
      </c>
      <c r="R38" s="470" t="s">
        <v>935</v>
      </c>
      <c r="S38" s="471">
        <f t="shared" si="12"/>
        <v>100</v>
      </c>
      <c r="T38" s="470" t="s">
        <v>935</v>
      </c>
      <c r="U38" s="471">
        <f t="shared" si="13"/>
        <v>100</v>
      </c>
      <c r="V38" s="470" t="s">
        <v>935</v>
      </c>
      <c r="W38" s="471">
        <f t="shared" si="14"/>
        <v>100</v>
      </c>
      <c r="X38" s="472"/>
      <c r="Y38" s="406"/>
      <c r="Z38" s="482">
        <f t="shared" si="15"/>
        <v>111</v>
      </c>
      <c r="AA38" s="453">
        <f t="shared" si="3"/>
        <v>1</v>
      </c>
      <c r="AB38" s="453">
        <f t="shared" si="4"/>
        <v>1</v>
      </c>
      <c r="AC38" s="453">
        <f t="shared" si="5"/>
        <v>1</v>
      </c>
    </row>
    <row r="39" ht="15" spans="1:29">
      <c r="A39" s="301"/>
      <c r="B39" s="548">
        <v>111</v>
      </c>
      <c r="C39" s="253"/>
      <c r="D39" s="258">
        <v>100</v>
      </c>
      <c r="E39" s="257"/>
      <c r="F39" s="288">
        <f>SUMIF(110:110,E39,111:111)-SUMIF(110:110,C39,111:111)+100</f>
        <v>100</v>
      </c>
      <c r="G39" s="253"/>
      <c r="H39" s="258">
        <f>SUMIF(110:110,G39,111:111)-SUMIF(110:110,C39,111:111)+100</f>
        <v>100</v>
      </c>
      <c r="I39" s="253"/>
      <c r="J39" s="258">
        <f>SUMIF(110:110,I39,111:111)-SUMIF(110:110,C39,111:111)+100</f>
        <v>100</v>
      </c>
      <c r="K39" s="395"/>
      <c r="L39" s="398"/>
      <c r="M39" s="338"/>
      <c r="N39" s="338"/>
      <c r="O39" s="397"/>
      <c r="P39" s="406"/>
      <c r="Q39" s="390">
        <f t="shared" si="11"/>
        <v>111</v>
      </c>
      <c r="R39" s="467" t="s">
        <v>935</v>
      </c>
      <c r="S39" s="468">
        <f t="shared" si="12"/>
        <v>100</v>
      </c>
      <c r="T39" s="467" t="s">
        <v>935</v>
      </c>
      <c r="U39" s="468">
        <f t="shared" si="13"/>
        <v>100</v>
      </c>
      <c r="V39" s="467" t="s">
        <v>935</v>
      </c>
      <c r="W39" s="468">
        <f t="shared" si="14"/>
        <v>100</v>
      </c>
      <c r="X39" s="454"/>
      <c r="Y39" s="406"/>
      <c r="Z39" s="453">
        <f t="shared" si="15"/>
        <v>111</v>
      </c>
      <c r="AA39" s="453">
        <f t="shared" si="3"/>
        <v>1</v>
      </c>
      <c r="AB39" s="453">
        <f t="shared" si="4"/>
        <v>1</v>
      </c>
      <c r="AC39" s="453">
        <f t="shared" si="5"/>
        <v>1</v>
      </c>
    </row>
    <row r="40" ht="15.75" spans="1:29">
      <c r="A40" s="305"/>
      <c r="B40" s="306">
        <v>111</v>
      </c>
      <c r="C40" s="307"/>
      <c r="D40" s="308">
        <v>100</v>
      </c>
      <c r="E40" s="257"/>
      <c r="F40" s="310">
        <f>SUMIF(112:112,E40,113:113)-SUMIF(112:112,C40,113:113)+100</f>
        <v>100</v>
      </c>
      <c r="G40" s="253"/>
      <c r="H40" s="308">
        <f>SUMIF(112:112,G40,113:113)-SUMIF(112:112,C40,113:113)+100</f>
        <v>100</v>
      </c>
      <c r="I40" s="253"/>
      <c r="J40" s="308">
        <f>SUMIF(112:112,I40,113:113)-SUMIF(112:112,C40,113:113)+100</f>
        <v>100</v>
      </c>
      <c r="K40" s="395"/>
      <c r="L40" s="398"/>
      <c r="M40" s="338"/>
      <c r="N40" s="338"/>
      <c r="O40" s="397"/>
      <c r="P40" s="553"/>
      <c r="Q40" s="390">
        <f t="shared" si="11"/>
        <v>111</v>
      </c>
      <c r="R40" s="467" t="s">
        <v>935</v>
      </c>
      <c r="S40" s="468">
        <f t="shared" si="12"/>
        <v>100</v>
      </c>
      <c r="T40" s="467" t="s">
        <v>935</v>
      </c>
      <c r="U40" s="468">
        <f t="shared" si="13"/>
        <v>100</v>
      </c>
      <c r="V40" s="467" t="s">
        <v>935</v>
      </c>
      <c r="W40" s="468">
        <f t="shared" si="14"/>
        <v>100</v>
      </c>
      <c r="X40" s="454"/>
      <c r="Y40" s="553"/>
      <c r="Z40" s="453">
        <f t="shared" si="15"/>
        <v>111</v>
      </c>
      <c r="AA40" s="453">
        <f t="shared" si="3"/>
        <v>1</v>
      </c>
      <c r="AB40" s="453">
        <f t="shared" si="4"/>
        <v>1</v>
      </c>
      <c r="AC40" s="453">
        <f t="shared" si="5"/>
        <v>1</v>
      </c>
    </row>
    <row r="41" ht="15" spans="1:29">
      <c r="A41" s="311" t="s">
        <v>2375</v>
      </c>
      <c r="B41" s="312"/>
      <c r="C41" s="313" t="s">
        <v>138</v>
      </c>
      <c r="D41" s="314"/>
      <c r="E41" s="315"/>
      <c r="F41" s="316"/>
      <c r="G41" s="317"/>
      <c r="H41" s="318"/>
      <c r="I41" s="315"/>
      <c r="J41" s="318"/>
      <c r="K41" s="407"/>
      <c r="L41" s="408"/>
      <c r="M41" s="338"/>
      <c r="N41" s="338"/>
      <c r="O41" s="338"/>
      <c r="P41" s="390" t="str">
        <f>A41</f>
        <v>成交单价（元/平方米）</v>
      </c>
      <c r="Q41" s="390"/>
      <c r="R41" s="453">
        <f>E41</f>
        <v>0</v>
      </c>
      <c r="S41" s="453"/>
      <c r="T41" s="453">
        <f>G41</f>
        <v>0</v>
      </c>
      <c r="U41" s="453"/>
      <c r="V41" s="453">
        <f>I41</f>
        <v>0</v>
      </c>
      <c r="W41" s="453"/>
      <c r="X41" s="267"/>
      <c r="Y41" s="483"/>
      <c r="Z41" s="267"/>
      <c r="AA41" s="267"/>
      <c r="AB41" s="267"/>
      <c r="AC41" s="267"/>
    </row>
    <row r="42" ht="15.75" spans="1:29">
      <c r="A42" s="319" t="s">
        <v>963</v>
      </c>
      <c r="B42" s="320"/>
      <c r="C42" s="321" t="e">
        <f>R43</f>
        <v>#DIV/0!</v>
      </c>
      <c r="D42" s="322" t="s">
        <v>964</v>
      </c>
      <c r="E42" s="323" t="e">
        <f>R42</f>
        <v>#DIV/0!</v>
      </c>
      <c r="F42" s="324"/>
      <c r="G42" s="321" t="e">
        <f>T42</f>
        <v>#DIV/0!</v>
      </c>
      <c r="H42" s="324"/>
      <c r="I42" s="323" t="e">
        <f>V42</f>
        <v>#DIV/0!</v>
      </c>
      <c r="J42" s="324"/>
      <c r="K42" s="409">
        <f>F42+H42+J42</f>
        <v>0</v>
      </c>
      <c r="L42" s="408"/>
      <c r="M42" s="338"/>
      <c r="N42" s="338"/>
      <c r="O42" s="338"/>
      <c r="P42" s="390" t="str">
        <f>A42</f>
        <v>比较价格（元/平方米）</v>
      </c>
      <c r="Q42" s="390"/>
      <c r="R42" s="453" t="e">
        <f>IF(F1="售价",ROUND(PRODUCT(R41,AA7:AA40),0),ROUND(PRODUCT(R41,AA7:AA40),1))</f>
        <v>#DIV/0!</v>
      </c>
      <c r="S42" s="453"/>
      <c r="T42" s="453" t="e">
        <f>IF(F1="售价",ROUND(PRODUCT(T41,AB7:AB40),0),ROUND(PRODUCT(T41,AB7:AB40),1))</f>
        <v>#DIV/0!</v>
      </c>
      <c r="U42" s="453"/>
      <c r="V42" s="453" t="e">
        <f>IF(F1="售价",ROUND(PRODUCT(V41,AC7:AC40),0),ROUND(PRODUCT(V41,AC7:AC40),1))</f>
        <v>#DIV/0!</v>
      </c>
      <c r="W42" s="453"/>
      <c r="X42" s="267"/>
      <c r="Y42" s="267"/>
      <c r="Z42" s="267"/>
      <c r="AA42" s="267"/>
      <c r="AB42" s="267"/>
      <c r="AC42" s="267"/>
    </row>
    <row r="43" ht="15.75" spans="1:29">
      <c r="A43" s="325" t="s">
        <v>965</v>
      </c>
      <c r="B43" s="326"/>
      <c r="C43" s="226" t="e">
        <f>R43</f>
        <v>#DIV/0!</v>
      </c>
      <c r="D43" s="226"/>
      <c r="E43" s="226"/>
      <c r="F43" s="226"/>
      <c r="G43" s="226"/>
      <c r="H43" s="226"/>
      <c r="I43" s="226"/>
      <c r="J43" s="226"/>
      <c r="K43" s="410"/>
      <c r="L43" s="408"/>
      <c r="M43" s="338"/>
      <c r="N43" s="338"/>
      <c r="O43" s="338"/>
      <c r="P43" s="288" t="str">
        <f>A43</f>
        <v>估价对象XX用房的比较价格（楼面单价，元/平方米）</v>
      </c>
      <c r="Q43" s="473"/>
      <c r="R43" s="474" t="e">
        <f>IF(F1="售价",ROUND(IF(D42="简单平均",AVERAGE(R42:V42),R42*F42+T42*H42+V42*J42),0),ROUND(IF(D42="简单平均",AVERAGE(R42:V42),R42*F42+T42*H42+V42*J42),1))</f>
        <v>#DIV/0!</v>
      </c>
      <c r="S43" s="474"/>
      <c r="T43" s="474"/>
      <c r="U43" s="474"/>
      <c r="V43" s="474"/>
      <c r="W43" s="474"/>
      <c r="X43" s="267"/>
      <c r="Y43" s="267"/>
      <c r="Z43" s="267"/>
      <c r="AA43" s="267"/>
      <c r="AB43" s="267"/>
      <c r="AC43" s="267"/>
    </row>
    <row r="44" spans="1:29">
      <c r="A44" s="327"/>
      <c r="B44" s="327"/>
      <c r="C44" s="327"/>
      <c r="D44" s="327"/>
      <c r="E44" s="327"/>
      <c r="F44" s="327"/>
      <c r="G44" s="328"/>
      <c r="H44" s="327"/>
      <c r="I44" s="327"/>
      <c r="J44" s="327"/>
      <c r="K44" s="411"/>
      <c r="L44" s="412"/>
      <c r="M44" s="338"/>
      <c r="N44" s="338"/>
      <c r="O44" s="338"/>
      <c r="P44" s="338"/>
      <c r="Q44" s="338"/>
      <c r="R44" s="338"/>
      <c r="S44" s="338"/>
      <c r="T44" s="338"/>
      <c r="U44" s="338"/>
      <c r="V44" s="338"/>
      <c r="W44" s="338"/>
      <c r="X44" s="338"/>
      <c r="Y44" s="338"/>
      <c r="Z44" s="338"/>
      <c r="AA44" s="338"/>
      <c r="AB44" s="338"/>
      <c r="AC44" s="338"/>
    </row>
    <row r="45" spans="1:29">
      <c r="A45" s="327"/>
      <c r="B45" s="327"/>
      <c r="C45" s="327"/>
      <c r="D45" s="327"/>
      <c r="E45" s="327"/>
      <c r="F45" s="327"/>
      <c r="G45" s="327"/>
      <c r="H45" s="327"/>
      <c r="I45" s="327"/>
      <c r="J45" s="327"/>
      <c r="K45" s="411"/>
      <c r="L45" s="412"/>
      <c r="M45" s="338"/>
      <c r="N45" s="338"/>
      <c r="O45" s="338"/>
      <c r="P45" s="338"/>
      <c r="Q45" s="338"/>
      <c r="R45" s="338"/>
      <c r="S45" s="338"/>
      <c r="T45" s="338"/>
      <c r="U45" s="338"/>
      <c r="V45" s="338"/>
      <c r="W45" s="338"/>
      <c r="X45" s="338"/>
      <c r="Y45" s="338"/>
      <c r="Z45" s="338"/>
      <c r="AA45" s="338"/>
      <c r="AB45" s="338"/>
      <c r="AC45" s="338"/>
    </row>
    <row r="46" ht="13.5" customHeight="1" spans="1:29">
      <c r="A46" s="327"/>
      <c r="B46" s="327"/>
      <c r="C46" s="329" t="s">
        <v>966</v>
      </c>
      <c r="D46" s="330"/>
      <c r="E46" s="331" t="e">
        <f>IF(E41&lt;E42,E42/E41-1,E41/E42-1)</f>
        <v>#DIV/0!</v>
      </c>
      <c r="F46" s="332" t="e">
        <f>IF(OR(E46&gt;=0.3,E46&lt;=-0.3),"超过30%","")</f>
        <v>#DIV/0!</v>
      </c>
      <c r="G46" s="331" t="e">
        <f>IF(G41&lt;G42,G42/G41-1,G41/G42-1)</f>
        <v>#DIV/0!</v>
      </c>
      <c r="H46" s="332" t="e">
        <f>IF(OR(G46&gt;=0.3,G46&lt;=-0.3),"超过30%","")</f>
        <v>#DIV/0!</v>
      </c>
      <c r="I46" s="331" t="e">
        <f>IF(I41&lt;I42,I42/I41-1,I41/I42-1)</f>
        <v>#DIV/0!</v>
      </c>
      <c r="J46" s="332" t="e">
        <f>IF(OR(I46&gt;=0.3,I46&lt;=-0.3),"超过30%","")</f>
        <v>#DIV/0!</v>
      </c>
      <c r="K46" s="411"/>
      <c r="L46" s="412"/>
      <c r="M46" s="338"/>
      <c r="N46" s="338"/>
      <c r="O46" s="338"/>
      <c r="P46" s="338"/>
      <c r="Q46" s="338"/>
      <c r="R46" s="338"/>
      <c r="S46" s="338"/>
      <c r="T46" s="338"/>
      <c r="U46" s="338"/>
      <c r="V46" s="338"/>
      <c r="W46" s="338"/>
      <c r="X46" s="338"/>
      <c r="Y46" s="338"/>
      <c r="Z46" s="338"/>
      <c r="AA46" s="338"/>
      <c r="AB46" s="338"/>
      <c r="AC46" s="338"/>
    </row>
    <row r="47" ht="13.5" customHeight="1" spans="1:29">
      <c r="A47" s="327"/>
      <c r="B47" s="327"/>
      <c r="C47" s="329" t="s">
        <v>967</v>
      </c>
      <c r="D47" s="333"/>
      <c r="E47" s="331" t="e">
        <f>IF(E42&lt;G42,G42/E42-1,E42/G42-1)</f>
        <v>#DIV/0!</v>
      </c>
      <c r="F47" s="332" t="e">
        <f>IF(OR(E47&gt;=0.2,E47&lt;=-0.2),"超过20%","")</f>
        <v>#DIV/0!</v>
      </c>
      <c r="G47" s="331" t="e">
        <f>IF(G42&lt;I42,I42/G42-1,G42/I42-1)</f>
        <v>#DIV/0!</v>
      </c>
      <c r="H47" s="332" t="e">
        <f>IF(OR(G47&gt;=0.2,G47&lt;=-0.2),"超过20%","")</f>
        <v>#DIV/0!</v>
      </c>
      <c r="I47" s="331" t="e">
        <f>IF(I42&lt;E42,E42/I42-1,I42/E42-1)</f>
        <v>#DIV/0!</v>
      </c>
      <c r="J47" s="332" t="e">
        <f>IF(OR(I47&gt;=0.2,I47&lt;=-0.2),"超过20%","")</f>
        <v>#DIV/0!</v>
      </c>
      <c r="K47" s="411"/>
      <c r="L47" s="412"/>
      <c r="M47" s="338"/>
      <c r="N47" s="338"/>
      <c r="O47" s="338"/>
      <c r="P47" s="338"/>
      <c r="Q47" s="338"/>
      <c r="R47" s="338"/>
      <c r="S47" s="338"/>
      <c r="T47" s="338"/>
      <c r="U47" s="338"/>
      <c r="V47" s="338"/>
      <c r="W47" s="338"/>
      <c r="X47" s="338"/>
      <c r="Y47" s="338"/>
      <c r="Z47" s="338"/>
      <c r="AA47" s="338"/>
      <c r="AB47" s="338"/>
      <c r="AC47" s="338"/>
    </row>
    <row r="48" s="192" customFormat="1" ht="13.5" customHeight="1" spans="1:29">
      <c r="A48" s="334"/>
      <c r="B48" s="334"/>
      <c r="C48" s="329" t="s">
        <v>968</v>
      </c>
      <c r="D48" s="333"/>
      <c r="E48" s="331" t="e">
        <f>IF(E41&lt;G41,G41/E41-1,E41/G41-1)</f>
        <v>#DIV/0!</v>
      </c>
      <c r="F48" s="332" t="e">
        <f>IF(OR(E48&gt;=0.3,E48&lt;=-0.3),"超过30%","")</f>
        <v>#DIV/0!</v>
      </c>
      <c r="G48" s="331" t="e">
        <f>IF(G41&lt;I41,I41/G41-1,G41/I41-1)</f>
        <v>#DIV/0!</v>
      </c>
      <c r="H48" s="332" t="e">
        <f>IF(OR(G48&gt;=0.3,G48&lt;=-0.3),"超过30%","")</f>
        <v>#DIV/0!</v>
      </c>
      <c r="I48" s="331" t="e">
        <f>IF(I41&lt;E41,E41/I41-1,I41/E41-1)</f>
        <v>#DIV/0!</v>
      </c>
      <c r="J48" s="332" t="e">
        <f>IF(OR(I48&gt;=0.3,I48&lt;=-0.3),"超过30%","")</f>
        <v>#DIV/0!</v>
      </c>
      <c r="K48" s="413"/>
      <c r="L48" s="414"/>
      <c r="M48" s="335"/>
      <c r="N48" s="335"/>
      <c r="O48" s="335"/>
      <c r="P48" s="335"/>
      <c r="Q48" s="335"/>
      <c r="R48" s="335"/>
      <c r="S48" s="335"/>
      <c r="T48" s="335"/>
      <c r="U48" s="335"/>
      <c r="V48" s="335"/>
      <c r="W48" s="335"/>
      <c r="X48" s="335"/>
      <c r="Y48" s="335"/>
      <c r="Z48" s="335"/>
      <c r="AA48" s="335"/>
      <c r="AB48" s="335"/>
      <c r="AC48" s="335"/>
    </row>
    <row r="49" s="192" customFormat="1" spans="1:29">
      <c r="A49" s="335"/>
      <c r="B49" s="336"/>
      <c r="C49" s="337"/>
      <c r="D49" s="335"/>
      <c r="E49" s="335"/>
      <c r="F49" s="335"/>
      <c r="G49" s="335"/>
      <c r="H49" s="335"/>
      <c r="I49" s="335"/>
      <c r="J49" s="335"/>
      <c r="K49" s="415"/>
      <c r="L49" s="414"/>
      <c r="M49" s="335"/>
      <c r="N49" s="335"/>
      <c r="O49" s="335"/>
      <c r="P49" s="335"/>
      <c r="Q49" s="335"/>
      <c r="R49" s="335"/>
      <c r="S49" s="335"/>
      <c r="T49" s="335"/>
      <c r="U49" s="335"/>
      <c r="V49" s="335"/>
      <c r="W49" s="335"/>
      <c r="X49" s="335"/>
      <c r="Y49" s="335"/>
      <c r="Z49" s="335"/>
      <c r="AA49" s="335"/>
      <c r="AB49" s="335"/>
      <c r="AC49" s="335"/>
    </row>
    <row r="50" spans="1:29">
      <c r="A50" s="338"/>
      <c r="B50" s="336"/>
      <c r="C50" s="337"/>
      <c r="D50" s="338"/>
      <c r="E50" s="338"/>
      <c r="F50" s="338"/>
      <c r="G50" s="338"/>
      <c r="H50" s="338"/>
      <c r="I50" s="338"/>
      <c r="J50" s="338"/>
      <c r="K50" s="416"/>
      <c r="L50" s="412"/>
      <c r="M50" s="338"/>
      <c r="N50" s="338"/>
      <c r="O50" s="338"/>
      <c r="P50" s="338"/>
      <c r="Q50" s="338"/>
      <c r="R50" s="338"/>
      <c r="S50" s="338"/>
      <c r="T50" s="338"/>
      <c r="U50" s="338"/>
      <c r="V50" s="338"/>
      <c r="W50" s="338"/>
      <c r="X50" s="338"/>
      <c r="Y50" s="338"/>
      <c r="Z50" s="338"/>
      <c r="AA50" s="338"/>
      <c r="AB50" s="338"/>
      <c r="AC50" s="338"/>
    </row>
    <row r="51" ht="21" spans="1:29">
      <c r="A51" s="339" t="s">
        <v>990</v>
      </c>
      <c r="B51" s="267"/>
      <c r="C51" s="340"/>
      <c r="D51" s="340"/>
      <c r="E51" s="340"/>
      <c r="F51" s="341"/>
      <c r="G51" s="341"/>
      <c r="H51" s="340"/>
      <c r="I51" s="340"/>
      <c r="J51" s="340"/>
      <c r="K51" s="417"/>
      <c r="L51" s="418"/>
      <c r="M51" s="340"/>
      <c r="N51" s="419"/>
      <c r="O51" s="419"/>
      <c r="P51" s="419"/>
      <c r="Q51" s="422"/>
      <c r="R51" s="338"/>
      <c r="S51" s="338"/>
      <c r="T51" s="338"/>
      <c r="U51" s="338"/>
      <c r="V51" s="338"/>
      <c r="W51" s="338"/>
      <c r="X51" s="338"/>
      <c r="Y51" s="338"/>
      <c r="Z51" s="338"/>
      <c r="AA51" s="338"/>
      <c r="AB51" s="338"/>
      <c r="AC51" s="338"/>
    </row>
    <row r="52" s="193" customFormat="1" ht="15" spans="1:29">
      <c r="A52" s="342" t="s">
        <v>933</v>
      </c>
      <c r="B52" s="343"/>
      <c r="C52" s="344" t="str">
        <f>YEAR(C7)&amp;"-"&amp;MONTH(C7)</f>
        <v>2023-11</v>
      </c>
      <c r="D52" s="345">
        <f>EDATE(C52,-1)</f>
        <v>45200</v>
      </c>
      <c r="E52" s="345">
        <f t="shared" ref="E52:O52" si="16">EDATE(D52,-1)</f>
        <v>45170</v>
      </c>
      <c r="F52" s="345">
        <f t="shared" si="16"/>
        <v>45139</v>
      </c>
      <c r="G52" s="345">
        <f t="shared" si="16"/>
        <v>45108</v>
      </c>
      <c r="H52" s="345">
        <f t="shared" si="16"/>
        <v>45078</v>
      </c>
      <c r="I52" s="345">
        <f t="shared" si="16"/>
        <v>45047</v>
      </c>
      <c r="J52" s="345">
        <f t="shared" si="16"/>
        <v>45017</v>
      </c>
      <c r="K52" s="345">
        <f t="shared" si="16"/>
        <v>44986</v>
      </c>
      <c r="L52" s="345">
        <f t="shared" si="16"/>
        <v>44958</v>
      </c>
      <c r="M52" s="345">
        <f t="shared" si="16"/>
        <v>44927</v>
      </c>
      <c r="N52" s="345">
        <f t="shared" si="16"/>
        <v>44896</v>
      </c>
      <c r="O52" s="345">
        <f t="shared" si="16"/>
        <v>44866</v>
      </c>
      <c r="P52" s="420"/>
      <c r="Q52" s="420"/>
      <c r="R52" s="420"/>
      <c r="S52" s="420"/>
      <c r="T52" s="420"/>
      <c r="U52" s="420"/>
      <c r="V52" s="420"/>
      <c r="W52" s="420"/>
      <c r="X52" s="420"/>
      <c r="Y52" s="420"/>
      <c r="Z52" s="420"/>
      <c r="AA52" s="420"/>
      <c r="AB52" s="420"/>
      <c r="AC52" s="420"/>
    </row>
    <row r="53" s="189" customFormat="1" ht="15" spans="1:29">
      <c r="A53" s="346"/>
      <c r="B53" s="347"/>
      <c r="C53" s="348">
        <v>100</v>
      </c>
      <c r="D53" s="349"/>
      <c r="E53" s="349"/>
      <c r="F53" s="349"/>
      <c r="G53" s="349"/>
      <c r="H53" s="349"/>
      <c r="I53" s="349"/>
      <c r="J53" s="349"/>
      <c r="K53" s="349"/>
      <c r="L53" s="349"/>
      <c r="M53" s="289"/>
      <c r="N53" s="349"/>
      <c r="O53" s="421"/>
      <c r="P53" s="422"/>
      <c r="Q53" s="387"/>
      <c r="R53" s="387"/>
      <c r="S53" s="387"/>
      <c r="T53" s="387"/>
      <c r="U53" s="387"/>
      <c r="V53" s="387"/>
      <c r="W53" s="387"/>
      <c r="X53" s="387"/>
      <c r="Y53" s="387"/>
      <c r="Z53" s="387"/>
      <c r="AA53" s="387"/>
      <c r="AB53" s="387"/>
      <c r="AC53" s="387"/>
    </row>
    <row r="54" s="189" customFormat="1" ht="15.75" spans="1:29">
      <c r="A54" s="350" t="s">
        <v>1105</v>
      </c>
      <c r="B54" s="351"/>
      <c r="C54" s="352"/>
      <c r="D54" s="353"/>
      <c r="E54" s="353"/>
      <c r="F54" s="353"/>
      <c r="G54" s="353"/>
      <c r="H54" s="353"/>
      <c r="I54" s="353"/>
      <c r="J54" s="353"/>
      <c r="K54" s="353"/>
      <c r="L54" s="353"/>
      <c r="M54" s="423"/>
      <c r="N54" s="353"/>
      <c r="O54" s="424"/>
      <c r="P54" s="422"/>
      <c r="Q54" s="422"/>
      <c r="R54" s="387"/>
      <c r="S54" s="387"/>
      <c r="T54" s="387"/>
      <c r="U54" s="387"/>
      <c r="V54" s="387"/>
      <c r="W54" s="387"/>
      <c r="X54" s="387"/>
      <c r="Y54" s="387"/>
      <c r="Z54" s="387"/>
      <c r="AA54" s="387"/>
      <c r="AB54" s="387"/>
      <c r="AC54" s="387"/>
    </row>
    <row r="55" s="189" customFormat="1" ht="15" spans="1:29">
      <c r="A55" s="354" t="s">
        <v>936</v>
      </c>
      <c r="B55" s="347"/>
      <c r="C55" s="355" t="s">
        <v>937</v>
      </c>
      <c r="D55" s="356"/>
      <c r="E55" s="356"/>
      <c r="F55" s="356"/>
      <c r="G55" s="356"/>
      <c r="H55" s="356"/>
      <c r="I55" s="356"/>
      <c r="J55" s="356"/>
      <c r="K55" s="356"/>
      <c r="L55" s="425"/>
      <c r="M55" s="426"/>
      <c r="N55" s="427"/>
      <c r="O55" s="427"/>
      <c r="P55" s="428"/>
      <c r="Q55" s="422"/>
      <c r="R55" s="387"/>
      <c r="S55" s="387"/>
      <c r="T55" s="387"/>
      <c r="U55" s="387"/>
      <c r="V55" s="387"/>
      <c r="W55" s="387"/>
      <c r="X55" s="387"/>
      <c r="Y55" s="387"/>
      <c r="Z55" s="387"/>
      <c r="AA55" s="387"/>
      <c r="AB55" s="387"/>
      <c r="AC55" s="387"/>
    </row>
    <row r="56" s="189" customFormat="1" ht="15.75" spans="1:29">
      <c r="A56" s="354"/>
      <c r="B56" s="347"/>
      <c r="C56" s="348">
        <v>100</v>
      </c>
      <c r="D56" s="349"/>
      <c r="E56" s="349"/>
      <c r="F56" s="349"/>
      <c r="G56" s="349"/>
      <c r="H56" s="349"/>
      <c r="I56" s="349"/>
      <c r="J56" s="349"/>
      <c r="K56" s="349"/>
      <c r="L56" s="349"/>
      <c r="M56" s="421"/>
      <c r="N56" s="427"/>
      <c r="O56" s="427"/>
      <c r="P56" s="422"/>
      <c r="Q56" s="422"/>
      <c r="R56" s="387"/>
      <c r="S56" s="387"/>
      <c r="T56" s="387"/>
      <c r="U56" s="387"/>
      <c r="V56" s="387"/>
      <c r="W56" s="387"/>
      <c r="X56" s="387"/>
      <c r="Y56" s="387"/>
      <c r="Z56" s="387"/>
      <c r="AA56" s="387"/>
      <c r="AB56" s="387"/>
      <c r="AC56" s="387"/>
    </row>
    <row r="57" spans="1:29">
      <c r="A57" s="357" t="s">
        <v>993</v>
      </c>
      <c r="B57" s="358" t="s">
        <v>994</v>
      </c>
      <c r="C57" s="359">
        <f>C9</f>
        <v>0</v>
      </c>
      <c r="D57" s="360"/>
      <c r="E57" s="360"/>
      <c r="F57" s="360"/>
      <c r="G57" s="360"/>
      <c r="H57" s="360"/>
      <c r="I57" s="360"/>
      <c r="J57" s="360"/>
      <c r="K57" s="429"/>
      <c r="L57" s="430"/>
      <c r="M57" s="431"/>
      <c r="N57" s="432"/>
      <c r="O57" s="432"/>
      <c r="P57" s="427"/>
      <c r="Q57" s="422"/>
      <c r="R57" s="338"/>
      <c r="S57" s="338"/>
      <c r="T57" s="338"/>
      <c r="U57" s="338"/>
      <c r="V57" s="338"/>
      <c r="W57" s="338"/>
      <c r="X57" s="338"/>
      <c r="Y57" s="338"/>
      <c r="Z57" s="338"/>
      <c r="AA57" s="338"/>
      <c r="AB57" s="338"/>
      <c r="AC57" s="338"/>
    </row>
    <row r="58" ht="15.75" spans="1:29">
      <c r="A58" s="266"/>
      <c r="B58" s="361"/>
      <c r="C58" s="362"/>
      <c r="D58" s="362"/>
      <c r="E58" s="362"/>
      <c r="F58" s="362"/>
      <c r="G58" s="362"/>
      <c r="H58" s="362"/>
      <c r="I58" s="362"/>
      <c r="J58" s="362"/>
      <c r="K58" s="362"/>
      <c r="L58" s="362"/>
      <c r="M58" s="433"/>
      <c r="N58" s="434"/>
      <c r="O58" s="434"/>
      <c r="P58" s="427"/>
      <c r="Q58" s="422"/>
      <c r="R58" s="338"/>
      <c r="S58" s="338"/>
      <c r="T58" s="338"/>
      <c r="U58" s="338"/>
      <c r="V58" s="338"/>
      <c r="W58" s="338"/>
      <c r="X58" s="338"/>
      <c r="Y58" s="338"/>
      <c r="Z58" s="338"/>
      <c r="AA58" s="338"/>
      <c r="AB58" s="338"/>
      <c r="AC58" s="338"/>
    </row>
    <row r="59" ht="27.75" spans="1:29">
      <c r="A59" s="266"/>
      <c r="B59" s="363" t="s">
        <v>995</v>
      </c>
      <c r="C59" s="364" t="s">
        <v>2376</v>
      </c>
      <c r="D59" s="364" t="s">
        <v>2377</v>
      </c>
      <c r="E59" s="364" t="s">
        <v>2378</v>
      </c>
      <c r="F59" s="364" t="s">
        <v>2379</v>
      </c>
      <c r="G59" s="364" t="s">
        <v>2380</v>
      </c>
      <c r="H59" s="364" t="s">
        <v>2381</v>
      </c>
      <c r="I59" s="364" t="s">
        <v>2382</v>
      </c>
      <c r="J59" s="364"/>
      <c r="K59" s="435"/>
      <c r="L59" s="436"/>
      <c r="M59" s="437"/>
      <c r="N59" s="432"/>
      <c r="O59" s="432"/>
      <c r="P59" s="427"/>
      <c r="Q59" s="422"/>
      <c r="R59" s="338"/>
      <c r="S59" s="338"/>
      <c r="T59" s="338"/>
      <c r="U59" s="338"/>
      <c r="V59" s="338"/>
      <c r="W59" s="338"/>
      <c r="X59" s="338"/>
      <c r="Y59" s="338"/>
      <c r="Z59" s="338"/>
      <c r="AA59" s="338"/>
      <c r="AB59" s="338"/>
      <c r="AC59" s="338"/>
    </row>
    <row r="60" ht="15.75" spans="1:29">
      <c r="A60" s="266"/>
      <c r="B60" s="365"/>
      <c r="C60" s="366" t="s">
        <v>989</v>
      </c>
      <c r="D60" s="366" t="s">
        <v>989</v>
      </c>
      <c r="E60" s="366">
        <v>100</v>
      </c>
      <c r="F60" s="366">
        <f>E60-$K10</f>
        <v>100</v>
      </c>
      <c r="G60" s="366">
        <f>F60-$K10</f>
        <v>100</v>
      </c>
      <c r="H60" s="366">
        <f>G60-$K10</f>
        <v>100</v>
      </c>
      <c r="I60" s="366">
        <f>H60-$K10</f>
        <v>100</v>
      </c>
      <c r="J60" s="366"/>
      <c r="K60" s="366"/>
      <c r="L60" s="366"/>
      <c r="M60" s="438"/>
      <c r="N60" s="434"/>
      <c r="O60" s="434"/>
      <c r="P60" s="427"/>
      <c r="Q60" s="422"/>
      <c r="R60" s="338"/>
      <c r="S60" s="338"/>
      <c r="T60" s="338"/>
      <c r="U60" s="338"/>
      <c r="V60" s="338"/>
      <c r="W60" s="338"/>
      <c r="X60" s="338"/>
      <c r="Y60" s="338"/>
      <c r="Z60" s="338"/>
      <c r="AA60" s="338"/>
      <c r="AB60" s="338"/>
      <c r="AC60" s="338"/>
    </row>
    <row r="61" ht="15.75" spans="1:29">
      <c r="A61" s="266"/>
      <c r="B61" s="486" t="s">
        <v>996</v>
      </c>
      <c r="C61" s="551" t="str">
        <f>C62&amp;"（含）"&amp;"-"&amp;D62</f>
        <v>（含）-</v>
      </c>
      <c r="D61" s="551" t="str">
        <f t="shared" ref="D61:L61" si="17">D62&amp;"（含）"&amp;"-"&amp;E62</f>
        <v>（含）-</v>
      </c>
      <c r="E61" s="551" t="str">
        <f t="shared" si="17"/>
        <v>（含）-</v>
      </c>
      <c r="F61" s="551" t="str">
        <f t="shared" si="17"/>
        <v>（含）-</v>
      </c>
      <c r="G61" s="551" t="str">
        <f t="shared" si="17"/>
        <v>（含）-</v>
      </c>
      <c r="H61" s="551" t="str">
        <f t="shared" si="17"/>
        <v>（含）-</v>
      </c>
      <c r="I61" s="551" t="str">
        <f t="shared" si="17"/>
        <v>（含）-</v>
      </c>
      <c r="J61" s="551" t="str">
        <f t="shared" si="17"/>
        <v>（含）-</v>
      </c>
      <c r="K61" s="551" t="str">
        <f t="shared" si="17"/>
        <v>（含）-</v>
      </c>
      <c r="L61" s="551" t="str">
        <f t="shared" si="17"/>
        <v>（含）-</v>
      </c>
      <c r="M61" s="269" t="str">
        <f>M62&amp;"（含）"&amp;"-"&amp;P62</f>
        <v>（含）-</v>
      </c>
      <c r="N61" s="434"/>
      <c r="O61" s="434"/>
      <c r="P61" s="427"/>
      <c r="Q61" s="422"/>
      <c r="R61" s="338"/>
      <c r="S61" s="338"/>
      <c r="T61" s="338"/>
      <c r="U61" s="338"/>
      <c r="V61" s="338"/>
      <c r="W61" s="338"/>
      <c r="X61" s="338"/>
      <c r="Y61" s="338"/>
      <c r="Z61" s="338"/>
      <c r="AA61" s="338"/>
      <c r="AB61" s="338"/>
      <c r="AC61" s="338"/>
    </row>
    <row r="62" ht="15" spans="1:29">
      <c r="A62" s="266"/>
      <c r="B62" s="552"/>
      <c r="C62" s="368"/>
      <c r="D62" s="368"/>
      <c r="E62" s="368"/>
      <c r="F62" s="368"/>
      <c r="G62" s="368"/>
      <c r="H62" s="368"/>
      <c r="I62" s="368"/>
      <c r="J62" s="368"/>
      <c r="K62" s="439"/>
      <c r="L62" s="440"/>
      <c r="M62" s="441"/>
      <c r="N62" s="432"/>
      <c r="O62" s="432"/>
      <c r="P62" s="427"/>
      <c r="Q62" s="422"/>
      <c r="R62" s="338"/>
      <c r="S62" s="338"/>
      <c r="T62" s="338"/>
      <c r="U62" s="338"/>
      <c r="V62" s="338"/>
      <c r="W62" s="338"/>
      <c r="X62" s="338"/>
      <c r="Y62" s="338"/>
      <c r="Z62" s="338"/>
      <c r="AA62" s="338"/>
      <c r="AB62" s="338"/>
      <c r="AC62" s="338"/>
    </row>
    <row r="63" ht="15.75" spans="1:29">
      <c r="A63" s="266"/>
      <c r="B63" s="361"/>
      <c r="C63" s="366">
        <v>100</v>
      </c>
      <c r="D63" s="366">
        <f t="shared" ref="D63:M63" si="18">C63-$K11</f>
        <v>100</v>
      </c>
      <c r="E63" s="366">
        <f t="shared" si="18"/>
        <v>100</v>
      </c>
      <c r="F63" s="366">
        <f t="shared" si="18"/>
        <v>100</v>
      </c>
      <c r="G63" s="366">
        <f t="shared" si="18"/>
        <v>100</v>
      </c>
      <c r="H63" s="366">
        <f t="shared" si="18"/>
        <v>100</v>
      </c>
      <c r="I63" s="366">
        <f t="shared" si="18"/>
        <v>100</v>
      </c>
      <c r="J63" s="366">
        <f t="shared" si="18"/>
        <v>100</v>
      </c>
      <c r="K63" s="366">
        <f t="shared" si="18"/>
        <v>100</v>
      </c>
      <c r="L63" s="366">
        <f t="shared" si="18"/>
        <v>100</v>
      </c>
      <c r="M63" s="438">
        <f t="shared" si="18"/>
        <v>100</v>
      </c>
      <c r="N63" s="434"/>
      <c r="O63" s="434"/>
      <c r="P63" s="427"/>
      <c r="Q63" s="422"/>
      <c r="R63" s="338"/>
      <c r="S63" s="338"/>
      <c r="T63" s="338"/>
      <c r="U63" s="338"/>
      <c r="V63" s="338"/>
      <c r="W63" s="338"/>
      <c r="X63" s="338"/>
      <c r="Y63" s="338"/>
      <c r="Z63" s="338"/>
      <c r="AA63" s="338"/>
      <c r="AB63" s="338"/>
      <c r="AC63" s="338"/>
    </row>
    <row r="64" s="191" customFormat="1" ht="15.75" spans="1:29">
      <c r="A64" s="370"/>
      <c r="B64" s="363">
        <f>B12</f>
        <v>111</v>
      </c>
      <c r="C64" s="371"/>
      <c r="D64" s="371"/>
      <c r="E64" s="371"/>
      <c r="F64" s="371"/>
      <c r="G64" s="371"/>
      <c r="H64" s="372"/>
      <c r="I64" s="372"/>
      <c r="J64" s="372"/>
      <c r="K64" s="372"/>
      <c r="L64" s="442"/>
      <c r="M64" s="443"/>
      <c r="N64" s="444"/>
      <c r="O64" s="444"/>
      <c r="P64" s="444"/>
      <c r="Q64" s="475"/>
      <c r="R64" s="404"/>
      <c r="S64" s="404"/>
      <c r="T64" s="404"/>
      <c r="U64" s="404"/>
      <c r="V64" s="404"/>
      <c r="W64" s="404"/>
      <c r="X64" s="404"/>
      <c r="Y64" s="404"/>
      <c r="Z64" s="404"/>
      <c r="AA64" s="404"/>
      <c r="AB64" s="404"/>
      <c r="AC64" s="404"/>
    </row>
    <row r="65" s="191" customFormat="1" ht="15.75" spans="1:29">
      <c r="A65" s="370"/>
      <c r="B65" s="365"/>
      <c r="C65" s="369"/>
      <c r="D65" s="362"/>
      <c r="E65" s="362"/>
      <c r="F65" s="362"/>
      <c r="G65" s="362"/>
      <c r="H65" s="362"/>
      <c r="I65" s="362"/>
      <c r="J65" s="362"/>
      <c r="K65" s="362"/>
      <c r="L65" s="362"/>
      <c r="M65" s="433"/>
      <c r="N65" s="434"/>
      <c r="O65" s="434"/>
      <c r="P65" s="444"/>
      <c r="Q65" s="475"/>
      <c r="R65" s="404"/>
      <c r="S65" s="404"/>
      <c r="T65" s="404"/>
      <c r="U65" s="404"/>
      <c r="V65" s="404"/>
      <c r="W65" s="404"/>
      <c r="X65" s="404"/>
      <c r="Y65" s="404"/>
      <c r="Z65" s="404"/>
      <c r="AA65" s="404"/>
      <c r="AB65" s="404"/>
      <c r="AC65" s="404"/>
    </row>
    <row r="66" s="191" customFormat="1" ht="15.75" spans="1:29">
      <c r="A66" s="370"/>
      <c r="B66" s="363">
        <f>B13</f>
        <v>111</v>
      </c>
      <c r="C66" s="371"/>
      <c r="D66" s="371"/>
      <c r="E66" s="371"/>
      <c r="F66" s="371"/>
      <c r="G66" s="371"/>
      <c r="H66" s="372"/>
      <c r="I66" s="372"/>
      <c r="J66" s="372"/>
      <c r="K66" s="372"/>
      <c r="L66" s="442"/>
      <c r="M66" s="443"/>
      <c r="N66" s="444"/>
      <c r="O66" s="444"/>
      <c r="P66" s="404"/>
      <c r="Q66" s="476"/>
      <c r="R66" s="404"/>
      <c r="S66" s="404"/>
      <c r="T66" s="404"/>
      <c r="U66" s="404"/>
      <c r="V66" s="404"/>
      <c r="W66" s="404"/>
      <c r="X66" s="404"/>
      <c r="Y66" s="404"/>
      <c r="Z66" s="404"/>
      <c r="AA66" s="404"/>
      <c r="AB66" s="404"/>
      <c r="AC66" s="404"/>
    </row>
    <row r="67" s="191" customFormat="1" ht="15.75" spans="1:29">
      <c r="A67" s="370"/>
      <c r="B67" s="365"/>
      <c r="C67" s="369"/>
      <c r="D67" s="362"/>
      <c r="E67" s="362"/>
      <c r="F67" s="362"/>
      <c r="G67" s="369"/>
      <c r="H67" s="373"/>
      <c r="I67" s="373"/>
      <c r="J67" s="373"/>
      <c r="K67" s="373"/>
      <c r="L67" s="373"/>
      <c r="M67" s="445"/>
      <c r="N67" s="444"/>
      <c r="O67" s="444"/>
      <c r="P67" s="444"/>
      <c r="Q67" s="475"/>
      <c r="R67" s="404"/>
      <c r="S67" s="404"/>
      <c r="T67" s="404"/>
      <c r="U67" s="404"/>
      <c r="V67" s="404"/>
      <c r="W67" s="404"/>
      <c r="X67" s="404"/>
      <c r="Y67" s="404"/>
      <c r="Z67" s="404"/>
      <c r="AA67" s="404"/>
      <c r="AB67" s="404"/>
      <c r="AC67" s="404"/>
    </row>
    <row r="68" s="191" customFormat="1" ht="15.75" spans="1:29">
      <c r="A68" s="370"/>
      <c r="B68" s="486">
        <f>B14</f>
        <v>111</v>
      </c>
      <c r="C68" s="356"/>
      <c r="D68" s="356"/>
      <c r="E68" s="356"/>
      <c r="F68" s="356"/>
      <c r="G68" s="356"/>
      <c r="H68" s="554"/>
      <c r="I68" s="554"/>
      <c r="J68" s="554"/>
      <c r="K68" s="554"/>
      <c r="L68" s="562"/>
      <c r="M68" s="563"/>
      <c r="N68" s="444"/>
      <c r="O68" s="444"/>
      <c r="P68" s="564"/>
      <c r="Q68" s="475"/>
      <c r="R68" s="404"/>
      <c r="S68" s="404"/>
      <c r="T68" s="404"/>
      <c r="U68" s="404"/>
      <c r="V68" s="404"/>
      <c r="W68" s="404"/>
      <c r="X68" s="404"/>
      <c r="Y68" s="404"/>
      <c r="Z68" s="404"/>
      <c r="AA68" s="404"/>
      <c r="AB68" s="404"/>
      <c r="AC68" s="404"/>
    </row>
    <row r="69" s="191" customFormat="1" ht="15.75" spans="1:29">
      <c r="A69" s="555"/>
      <c r="B69" s="556"/>
      <c r="C69" s="557"/>
      <c r="D69" s="557"/>
      <c r="E69" s="557"/>
      <c r="F69" s="557"/>
      <c r="G69" s="557"/>
      <c r="H69" s="558"/>
      <c r="I69" s="558"/>
      <c r="J69" s="558"/>
      <c r="K69" s="558"/>
      <c r="L69" s="558"/>
      <c r="M69" s="565"/>
      <c r="N69" s="444"/>
      <c r="O69" s="444"/>
      <c r="P69" s="444"/>
      <c r="Q69" s="475"/>
      <c r="R69" s="404"/>
      <c r="S69" s="404"/>
      <c r="T69" s="404"/>
      <c r="U69" s="404"/>
      <c r="V69" s="404"/>
      <c r="W69" s="404"/>
      <c r="X69" s="404"/>
      <c r="Y69" s="404"/>
      <c r="Z69" s="404"/>
      <c r="AA69" s="404"/>
      <c r="AB69" s="404"/>
      <c r="AC69" s="404"/>
    </row>
    <row r="70" spans="1:29">
      <c r="A70" s="357" t="s">
        <v>997</v>
      </c>
      <c r="B70" s="358" t="s">
        <v>227</v>
      </c>
      <c r="C70" s="374" t="s">
        <v>246</v>
      </c>
      <c r="D70" s="374" t="s">
        <v>258</v>
      </c>
      <c r="E70" s="374" t="s">
        <v>269</v>
      </c>
      <c r="F70" s="374" t="s">
        <v>279</v>
      </c>
      <c r="G70" s="374" t="s">
        <v>287</v>
      </c>
      <c r="H70" s="359"/>
      <c r="I70" s="359"/>
      <c r="J70" s="359"/>
      <c r="K70" s="446"/>
      <c r="L70" s="447"/>
      <c r="M70" s="448"/>
      <c r="N70" s="432"/>
      <c r="O70" s="432"/>
      <c r="P70" s="449"/>
      <c r="Q70" s="422"/>
      <c r="R70" s="338"/>
      <c r="S70" s="338"/>
      <c r="T70" s="338"/>
      <c r="U70" s="338"/>
      <c r="V70" s="338"/>
      <c r="W70" s="338"/>
      <c r="X70" s="338"/>
      <c r="Y70" s="338"/>
      <c r="Z70" s="338"/>
      <c r="AA70" s="338"/>
      <c r="AB70" s="338"/>
      <c r="AC70" s="338"/>
    </row>
    <row r="71" ht="15.75" spans="1:29">
      <c r="A71" s="266"/>
      <c r="B71" s="365"/>
      <c r="C71" s="366">
        <v>100</v>
      </c>
      <c r="D71" s="366">
        <f>C71-$K15</f>
        <v>100</v>
      </c>
      <c r="E71" s="366">
        <f>D71-$K15</f>
        <v>100</v>
      </c>
      <c r="F71" s="366">
        <f>E71-$K15</f>
        <v>100</v>
      </c>
      <c r="G71" s="366">
        <f>F71-$K15</f>
        <v>100</v>
      </c>
      <c r="H71" s="366"/>
      <c r="I71" s="366"/>
      <c r="J71" s="366"/>
      <c r="K71" s="366"/>
      <c r="L71" s="366"/>
      <c r="M71" s="438"/>
      <c r="N71" s="434"/>
      <c r="O71" s="434"/>
      <c r="P71" s="427"/>
      <c r="Q71" s="422"/>
      <c r="R71" s="338"/>
      <c r="S71" s="338"/>
      <c r="T71" s="338"/>
      <c r="U71" s="338"/>
      <c r="V71" s="338"/>
      <c r="W71" s="338"/>
      <c r="X71" s="338"/>
      <c r="Y71" s="338"/>
      <c r="Z71" s="338"/>
      <c r="AA71" s="338"/>
      <c r="AB71" s="338"/>
      <c r="AC71" s="338"/>
    </row>
    <row r="72" ht="15.75" spans="1:29">
      <c r="A72" s="266"/>
      <c r="B72" s="363" t="s">
        <v>229</v>
      </c>
      <c r="C72" s="376" t="s">
        <v>246</v>
      </c>
      <c r="D72" s="376" t="s">
        <v>258</v>
      </c>
      <c r="E72" s="376" t="s">
        <v>269</v>
      </c>
      <c r="F72" s="376" t="s">
        <v>279</v>
      </c>
      <c r="G72" s="376" t="s">
        <v>287</v>
      </c>
      <c r="H72" s="364"/>
      <c r="I72" s="364"/>
      <c r="J72" s="364"/>
      <c r="K72" s="435"/>
      <c r="L72" s="436"/>
      <c r="M72" s="437"/>
      <c r="N72" s="432"/>
      <c r="O72" s="432"/>
      <c r="P72" s="427"/>
      <c r="Q72" s="422"/>
      <c r="R72" s="338"/>
      <c r="S72" s="338"/>
      <c r="T72" s="338"/>
      <c r="U72" s="338"/>
      <c r="V72" s="338"/>
      <c r="W72" s="338"/>
      <c r="X72" s="338"/>
      <c r="Y72" s="338"/>
      <c r="Z72" s="338"/>
      <c r="AA72" s="338"/>
      <c r="AB72" s="338"/>
      <c r="AC72" s="338"/>
    </row>
    <row r="73" ht="15.75" spans="1:29">
      <c r="A73" s="266"/>
      <c r="B73" s="365"/>
      <c r="C73" s="366">
        <v>100</v>
      </c>
      <c r="D73" s="366">
        <f>C73-$K17</f>
        <v>100</v>
      </c>
      <c r="E73" s="366">
        <f>D73-$K17</f>
        <v>100</v>
      </c>
      <c r="F73" s="366">
        <f>E73-$K17</f>
        <v>100</v>
      </c>
      <c r="G73" s="366">
        <f>F73-$K17</f>
        <v>100</v>
      </c>
      <c r="H73" s="366"/>
      <c r="I73" s="366"/>
      <c r="J73" s="366"/>
      <c r="K73" s="366"/>
      <c r="L73" s="366"/>
      <c r="M73" s="438"/>
      <c r="N73" s="434"/>
      <c r="O73" s="434"/>
      <c r="P73" s="427"/>
      <c r="Q73" s="422"/>
      <c r="R73" s="338"/>
      <c r="S73" s="338"/>
      <c r="T73" s="338"/>
      <c r="U73" s="338"/>
      <c r="V73" s="338"/>
      <c r="W73" s="338"/>
      <c r="X73" s="338"/>
      <c r="Y73" s="338"/>
      <c r="Z73" s="338"/>
      <c r="AA73" s="338"/>
      <c r="AB73" s="338"/>
      <c r="AC73" s="338"/>
    </row>
    <row r="74" ht="15.75" spans="1:29">
      <c r="A74" s="266"/>
      <c r="B74" s="375" t="s">
        <v>231</v>
      </c>
      <c r="C74" s="376" t="s">
        <v>246</v>
      </c>
      <c r="D74" s="376" t="s">
        <v>258</v>
      </c>
      <c r="E74" s="376" t="s">
        <v>269</v>
      </c>
      <c r="F74" s="376" t="s">
        <v>279</v>
      </c>
      <c r="G74" s="376" t="s">
        <v>287</v>
      </c>
      <c r="H74" s="364"/>
      <c r="I74" s="364"/>
      <c r="J74" s="364"/>
      <c r="K74" s="435"/>
      <c r="L74" s="436"/>
      <c r="M74" s="437"/>
      <c r="N74" s="432"/>
      <c r="O74" s="432"/>
      <c r="P74" s="427"/>
      <c r="Q74" s="422"/>
      <c r="R74" s="338"/>
      <c r="S74" s="338"/>
      <c r="T74" s="338"/>
      <c r="U74" s="338"/>
      <c r="V74" s="338"/>
      <c r="W74" s="338"/>
      <c r="X74" s="338"/>
      <c r="Y74" s="338"/>
      <c r="Z74" s="338"/>
      <c r="AA74" s="338"/>
      <c r="AB74" s="338"/>
      <c r="AC74" s="338"/>
    </row>
    <row r="75" ht="15.75" spans="1:29">
      <c r="A75" s="266"/>
      <c r="B75" s="365"/>
      <c r="C75" s="366">
        <v>100</v>
      </c>
      <c r="D75" s="366">
        <f>C75-$K19</f>
        <v>100</v>
      </c>
      <c r="E75" s="366">
        <f>D75-$K19</f>
        <v>100</v>
      </c>
      <c r="F75" s="366">
        <f>E75-$K19</f>
        <v>100</v>
      </c>
      <c r="G75" s="366">
        <f>F75-$K19</f>
        <v>100</v>
      </c>
      <c r="H75" s="366"/>
      <c r="I75" s="366"/>
      <c r="J75" s="366"/>
      <c r="K75" s="366"/>
      <c r="L75" s="366"/>
      <c r="M75" s="438"/>
      <c r="N75" s="434"/>
      <c r="O75" s="434"/>
      <c r="P75" s="427"/>
      <c r="Q75" s="422"/>
      <c r="R75" s="338"/>
      <c r="S75" s="338"/>
      <c r="T75" s="338"/>
      <c r="U75" s="338"/>
      <c r="V75" s="338"/>
      <c r="W75" s="338"/>
      <c r="X75" s="338"/>
      <c r="Y75" s="338"/>
      <c r="Z75" s="338"/>
      <c r="AA75" s="338"/>
      <c r="AB75" s="338"/>
      <c r="AC75" s="338"/>
    </row>
    <row r="76" ht="15.75" spans="1:29">
      <c r="A76" s="266"/>
      <c r="B76" s="484" t="s">
        <v>232</v>
      </c>
      <c r="C76" s="485" t="s">
        <v>247</v>
      </c>
      <c r="D76" s="485" t="s">
        <v>259</v>
      </c>
      <c r="E76" s="485" t="s">
        <v>270</v>
      </c>
      <c r="F76" s="485" t="s">
        <v>280</v>
      </c>
      <c r="G76" s="485" t="s">
        <v>288</v>
      </c>
      <c r="H76" s="367"/>
      <c r="I76" s="367"/>
      <c r="J76" s="367"/>
      <c r="K76" s="367"/>
      <c r="L76" s="367"/>
      <c r="M76" s="271"/>
      <c r="N76" s="434"/>
      <c r="O76" s="434"/>
      <c r="P76" s="427"/>
      <c r="Q76" s="422"/>
      <c r="R76" s="338"/>
      <c r="S76" s="338"/>
      <c r="T76" s="338"/>
      <c r="U76" s="338"/>
      <c r="V76" s="338"/>
      <c r="W76" s="338"/>
      <c r="X76" s="338"/>
      <c r="Y76" s="338"/>
      <c r="Z76" s="338"/>
      <c r="AA76" s="338"/>
      <c r="AB76" s="338"/>
      <c r="AC76" s="338"/>
    </row>
    <row r="77" ht="15.75" spans="1:29">
      <c r="A77" s="266"/>
      <c r="B77" s="486"/>
      <c r="C77" s="366">
        <v>100</v>
      </c>
      <c r="D77" s="366">
        <f>C77-$K21</f>
        <v>100</v>
      </c>
      <c r="E77" s="366">
        <f>D77-$K21</f>
        <v>100</v>
      </c>
      <c r="F77" s="366">
        <f>E77-$K21</f>
        <v>100</v>
      </c>
      <c r="G77" s="366">
        <f>F77-$K21</f>
        <v>100</v>
      </c>
      <c r="H77" s="366"/>
      <c r="I77" s="366"/>
      <c r="J77" s="366"/>
      <c r="K77" s="366"/>
      <c r="L77" s="366"/>
      <c r="M77" s="438"/>
      <c r="N77" s="434"/>
      <c r="O77" s="434"/>
      <c r="P77" s="427"/>
      <c r="Q77" s="422"/>
      <c r="R77" s="338"/>
      <c r="S77" s="338"/>
      <c r="T77" s="338"/>
      <c r="U77" s="338"/>
      <c r="V77" s="338"/>
      <c r="W77" s="338"/>
      <c r="X77" s="338"/>
      <c r="Y77" s="338"/>
      <c r="Z77" s="338"/>
      <c r="AA77" s="338"/>
      <c r="AB77" s="338"/>
      <c r="AC77" s="338"/>
    </row>
    <row r="78" ht="15.75" spans="1:29">
      <c r="A78" s="266"/>
      <c r="B78" s="363" t="s">
        <v>233</v>
      </c>
      <c r="C78" s="376" t="s">
        <v>246</v>
      </c>
      <c r="D78" s="376" t="s">
        <v>258</v>
      </c>
      <c r="E78" s="376" t="s">
        <v>269</v>
      </c>
      <c r="F78" s="376" t="s">
        <v>279</v>
      </c>
      <c r="G78" s="376" t="s">
        <v>287</v>
      </c>
      <c r="H78" s="364"/>
      <c r="I78" s="364"/>
      <c r="J78" s="364"/>
      <c r="K78" s="435"/>
      <c r="L78" s="436"/>
      <c r="M78" s="437"/>
      <c r="N78" s="432"/>
      <c r="O78" s="432"/>
      <c r="P78" s="427"/>
      <c r="Q78" s="422"/>
      <c r="R78" s="338"/>
      <c r="S78" s="338"/>
      <c r="T78" s="338"/>
      <c r="U78" s="338"/>
      <c r="V78" s="338"/>
      <c r="W78" s="338"/>
      <c r="X78" s="338"/>
      <c r="Y78" s="338"/>
      <c r="Z78" s="338"/>
      <c r="AA78" s="338"/>
      <c r="AB78" s="338"/>
      <c r="AC78" s="338"/>
    </row>
    <row r="79" ht="15.75" spans="1:29">
      <c r="A79" s="266"/>
      <c r="B79" s="365"/>
      <c r="C79" s="366">
        <v>100</v>
      </c>
      <c r="D79" s="366">
        <f>C79-$K23</f>
        <v>100</v>
      </c>
      <c r="E79" s="366">
        <f>D79-$K23</f>
        <v>100</v>
      </c>
      <c r="F79" s="366">
        <f>E79-$K23</f>
        <v>100</v>
      </c>
      <c r="G79" s="366">
        <f>F79-$K23</f>
        <v>100</v>
      </c>
      <c r="H79" s="366"/>
      <c r="I79" s="366"/>
      <c r="J79" s="366"/>
      <c r="K79" s="366"/>
      <c r="L79" s="366"/>
      <c r="M79" s="438"/>
      <c r="N79" s="434"/>
      <c r="O79" s="434"/>
      <c r="P79" s="427"/>
      <c r="Q79" s="422"/>
      <c r="R79" s="338"/>
      <c r="S79" s="338"/>
      <c r="T79" s="338"/>
      <c r="U79" s="338"/>
      <c r="V79" s="338"/>
      <c r="W79" s="338"/>
      <c r="X79" s="338"/>
      <c r="Y79" s="338"/>
      <c r="Z79" s="338"/>
      <c r="AA79" s="338"/>
      <c r="AB79" s="338"/>
      <c r="AC79" s="338"/>
    </row>
    <row r="80" s="189" customFormat="1" ht="15.75" spans="1:29">
      <c r="A80" s="290"/>
      <c r="B80" s="363">
        <f>B25</f>
        <v>111</v>
      </c>
      <c r="C80" s="371"/>
      <c r="D80" s="371"/>
      <c r="E80" s="371"/>
      <c r="F80" s="371"/>
      <c r="G80" s="371"/>
      <c r="H80" s="371"/>
      <c r="I80" s="371"/>
      <c r="J80" s="371"/>
      <c r="K80" s="371"/>
      <c r="L80" s="496"/>
      <c r="M80" s="497"/>
      <c r="N80" s="427"/>
      <c r="O80" s="427"/>
      <c r="P80" s="427"/>
      <c r="Q80" s="422"/>
      <c r="R80" s="387"/>
      <c r="S80" s="387"/>
      <c r="T80" s="387"/>
      <c r="U80" s="387"/>
      <c r="V80" s="387"/>
      <c r="W80" s="387"/>
      <c r="X80" s="387"/>
      <c r="Y80" s="387"/>
      <c r="Z80" s="387"/>
      <c r="AA80" s="387"/>
      <c r="AB80" s="387"/>
      <c r="AC80" s="387"/>
    </row>
    <row r="81" s="189" customFormat="1" ht="15.75" spans="1:29">
      <c r="A81" s="290"/>
      <c r="B81" s="365"/>
      <c r="C81" s="369"/>
      <c r="D81" s="362"/>
      <c r="E81" s="362"/>
      <c r="F81" s="362"/>
      <c r="G81" s="362"/>
      <c r="H81" s="362"/>
      <c r="I81" s="362"/>
      <c r="J81" s="362"/>
      <c r="K81" s="362"/>
      <c r="L81" s="362"/>
      <c r="M81" s="433"/>
      <c r="N81" s="434"/>
      <c r="O81" s="434"/>
      <c r="P81" s="427"/>
      <c r="Q81" s="422"/>
      <c r="R81" s="387"/>
      <c r="S81" s="387"/>
      <c r="T81" s="387"/>
      <c r="U81" s="387"/>
      <c r="V81" s="387"/>
      <c r="W81" s="387"/>
      <c r="X81" s="387"/>
      <c r="Y81" s="387"/>
      <c r="Z81" s="387"/>
      <c r="AA81" s="387"/>
      <c r="AB81" s="387"/>
      <c r="AC81" s="387"/>
    </row>
    <row r="82" s="189" customFormat="1" ht="15.75" spans="1:29">
      <c r="A82" s="290"/>
      <c r="B82" s="363">
        <f>B26</f>
        <v>111</v>
      </c>
      <c r="C82" s="371"/>
      <c r="D82" s="371"/>
      <c r="E82" s="371"/>
      <c r="F82" s="371"/>
      <c r="G82" s="371"/>
      <c r="H82" s="371"/>
      <c r="I82" s="371"/>
      <c r="J82" s="371"/>
      <c r="K82" s="371"/>
      <c r="L82" s="496"/>
      <c r="M82" s="497"/>
      <c r="N82" s="427"/>
      <c r="O82" s="427"/>
      <c r="P82" s="427"/>
      <c r="Q82" s="422"/>
      <c r="R82" s="387"/>
      <c r="S82" s="387"/>
      <c r="T82" s="387"/>
      <c r="U82" s="387"/>
      <c r="V82" s="387"/>
      <c r="W82" s="387"/>
      <c r="X82" s="387"/>
      <c r="Y82" s="387"/>
      <c r="Z82" s="387"/>
      <c r="AA82" s="387"/>
      <c r="AB82" s="387"/>
      <c r="AC82" s="387"/>
    </row>
    <row r="83" s="189" customFormat="1" ht="15.75" spans="1:29">
      <c r="A83" s="290"/>
      <c r="B83" s="365"/>
      <c r="C83" s="369"/>
      <c r="D83" s="362"/>
      <c r="E83" s="362"/>
      <c r="F83" s="362"/>
      <c r="G83" s="362"/>
      <c r="H83" s="362"/>
      <c r="I83" s="362"/>
      <c r="J83" s="362"/>
      <c r="K83" s="362"/>
      <c r="L83" s="362"/>
      <c r="M83" s="433"/>
      <c r="N83" s="434"/>
      <c r="O83" s="434"/>
      <c r="P83" s="427"/>
      <c r="Q83" s="422"/>
      <c r="R83" s="387"/>
      <c r="S83" s="387"/>
      <c r="T83" s="387"/>
      <c r="U83" s="387"/>
      <c r="V83" s="387"/>
      <c r="W83" s="387"/>
      <c r="X83" s="387"/>
      <c r="Y83" s="387"/>
      <c r="Z83" s="387"/>
      <c r="AA83" s="387"/>
      <c r="AB83" s="387"/>
      <c r="AC83" s="387"/>
    </row>
    <row r="84" s="191" customFormat="1" ht="15.75" spans="1:29">
      <c r="A84" s="370"/>
      <c r="B84" s="363">
        <f>B27</f>
        <v>111</v>
      </c>
      <c r="C84" s="371"/>
      <c r="D84" s="371"/>
      <c r="E84" s="371"/>
      <c r="F84" s="371"/>
      <c r="G84" s="371"/>
      <c r="H84" s="371"/>
      <c r="I84" s="371"/>
      <c r="J84" s="371"/>
      <c r="K84" s="371"/>
      <c r="L84" s="496"/>
      <c r="M84" s="497"/>
      <c r="N84" s="444"/>
      <c r="O84" s="444"/>
      <c r="P84" s="444"/>
      <c r="Q84" s="475"/>
      <c r="R84" s="404"/>
      <c r="S84" s="404"/>
      <c r="T84" s="404"/>
      <c r="U84" s="404"/>
      <c r="V84" s="404"/>
      <c r="W84" s="404"/>
      <c r="X84" s="404"/>
      <c r="Y84" s="404"/>
      <c r="Z84" s="404"/>
      <c r="AA84" s="404"/>
      <c r="AB84" s="404"/>
      <c r="AC84" s="404"/>
    </row>
    <row r="85" s="191" customFormat="1" ht="15.75" spans="1:29">
      <c r="A85" s="370"/>
      <c r="B85" s="365"/>
      <c r="C85" s="369"/>
      <c r="D85" s="362"/>
      <c r="E85" s="362"/>
      <c r="F85" s="362"/>
      <c r="G85" s="362"/>
      <c r="H85" s="362"/>
      <c r="I85" s="362"/>
      <c r="J85" s="362"/>
      <c r="K85" s="362"/>
      <c r="L85" s="362"/>
      <c r="M85" s="433"/>
      <c r="N85" s="444"/>
      <c r="O85" s="444"/>
      <c r="P85" s="444"/>
      <c r="Q85" s="475"/>
      <c r="R85" s="404"/>
      <c r="S85" s="404"/>
      <c r="T85" s="404"/>
      <c r="U85" s="404"/>
      <c r="V85" s="404"/>
      <c r="W85" s="404"/>
      <c r="X85" s="404"/>
      <c r="Y85" s="404"/>
      <c r="Z85" s="404"/>
      <c r="AA85" s="404"/>
      <c r="AB85" s="404"/>
      <c r="AC85" s="404"/>
    </row>
    <row r="86" ht="15.75" spans="1:29">
      <c r="A86" s="266"/>
      <c r="B86" s="486">
        <f>B28</f>
        <v>111</v>
      </c>
      <c r="C86" s="356"/>
      <c r="D86" s="356"/>
      <c r="E86" s="356"/>
      <c r="F86" s="356"/>
      <c r="G86" s="559"/>
      <c r="H86" s="559"/>
      <c r="I86" s="559"/>
      <c r="J86" s="559"/>
      <c r="K86" s="566"/>
      <c r="L86" s="567"/>
      <c r="M86" s="568"/>
      <c r="N86" s="432"/>
      <c r="O86" s="432"/>
      <c r="P86" s="427"/>
      <c r="Q86" s="422"/>
      <c r="R86" s="338"/>
      <c r="S86" s="338"/>
      <c r="T86" s="338"/>
      <c r="U86" s="338"/>
      <c r="V86" s="338"/>
      <c r="W86" s="338"/>
      <c r="X86" s="338"/>
      <c r="Y86" s="338"/>
      <c r="Z86" s="338"/>
      <c r="AA86" s="338"/>
      <c r="AB86" s="338"/>
      <c r="AC86" s="338"/>
    </row>
    <row r="87" ht="15.75" spans="1:29">
      <c r="A87" s="549"/>
      <c r="B87" s="556"/>
      <c r="C87" s="557"/>
      <c r="D87" s="557"/>
      <c r="E87" s="557"/>
      <c r="F87" s="557"/>
      <c r="G87" s="560"/>
      <c r="H87" s="560"/>
      <c r="I87" s="560"/>
      <c r="J87" s="560"/>
      <c r="K87" s="560"/>
      <c r="L87" s="560"/>
      <c r="M87" s="569"/>
      <c r="N87" s="434"/>
      <c r="O87" s="434"/>
      <c r="P87" s="427"/>
      <c r="Q87" s="422"/>
      <c r="R87" s="338"/>
      <c r="S87" s="338"/>
      <c r="T87" s="338"/>
      <c r="U87" s="338"/>
      <c r="V87" s="338"/>
      <c r="W87" s="338"/>
      <c r="X87" s="338"/>
      <c r="Y87" s="338"/>
      <c r="Z87" s="338"/>
      <c r="AA87" s="338"/>
      <c r="AB87" s="338"/>
      <c r="AC87" s="338"/>
    </row>
    <row r="88" spans="1:29">
      <c r="A88" s="357" t="s">
        <v>1002</v>
      </c>
      <c r="B88" s="358" t="s">
        <v>2360</v>
      </c>
      <c r="C88" s="360"/>
      <c r="D88" s="360"/>
      <c r="E88" s="360"/>
      <c r="F88" s="360"/>
      <c r="G88" s="360"/>
      <c r="H88" s="360"/>
      <c r="I88" s="360"/>
      <c r="J88" s="360"/>
      <c r="K88" s="429"/>
      <c r="L88" s="430"/>
      <c r="M88" s="431"/>
      <c r="N88" s="432"/>
      <c r="O88" s="432"/>
      <c r="P88" s="427"/>
      <c r="Q88" s="422"/>
      <c r="R88" s="338"/>
      <c r="S88" s="338"/>
      <c r="T88" s="338"/>
      <c r="U88" s="338"/>
      <c r="V88" s="338"/>
      <c r="W88" s="338"/>
      <c r="X88" s="338"/>
      <c r="Y88" s="338"/>
      <c r="Z88" s="338"/>
      <c r="AA88" s="338"/>
      <c r="AB88" s="338"/>
      <c r="AC88" s="338"/>
    </row>
    <row r="89" ht="15.75" spans="1:29">
      <c r="A89" s="266"/>
      <c r="B89" s="365"/>
      <c r="C89" s="366">
        <v>100</v>
      </c>
      <c r="D89" s="366">
        <f t="shared" ref="D89:M89" si="19">C89-$K29</f>
        <v>100</v>
      </c>
      <c r="E89" s="366">
        <f t="shared" si="19"/>
        <v>100</v>
      </c>
      <c r="F89" s="366">
        <f t="shared" si="19"/>
        <v>100</v>
      </c>
      <c r="G89" s="366">
        <f t="shared" si="19"/>
        <v>100</v>
      </c>
      <c r="H89" s="366">
        <f t="shared" si="19"/>
        <v>100</v>
      </c>
      <c r="I89" s="366">
        <f t="shared" si="19"/>
        <v>100</v>
      </c>
      <c r="J89" s="366">
        <f t="shared" si="19"/>
        <v>100</v>
      </c>
      <c r="K89" s="366">
        <f t="shared" si="19"/>
        <v>100</v>
      </c>
      <c r="L89" s="366">
        <f t="shared" si="19"/>
        <v>100</v>
      </c>
      <c r="M89" s="438">
        <f t="shared" si="19"/>
        <v>100</v>
      </c>
      <c r="N89" s="434"/>
      <c r="O89" s="434"/>
      <c r="P89" s="427"/>
      <c r="Q89" s="422"/>
      <c r="R89" s="338"/>
      <c r="S89" s="338"/>
      <c r="T89" s="338"/>
      <c r="U89" s="338"/>
      <c r="V89" s="338"/>
      <c r="W89" s="338"/>
      <c r="X89" s="338"/>
      <c r="Y89" s="338"/>
      <c r="Z89" s="338"/>
      <c r="AA89" s="338"/>
      <c r="AB89" s="338"/>
      <c r="AC89" s="338"/>
    </row>
    <row r="90" ht="15.75" spans="1:29">
      <c r="A90" s="266"/>
      <c r="B90" s="363" t="s">
        <v>2362</v>
      </c>
      <c r="C90" s="376" t="str">
        <f>C91&amp;"(含)"&amp;"-"&amp;D91</f>
        <v>(含)-</v>
      </c>
      <c r="D90" s="376" t="str">
        <f t="shared" ref="D90:L90" si="20">D91&amp;"(含)"&amp;"-"&amp;E91</f>
        <v>(含)-</v>
      </c>
      <c r="E90" s="376" t="str">
        <f t="shared" si="20"/>
        <v>(含)-</v>
      </c>
      <c r="F90" s="376" t="str">
        <f t="shared" si="20"/>
        <v>(含)-</v>
      </c>
      <c r="G90" s="376" t="str">
        <f t="shared" si="20"/>
        <v>(含)-</v>
      </c>
      <c r="H90" s="376" t="str">
        <f t="shared" si="20"/>
        <v>(含)-</v>
      </c>
      <c r="I90" s="376" t="str">
        <f t="shared" si="20"/>
        <v>(含)-</v>
      </c>
      <c r="J90" s="376" t="str">
        <f t="shared" si="20"/>
        <v>(含)-</v>
      </c>
      <c r="K90" s="376" t="str">
        <f t="shared" si="20"/>
        <v>(含)-</v>
      </c>
      <c r="L90" s="376" t="str">
        <f t="shared" si="20"/>
        <v>(含)-</v>
      </c>
      <c r="M90" s="501" t="str">
        <f>M91&amp;"(含)"&amp;"-"&amp;P91</f>
        <v>(含)-</v>
      </c>
      <c r="N90" s="427"/>
      <c r="O90" s="427"/>
      <c r="P90" s="427"/>
      <c r="Q90" s="422"/>
      <c r="R90" s="338"/>
      <c r="S90" s="338"/>
      <c r="T90" s="338"/>
      <c r="U90" s="338"/>
      <c r="V90" s="338"/>
      <c r="W90" s="338"/>
      <c r="X90" s="338"/>
      <c r="Y90" s="338"/>
      <c r="Z90" s="338"/>
      <c r="AA90" s="338"/>
      <c r="AB90" s="338"/>
      <c r="AC90" s="338"/>
    </row>
    <row r="91" s="191" customFormat="1" ht="15" spans="1:29">
      <c r="A91" s="296"/>
      <c r="B91" s="561"/>
      <c r="C91" s="489"/>
      <c r="D91" s="489"/>
      <c r="E91" s="489"/>
      <c r="F91" s="489"/>
      <c r="G91" s="489"/>
      <c r="H91" s="489"/>
      <c r="I91" s="489"/>
      <c r="J91" s="502"/>
      <c r="K91" s="502"/>
      <c r="L91" s="503"/>
      <c r="M91" s="504"/>
      <c r="N91" s="444"/>
      <c r="O91" s="444"/>
      <c r="P91" s="444"/>
      <c r="Q91" s="475"/>
      <c r="R91" s="404"/>
      <c r="S91" s="404"/>
      <c r="T91" s="404"/>
      <c r="U91" s="404"/>
      <c r="V91" s="404"/>
      <c r="W91" s="404"/>
      <c r="X91" s="404"/>
      <c r="Y91" s="404"/>
      <c r="Z91" s="404"/>
      <c r="AA91" s="404"/>
      <c r="AB91" s="404"/>
      <c r="AC91" s="404"/>
    </row>
    <row r="92" s="191" customFormat="1" ht="15.75" spans="1:29">
      <c r="A92" s="370"/>
      <c r="B92" s="365"/>
      <c r="C92" s="369"/>
      <c r="D92" s="362"/>
      <c r="E92" s="362"/>
      <c r="F92" s="362"/>
      <c r="G92" s="362"/>
      <c r="H92" s="362"/>
      <c r="I92" s="362"/>
      <c r="J92" s="362"/>
      <c r="K92" s="362"/>
      <c r="L92" s="362"/>
      <c r="M92" s="433"/>
      <c r="N92" s="434"/>
      <c r="O92" s="434"/>
      <c r="P92" s="444"/>
      <c r="Q92" s="475"/>
      <c r="R92" s="404"/>
      <c r="S92" s="404"/>
      <c r="T92" s="404"/>
      <c r="U92" s="404"/>
      <c r="V92" s="404"/>
      <c r="W92" s="404"/>
      <c r="X92" s="404"/>
      <c r="Y92" s="404"/>
      <c r="Z92" s="404"/>
      <c r="AA92" s="404"/>
      <c r="AB92" s="404"/>
      <c r="AC92" s="404"/>
    </row>
    <row r="93" ht="15.75" spans="1:29">
      <c r="A93" s="301"/>
      <c r="B93" s="363" t="s">
        <v>2363</v>
      </c>
      <c r="C93" s="371"/>
      <c r="D93" s="371"/>
      <c r="E93" s="487"/>
      <c r="F93" s="487"/>
      <c r="G93" s="487"/>
      <c r="H93" s="487"/>
      <c r="I93" s="487"/>
      <c r="J93" s="487"/>
      <c r="K93" s="493"/>
      <c r="L93" s="494"/>
      <c r="M93" s="495"/>
      <c r="N93" s="432"/>
      <c r="O93" s="432"/>
      <c r="P93" s="427"/>
      <c r="Q93" s="422"/>
      <c r="R93" s="338"/>
      <c r="S93" s="338"/>
      <c r="T93" s="338"/>
      <c r="U93" s="338"/>
      <c r="V93" s="338"/>
      <c r="W93" s="338"/>
      <c r="X93" s="338"/>
      <c r="Y93" s="338"/>
      <c r="Z93" s="338"/>
      <c r="AA93" s="338"/>
      <c r="AB93" s="338"/>
      <c r="AC93" s="338"/>
    </row>
    <row r="94" ht="15.75" spans="1:29">
      <c r="A94" s="266"/>
      <c r="B94" s="365"/>
      <c r="C94" s="366">
        <v>100</v>
      </c>
      <c r="D94" s="366">
        <f t="shared" ref="D94:M94" si="21">C94-$K31</f>
        <v>100</v>
      </c>
      <c r="E94" s="366">
        <f t="shared" si="21"/>
        <v>100</v>
      </c>
      <c r="F94" s="366">
        <f t="shared" si="21"/>
        <v>100</v>
      </c>
      <c r="G94" s="366">
        <f t="shared" si="21"/>
        <v>100</v>
      </c>
      <c r="H94" s="366">
        <f t="shared" si="21"/>
        <v>100</v>
      </c>
      <c r="I94" s="366">
        <f t="shared" si="21"/>
        <v>100</v>
      </c>
      <c r="J94" s="366">
        <f t="shared" si="21"/>
        <v>100</v>
      </c>
      <c r="K94" s="366">
        <f t="shared" si="21"/>
        <v>100</v>
      </c>
      <c r="L94" s="366">
        <f t="shared" si="21"/>
        <v>100</v>
      </c>
      <c r="M94" s="438">
        <f t="shared" si="21"/>
        <v>100</v>
      </c>
      <c r="N94" s="434"/>
      <c r="O94" s="434"/>
      <c r="P94" s="427"/>
      <c r="Q94" s="422"/>
      <c r="R94" s="338"/>
      <c r="S94" s="338"/>
      <c r="T94" s="338"/>
      <c r="U94" s="338"/>
      <c r="V94" s="338"/>
      <c r="W94" s="338"/>
      <c r="X94" s="338"/>
      <c r="Y94" s="338"/>
      <c r="Z94" s="338"/>
      <c r="AA94" s="338"/>
      <c r="AB94" s="338"/>
      <c r="AC94" s="338"/>
    </row>
    <row r="95" ht="15.75" spans="1:29">
      <c r="A95" s="301"/>
      <c r="B95" s="363" t="s">
        <v>2365</v>
      </c>
      <c r="C95" s="371"/>
      <c r="D95" s="371"/>
      <c r="E95" s="371"/>
      <c r="F95" s="487"/>
      <c r="G95" s="487"/>
      <c r="H95" s="487"/>
      <c r="I95" s="487"/>
      <c r="J95" s="487"/>
      <c r="K95" s="493"/>
      <c r="L95" s="494"/>
      <c r="M95" s="495"/>
      <c r="N95" s="432"/>
      <c r="O95" s="432"/>
      <c r="P95" s="427"/>
      <c r="Q95" s="422"/>
      <c r="R95" s="338"/>
      <c r="S95" s="338"/>
      <c r="T95" s="338"/>
      <c r="U95" s="338"/>
      <c r="V95" s="338"/>
      <c r="W95" s="338"/>
      <c r="X95" s="338"/>
      <c r="Y95" s="338"/>
      <c r="Z95" s="338"/>
      <c r="AA95" s="338"/>
      <c r="AB95" s="338"/>
      <c r="AC95" s="338"/>
    </row>
    <row r="96" ht="15.75" spans="1:29">
      <c r="A96" s="266"/>
      <c r="B96" s="365"/>
      <c r="C96" s="366">
        <v>100</v>
      </c>
      <c r="D96" s="366">
        <f t="shared" ref="D96:M96" si="22">C96-$K32</f>
        <v>100</v>
      </c>
      <c r="E96" s="366">
        <f t="shared" si="22"/>
        <v>100</v>
      </c>
      <c r="F96" s="366">
        <f t="shared" si="22"/>
        <v>100</v>
      </c>
      <c r="G96" s="366">
        <f t="shared" si="22"/>
        <v>100</v>
      </c>
      <c r="H96" s="366">
        <f t="shared" si="22"/>
        <v>100</v>
      </c>
      <c r="I96" s="366">
        <f t="shared" si="22"/>
        <v>100</v>
      </c>
      <c r="J96" s="366">
        <f t="shared" si="22"/>
        <v>100</v>
      </c>
      <c r="K96" s="366">
        <f t="shared" si="22"/>
        <v>100</v>
      </c>
      <c r="L96" s="366">
        <f t="shared" si="22"/>
        <v>100</v>
      </c>
      <c r="M96" s="438">
        <f t="shared" si="22"/>
        <v>100</v>
      </c>
      <c r="N96" s="434"/>
      <c r="O96" s="434"/>
      <c r="P96" s="427"/>
      <c r="Q96" s="422"/>
      <c r="R96" s="338"/>
      <c r="S96" s="338"/>
      <c r="T96" s="338"/>
      <c r="U96" s="338"/>
      <c r="V96" s="338"/>
      <c r="W96" s="338"/>
      <c r="X96" s="338"/>
      <c r="Y96" s="338"/>
      <c r="Z96" s="338"/>
      <c r="AA96" s="338"/>
      <c r="AB96" s="338"/>
      <c r="AC96" s="338"/>
    </row>
    <row r="97" ht="15.75" spans="1:29">
      <c r="A97" s="301"/>
      <c r="B97" s="363" t="s">
        <v>2367</v>
      </c>
      <c r="C97" s="376" t="str">
        <f>C98&amp;"(含)"&amp;"-"&amp;D98</f>
        <v>0.5(含)-0.6</v>
      </c>
      <c r="D97" s="376" t="str">
        <f>D98&amp;"(含)"&amp;"-"&amp;E98</f>
        <v>0.6(含)-0.7</v>
      </c>
      <c r="E97" s="376" t="str">
        <f>E98&amp;"(含)"&amp;"-"&amp;F98</f>
        <v>0.7(含)-0.8</v>
      </c>
      <c r="F97" s="376" t="str">
        <f>F98&amp;"(含)"&amp;"-"&amp;G98</f>
        <v>0.8(含)-0.9</v>
      </c>
      <c r="G97" s="376" t="str">
        <f>G98&amp;"(含)"&amp;"-"&amp;ROUND(H98,0)</f>
        <v>0.9(含)-1</v>
      </c>
      <c r="H97" s="376"/>
      <c r="I97" s="487"/>
      <c r="J97" s="487"/>
      <c r="K97" s="493"/>
      <c r="L97" s="494"/>
      <c r="M97" s="495"/>
      <c r="N97" s="432"/>
      <c r="O97" s="432"/>
      <c r="P97" s="427"/>
      <c r="Q97" s="422"/>
      <c r="R97" s="338"/>
      <c r="S97" s="338"/>
      <c r="T97" s="338"/>
      <c r="U97" s="338"/>
      <c r="V97" s="338"/>
      <c r="W97" s="338"/>
      <c r="X97" s="338"/>
      <c r="Y97" s="338"/>
      <c r="Z97" s="338"/>
      <c r="AA97" s="338"/>
      <c r="AB97" s="338"/>
      <c r="AC97" s="338"/>
    </row>
    <row r="98" ht="15" spans="1:29">
      <c r="A98" s="301"/>
      <c r="B98" s="486"/>
      <c r="C98" s="466">
        <v>0.5</v>
      </c>
      <c r="D98" s="466">
        <v>0.6</v>
      </c>
      <c r="E98" s="466">
        <v>0.7</v>
      </c>
      <c r="F98" s="466">
        <v>0.8</v>
      </c>
      <c r="G98" s="466">
        <v>0.9</v>
      </c>
      <c r="H98" s="466">
        <v>1.0001</v>
      </c>
      <c r="I98" s="535"/>
      <c r="J98" s="535"/>
      <c r="K98" s="536"/>
      <c r="L98" s="537"/>
      <c r="M98" s="538"/>
      <c r="N98" s="432"/>
      <c r="O98" s="432"/>
      <c r="P98" s="427"/>
      <c r="Q98" s="422"/>
      <c r="R98" s="338"/>
      <c r="S98" s="338"/>
      <c r="T98" s="338"/>
      <c r="U98" s="338"/>
      <c r="V98" s="338"/>
      <c r="W98" s="338"/>
      <c r="X98" s="338"/>
      <c r="Y98" s="338"/>
      <c r="Z98" s="338"/>
      <c r="AA98" s="338"/>
      <c r="AB98" s="338"/>
      <c r="AC98" s="338"/>
    </row>
    <row r="99" ht="15.75" spans="1:29">
      <c r="A99" s="266"/>
      <c r="B99" s="365"/>
      <c r="C99" s="488">
        <v>100</v>
      </c>
      <c r="D99" s="366">
        <f>C99+$K33</f>
        <v>100</v>
      </c>
      <c r="E99" s="366">
        <f t="shared" ref="E99:M99" si="23">D99+$K33</f>
        <v>100</v>
      </c>
      <c r="F99" s="366">
        <f t="shared" si="23"/>
        <v>100</v>
      </c>
      <c r="G99" s="366">
        <f t="shared" si="23"/>
        <v>100</v>
      </c>
      <c r="H99" s="366">
        <f t="shared" si="23"/>
        <v>100</v>
      </c>
      <c r="I99" s="366">
        <f t="shared" si="23"/>
        <v>100</v>
      </c>
      <c r="J99" s="366">
        <f t="shared" si="23"/>
        <v>100</v>
      </c>
      <c r="K99" s="366">
        <f t="shared" si="23"/>
        <v>100</v>
      </c>
      <c r="L99" s="366">
        <f t="shared" si="23"/>
        <v>100</v>
      </c>
      <c r="M99" s="366">
        <f t="shared" si="23"/>
        <v>100</v>
      </c>
      <c r="N99" s="434"/>
      <c r="O99" s="434"/>
      <c r="P99" s="427"/>
      <c r="Q99" s="422"/>
      <c r="R99" s="338"/>
      <c r="S99" s="338"/>
      <c r="T99" s="338"/>
      <c r="U99" s="338"/>
      <c r="V99" s="338"/>
      <c r="W99" s="338"/>
      <c r="X99" s="338"/>
      <c r="Y99" s="338"/>
      <c r="Z99" s="338"/>
      <c r="AA99" s="338"/>
      <c r="AB99" s="338"/>
      <c r="AC99" s="338"/>
    </row>
    <row r="100" s="191" customFormat="1" ht="15.75" spans="1:29">
      <c r="A100" s="296"/>
      <c r="B100" s="363" t="s">
        <v>2368</v>
      </c>
      <c r="C100" s="371"/>
      <c r="D100" s="371"/>
      <c r="E100" s="371"/>
      <c r="F100" s="371"/>
      <c r="G100" s="371"/>
      <c r="H100" s="487"/>
      <c r="I100" s="487"/>
      <c r="J100" s="487"/>
      <c r="K100" s="493"/>
      <c r="L100" s="494"/>
      <c r="M100" s="495"/>
      <c r="N100" s="444"/>
      <c r="O100" s="444"/>
      <c r="P100" s="444"/>
      <c r="Q100" s="475"/>
      <c r="R100" s="404"/>
      <c r="S100" s="404"/>
      <c r="T100" s="404"/>
      <c r="U100" s="404"/>
      <c r="V100" s="404"/>
      <c r="W100" s="404"/>
      <c r="X100" s="404"/>
      <c r="Y100" s="404"/>
      <c r="Z100" s="404"/>
      <c r="AA100" s="404"/>
      <c r="AB100" s="404"/>
      <c r="AC100" s="404"/>
    </row>
    <row r="101" s="191" customFormat="1" ht="15.75" spans="1:29">
      <c r="A101" s="370"/>
      <c r="B101" s="365"/>
      <c r="C101" s="366">
        <v>100</v>
      </c>
      <c r="D101" s="366">
        <f>C101-$K34</f>
        <v>100</v>
      </c>
      <c r="E101" s="366">
        <f t="shared" ref="E101:M101" si="24">D101-$K34</f>
        <v>100</v>
      </c>
      <c r="F101" s="366">
        <f t="shared" si="24"/>
        <v>100</v>
      </c>
      <c r="G101" s="366">
        <f t="shared" si="24"/>
        <v>100</v>
      </c>
      <c r="H101" s="366">
        <f t="shared" si="24"/>
        <v>100</v>
      </c>
      <c r="I101" s="366">
        <f t="shared" si="24"/>
        <v>100</v>
      </c>
      <c r="J101" s="366">
        <f t="shared" si="24"/>
        <v>100</v>
      </c>
      <c r="K101" s="366">
        <f t="shared" si="24"/>
        <v>100</v>
      </c>
      <c r="L101" s="366">
        <f t="shared" si="24"/>
        <v>100</v>
      </c>
      <c r="M101" s="366">
        <f t="shared" si="24"/>
        <v>100</v>
      </c>
      <c r="N101" s="444"/>
      <c r="O101" s="444"/>
      <c r="P101" s="444"/>
      <c r="Q101" s="475"/>
      <c r="R101" s="404"/>
      <c r="S101" s="404"/>
      <c r="T101" s="404"/>
      <c r="U101" s="404"/>
      <c r="V101" s="404"/>
      <c r="W101" s="404"/>
      <c r="X101" s="404"/>
      <c r="Y101" s="404"/>
      <c r="Z101" s="404"/>
      <c r="AA101" s="404"/>
      <c r="AB101" s="404"/>
      <c r="AC101" s="404"/>
    </row>
    <row r="102" ht="15.75" spans="1:29">
      <c r="A102" s="301"/>
      <c r="B102" s="375" t="s">
        <v>2370</v>
      </c>
      <c r="C102" s="371"/>
      <c r="D102" s="371"/>
      <c r="E102" s="371"/>
      <c r="F102" s="371"/>
      <c r="G102" s="371"/>
      <c r="H102" s="487"/>
      <c r="I102" s="487"/>
      <c r="J102" s="487"/>
      <c r="K102" s="493"/>
      <c r="L102" s="494"/>
      <c r="M102" s="495"/>
      <c r="N102" s="432"/>
      <c r="O102" s="432"/>
      <c r="P102" s="427"/>
      <c r="Q102" s="422"/>
      <c r="R102" s="338"/>
      <c r="S102" s="338"/>
      <c r="T102" s="338"/>
      <c r="U102" s="338"/>
      <c r="V102" s="338"/>
      <c r="W102" s="338"/>
      <c r="X102" s="338"/>
      <c r="Y102" s="338"/>
      <c r="Z102" s="338"/>
      <c r="AA102" s="338"/>
      <c r="AB102" s="338"/>
      <c r="AC102" s="338"/>
    </row>
    <row r="103" ht="15.75" spans="1:29">
      <c r="A103" s="266"/>
      <c r="B103" s="365"/>
      <c r="C103" s="366">
        <v>100</v>
      </c>
      <c r="D103" s="366">
        <f t="shared" ref="D103:M103" si="25">C103-$K35</f>
        <v>100</v>
      </c>
      <c r="E103" s="366">
        <f t="shared" si="25"/>
        <v>100</v>
      </c>
      <c r="F103" s="366">
        <f t="shared" si="25"/>
        <v>100</v>
      </c>
      <c r="G103" s="366">
        <f t="shared" si="25"/>
        <v>100</v>
      </c>
      <c r="H103" s="366">
        <f t="shared" si="25"/>
        <v>100</v>
      </c>
      <c r="I103" s="366">
        <f t="shared" si="25"/>
        <v>100</v>
      </c>
      <c r="J103" s="366">
        <f t="shared" si="25"/>
        <v>100</v>
      </c>
      <c r="K103" s="366">
        <f t="shared" si="25"/>
        <v>100</v>
      </c>
      <c r="L103" s="366">
        <f t="shared" si="25"/>
        <v>100</v>
      </c>
      <c r="M103" s="438">
        <f t="shared" si="25"/>
        <v>100</v>
      </c>
      <c r="N103" s="434"/>
      <c r="O103" s="434"/>
      <c r="P103" s="427"/>
      <c r="Q103" s="422"/>
      <c r="R103" s="338"/>
      <c r="S103" s="338"/>
      <c r="T103" s="338"/>
      <c r="U103" s="338"/>
      <c r="V103" s="338"/>
      <c r="W103" s="338"/>
      <c r="X103" s="338"/>
      <c r="Y103" s="338"/>
      <c r="Z103" s="338"/>
      <c r="AA103" s="338"/>
      <c r="AB103" s="338"/>
      <c r="AC103" s="338"/>
    </row>
    <row r="104" ht="15.75" spans="1:29">
      <c r="A104" s="301"/>
      <c r="B104" s="363" t="s">
        <v>2373</v>
      </c>
      <c r="C104" s="371"/>
      <c r="D104" s="371"/>
      <c r="E104" s="371"/>
      <c r="F104" s="371"/>
      <c r="G104" s="371"/>
      <c r="H104" s="487"/>
      <c r="I104" s="487"/>
      <c r="J104" s="487"/>
      <c r="K104" s="493"/>
      <c r="L104" s="494"/>
      <c r="M104" s="495"/>
      <c r="N104" s="432"/>
      <c r="O104" s="432"/>
      <c r="P104" s="427"/>
      <c r="Q104" s="422"/>
      <c r="R104" s="338"/>
      <c r="S104" s="338"/>
      <c r="T104" s="338"/>
      <c r="U104" s="338"/>
      <c r="V104" s="338"/>
      <c r="W104" s="338"/>
      <c r="X104" s="338"/>
      <c r="Y104" s="338"/>
      <c r="Z104" s="338"/>
      <c r="AA104" s="338"/>
      <c r="AB104" s="338"/>
      <c r="AC104" s="338"/>
    </row>
    <row r="105" ht="15.75" spans="1:29">
      <c r="A105" s="266"/>
      <c r="B105" s="365"/>
      <c r="C105" s="366">
        <v>100</v>
      </c>
      <c r="D105" s="366">
        <f>C105-$K36</f>
        <v>100</v>
      </c>
      <c r="E105" s="366">
        <f>D105-$K36</f>
        <v>100</v>
      </c>
      <c r="F105" s="366">
        <f>E105-$K36</f>
        <v>100</v>
      </c>
      <c r="G105" s="366">
        <f>F105-$K36</f>
        <v>100</v>
      </c>
      <c r="H105" s="366"/>
      <c r="I105" s="366"/>
      <c r="J105" s="366"/>
      <c r="K105" s="366"/>
      <c r="L105" s="366"/>
      <c r="M105" s="438"/>
      <c r="N105" s="434"/>
      <c r="O105" s="434"/>
      <c r="P105" s="427"/>
      <c r="Q105" s="422"/>
      <c r="R105" s="338"/>
      <c r="S105" s="338"/>
      <c r="T105" s="338"/>
      <c r="U105" s="338"/>
      <c r="V105" s="338"/>
      <c r="W105" s="338"/>
      <c r="X105" s="338"/>
      <c r="Y105" s="338"/>
      <c r="Z105" s="338"/>
      <c r="AA105" s="338"/>
      <c r="AB105" s="338"/>
      <c r="AC105" s="338"/>
    </row>
    <row r="106" ht="15.75" spans="1:29">
      <c r="A106" s="301"/>
      <c r="B106" s="490" t="s">
        <v>2586</v>
      </c>
      <c r="C106" s="376" t="s">
        <v>246</v>
      </c>
      <c r="D106" s="376" t="s">
        <v>258</v>
      </c>
      <c r="E106" s="376" t="s">
        <v>269</v>
      </c>
      <c r="F106" s="376" t="s">
        <v>279</v>
      </c>
      <c r="G106" s="376" t="s">
        <v>287</v>
      </c>
      <c r="H106" s="364"/>
      <c r="I106" s="364"/>
      <c r="J106" s="364"/>
      <c r="K106" s="435"/>
      <c r="L106" s="436"/>
      <c r="M106" s="437"/>
      <c r="N106" s="434"/>
      <c r="O106" s="434"/>
      <c r="P106" s="434"/>
      <c r="Q106" s="507"/>
      <c r="R106" s="338"/>
      <c r="S106" s="338"/>
      <c r="T106" s="338"/>
      <c r="U106" s="338"/>
      <c r="V106" s="338"/>
      <c r="W106" s="338"/>
      <c r="X106" s="338"/>
      <c r="Y106" s="338"/>
      <c r="Z106" s="338"/>
      <c r="AA106" s="338"/>
      <c r="AB106" s="338"/>
      <c r="AC106" s="338"/>
    </row>
    <row r="107" ht="15.75" spans="1:29">
      <c r="A107" s="266"/>
      <c r="B107" s="365"/>
      <c r="C107" s="488">
        <v>100</v>
      </c>
      <c r="D107" s="366">
        <f t="shared" ref="D107:M107" si="26">C107-$K37</f>
        <v>100</v>
      </c>
      <c r="E107" s="366">
        <f t="shared" si="26"/>
        <v>100</v>
      </c>
      <c r="F107" s="366">
        <f t="shared" si="26"/>
        <v>100</v>
      </c>
      <c r="G107" s="366">
        <f t="shared" si="26"/>
        <v>100</v>
      </c>
      <c r="H107" s="366">
        <f t="shared" si="26"/>
        <v>100</v>
      </c>
      <c r="I107" s="366">
        <f t="shared" si="26"/>
        <v>100</v>
      </c>
      <c r="J107" s="366">
        <f t="shared" si="26"/>
        <v>100</v>
      </c>
      <c r="K107" s="366">
        <f t="shared" si="26"/>
        <v>100</v>
      </c>
      <c r="L107" s="366">
        <f t="shared" si="26"/>
        <v>100</v>
      </c>
      <c r="M107" s="366">
        <f t="shared" si="26"/>
        <v>100</v>
      </c>
      <c r="N107" s="434"/>
      <c r="O107" s="434"/>
      <c r="P107" s="427"/>
      <c r="Q107" s="422"/>
      <c r="R107" s="338"/>
      <c r="S107" s="338"/>
      <c r="T107" s="338"/>
      <c r="U107" s="338"/>
      <c r="V107" s="338"/>
      <c r="W107" s="338"/>
      <c r="X107" s="338"/>
      <c r="Y107" s="338"/>
      <c r="Z107" s="338"/>
      <c r="AA107" s="338"/>
      <c r="AB107" s="338"/>
      <c r="AC107" s="338"/>
    </row>
    <row r="108" s="191" customFormat="1" ht="15.75" spans="1:29">
      <c r="A108" s="296"/>
      <c r="B108" s="363">
        <f>B38</f>
        <v>111</v>
      </c>
      <c r="C108" s="371"/>
      <c r="D108" s="371"/>
      <c r="E108" s="371"/>
      <c r="F108" s="371"/>
      <c r="G108" s="371"/>
      <c r="H108" s="372"/>
      <c r="I108" s="372"/>
      <c r="J108" s="372"/>
      <c r="K108" s="372"/>
      <c r="L108" s="442"/>
      <c r="M108" s="443"/>
      <c r="N108" s="444"/>
      <c r="O108" s="444"/>
      <c r="P108" s="444"/>
      <c r="Q108" s="475"/>
      <c r="R108" s="404"/>
      <c r="S108" s="404"/>
      <c r="T108" s="404"/>
      <c r="U108" s="404"/>
      <c r="V108" s="404"/>
      <c r="W108" s="404"/>
      <c r="X108" s="404"/>
      <c r="Y108" s="404"/>
      <c r="Z108" s="404"/>
      <c r="AA108" s="404"/>
      <c r="AB108" s="404"/>
      <c r="AC108" s="404"/>
    </row>
    <row r="109" s="191" customFormat="1" ht="15.75" spans="1:29">
      <c r="A109" s="370"/>
      <c r="B109" s="361"/>
      <c r="C109" s="369"/>
      <c r="D109" s="362"/>
      <c r="E109" s="362"/>
      <c r="F109" s="362"/>
      <c r="G109" s="369"/>
      <c r="H109" s="373"/>
      <c r="I109" s="373"/>
      <c r="J109" s="373"/>
      <c r="K109" s="373"/>
      <c r="L109" s="373"/>
      <c r="M109" s="445"/>
      <c r="N109" s="444"/>
      <c r="O109" s="444"/>
      <c r="P109" s="444"/>
      <c r="Q109" s="475"/>
      <c r="R109" s="404"/>
      <c r="S109" s="404"/>
      <c r="T109" s="404"/>
      <c r="U109" s="404"/>
      <c r="V109" s="404"/>
      <c r="W109" s="404"/>
      <c r="X109" s="404"/>
      <c r="Y109" s="404"/>
      <c r="Z109" s="404"/>
      <c r="AA109" s="404"/>
      <c r="AB109" s="404"/>
      <c r="AC109" s="404"/>
    </row>
    <row r="110" ht="15.75" spans="1:29">
      <c r="A110" s="301"/>
      <c r="B110" s="363">
        <f>B39</f>
        <v>111</v>
      </c>
      <c r="C110" s="371"/>
      <c r="D110" s="371"/>
      <c r="E110" s="371"/>
      <c r="F110" s="371"/>
      <c r="G110" s="371"/>
      <c r="H110" s="372"/>
      <c r="I110" s="372"/>
      <c r="J110" s="372"/>
      <c r="K110" s="372"/>
      <c r="L110" s="442"/>
      <c r="M110" s="443"/>
      <c r="N110" s="432"/>
      <c r="O110" s="432"/>
      <c r="P110" s="427"/>
      <c r="Q110" s="422"/>
      <c r="R110" s="338"/>
      <c r="S110" s="338"/>
      <c r="T110" s="338"/>
      <c r="U110" s="338"/>
      <c r="V110" s="338"/>
      <c r="W110" s="338"/>
      <c r="X110" s="338"/>
      <c r="Y110" s="338"/>
      <c r="Z110" s="338"/>
      <c r="AA110" s="338"/>
      <c r="AB110" s="338"/>
      <c r="AC110" s="338"/>
    </row>
    <row r="111" ht="15.75" spans="1:29">
      <c r="A111" s="266"/>
      <c r="B111" s="365"/>
      <c r="C111" s="369"/>
      <c r="D111" s="362"/>
      <c r="E111" s="362"/>
      <c r="F111" s="362"/>
      <c r="G111" s="369"/>
      <c r="H111" s="373"/>
      <c r="I111" s="373"/>
      <c r="J111" s="373"/>
      <c r="K111" s="373"/>
      <c r="L111" s="373"/>
      <c r="M111" s="445"/>
      <c r="N111" s="434"/>
      <c r="O111" s="434"/>
      <c r="P111" s="427"/>
      <c r="Q111" s="422"/>
      <c r="R111" s="338"/>
      <c r="S111" s="338"/>
      <c r="T111" s="338"/>
      <c r="U111" s="338"/>
      <c r="V111" s="338"/>
      <c r="W111" s="338"/>
      <c r="X111" s="338"/>
      <c r="Y111" s="338"/>
      <c r="Z111" s="338"/>
      <c r="AA111" s="338"/>
      <c r="AB111" s="338"/>
      <c r="AC111" s="338"/>
    </row>
    <row r="112" ht="15.75" spans="1:29">
      <c r="A112" s="301"/>
      <c r="B112" s="486">
        <f>B40</f>
        <v>111</v>
      </c>
      <c r="C112" s="356"/>
      <c r="D112" s="356"/>
      <c r="E112" s="356"/>
      <c r="F112" s="356"/>
      <c r="G112" s="559"/>
      <c r="H112" s="559"/>
      <c r="I112" s="559"/>
      <c r="J112" s="559"/>
      <c r="K112" s="356"/>
      <c r="L112" s="425"/>
      <c r="M112" s="568"/>
      <c r="N112" s="432"/>
      <c r="O112" s="432"/>
      <c r="P112" s="427"/>
      <c r="Q112" s="422"/>
      <c r="R112" s="338"/>
      <c r="S112" s="338"/>
      <c r="T112" s="338"/>
      <c r="U112" s="338"/>
      <c r="V112" s="338"/>
      <c r="W112" s="338"/>
      <c r="X112" s="338"/>
      <c r="Y112" s="338"/>
      <c r="Z112" s="338"/>
      <c r="AA112" s="338"/>
      <c r="AB112" s="338"/>
      <c r="AC112" s="338"/>
    </row>
    <row r="113" ht="15.75" spans="1:29">
      <c r="A113" s="549"/>
      <c r="B113" s="556"/>
      <c r="C113" s="557"/>
      <c r="D113" s="557"/>
      <c r="E113" s="557"/>
      <c r="F113" s="557"/>
      <c r="G113" s="560"/>
      <c r="H113" s="560"/>
      <c r="I113" s="560"/>
      <c r="J113" s="560"/>
      <c r="K113" s="560"/>
      <c r="L113" s="560"/>
      <c r="M113" s="569"/>
      <c r="N113" s="434"/>
      <c r="O113" s="434"/>
      <c r="P113" s="427"/>
      <c r="Q113" s="422"/>
      <c r="R113" s="338"/>
      <c r="S113" s="338"/>
      <c r="T113" s="338"/>
      <c r="U113" s="338"/>
      <c r="V113" s="338"/>
      <c r="W113" s="338"/>
      <c r="X113" s="338"/>
      <c r="Y113" s="338"/>
      <c r="Z113" s="338"/>
      <c r="AA113" s="338"/>
      <c r="AB113" s="338"/>
      <c r="AC113" s="338"/>
    </row>
    <row r="114" spans="1:29">
      <c r="A114" s="491"/>
      <c r="B114" s="491"/>
      <c r="C114" s="491"/>
      <c r="D114" s="491"/>
      <c r="E114" s="491"/>
      <c r="F114" s="491"/>
      <c r="G114" s="491"/>
      <c r="H114" s="491"/>
      <c r="I114" s="491"/>
      <c r="J114" s="491"/>
      <c r="K114" s="505"/>
      <c r="L114" s="506"/>
      <c r="M114" s="491"/>
      <c r="N114" s="491"/>
      <c r="O114" s="491"/>
      <c r="P114" s="491"/>
      <c r="Q114" s="491"/>
      <c r="R114" s="491"/>
      <c r="S114" s="491"/>
      <c r="T114" s="491"/>
      <c r="U114" s="491"/>
      <c r="V114" s="491"/>
      <c r="W114" s="491"/>
      <c r="X114" s="491"/>
      <c r="Y114" s="491"/>
      <c r="Z114" s="491"/>
      <c r="AA114" s="491"/>
      <c r="AB114" s="491"/>
      <c r="AC114" s="491"/>
    </row>
    <row r="115" spans="1:29">
      <c r="A115" s="491"/>
      <c r="B115" s="491"/>
      <c r="C115" s="491"/>
      <c r="D115" s="491"/>
      <c r="E115" s="491"/>
      <c r="F115" s="491"/>
      <c r="G115" s="491"/>
      <c r="H115" s="491"/>
      <c r="I115" s="491"/>
      <c r="J115" s="491"/>
      <c r="K115" s="505"/>
      <c r="L115" s="506"/>
      <c r="M115" s="491"/>
      <c r="N115" s="491"/>
      <c r="O115" s="491"/>
      <c r="P115" s="491"/>
      <c r="Q115" s="491"/>
      <c r="R115" s="491"/>
      <c r="S115" s="491"/>
      <c r="T115" s="491"/>
      <c r="U115" s="491"/>
      <c r="V115" s="491"/>
      <c r="W115" s="491"/>
      <c r="X115" s="491"/>
      <c r="Y115" s="491"/>
      <c r="Z115" s="491"/>
      <c r="AA115" s="491"/>
      <c r="AB115" s="491"/>
      <c r="AC115" s="491"/>
    </row>
    <row r="116" spans="1:29">
      <c r="A116" s="491"/>
      <c r="B116" s="491"/>
      <c r="C116" s="491"/>
      <c r="D116" s="491"/>
      <c r="E116" s="491"/>
      <c r="F116" s="491"/>
      <c r="G116" s="491"/>
      <c r="H116" s="491"/>
      <c r="I116" s="491"/>
      <c r="J116" s="491"/>
      <c r="K116" s="505"/>
      <c r="L116" s="506"/>
      <c r="M116" s="491"/>
      <c r="N116" s="491"/>
      <c r="O116" s="491"/>
      <c r="P116" s="491"/>
      <c r="Q116" s="491"/>
      <c r="R116" s="491"/>
      <c r="S116" s="491"/>
      <c r="T116" s="491"/>
      <c r="U116" s="491"/>
      <c r="V116" s="491"/>
      <c r="W116" s="491"/>
      <c r="X116" s="491"/>
      <c r="Y116" s="491"/>
      <c r="Z116" s="491"/>
      <c r="AA116" s="491"/>
      <c r="AB116" s="491"/>
      <c r="AC116" s="491"/>
    </row>
    <row r="117" spans="1:29">
      <c r="A117" s="491"/>
      <c r="B117" s="491"/>
      <c r="C117" s="491"/>
      <c r="D117" s="491"/>
      <c r="E117" s="491"/>
      <c r="F117" s="491"/>
      <c r="G117" s="491"/>
      <c r="H117" s="491"/>
      <c r="I117" s="491"/>
      <c r="J117" s="491"/>
      <c r="K117" s="505"/>
      <c r="L117" s="506"/>
      <c r="M117" s="491"/>
      <c r="N117" s="491"/>
      <c r="O117" s="491"/>
      <c r="P117" s="491"/>
      <c r="Q117" s="491"/>
      <c r="R117" s="491"/>
      <c r="S117" s="491"/>
      <c r="T117" s="491"/>
      <c r="U117" s="491"/>
      <c r="V117" s="491"/>
      <c r="W117" s="491"/>
      <c r="X117" s="491"/>
      <c r="Y117" s="491"/>
      <c r="Z117" s="491"/>
      <c r="AA117" s="491"/>
      <c r="AB117" s="491"/>
      <c r="AC117" s="491"/>
    </row>
    <row r="118" spans="1:29">
      <c r="A118" s="491"/>
      <c r="B118" s="491"/>
      <c r="C118" s="491"/>
      <c r="D118" s="491"/>
      <c r="E118" s="491"/>
      <c r="F118" s="491"/>
      <c r="G118" s="491"/>
      <c r="H118" s="491"/>
      <c r="I118" s="491"/>
      <c r="J118" s="491"/>
      <c r="K118" s="505"/>
      <c r="L118" s="506"/>
      <c r="M118" s="491"/>
      <c r="N118" s="491"/>
      <c r="O118" s="491"/>
      <c r="P118" s="491"/>
      <c r="Q118" s="491"/>
      <c r="R118" s="491"/>
      <c r="S118" s="491"/>
      <c r="T118" s="491"/>
      <c r="U118" s="491"/>
      <c r="V118" s="491"/>
      <c r="W118" s="491"/>
      <c r="X118" s="491"/>
      <c r="Y118" s="491"/>
      <c r="Z118" s="491"/>
      <c r="AA118" s="491"/>
      <c r="AB118" s="491"/>
      <c r="AC118" s="491"/>
    </row>
    <row r="119" spans="1:29">
      <c r="A119" s="491"/>
      <c r="B119" s="491"/>
      <c r="C119" s="491"/>
      <c r="D119" s="491"/>
      <c r="E119" s="491"/>
      <c r="F119" s="491"/>
      <c r="G119" s="491"/>
      <c r="H119" s="491"/>
      <c r="I119" s="491"/>
      <c r="J119" s="491"/>
      <c r="K119" s="505"/>
      <c r="L119" s="506"/>
      <c r="M119" s="491"/>
      <c r="N119" s="491"/>
      <c r="O119" s="491"/>
      <c r="P119" s="491"/>
      <c r="Q119" s="491"/>
      <c r="R119" s="491"/>
      <c r="S119" s="491"/>
      <c r="T119" s="491"/>
      <c r="U119" s="491"/>
      <c r="V119" s="491"/>
      <c r="W119" s="491"/>
      <c r="X119" s="491"/>
      <c r="Y119" s="491"/>
      <c r="Z119" s="491"/>
      <c r="AA119" s="491"/>
      <c r="AB119" s="491"/>
      <c r="AC119" s="491"/>
    </row>
    <row r="120" spans="1:29">
      <c r="A120" s="491"/>
      <c r="B120" s="491"/>
      <c r="C120" s="491"/>
      <c r="D120" s="491"/>
      <c r="E120" s="491"/>
      <c r="F120" s="491"/>
      <c r="G120" s="491"/>
      <c r="H120" s="491"/>
      <c r="I120" s="491"/>
      <c r="J120" s="491"/>
      <c r="K120" s="505"/>
      <c r="L120" s="506"/>
      <c r="M120" s="491"/>
      <c r="N120" s="491"/>
      <c r="O120" s="491"/>
      <c r="P120" s="491"/>
      <c r="Q120" s="491"/>
      <c r="R120" s="491"/>
      <c r="S120" s="491"/>
      <c r="T120" s="491"/>
      <c r="U120" s="491"/>
      <c r="V120" s="491"/>
      <c r="W120" s="491"/>
      <c r="X120" s="491"/>
      <c r="Y120" s="491"/>
      <c r="Z120" s="491"/>
      <c r="AA120" s="491"/>
      <c r="AB120" s="491"/>
      <c r="AC120" s="491"/>
    </row>
    <row r="121" spans="1:29">
      <c r="A121" s="491"/>
      <c r="B121" s="491"/>
      <c r="C121" s="491"/>
      <c r="D121" s="491"/>
      <c r="E121" s="491"/>
      <c r="F121" s="491"/>
      <c r="G121" s="491"/>
      <c r="H121" s="491"/>
      <c r="I121" s="491"/>
      <c r="J121" s="491"/>
      <c r="K121" s="505"/>
      <c r="L121" s="506"/>
      <c r="M121" s="491"/>
      <c r="N121" s="491"/>
      <c r="O121" s="491"/>
      <c r="P121" s="491"/>
      <c r="Q121" s="491"/>
      <c r="R121" s="491"/>
      <c r="S121" s="491"/>
      <c r="T121" s="491"/>
      <c r="U121" s="491"/>
      <c r="V121" s="491"/>
      <c r="W121" s="491"/>
      <c r="X121" s="491"/>
      <c r="Y121" s="491"/>
      <c r="Z121" s="491"/>
      <c r="AA121" s="491"/>
      <c r="AB121" s="491"/>
      <c r="AC121" s="491"/>
    </row>
    <row r="122" spans="1:29">
      <c r="A122" s="491"/>
      <c r="B122" s="491"/>
      <c r="C122" s="491"/>
      <c r="D122" s="491"/>
      <c r="E122" s="491"/>
      <c r="F122" s="491"/>
      <c r="G122" s="491"/>
      <c r="H122" s="491"/>
      <c r="I122" s="491"/>
      <c r="J122" s="491"/>
      <c r="K122" s="505"/>
      <c r="L122" s="506"/>
      <c r="M122" s="491"/>
      <c r="N122" s="491"/>
      <c r="O122" s="491"/>
      <c r="P122" s="491"/>
      <c r="Q122" s="491"/>
      <c r="R122" s="491"/>
      <c r="S122" s="491"/>
      <c r="T122" s="491"/>
      <c r="U122" s="491"/>
      <c r="V122" s="491"/>
      <c r="W122" s="491"/>
      <c r="X122" s="491"/>
      <c r="Y122" s="491"/>
      <c r="Z122" s="491"/>
      <c r="AA122" s="491"/>
      <c r="AB122" s="491"/>
      <c r="AC122" s="491"/>
    </row>
    <row r="123" spans="1:29">
      <c r="A123" s="491"/>
      <c r="B123" s="491"/>
      <c r="C123" s="491"/>
      <c r="D123" s="491"/>
      <c r="E123" s="491"/>
      <c r="F123" s="491"/>
      <c r="G123" s="491"/>
      <c r="H123" s="491"/>
      <c r="I123" s="491"/>
      <c r="J123" s="491"/>
      <c r="K123" s="505"/>
      <c r="L123" s="506"/>
      <c r="M123" s="491"/>
      <c r="N123" s="491"/>
      <c r="O123" s="491"/>
      <c r="P123" s="491"/>
      <c r="Q123" s="491"/>
      <c r="R123" s="491"/>
      <c r="S123" s="491"/>
      <c r="T123" s="491"/>
      <c r="U123" s="491"/>
      <c r="V123" s="491"/>
      <c r="W123" s="491"/>
      <c r="X123" s="491"/>
      <c r="Y123" s="491"/>
      <c r="Z123" s="491"/>
      <c r="AA123" s="491"/>
      <c r="AB123" s="491"/>
      <c r="AC123" s="491"/>
    </row>
    <row r="124" spans="1:29">
      <c r="A124" s="491"/>
      <c r="B124" s="491"/>
      <c r="C124" s="491"/>
      <c r="D124" s="491"/>
      <c r="E124" s="491"/>
      <c r="F124" s="491"/>
      <c r="G124" s="491"/>
      <c r="H124" s="491"/>
      <c r="I124" s="491"/>
      <c r="J124" s="491"/>
      <c r="K124" s="505"/>
      <c r="L124" s="506"/>
      <c r="M124" s="491"/>
      <c r="N124" s="491"/>
      <c r="O124" s="491"/>
      <c r="P124" s="491"/>
      <c r="Q124" s="491"/>
      <c r="R124" s="491"/>
      <c r="S124" s="491"/>
      <c r="T124" s="491"/>
      <c r="U124" s="491"/>
      <c r="V124" s="491"/>
      <c r="W124" s="491"/>
      <c r="X124" s="491"/>
      <c r="Y124" s="491"/>
      <c r="Z124" s="491"/>
      <c r="AA124" s="491"/>
      <c r="AB124" s="491"/>
      <c r="AC124" s="491"/>
    </row>
    <row r="125" spans="1:29">
      <c r="A125" s="491"/>
      <c r="B125" s="491"/>
      <c r="C125" s="491"/>
      <c r="D125" s="491"/>
      <c r="E125" s="491"/>
      <c r="F125" s="491"/>
      <c r="G125" s="491"/>
      <c r="H125" s="491"/>
      <c r="I125" s="491"/>
      <c r="J125" s="491"/>
      <c r="K125" s="505"/>
      <c r="L125" s="506"/>
      <c r="M125" s="491"/>
      <c r="N125" s="491"/>
      <c r="O125" s="491"/>
      <c r="P125" s="491"/>
      <c r="Q125" s="491"/>
      <c r="R125" s="491"/>
      <c r="S125" s="491"/>
      <c r="T125" s="491"/>
      <c r="U125" s="491"/>
      <c r="V125" s="491"/>
      <c r="W125" s="491"/>
      <c r="X125" s="491"/>
      <c r="Y125" s="491"/>
      <c r="Z125" s="491"/>
      <c r="AA125" s="491"/>
      <c r="AB125" s="491"/>
      <c r="AC125" s="491"/>
    </row>
    <row r="126" spans="1:29">
      <c r="A126" s="491"/>
      <c r="B126" s="491"/>
      <c r="C126" s="491"/>
      <c r="D126" s="491"/>
      <c r="E126" s="491"/>
      <c r="F126" s="491"/>
      <c r="G126" s="491"/>
      <c r="H126" s="491"/>
      <c r="I126" s="491"/>
      <c r="J126" s="491"/>
      <c r="K126" s="505"/>
      <c r="L126" s="506"/>
      <c r="M126" s="491"/>
      <c r="N126" s="491"/>
      <c r="O126" s="491"/>
      <c r="P126" s="491"/>
      <c r="Q126" s="491"/>
      <c r="R126" s="491"/>
      <c r="S126" s="491"/>
      <c r="T126" s="491"/>
      <c r="U126" s="491"/>
      <c r="V126" s="491"/>
      <c r="W126" s="491"/>
      <c r="X126" s="491"/>
      <c r="Y126" s="491"/>
      <c r="Z126" s="491"/>
      <c r="AA126" s="491"/>
      <c r="AB126" s="491"/>
      <c r="AC126" s="491"/>
    </row>
    <row r="127" spans="1:29">
      <c r="A127" s="491"/>
      <c r="B127" s="491"/>
      <c r="C127" s="491"/>
      <c r="D127" s="491"/>
      <c r="E127" s="491"/>
      <c r="F127" s="491"/>
      <c r="G127" s="491"/>
      <c r="H127" s="491"/>
      <c r="I127" s="491"/>
      <c r="J127" s="491"/>
      <c r="K127" s="505"/>
      <c r="L127" s="506"/>
      <c r="M127" s="491"/>
      <c r="N127" s="491"/>
      <c r="O127" s="491"/>
      <c r="P127" s="491"/>
      <c r="Q127" s="491"/>
      <c r="R127" s="491"/>
      <c r="S127" s="491"/>
      <c r="T127" s="491"/>
      <c r="U127" s="491"/>
      <c r="V127" s="491"/>
      <c r="W127" s="491"/>
      <c r="X127" s="491"/>
      <c r="Y127" s="491"/>
      <c r="Z127" s="491"/>
      <c r="AA127" s="491"/>
      <c r="AB127" s="491"/>
      <c r="AC127" s="491"/>
    </row>
    <row r="128" spans="1:29">
      <c r="A128" s="491"/>
      <c r="B128" s="491"/>
      <c r="C128" s="491"/>
      <c r="D128" s="491"/>
      <c r="E128" s="491"/>
      <c r="F128" s="491"/>
      <c r="G128" s="491"/>
      <c r="H128" s="491"/>
      <c r="I128" s="491"/>
      <c r="J128" s="491"/>
      <c r="K128" s="505"/>
      <c r="L128" s="506"/>
      <c r="M128" s="491"/>
      <c r="N128" s="491"/>
      <c r="O128" s="491"/>
      <c r="P128" s="491"/>
      <c r="Q128" s="491"/>
      <c r="R128" s="491"/>
      <c r="S128" s="491"/>
      <c r="T128" s="491"/>
      <c r="U128" s="491"/>
      <c r="V128" s="491"/>
      <c r="W128" s="491"/>
      <c r="X128" s="491"/>
      <c r="Y128" s="491"/>
      <c r="Z128" s="491"/>
      <c r="AA128" s="491"/>
      <c r="AB128" s="491"/>
      <c r="AC128" s="491"/>
    </row>
    <row r="129" spans="1:29">
      <c r="A129" s="491"/>
      <c r="B129" s="491"/>
      <c r="C129" s="491"/>
      <c r="D129" s="491"/>
      <c r="E129" s="491"/>
      <c r="F129" s="491"/>
      <c r="G129" s="491"/>
      <c r="H129" s="491"/>
      <c r="I129" s="491"/>
      <c r="J129" s="491"/>
      <c r="K129" s="505"/>
      <c r="L129" s="506"/>
      <c r="M129" s="491"/>
      <c r="N129" s="491"/>
      <c r="O129" s="491"/>
      <c r="P129" s="491"/>
      <c r="Q129" s="491"/>
      <c r="R129" s="491"/>
      <c r="S129" s="491"/>
      <c r="T129" s="491"/>
      <c r="U129" s="491"/>
      <c r="V129" s="491"/>
      <c r="W129" s="491"/>
      <c r="X129" s="491"/>
      <c r="Y129" s="491"/>
      <c r="Z129" s="491"/>
      <c r="AA129" s="491"/>
      <c r="AB129" s="491"/>
      <c r="AC129" s="491"/>
    </row>
    <row r="130" spans="1:29">
      <c r="A130" s="491"/>
      <c r="B130" s="491"/>
      <c r="C130" s="491"/>
      <c r="D130" s="491"/>
      <c r="E130" s="491"/>
      <c r="F130" s="491"/>
      <c r="G130" s="491"/>
      <c r="H130" s="491"/>
      <c r="I130" s="491"/>
      <c r="J130" s="491"/>
      <c r="K130" s="505"/>
      <c r="L130" s="506"/>
      <c r="M130" s="491"/>
      <c r="N130" s="491"/>
      <c r="O130" s="491"/>
      <c r="P130" s="491"/>
      <c r="Q130" s="491"/>
      <c r="R130" s="491"/>
      <c r="S130" s="491"/>
      <c r="T130" s="491"/>
      <c r="U130" s="491"/>
      <c r="V130" s="491"/>
      <c r="W130" s="491"/>
      <c r="X130" s="491"/>
      <c r="Y130" s="491"/>
      <c r="Z130" s="491"/>
      <c r="AA130" s="491"/>
      <c r="AB130" s="491"/>
      <c r="AC130" s="491"/>
    </row>
    <row r="131" spans="1:29">
      <c r="A131" s="491"/>
      <c r="B131" s="491"/>
      <c r="C131" s="491"/>
      <c r="D131" s="491"/>
      <c r="E131" s="491"/>
      <c r="F131" s="491"/>
      <c r="G131" s="491"/>
      <c r="H131" s="491"/>
      <c r="I131" s="491"/>
      <c r="J131" s="491"/>
      <c r="K131" s="505"/>
      <c r="L131" s="506"/>
      <c r="M131" s="491"/>
      <c r="N131" s="491"/>
      <c r="O131" s="491"/>
      <c r="P131" s="491"/>
      <c r="Q131" s="491"/>
      <c r="R131" s="491"/>
      <c r="S131" s="491"/>
      <c r="T131" s="491"/>
      <c r="U131" s="491"/>
      <c r="V131" s="491"/>
      <c r="W131" s="491"/>
      <c r="X131" s="491"/>
      <c r="Y131" s="491"/>
      <c r="Z131" s="491"/>
      <c r="AA131" s="491"/>
      <c r="AB131" s="491"/>
      <c r="AC131" s="491"/>
    </row>
    <row r="132" spans="1:29">
      <c r="A132" s="491"/>
      <c r="B132" s="491"/>
      <c r="C132" s="491"/>
      <c r="D132" s="491"/>
      <c r="E132" s="491"/>
      <c r="F132" s="491"/>
      <c r="G132" s="491"/>
      <c r="H132" s="491"/>
      <c r="I132" s="491"/>
      <c r="J132" s="491"/>
      <c r="K132" s="505"/>
      <c r="L132" s="506"/>
      <c r="M132" s="491"/>
      <c r="N132" s="491"/>
      <c r="O132" s="491"/>
      <c r="P132" s="491"/>
      <c r="Q132" s="491"/>
      <c r="R132" s="491"/>
      <c r="S132" s="491"/>
      <c r="T132" s="491"/>
      <c r="U132" s="491"/>
      <c r="V132" s="491"/>
      <c r="W132" s="491"/>
      <c r="X132" s="491"/>
      <c r="Y132" s="491"/>
      <c r="Z132" s="491"/>
      <c r="AA132" s="491"/>
      <c r="AB132" s="491"/>
      <c r="AC132" s="491"/>
    </row>
    <row r="133" spans="1:29">
      <c r="A133" s="491"/>
      <c r="B133" s="491"/>
      <c r="C133" s="491"/>
      <c r="D133" s="491"/>
      <c r="E133" s="491"/>
      <c r="F133" s="491"/>
      <c r="G133" s="491"/>
      <c r="H133" s="491"/>
      <c r="I133" s="491"/>
      <c r="J133" s="491"/>
      <c r="K133" s="505"/>
      <c r="L133" s="506"/>
      <c r="M133" s="491"/>
      <c r="N133" s="491"/>
      <c r="O133" s="491"/>
      <c r="P133" s="491"/>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491"/>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491"/>
      <c r="Q135" s="491"/>
      <c r="R135" s="491"/>
      <c r="S135" s="491"/>
      <c r="T135" s="491"/>
      <c r="U135" s="491"/>
      <c r="V135" s="491"/>
      <c r="W135" s="491"/>
      <c r="X135" s="491"/>
      <c r="Y135" s="491"/>
      <c r="Z135" s="491"/>
      <c r="AA135" s="491"/>
      <c r="AB135" s="491"/>
      <c r="AC135" s="491"/>
    </row>
    <row r="136" spans="1:29">
      <c r="A136" s="491"/>
      <c r="B136" s="491"/>
      <c r="C136" s="491"/>
      <c r="D136" s="491"/>
      <c r="E136" s="491"/>
      <c r="F136" s="491"/>
      <c r="G136" s="491"/>
      <c r="H136" s="491"/>
      <c r="I136" s="491"/>
      <c r="J136" s="491"/>
      <c r="K136" s="505"/>
      <c r="L136" s="506"/>
      <c r="M136" s="491"/>
      <c r="N136" s="491"/>
      <c r="O136" s="491"/>
      <c r="P136" s="491"/>
      <c r="Q136" s="491"/>
      <c r="R136" s="491"/>
      <c r="S136" s="491"/>
      <c r="T136" s="491"/>
      <c r="U136" s="491"/>
      <c r="V136" s="491"/>
      <c r="W136" s="491"/>
      <c r="X136" s="491"/>
      <c r="Y136" s="491"/>
      <c r="Z136" s="491"/>
      <c r="AA136" s="491"/>
      <c r="AB136" s="491"/>
      <c r="AC136" s="491"/>
    </row>
    <row r="137" spans="1:29">
      <c r="A137" s="491"/>
      <c r="B137" s="491"/>
      <c r="C137" s="491"/>
      <c r="D137" s="491"/>
      <c r="E137" s="491"/>
      <c r="F137" s="491"/>
      <c r="G137" s="491"/>
      <c r="H137" s="491"/>
      <c r="I137" s="491"/>
      <c r="J137" s="491"/>
      <c r="K137" s="505"/>
      <c r="L137" s="506"/>
      <c r="M137" s="491"/>
      <c r="N137" s="491"/>
      <c r="O137" s="491"/>
      <c r="P137" s="491"/>
      <c r="Q137" s="491"/>
      <c r="R137" s="491"/>
      <c r="S137" s="491"/>
      <c r="T137" s="491"/>
      <c r="U137" s="491"/>
      <c r="V137" s="491"/>
      <c r="W137" s="491"/>
      <c r="X137" s="491"/>
      <c r="Y137" s="491"/>
      <c r="Z137" s="491"/>
      <c r="AA137" s="491"/>
      <c r="AB137" s="491"/>
      <c r="AC137" s="491"/>
    </row>
    <row r="138" spans="1:29">
      <c r="A138" s="491"/>
      <c r="B138" s="491"/>
      <c r="C138" s="491"/>
      <c r="D138" s="491"/>
      <c r="E138" s="491"/>
      <c r="F138" s="491"/>
      <c r="G138" s="491"/>
      <c r="H138" s="491"/>
      <c r="I138" s="491"/>
      <c r="J138" s="491"/>
      <c r="K138" s="505"/>
      <c r="L138" s="506"/>
      <c r="M138" s="491"/>
      <c r="N138" s="491"/>
      <c r="O138" s="491"/>
      <c r="P138" s="491"/>
      <c r="Q138" s="491"/>
      <c r="R138" s="491"/>
      <c r="S138" s="491"/>
      <c r="T138" s="491"/>
      <c r="U138" s="491"/>
      <c r="V138" s="491"/>
      <c r="W138" s="491"/>
      <c r="X138" s="491"/>
      <c r="Y138" s="491"/>
      <c r="Z138" s="491"/>
      <c r="AA138" s="491"/>
      <c r="AB138" s="491"/>
      <c r="AC138" s="491"/>
    </row>
    <row r="139" spans="1:29">
      <c r="A139" s="491"/>
      <c r="B139" s="491"/>
      <c r="C139" s="491"/>
      <c r="D139" s="491"/>
      <c r="E139" s="491"/>
      <c r="F139" s="491"/>
      <c r="G139" s="491"/>
      <c r="H139" s="491"/>
      <c r="I139" s="491"/>
      <c r="J139" s="491"/>
      <c r="K139" s="505"/>
      <c r="L139" s="506"/>
      <c r="M139" s="491"/>
      <c r="N139" s="491"/>
      <c r="O139" s="491"/>
      <c r="P139" s="491"/>
      <c r="Q139" s="491"/>
      <c r="R139" s="491"/>
      <c r="S139" s="491"/>
      <c r="T139" s="491"/>
      <c r="U139" s="491"/>
      <c r="V139" s="491"/>
      <c r="W139" s="491"/>
      <c r="X139" s="491"/>
      <c r="Y139" s="491"/>
      <c r="Z139" s="491"/>
      <c r="AA139" s="491"/>
      <c r="AB139" s="491"/>
      <c r="AC139" s="491"/>
    </row>
    <row r="140" spans="1:29">
      <c r="A140" s="491"/>
      <c r="B140" s="491"/>
      <c r="C140" s="491"/>
      <c r="D140" s="491"/>
      <c r="E140" s="491"/>
      <c r="F140" s="491"/>
      <c r="G140" s="491"/>
      <c r="H140" s="491"/>
      <c r="I140" s="491"/>
      <c r="J140" s="491"/>
      <c r="K140" s="505"/>
      <c r="L140" s="506"/>
      <c r="M140" s="491"/>
      <c r="N140" s="491"/>
      <c r="O140" s="491"/>
      <c r="P140" s="491"/>
      <c r="Q140" s="491"/>
      <c r="R140" s="491"/>
      <c r="S140" s="491"/>
      <c r="T140" s="491"/>
      <c r="U140" s="491"/>
      <c r="V140" s="491"/>
      <c r="W140" s="491"/>
      <c r="X140" s="491"/>
      <c r="Y140" s="491"/>
      <c r="Z140" s="491"/>
      <c r="AA140" s="491"/>
      <c r="AB140" s="491"/>
      <c r="AC140" s="491"/>
    </row>
    <row r="141" spans="1:29">
      <c r="A141" s="491"/>
      <c r="B141" s="491"/>
      <c r="C141" s="491"/>
      <c r="D141" s="491"/>
      <c r="E141" s="491"/>
      <c r="F141" s="491"/>
      <c r="G141" s="491"/>
      <c r="H141" s="491"/>
      <c r="I141" s="491"/>
      <c r="J141" s="491"/>
      <c r="K141" s="505"/>
      <c r="L141" s="506"/>
      <c r="M141" s="491"/>
      <c r="N141" s="491"/>
      <c r="O141" s="491"/>
      <c r="P141" s="491"/>
      <c r="Q141" s="491"/>
      <c r="R141" s="491"/>
      <c r="S141" s="491"/>
      <c r="T141" s="491"/>
      <c r="U141" s="491"/>
      <c r="V141" s="491"/>
      <c r="W141" s="491"/>
      <c r="X141" s="491"/>
      <c r="Y141" s="491"/>
      <c r="Z141" s="491"/>
      <c r="AA141" s="491"/>
      <c r="AB141" s="491"/>
      <c r="AC141" s="491"/>
    </row>
    <row r="142" spans="1:29">
      <c r="A142" s="491"/>
      <c r="B142" s="491"/>
      <c r="C142" s="491"/>
      <c r="D142" s="491"/>
      <c r="E142" s="491"/>
      <c r="F142" s="491"/>
      <c r="G142" s="491"/>
      <c r="H142" s="491"/>
      <c r="I142" s="491"/>
      <c r="J142" s="491"/>
      <c r="K142" s="505"/>
      <c r="L142" s="506"/>
      <c r="M142" s="491"/>
      <c r="N142" s="491"/>
      <c r="O142" s="491"/>
      <c r="P142" s="491"/>
      <c r="Q142" s="491"/>
      <c r="R142" s="491"/>
      <c r="S142" s="491"/>
      <c r="T142" s="491"/>
      <c r="U142" s="491"/>
      <c r="V142" s="491"/>
      <c r="W142" s="491"/>
      <c r="X142" s="491"/>
      <c r="Y142" s="491"/>
      <c r="Z142" s="491"/>
      <c r="AA142" s="491"/>
      <c r="AB142" s="491"/>
      <c r="AC142" s="491"/>
    </row>
    <row r="143" spans="1:29">
      <c r="A143" s="491"/>
      <c r="B143" s="491"/>
      <c r="C143" s="491"/>
      <c r="D143" s="491"/>
      <c r="E143" s="491"/>
      <c r="F143" s="491"/>
      <c r="G143" s="491"/>
      <c r="H143" s="491"/>
      <c r="I143" s="491"/>
      <c r="J143" s="491"/>
      <c r="K143" s="505"/>
      <c r="L143" s="506"/>
      <c r="M143" s="491"/>
      <c r="N143" s="491"/>
      <c r="O143" s="491"/>
      <c r="P143" s="491"/>
      <c r="Q143" s="491"/>
      <c r="R143" s="491"/>
      <c r="S143" s="491"/>
      <c r="T143" s="491"/>
      <c r="U143" s="491"/>
      <c r="V143" s="491"/>
      <c r="W143" s="491"/>
      <c r="X143" s="491"/>
      <c r="Y143" s="491"/>
      <c r="Z143" s="491"/>
      <c r="AA143" s="491"/>
      <c r="AB143" s="491"/>
      <c r="AC143" s="491"/>
    </row>
    <row r="144" spans="1:29">
      <c r="A144" s="491"/>
      <c r="B144" s="491"/>
      <c r="C144" s="491"/>
      <c r="D144" s="491"/>
      <c r="E144" s="491"/>
      <c r="F144" s="491"/>
      <c r="G144" s="491"/>
      <c r="H144" s="491"/>
      <c r="I144" s="491"/>
      <c r="J144" s="491"/>
      <c r="K144" s="505"/>
      <c r="L144" s="506"/>
      <c r="M144" s="491"/>
      <c r="N144" s="491"/>
      <c r="O144" s="491"/>
      <c r="P144" s="491"/>
      <c r="Q144" s="491"/>
      <c r="R144" s="491"/>
      <c r="S144" s="491"/>
      <c r="T144" s="491"/>
      <c r="U144" s="491"/>
      <c r="V144" s="491"/>
      <c r="W144" s="491"/>
      <c r="X144" s="491"/>
      <c r="Y144" s="491"/>
      <c r="Z144" s="491"/>
      <c r="AA144" s="491"/>
      <c r="AB144" s="491"/>
      <c r="AC144" s="491"/>
    </row>
    <row r="145" spans="1:29">
      <c r="A145" s="491"/>
      <c r="B145" s="491"/>
      <c r="C145" s="491"/>
      <c r="D145" s="491"/>
      <c r="E145" s="491"/>
      <c r="F145" s="491"/>
      <c r="G145" s="491"/>
      <c r="H145" s="491"/>
      <c r="I145" s="491"/>
      <c r="J145" s="491"/>
      <c r="K145" s="505"/>
      <c r="L145" s="506"/>
      <c r="M145" s="491"/>
      <c r="N145" s="491"/>
      <c r="O145" s="491"/>
      <c r="P145" s="491"/>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491"/>
      <c r="Q146" s="491"/>
      <c r="R146" s="491"/>
      <c r="S146" s="491"/>
      <c r="T146" s="491"/>
      <c r="U146" s="491"/>
      <c r="V146" s="491"/>
      <c r="W146" s="491"/>
      <c r="X146" s="491"/>
      <c r="Y146" s="491"/>
      <c r="Z146" s="491"/>
      <c r="AA146" s="491"/>
      <c r="AB146" s="491"/>
      <c r="AC146" s="491"/>
    </row>
    <row r="147" spans="1:29">
      <c r="A147" s="491"/>
      <c r="B147" s="491"/>
      <c r="C147" s="491"/>
      <c r="D147" s="491"/>
      <c r="E147" s="491"/>
      <c r="F147" s="491"/>
      <c r="G147" s="491"/>
      <c r="H147" s="491"/>
      <c r="I147" s="491"/>
      <c r="J147" s="491"/>
      <c r="K147" s="505"/>
      <c r="L147" s="506"/>
      <c r="M147" s="491"/>
      <c r="N147" s="491"/>
      <c r="O147" s="491"/>
      <c r="P147" s="491"/>
      <c r="Q147" s="491"/>
      <c r="R147" s="491"/>
      <c r="S147" s="491"/>
      <c r="T147" s="491"/>
      <c r="U147" s="491"/>
      <c r="V147" s="491"/>
      <c r="W147" s="491"/>
      <c r="X147" s="491"/>
      <c r="Y147" s="491"/>
      <c r="Z147" s="491"/>
      <c r="AA147" s="491"/>
      <c r="AB147" s="491"/>
      <c r="AC147" s="491"/>
    </row>
    <row r="148" spans="1:29">
      <c r="A148" s="491"/>
      <c r="B148" s="491"/>
      <c r="C148" s="491"/>
      <c r="D148" s="491"/>
      <c r="E148" s="491"/>
      <c r="F148" s="491"/>
      <c r="G148" s="491"/>
      <c r="H148" s="491"/>
      <c r="I148" s="491"/>
      <c r="J148" s="491"/>
      <c r="K148" s="505"/>
      <c r="L148" s="506"/>
      <c r="M148" s="491"/>
      <c r="N148" s="491"/>
      <c r="O148" s="491"/>
      <c r="P148" s="491"/>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491"/>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491"/>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491"/>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491"/>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491"/>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491"/>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491"/>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491"/>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491"/>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491"/>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491"/>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491"/>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491"/>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491"/>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491"/>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491"/>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491"/>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491"/>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491"/>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491"/>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491"/>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491"/>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491"/>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491"/>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491"/>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491"/>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491"/>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491"/>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491"/>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491"/>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491"/>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491"/>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491"/>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491"/>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491"/>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491"/>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491"/>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491"/>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491"/>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491"/>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491"/>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491"/>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491"/>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491"/>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491"/>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491"/>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491"/>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491"/>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491"/>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491"/>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491"/>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491"/>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491"/>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491"/>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491"/>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491"/>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491"/>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491"/>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491"/>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491"/>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491"/>
      <c r="Q209" s="491"/>
      <c r="R209" s="491"/>
      <c r="S209" s="491"/>
      <c r="T209" s="491"/>
      <c r="U209" s="491"/>
      <c r="V209" s="491"/>
      <c r="W209" s="491"/>
      <c r="X209" s="491"/>
      <c r="Y209" s="491"/>
      <c r="Z209" s="491"/>
      <c r="AA209" s="491"/>
      <c r="AB209" s="491"/>
      <c r="AC209" s="491"/>
    </row>
    <row r="210" spans="1:29">
      <c r="A210" s="491"/>
      <c r="B210" s="491"/>
      <c r="C210" s="491"/>
      <c r="D210" s="491"/>
      <c r="E210" s="491"/>
      <c r="F210" s="491"/>
      <c r="G210" s="491"/>
      <c r="H210" s="491"/>
      <c r="I210" s="491"/>
      <c r="J210" s="491"/>
      <c r="K210" s="505"/>
      <c r="L210" s="506"/>
      <c r="M210" s="491"/>
      <c r="N210" s="491"/>
      <c r="O210" s="491"/>
      <c r="P210" s="491"/>
      <c r="Q210" s="491"/>
      <c r="R210" s="491"/>
      <c r="S210" s="491"/>
      <c r="T210" s="491"/>
      <c r="U210" s="491"/>
      <c r="V210" s="491"/>
      <c r="W210" s="491"/>
      <c r="X210" s="491"/>
      <c r="Y210" s="491"/>
      <c r="Z210" s="491"/>
      <c r="AA210" s="491"/>
      <c r="AB210" s="491"/>
      <c r="AC210" s="491"/>
    </row>
    <row r="211" spans="1:29">
      <c r="A211" s="491"/>
      <c r="B211" s="491"/>
      <c r="C211" s="491"/>
      <c r="D211" s="491"/>
      <c r="E211" s="491"/>
      <c r="F211" s="491"/>
      <c r="G211" s="491"/>
      <c r="H211" s="491"/>
      <c r="I211" s="491"/>
      <c r="J211" s="491"/>
      <c r="K211" s="505"/>
      <c r="L211" s="506"/>
      <c r="M211" s="491"/>
      <c r="N211" s="491"/>
      <c r="O211" s="491"/>
      <c r="P211" s="491"/>
      <c r="Q211" s="491"/>
      <c r="R211" s="491"/>
      <c r="S211" s="491"/>
      <c r="T211" s="491"/>
      <c r="U211" s="491"/>
      <c r="V211" s="491"/>
      <c r="W211" s="491"/>
      <c r="X211" s="491"/>
      <c r="Y211" s="491"/>
      <c r="Z211" s="491"/>
      <c r="AA211" s="491"/>
      <c r="AB211" s="491"/>
      <c r="AC211" s="491"/>
    </row>
    <row r="212" spans="1:29">
      <c r="A212" s="491"/>
      <c r="B212" s="491"/>
      <c r="C212" s="491"/>
      <c r="D212" s="491"/>
      <c r="E212" s="491"/>
      <c r="F212" s="491"/>
      <c r="G212" s="491"/>
      <c r="H212" s="491"/>
      <c r="I212" s="491"/>
      <c r="J212" s="491"/>
      <c r="K212" s="505"/>
      <c r="L212" s="506"/>
      <c r="M212" s="491"/>
      <c r="N212" s="491"/>
      <c r="O212" s="491"/>
      <c r="P212" s="491"/>
      <c r="Q212" s="491"/>
      <c r="R212" s="491"/>
      <c r="S212" s="491"/>
      <c r="T212" s="491"/>
      <c r="U212" s="491"/>
      <c r="V212" s="491"/>
      <c r="W212" s="491"/>
      <c r="X212" s="491"/>
      <c r="Y212" s="491"/>
      <c r="Z212" s="491"/>
      <c r="AA212" s="491"/>
      <c r="AB212" s="491"/>
      <c r="AC212" s="491"/>
    </row>
    <row r="213" spans="1:29">
      <c r="A213" s="491"/>
      <c r="B213" s="491"/>
      <c r="C213" s="491"/>
      <c r="D213" s="491"/>
      <c r="E213" s="491"/>
      <c r="F213" s="491"/>
      <c r="G213" s="491"/>
      <c r="H213" s="491"/>
      <c r="I213" s="491"/>
      <c r="J213" s="491"/>
      <c r="K213" s="505"/>
      <c r="L213" s="506"/>
      <c r="M213" s="491"/>
      <c r="N213" s="491"/>
      <c r="O213" s="491"/>
      <c r="P213" s="491"/>
      <c r="Q213" s="491"/>
      <c r="R213" s="491"/>
      <c r="S213" s="491"/>
      <c r="T213" s="491"/>
      <c r="U213" s="491"/>
      <c r="V213" s="491"/>
      <c r="W213" s="491"/>
      <c r="X213" s="491"/>
      <c r="Y213" s="491"/>
      <c r="Z213" s="491"/>
      <c r="AA213" s="491"/>
      <c r="AB213" s="491"/>
      <c r="AC213" s="491"/>
    </row>
    <row r="214" spans="1:29">
      <c r="A214" s="491"/>
      <c r="B214" s="491"/>
      <c r="C214" s="491"/>
      <c r="D214" s="491"/>
      <c r="E214" s="491"/>
      <c r="F214" s="491"/>
      <c r="G214" s="491"/>
      <c r="H214" s="491"/>
      <c r="I214" s="491"/>
      <c r="J214" s="491"/>
      <c r="K214" s="505"/>
      <c r="L214" s="506"/>
      <c r="M214" s="491"/>
      <c r="N214" s="491"/>
      <c r="O214" s="491"/>
      <c r="P214" s="491"/>
      <c r="Q214" s="491"/>
      <c r="R214" s="491"/>
      <c r="S214" s="491"/>
      <c r="T214" s="491"/>
      <c r="U214" s="491"/>
      <c r="V214" s="491"/>
      <c r="W214" s="491"/>
      <c r="X214" s="491"/>
      <c r="Y214" s="491"/>
      <c r="Z214" s="491"/>
      <c r="AA214" s="491"/>
      <c r="AB214" s="491"/>
      <c r="AC214" s="491"/>
    </row>
    <row r="215" spans="1:29">
      <c r="A215" s="491"/>
      <c r="B215" s="491"/>
      <c r="C215" s="491"/>
      <c r="D215" s="491"/>
      <c r="E215" s="491"/>
      <c r="F215" s="491"/>
      <c r="G215" s="491"/>
      <c r="H215" s="491"/>
      <c r="I215" s="491"/>
      <c r="J215" s="491"/>
      <c r="K215" s="505"/>
      <c r="L215" s="506"/>
      <c r="M215" s="491"/>
      <c r="N215" s="491"/>
      <c r="O215" s="491"/>
      <c r="P215" s="491"/>
      <c r="Q215" s="491"/>
      <c r="R215" s="491"/>
      <c r="S215" s="491"/>
      <c r="T215" s="491"/>
      <c r="U215" s="491"/>
      <c r="V215" s="491"/>
      <c r="W215" s="491"/>
      <c r="X215" s="491"/>
      <c r="Y215" s="491"/>
      <c r="Z215" s="491"/>
      <c r="AA215" s="491"/>
      <c r="AB215" s="491"/>
      <c r="AC215" s="491"/>
    </row>
    <row r="216" spans="1:29">
      <c r="A216" s="491"/>
      <c r="B216" s="491"/>
      <c r="C216" s="491"/>
      <c r="D216" s="491"/>
      <c r="E216" s="491"/>
      <c r="F216" s="491"/>
      <c r="G216" s="491"/>
      <c r="H216" s="491"/>
      <c r="I216" s="491"/>
      <c r="J216" s="491"/>
      <c r="K216" s="505"/>
      <c r="L216" s="506"/>
      <c r="M216" s="491"/>
      <c r="N216" s="491"/>
      <c r="O216" s="491"/>
      <c r="P216" s="491"/>
      <c r="Q216" s="491"/>
      <c r="R216" s="491"/>
      <c r="S216" s="491"/>
      <c r="T216" s="491"/>
      <c r="U216" s="491"/>
      <c r="V216" s="491"/>
      <c r="W216" s="491"/>
      <c r="X216" s="491"/>
      <c r="Y216" s="491"/>
      <c r="Z216" s="491"/>
      <c r="AA216" s="491"/>
      <c r="AB216" s="491"/>
      <c r="AC216" s="491"/>
    </row>
    <row r="217" spans="1:29">
      <c r="A217" s="491"/>
      <c r="B217" s="491"/>
      <c r="C217" s="491"/>
      <c r="D217" s="491"/>
      <c r="E217" s="491"/>
      <c r="F217" s="491"/>
      <c r="G217" s="491"/>
      <c r="H217" s="491"/>
      <c r="I217" s="491"/>
      <c r="J217" s="491"/>
      <c r="K217" s="505"/>
      <c r="L217" s="506"/>
      <c r="M217" s="491"/>
      <c r="N217" s="491"/>
      <c r="O217" s="491"/>
      <c r="P217" s="491"/>
      <c r="Q217" s="491"/>
      <c r="R217" s="491"/>
      <c r="S217" s="491"/>
      <c r="T217" s="491"/>
      <c r="U217" s="491"/>
      <c r="V217" s="491"/>
      <c r="W217" s="491"/>
      <c r="X217" s="491"/>
      <c r="Y217" s="491"/>
      <c r="Z217" s="491"/>
      <c r="AA217" s="491"/>
      <c r="AB217" s="491"/>
      <c r="AC217" s="491"/>
    </row>
    <row r="218" spans="1:29">
      <c r="A218" s="491"/>
      <c r="B218" s="491"/>
      <c r="C218" s="491"/>
      <c r="D218" s="491"/>
      <c r="E218" s="491"/>
      <c r="F218" s="491"/>
      <c r="G218" s="491"/>
      <c r="H218" s="491"/>
      <c r="I218" s="491"/>
      <c r="J218" s="491"/>
      <c r="K218" s="505"/>
      <c r="L218" s="506"/>
      <c r="M218" s="491"/>
      <c r="N218" s="491"/>
      <c r="O218" s="491"/>
      <c r="P218" s="491"/>
      <c r="Q218" s="491"/>
      <c r="R218" s="491"/>
      <c r="S218" s="491"/>
      <c r="T218" s="491"/>
      <c r="U218" s="491"/>
      <c r="V218" s="491"/>
      <c r="W218" s="491"/>
      <c r="X218" s="491"/>
      <c r="Y218" s="491"/>
      <c r="Z218" s="491"/>
      <c r="AA218" s="491"/>
      <c r="AB218" s="491"/>
      <c r="AC218" s="491"/>
    </row>
    <row r="219" spans="1:29">
      <c r="A219" s="491"/>
      <c r="B219" s="491"/>
      <c r="C219" s="491"/>
      <c r="D219" s="491"/>
      <c r="E219" s="491"/>
      <c r="F219" s="491"/>
      <c r="G219" s="491"/>
      <c r="H219" s="491"/>
      <c r="I219" s="491"/>
      <c r="J219" s="491"/>
      <c r="K219" s="505"/>
      <c r="L219" s="506"/>
      <c r="M219" s="491"/>
      <c r="N219" s="491"/>
      <c r="O219" s="491"/>
      <c r="P219" s="491"/>
      <c r="Q219" s="491"/>
      <c r="R219" s="491"/>
      <c r="S219" s="491"/>
      <c r="T219" s="491"/>
      <c r="U219" s="491"/>
      <c r="V219" s="491"/>
      <c r="W219" s="491"/>
      <c r="X219" s="491"/>
      <c r="Y219" s="491"/>
      <c r="Z219" s="491"/>
      <c r="AA219" s="491"/>
      <c r="AB219" s="491"/>
      <c r="AC219" s="491"/>
    </row>
    <row r="220" spans="1:29">
      <c r="A220" s="491"/>
      <c r="B220" s="491"/>
      <c r="C220" s="491"/>
      <c r="D220" s="491"/>
      <c r="E220" s="491"/>
      <c r="F220" s="491"/>
      <c r="G220" s="491"/>
      <c r="H220" s="491"/>
      <c r="I220" s="491"/>
      <c r="J220" s="491"/>
      <c r="K220" s="505"/>
      <c r="L220" s="506"/>
      <c r="M220" s="491"/>
      <c r="N220" s="491"/>
      <c r="O220" s="491"/>
      <c r="P220" s="491"/>
      <c r="Q220" s="491"/>
      <c r="R220" s="491"/>
      <c r="S220" s="491"/>
      <c r="T220" s="491"/>
      <c r="U220" s="491"/>
      <c r="V220" s="491"/>
      <c r="W220" s="491"/>
      <c r="X220" s="491"/>
      <c r="Y220" s="491"/>
      <c r="Z220" s="491"/>
      <c r="AA220" s="491"/>
      <c r="AB220" s="491"/>
      <c r="AC220" s="491"/>
    </row>
    <row r="221" spans="1:29">
      <c r="A221" s="491"/>
      <c r="B221" s="491"/>
      <c r="C221" s="491"/>
      <c r="D221" s="491"/>
      <c r="E221" s="491"/>
      <c r="F221" s="491"/>
      <c r="G221" s="491"/>
      <c r="H221" s="491"/>
      <c r="I221" s="491"/>
      <c r="J221" s="491"/>
      <c r="K221" s="505"/>
      <c r="L221" s="506"/>
      <c r="M221" s="491"/>
      <c r="N221" s="491"/>
      <c r="O221" s="491"/>
      <c r="P221" s="491"/>
      <c r="Q221" s="491"/>
      <c r="R221" s="491"/>
      <c r="S221" s="491"/>
      <c r="T221" s="491"/>
      <c r="U221" s="491"/>
      <c r="V221" s="491"/>
      <c r="W221" s="491"/>
      <c r="X221" s="491"/>
      <c r="Y221" s="491"/>
      <c r="Z221" s="491"/>
      <c r="AA221" s="491"/>
      <c r="AB221" s="491"/>
      <c r="AC221" s="491"/>
    </row>
    <row r="222" spans="1:29">
      <c r="A222" s="491"/>
      <c r="B222" s="491"/>
      <c r="C222" s="491"/>
      <c r="D222" s="491"/>
      <c r="E222" s="491"/>
      <c r="F222" s="491"/>
      <c r="G222" s="491"/>
      <c r="H222" s="491"/>
      <c r="I222" s="491"/>
      <c r="J222" s="491"/>
      <c r="K222" s="505"/>
      <c r="L222" s="506"/>
      <c r="M222" s="491"/>
      <c r="N222" s="491"/>
      <c r="O222" s="491"/>
      <c r="P222" s="491"/>
      <c r="Q222" s="491"/>
      <c r="R222" s="491"/>
      <c r="S222" s="491"/>
      <c r="T222" s="491"/>
      <c r="U222" s="491"/>
      <c r="V222" s="491"/>
      <c r="W222" s="491"/>
      <c r="X222" s="491"/>
      <c r="Y222" s="491"/>
      <c r="Z222" s="491"/>
      <c r="AA222" s="491"/>
      <c r="AB222" s="491"/>
      <c r="AC222" s="491"/>
    </row>
    <row r="223" spans="1:29">
      <c r="A223" s="491"/>
      <c r="B223" s="491"/>
      <c r="C223" s="491"/>
      <c r="D223" s="491"/>
      <c r="E223" s="491"/>
      <c r="F223" s="491"/>
      <c r="G223" s="491"/>
      <c r="H223" s="491"/>
      <c r="I223" s="491"/>
      <c r="J223" s="491"/>
      <c r="K223" s="505"/>
      <c r="L223" s="506"/>
      <c r="M223" s="491"/>
      <c r="N223" s="491"/>
      <c r="O223" s="491"/>
      <c r="P223" s="491"/>
      <c r="Q223" s="491"/>
      <c r="R223" s="491"/>
      <c r="S223" s="491"/>
      <c r="T223" s="491"/>
      <c r="U223" s="491"/>
      <c r="V223" s="491"/>
      <c r="W223" s="491"/>
      <c r="X223" s="491"/>
      <c r="Y223" s="491"/>
      <c r="Z223" s="491"/>
      <c r="AA223" s="491"/>
      <c r="AB223" s="491"/>
      <c r="AC223" s="491"/>
    </row>
    <row r="224" spans="1:29">
      <c r="A224" s="491"/>
      <c r="B224" s="491"/>
      <c r="C224" s="491"/>
      <c r="D224" s="491"/>
      <c r="E224" s="491"/>
      <c r="F224" s="491"/>
      <c r="G224" s="491"/>
      <c r="H224" s="491"/>
      <c r="I224" s="491"/>
      <c r="J224" s="491"/>
      <c r="K224" s="505"/>
      <c r="L224" s="506"/>
      <c r="M224" s="491"/>
      <c r="N224" s="491"/>
      <c r="O224" s="491"/>
      <c r="P224" s="491"/>
      <c r="Q224" s="491"/>
      <c r="R224" s="491"/>
      <c r="S224" s="491"/>
      <c r="T224" s="491"/>
      <c r="U224" s="491"/>
      <c r="V224" s="491"/>
      <c r="W224" s="491"/>
      <c r="X224" s="491"/>
      <c r="Y224" s="491"/>
      <c r="Z224" s="491"/>
      <c r="AA224" s="491"/>
      <c r="AB224" s="491"/>
      <c r="AC224" s="491"/>
    </row>
    <row r="225" spans="1:29">
      <c r="A225" s="491"/>
      <c r="B225" s="491"/>
      <c r="C225" s="491"/>
      <c r="D225" s="491"/>
      <c r="E225" s="491"/>
      <c r="F225" s="491"/>
      <c r="G225" s="491"/>
      <c r="H225" s="491"/>
      <c r="I225" s="491"/>
      <c r="J225" s="491"/>
      <c r="K225" s="505"/>
      <c r="L225" s="506"/>
      <c r="M225" s="491"/>
      <c r="N225" s="491"/>
      <c r="O225" s="491"/>
      <c r="P225" s="491"/>
      <c r="Q225" s="491"/>
      <c r="R225" s="491"/>
      <c r="S225" s="491"/>
      <c r="T225" s="491"/>
      <c r="U225" s="491"/>
      <c r="V225" s="491"/>
      <c r="W225" s="491"/>
      <c r="X225" s="491"/>
      <c r="Y225" s="491"/>
      <c r="Z225" s="491"/>
      <c r="AA225" s="491"/>
      <c r="AB225" s="491"/>
      <c r="AC225" s="491"/>
    </row>
    <row r="226" spans="1:29">
      <c r="A226" s="491"/>
      <c r="B226" s="491"/>
      <c r="C226" s="491"/>
      <c r="D226" s="491"/>
      <c r="E226" s="491"/>
      <c r="F226" s="491"/>
      <c r="G226" s="491"/>
      <c r="H226" s="491"/>
      <c r="I226" s="491"/>
      <c r="J226" s="491"/>
      <c r="K226" s="505"/>
      <c r="L226" s="506"/>
      <c r="M226" s="491"/>
      <c r="N226" s="491"/>
      <c r="O226" s="491"/>
      <c r="P226" s="491"/>
      <c r="Q226" s="491"/>
      <c r="R226" s="491"/>
      <c r="S226" s="491"/>
      <c r="T226" s="491"/>
      <c r="U226" s="491"/>
      <c r="V226" s="491"/>
      <c r="W226" s="491"/>
      <c r="X226" s="491"/>
      <c r="Y226" s="491"/>
      <c r="Z226" s="491"/>
      <c r="AA226" s="491"/>
      <c r="AB226" s="491"/>
      <c r="AC226" s="491"/>
    </row>
    <row r="227" spans="1:29">
      <c r="A227" s="491"/>
      <c r="B227" s="491"/>
      <c r="C227" s="491"/>
      <c r="D227" s="491"/>
      <c r="E227" s="491"/>
      <c r="F227" s="491"/>
      <c r="G227" s="491"/>
      <c r="H227" s="491"/>
      <c r="I227" s="491"/>
      <c r="J227" s="491"/>
      <c r="K227" s="505"/>
      <c r="L227" s="506"/>
      <c r="M227" s="491"/>
      <c r="N227" s="491"/>
      <c r="O227" s="491"/>
      <c r="P227" s="491"/>
      <c r="Q227" s="491"/>
      <c r="R227" s="491"/>
      <c r="S227" s="491"/>
      <c r="T227" s="491"/>
      <c r="U227" s="491"/>
      <c r="V227" s="491"/>
      <c r="W227" s="491"/>
      <c r="X227" s="491"/>
      <c r="Y227" s="491"/>
      <c r="Z227" s="491"/>
      <c r="AA227" s="491"/>
      <c r="AB227" s="491"/>
      <c r="AC227" s="491"/>
    </row>
    <row r="228" spans="1:29">
      <c r="A228" s="491"/>
      <c r="B228" s="491"/>
      <c r="C228" s="491"/>
      <c r="D228" s="491"/>
      <c r="E228" s="491"/>
      <c r="F228" s="491"/>
      <c r="G228" s="491"/>
      <c r="H228" s="491"/>
      <c r="I228" s="491"/>
      <c r="J228" s="491"/>
      <c r="K228" s="505"/>
      <c r="L228" s="506"/>
      <c r="M228" s="491"/>
      <c r="N228" s="491"/>
      <c r="O228" s="491"/>
      <c r="P228" s="491"/>
      <c r="Q228" s="491"/>
      <c r="R228" s="491"/>
      <c r="S228" s="491"/>
      <c r="T228" s="491"/>
      <c r="U228" s="491"/>
      <c r="V228" s="491"/>
      <c r="W228" s="491"/>
      <c r="X228" s="491"/>
      <c r="Y228" s="491"/>
      <c r="Z228" s="491"/>
      <c r="AA228" s="491"/>
      <c r="AB228" s="491"/>
      <c r="AC228" s="491"/>
    </row>
    <row r="229" spans="1:29">
      <c r="A229" s="491"/>
      <c r="B229" s="491"/>
      <c r="C229" s="491"/>
      <c r="D229" s="491"/>
      <c r="E229" s="491"/>
      <c r="F229" s="491"/>
      <c r="G229" s="491"/>
      <c r="H229" s="491"/>
      <c r="I229" s="491"/>
      <c r="J229" s="491"/>
      <c r="K229" s="505"/>
      <c r="L229" s="506"/>
      <c r="M229" s="491"/>
      <c r="N229" s="491"/>
      <c r="O229" s="491"/>
      <c r="P229" s="491"/>
      <c r="Q229" s="491"/>
      <c r="R229" s="491"/>
      <c r="S229" s="491"/>
      <c r="T229" s="491"/>
      <c r="U229" s="491"/>
      <c r="V229" s="491"/>
      <c r="W229" s="491"/>
      <c r="X229" s="491"/>
      <c r="Y229" s="491"/>
      <c r="Z229" s="491"/>
      <c r="AA229" s="491"/>
      <c r="AB229" s="491"/>
      <c r="AC229" s="491"/>
    </row>
    <row r="230" spans="1:29">
      <c r="A230" s="491"/>
      <c r="B230" s="491"/>
      <c r="C230" s="491"/>
      <c r="D230" s="491"/>
      <c r="E230" s="491"/>
      <c r="F230" s="491"/>
      <c r="G230" s="491"/>
      <c r="H230" s="491"/>
      <c r="I230" s="491"/>
      <c r="J230" s="491"/>
      <c r="K230" s="505"/>
      <c r="L230" s="506"/>
      <c r="M230" s="491"/>
      <c r="N230" s="491"/>
      <c r="O230" s="491"/>
      <c r="P230" s="491"/>
      <c r="Q230" s="491"/>
      <c r="R230" s="491"/>
      <c r="S230" s="491"/>
      <c r="T230" s="491"/>
      <c r="U230" s="491"/>
      <c r="V230" s="491"/>
      <c r="W230" s="491"/>
      <c r="X230" s="491"/>
      <c r="Y230" s="491"/>
      <c r="Z230" s="491"/>
      <c r="AA230" s="491"/>
      <c r="AB230" s="491"/>
      <c r="AC230" s="491"/>
    </row>
    <row r="231" spans="1:29">
      <c r="A231" s="491"/>
      <c r="B231" s="491"/>
      <c r="C231" s="491"/>
      <c r="D231" s="491"/>
      <c r="E231" s="491"/>
      <c r="F231" s="491"/>
      <c r="G231" s="491"/>
      <c r="H231" s="491"/>
      <c r="I231" s="491"/>
      <c r="J231" s="491"/>
      <c r="K231" s="505"/>
      <c r="L231" s="506"/>
      <c r="M231" s="491"/>
      <c r="N231" s="491"/>
      <c r="O231" s="491"/>
      <c r="P231" s="491"/>
      <c r="Q231" s="491"/>
      <c r="R231" s="491"/>
      <c r="S231" s="491"/>
      <c r="T231" s="491"/>
      <c r="U231" s="491"/>
      <c r="V231" s="491"/>
      <c r="W231" s="491"/>
      <c r="X231" s="491"/>
      <c r="Y231" s="491"/>
      <c r="Z231" s="491"/>
      <c r="AA231" s="491"/>
      <c r="AB231" s="491"/>
      <c r="AC231" s="491"/>
    </row>
    <row r="232" spans="1:29">
      <c r="A232" s="491"/>
      <c r="B232" s="491"/>
      <c r="C232" s="491"/>
      <c r="D232" s="491"/>
      <c r="E232" s="491"/>
      <c r="F232" s="491"/>
      <c r="G232" s="491"/>
      <c r="H232" s="491"/>
      <c r="I232" s="491"/>
      <c r="J232" s="491"/>
      <c r="K232" s="505"/>
      <c r="L232" s="506"/>
      <c r="M232" s="491"/>
      <c r="N232" s="491"/>
      <c r="O232" s="491"/>
      <c r="P232" s="491"/>
      <c r="Q232" s="491"/>
      <c r="R232" s="491"/>
      <c r="S232" s="491"/>
      <c r="T232" s="491"/>
      <c r="U232" s="491"/>
      <c r="V232" s="491"/>
      <c r="W232" s="491"/>
      <c r="X232" s="491"/>
      <c r="Y232" s="491"/>
      <c r="Z232" s="491"/>
      <c r="AA232" s="491"/>
      <c r="AB232" s="491"/>
      <c r="AC232" s="491"/>
    </row>
    <row r="233" spans="1:29">
      <c r="A233" s="491"/>
      <c r="B233" s="491"/>
      <c r="C233" s="491"/>
      <c r="D233" s="491"/>
      <c r="E233" s="491"/>
      <c r="F233" s="491"/>
      <c r="G233" s="491"/>
      <c r="H233" s="491"/>
      <c r="I233" s="491"/>
      <c r="J233" s="491"/>
      <c r="K233" s="505"/>
      <c r="L233" s="506"/>
      <c r="M233" s="491"/>
      <c r="N233" s="491"/>
      <c r="O233" s="491"/>
      <c r="P233" s="491"/>
      <c r="Q233" s="491"/>
      <c r="R233" s="491"/>
      <c r="S233" s="491"/>
      <c r="T233" s="491"/>
      <c r="U233" s="491"/>
      <c r="V233" s="491"/>
      <c r="W233" s="491"/>
      <c r="X233" s="491"/>
      <c r="Y233" s="491"/>
      <c r="Z233" s="491"/>
      <c r="AA233" s="491"/>
      <c r="AB233" s="491"/>
      <c r="AC233" s="491"/>
    </row>
    <row r="234" spans="1:29">
      <c r="A234" s="491"/>
      <c r="B234" s="491"/>
      <c r="C234" s="491"/>
      <c r="D234" s="491"/>
      <c r="E234" s="491"/>
      <c r="F234" s="491"/>
      <c r="G234" s="491"/>
      <c r="H234" s="491"/>
      <c r="I234" s="491"/>
      <c r="J234" s="491"/>
      <c r="K234" s="505"/>
      <c r="L234" s="506"/>
      <c r="M234" s="491"/>
      <c r="N234" s="491"/>
      <c r="O234" s="491"/>
      <c r="P234" s="491"/>
      <c r="Q234" s="491"/>
      <c r="R234" s="491"/>
      <c r="S234" s="491"/>
      <c r="T234" s="491"/>
      <c r="U234" s="491"/>
      <c r="V234" s="491"/>
      <c r="W234" s="491"/>
      <c r="X234" s="491"/>
      <c r="Y234" s="491"/>
      <c r="Z234" s="491"/>
      <c r="AA234" s="491"/>
      <c r="AB234" s="491"/>
      <c r="AC234" s="491"/>
    </row>
    <row r="235" spans="1:29">
      <c r="A235" s="491"/>
      <c r="B235" s="491"/>
      <c r="C235" s="491"/>
      <c r="D235" s="491"/>
      <c r="E235" s="491"/>
      <c r="F235" s="491"/>
      <c r="G235" s="491"/>
      <c r="H235" s="491"/>
      <c r="I235" s="491"/>
      <c r="J235" s="491"/>
      <c r="K235" s="505"/>
      <c r="L235" s="506"/>
      <c r="M235" s="491"/>
      <c r="N235" s="491"/>
      <c r="O235" s="491"/>
      <c r="P235" s="491"/>
      <c r="Q235" s="491"/>
      <c r="R235" s="491"/>
      <c r="S235" s="491"/>
      <c r="T235" s="491"/>
      <c r="U235" s="491"/>
      <c r="V235" s="491"/>
      <c r="W235" s="491"/>
      <c r="X235" s="491"/>
      <c r="Y235" s="491"/>
      <c r="Z235" s="491"/>
      <c r="AA235" s="491"/>
      <c r="AB235" s="491"/>
      <c r="AC235" s="491"/>
    </row>
    <row r="236" spans="14:29">
      <c r="N236" s="491"/>
      <c r="O236" s="491"/>
      <c r="P236" s="491"/>
      <c r="Q236" s="491"/>
      <c r="R236" s="491"/>
      <c r="S236" s="491"/>
      <c r="T236" s="491"/>
      <c r="U236" s="491"/>
      <c r="V236" s="491"/>
      <c r="W236" s="491"/>
      <c r="X236" s="491"/>
      <c r="Y236" s="491"/>
      <c r="Z236" s="491"/>
      <c r="AA236" s="491"/>
      <c r="AB236" s="491"/>
      <c r="AC236" s="49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7" priority="4">
      <formula>$D$42="简单平均"</formula>
    </cfRule>
  </conditionalFormatting>
  <conditionalFormatting sqref="H42">
    <cfRule type="expression" dxfId="7" priority="3">
      <formula>$D$42="简单平均"</formula>
    </cfRule>
  </conditionalFormatting>
  <conditionalFormatting sqref="J42">
    <cfRule type="expression" dxfId="7" priority="2">
      <formula>$D$42="简单平均"</formula>
    </cfRule>
  </conditionalFormatting>
  <conditionalFormatting sqref="E46">
    <cfRule type="expression" dxfId="10" priority="16" stopIfTrue="1">
      <formula>$F$46="超过30%"</formula>
    </cfRule>
  </conditionalFormatting>
  <conditionalFormatting sqref="G46">
    <cfRule type="expression" dxfId="10" priority="12" stopIfTrue="1">
      <formula>$H$46="超过30%"</formula>
    </cfRule>
  </conditionalFormatting>
  <conditionalFormatting sqref="I46">
    <cfRule type="expression" dxfId="10" priority="7" stopIfTrue="1">
      <formula>$J$46="超过30%"</formula>
    </cfRule>
  </conditionalFormatting>
  <conditionalFormatting sqref="E47">
    <cfRule type="expression" dxfId="10" priority="15" stopIfTrue="1">
      <formula>$F$47="超过20%"</formula>
    </cfRule>
  </conditionalFormatting>
  <conditionalFormatting sqref="G47">
    <cfRule type="expression" dxfId="10" priority="11" stopIfTrue="1">
      <formula>$H$47="超过20%"</formula>
    </cfRule>
  </conditionalFormatting>
  <conditionalFormatting sqref="I47">
    <cfRule type="expression" dxfId="10" priority="6" stopIfTrue="1">
      <formula>$J$47="超过20%"</formula>
    </cfRule>
  </conditionalFormatting>
  <conditionalFormatting sqref="E48">
    <cfRule type="expression" dxfId="10" priority="14" stopIfTrue="1">
      <formula>$F$48="超过30%"</formula>
    </cfRule>
  </conditionalFormatting>
  <conditionalFormatting sqref="G48">
    <cfRule type="expression" dxfId="10" priority="13" stopIfTrue="1">
      <formula>$H$48="超过30%"</formula>
    </cfRule>
  </conditionalFormatting>
  <conditionalFormatting sqref="I48">
    <cfRule type="expression" dxfId="10" priority="5" stopIfTrue="1">
      <formula>$J$48="超过30%"</formula>
    </cfRule>
  </conditionalFormatting>
  <conditionalFormatting sqref="J46:J48">
    <cfRule type="containsText" dxfId="12" priority="8" stopIfTrue="1" operator="between" text="超过">
      <formula>NOT(ISERROR(SEARCH("超过",J46)))</formula>
    </cfRule>
  </conditionalFormatting>
  <conditionalFormatting sqref="F7:F40 H7:H40 J7:J40">
    <cfRule type="cellIs" dxfId="11" priority="1" operator="notEqual">
      <formula>100</formula>
    </cfRule>
  </conditionalFormatting>
  <conditionalFormatting sqref="F46:F48 H46:H48">
    <cfRule type="containsText" dxfId="12" priority="17" stopIfTrue="1" operator="between" text="超过">
      <formula>NOT(ISERROR(SEARCH("超过",F46)))</formula>
    </cfRule>
  </conditionalFormatting>
  <dataValidations count="18">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0 E10 G10 I10">
      <formula1>土地年限区间</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235"/>
  <sheetViews>
    <sheetView view="pageBreakPreview" zoomScale="60" zoomScaleNormal="60" workbookViewId="0">
      <selection activeCell="F7" sqref="F7:F40"/>
    </sheetView>
  </sheetViews>
  <sheetFormatPr defaultColWidth="9" defaultRowHeight="14.25"/>
  <cols>
    <col min="1" max="1" width="10.45" style="194" customWidth="1"/>
    <col min="2" max="2" width="15.725" style="194" customWidth="1"/>
    <col min="3" max="3" width="14.366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2345</v>
      </c>
      <c r="B1" s="198"/>
      <c r="C1" s="199" t="s">
        <v>2347</v>
      </c>
      <c r="D1" s="200"/>
      <c r="E1" s="201"/>
      <c r="F1" s="202"/>
      <c r="G1" s="203" t="s">
        <v>2349</v>
      </c>
      <c r="H1" s="201"/>
      <c r="I1" s="201"/>
      <c r="J1" s="201"/>
      <c r="K1" s="377"/>
      <c r="L1" s="378"/>
      <c r="M1" s="379"/>
      <c r="N1" s="379"/>
      <c r="O1" s="379"/>
      <c r="P1" s="380"/>
      <c r="Q1" s="380"/>
      <c r="R1" s="380"/>
      <c r="S1" s="380"/>
      <c r="T1" s="380"/>
      <c r="U1" s="380"/>
      <c r="V1" s="380"/>
      <c r="W1" s="380"/>
      <c r="X1" s="380"/>
      <c r="Y1" s="380"/>
      <c r="Z1" s="380"/>
      <c r="AA1" s="380"/>
      <c r="AB1" s="380"/>
      <c r="AC1" s="477"/>
    </row>
    <row r="2" s="188" customFormat="1" ht="28.5" customHeight="1" spans="1:29">
      <c r="A2" s="204" t="s">
        <v>919</v>
      </c>
      <c r="B2" s="205" t="e">
        <f>IF(B37="元/平方米",ROUND(B3*D3/10000,0),ROUND(F3*C39/10000,0))</f>
        <v>#DIV/0!</v>
      </c>
      <c r="C2" s="206"/>
      <c r="D2" s="206"/>
      <c r="E2" s="207"/>
      <c r="F2" s="208"/>
      <c r="G2" s="207"/>
      <c r="H2" s="207"/>
      <c r="I2" s="207"/>
      <c r="J2" s="207"/>
      <c r="K2" s="381"/>
      <c r="L2" s="382"/>
      <c r="M2" s="380"/>
      <c r="N2" s="380"/>
      <c r="O2" s="380"/>
      <c r="P2" s="380"/>
      <c r="Q2" s="380"/>
      <c r="R2" s="380"/>
      <c r="S2" s="380"/>
      <c r="T2" s="380"/>
      <c r="U2" s="380"/>
      <c r="V2" s="380"/>
      <c r="W2" s="380"/>
      <c r="X2" s="380"/>
      <c r="Y2" s="380"/>
      <c r="Z2" s="380"/>
      <c r="AA2" s="380"/>
      <c r="AB2" s="380"/>
      <c r="AC2" s="477"/>
    </row>
    <row r="3" s="188" customFormat="1" ht="28.5" customHeight="1" spans="1:29">
      <c r="A3" s="209" t="s">
        <v>2350</v>
      </c>
      <c r="B3" s="210" t="e">
        <f>IF(B37="元/平方米",C39,ROUND(B2*10000/D3,0))</f>
        <v>#DIV/0!</v>
      </c>
      <c r="C3" s="211" t="s">
        <v>2351</v>
      </c>
      <c r="D3" s="212">
        <f>SUMIF('数据-汇总表'!$C19:$C33,D1,'数据-汇总表'!$E19:$E33)</f>
        <v>0</v>
      </c>
      <c r="E3" s="508" t="s">
        <v>2587</v>
      </c>
      <c r="F3" s="212">
        <f>SUMIF('数据-取费表'!A5:A15,D1,'数据-取费表'!AH5:AH15)</f>
        <v>0</v>
      </c>
      <c r="G3" s="207"/>
      <c r="H3" s="207"/>
      <c r="I3" s="207"/>
      <c r="J3" s="207"/>
      <c r="K3" s="381"/>
      <c r="L3" s="382"/>
      <c r="M3" s="380"/>
      <c r="N3" s="380"/>
      <c r="O3" s="380"/>
      <c r="P3" s="380"/>
      <c r="Q3" s="380"/>
      <c r="R3" s="380"/>
      <c r="S3" s="380"/>
      <c r="T3" s="380"/>
      <c r="U3" s="380"/>
      <c r="V3" s="380"/>
      <c r="W3" s="380"/>
      <c r="X3" s="380"/>
      <c r="Y3" s="380"/>
      <c r="Z3" s="380"/>
      <c r="AA3" s="380"/>
      <c r="AB3" s="478"/>
      <c r="AC3" s="477"/>
    </row>
    <row r="4" ht="15" spans="1:29">
      <c r="A4" s="213" t="s">
        <v>923</v>
      </c>
      <c r="B4" s="214"/>
      <c r="C4" s="215" t="s">
        <v>924</v>
      </c>
      <c r="D4" s="216"/>
      <c r="E4" s="215" t="s">
        <v>925</v>
      </c>
      <c r="F4" s="216"/>
      <c r="G4" s="215" t="s">
        <v>926</v>
      </c>
      <c r="H4" s="216"/>
      <c r="I4" s="215" t="s">
        <v>927</v>
      </c>
      <c r="J4" s="216"/>
      <c r="K4" s="383" t="s">
        <v>928</v>
      </c>
      <c r="L4" s="384"/>
      <c r="M4" s="338"/>
      <c r="N4" s="338"/>
      <c r="O4" s="338"/>
      <c r="P4" s="276" t="s">
        <v>929</v>
      </c>
      <c r="Q4" s="450"/>
      <c r="R4" s="451" t="s">
        <v>925</v>
      </c>
      <c r="S4" s="452"/>
      <c r="T4" s="451" t="s">
        <v>926</v>
      </c>
      <c r="U4" s="452"/>
      <c r="V4" s="453" t="s">
        <v>927</v>
      </c>
      <c r="W4" s="453"/>
      <c r="X4" s="454"/>
      <c r="Y4" s="451" t="s">
        <v>929</v>
      </c>
      <c r="Z4" s="452"/>
      <c r="AA4" s="479" t="s">
        <v>925</v>
      </c>
      <c r="AB4" s="454" t="s">
        <v>926</v>
      </c>
      <c r="AC4" s="479" t="s">
        <v>927</v>
      </c>
    </row>
    <row r="5" ht="15" spans="1:29">
      <c r="A5" s="219"/>
      <c r="B5" s="220"/>
      <c r="C5" s="221" t="s">
        <v>930</v>
      </c>
      <c r="D5" s="222"/>
      <c r="E5" s="221" t="s">
        <v>1099</v>
      </c>
      <c r="F5" s="222"/>
      <c r="G5" s="221" t="s">
        <v>1100</v>
      </c>
      <c r="H5" s="222"/>
      <c r="I5" s="221" t="s">
        <v>1101</v>
      </c>
      <c r="J5" s="222"/>
      <c r="K5" s="383"/>
      <c r="L5" s="384"/>
      <c r="M5" s="338"/>
      <c r="N5" s="338"/>
      <c r="O5" s="338"/>
      <c r="P5" s="282"/>
      <c r="Q5" s="455"/>
      <c r="R5" s="456"/>
      <c r="S5" s="457"/>
      <c r="T5" s="456"/>
      <c r="U5" s="457"/>
      <c r="V5" s="453"/>
      <c r="W5" s="453"/>
      <c r="X5" s="454"/>
      <c r="Y5" s="456"/>
      <c r="Z5" s="457"/>
      <c r="AA5" s="454"/>
      <c r="AB5" s="454"/>
      <c r="AC5" s="454"/>
    </row>
    <row r="6" ht="15.75" spans="1:29">
      <c r="A6" s="225"/>
      <c r="B6" s="226"/>
      <c r="C6" s="227" t="s">
        <v>931</v>
      </c>
      <c r="D6" s="228"/>
      <c r="E6" s="509" t="s">
        <v>931</v>
      </c>
      <c r="F6" s="510"/>
      <c r="G6" s="227" t="s">
        <v>931</v>
      </c>
      <c r="H6" s="228"/>
      <c r="I6" s="227" t="s">
        <v>931</v>
      </c>
      <c r="J6" s="228"/>
      <c r="K6" s="383" t="s">
        <v>932</v>
      </c>
      <c r="L6" s="384"/>
      <c r="M6" s="338"/>
      <c r="N6" s="338"/>
      <c r="O6" s="338"/>
      <c r="P6" s="270"/>
      <c r="Q6" s="458"/>
      <c r="R6" s="456"/>
      <c r="S6" s="457"/>
      <c r="T6" s="459"/>
      <c r="U6" s="460"/>
      <c r="V6" s="453"/>
      <c r="W6" s="453"/>
      <c r="X6" s="454"/>
      <c r="Y6" s="459"/>
      <c r="Z6" s="460"/>
      <c r="AA6" s="480"/>
      <c r="AB6" s="480"/>
      <c r="AC6" s="480"/>
    </row>
    <row r="7" s="189" customFormat="1" ht="15.75" spans="1:29">
      <c r="A7" s="231"/>
      <c r="B7" s="232" t="s">
        <v>933</v>
      </c>
      <c r="C7" s="233">
        <f>'数据-取费表'!B2</f>
        <v>45252</v>
      </c>
      <c r="D7" s="234">
        <v>100</v>
      </c>
      <c r="E7" s="235"/>
      <c r="F7" s="236">
        <f>SUMIF(48:48,YEAR(E7)&amp;"-"&amp;MONTH(E7),49:49)</f>
        <v>0</v>
      </c>
      <c r="G7" s="237"/>
      <c r="H7" s="234">
        <f>SUMIF(48:48,YEAR(G7)&amp;"-"&amp;MONTH(G7),49:49)</f>
        <v>0</v>
      </c>
      <c r="I7" s="237"/>
      <c r="J7" s="234">
        <f>SUMIF(48:48,YEAR(I7)&amp;"-"&amp;MONTH(I7),49:49)</f>
        <v>0</v>
      </c>
      <c r="K7" s="385"/>
      <c r="L7" s="386"/>
      <c r="M7" s="387"/>
      <c r="N7" s="387"/>
      <c r="O7" s="387"/>
      <c r="P7" s="388" t="s">
        <v>934</v>
      </c>
      <c r="Q7" s="461"/>
      <c r="R7" s="462" t="s">
        <v>935</v>
      </c>
      <c r="S7" s="463">
        <f t="shared" ref="S7:S14" si="0">F7</f>
        <v>0</v>
      </c>
      <c r="T7" s="462" t="s">
        <v>935</v>
      </c>
      <c r="U7" s="463">
        <f t="shared" ref="U7:U14" si="1">H7</f>
        <v>0</v>
      </c>
      <c r="V7" s="462" t="s">
        <v>935</v>
      </c>
      <c r="W7" s="463">
        <f t="shared" ref="W7:W14" si="2">J7</f>
        <v>0</v>
      </c>
      <c r="X7" s="464"/>
      <c r="Y7" s="388" t="s">
        <v>934</v>
      </c>
      <c r="Z7" s="465"/>
      <c r="AA7" s="481" t="e">
        <f>D7/F7</f>
        <v>#DIV/0!</v>
      </c>
      <c r="AB7" s="481" t="e">
        <f>D7/H7</f>
        <v>#DIV/0!</v>
      </c>
      <c r="AC7" s="481" t="e">
        <f>D7/J7</f>
        <v>#DIV/0!</v>
      </c>
    </row>
    <row r="8" s="189" customFormat="1" ht="15.75" spans="1:29">
      <c r="A8" s="238"/>
      <c r="B8" s="239" t="s">
        <v>936</v>
      </c>
      <c r="C8" s="240" t="s">
        <v>937</v>
      </c>
      <c r="D8" s="234">
        <v>100</v>
      </c>
      <c r="E8" s="240"/>
      <c r="F8" s="236">
        <f>SUMIF(51:51,E8,52:52)-SUMIF(51:51,C8,52:52)+100</f>
        <v>0</v>
      </c>
      <c r="G8" s="240"/>
      <c r="H8" s="234">
        <f>SUMIF(51:51,G8,52:52)-SUMIF(51:51,C8,52:52)+100</f>
        <v>0</v>
      </c>
      <c r="I8" s="240"/>
      <c r="J8" s="234">
        <f>SUMIF(51:51,I8,52:52)-SUMIF(51:51,C8,52:52)+100</f>
        <v>0</v>
      </c>
      <c r="K8" s="385"/>
      <c r="L8" s="386"/>
      <c r="M8" s="387"/>
      <c r="N8" s="387"/>
      <c r="O8" s="387"/>
      <c r="P8" s="388" t="s">
        <v>939</v>
      </c>
      <c r="Q8" s="465"/>
      <c r="R8" s="462" t="s">
        <v>935</v>
      </c>
      <c r="S8" s="463">
        <f t="shared" si="0"/>
        <v>0</v>
      </c>
      <c r="T8" s="462" t="s">
        <v>935</v>
      </c>
      <c r="U8" s="463">
        <f t="shared" si="1"/>
        <v>0</v>
      </c>
      <c r="V8" s="462" t="s">
        <v>935</v>
      </c>
      <c r="W8" s="463">
        <f t="shared" si="2"/>
        <v>0</v>
      </c>
      <c r="X8" s="464"/>
      <c r="Y8" s="388" t="s">
        <v>939</v>
      </c>
      <c r="Z8" s="465"/>
      <c r="AA8" s="481" t="e">
        <f t="shared" ref="AA8:AA36" si="3">D8/F8</f>
        <v>#DIV/0!</v>
      </c>
      <c r="AB8" s="481" t="e">
        <f t="shared" ref="AB8:AB36" si="4">D8/H8</f>
        <v>#DIV/0!</v>
      </c>
      <c r="AC8" s="481" t="e">
        <f t="shared" ref="AC8:AC36" si="5">D8/J8</f>
        <v>#DIV/0!</v>
      </c>
    </row>
    <row r="9" s="189" customFormat="1" ht="15" spans="1:29">
      <c r="A9" s="241"/>
      <c r="B9" s="242" t="s">
        <v>940</v>
      </c>
      <c r="C9" s="243"/>
      <c r="D9" s="244">
        <v>100</v>
      </c>
      <c r="E9" s="245"/>
      <c r="F9" s="244">
        <f>SUMIF(53:53,E9,54:54)-SUMIF(53:53,C9,54:54)+100</f>
        <v>100</v>
      </c>
      <c r="G9" s="511"/>
      <c r="H9" s="244">
        <f>SUMIF(53:53,G9,54:54)-SUMIF(53:53,C9,54:54)+100</f>
        <v>100</v>
      </c>
      <c r="I9" s="511"/>
      <c r="J9" s="244">
        <f>SUMIF(53:53,I9,54:54)-SUMIF(53:53,C9,54:54)+100</f>
        <v>100</v>
      </c>
      <c r="K9" s="385"/>
      <c r="L9" s="386"/>
      <c r="M9" s="387"/>
      <c r="N9" s="387"/>
      <c r="O9" s="389"/>
      <c r="P9" s="390" t="s">
        <v>941</v>
      </c>
      <c r="Q9" s="466" t="str">
        <f t="shared" ref="Q9:Q14" si="6">B9</f>
        <v>用途</v>
      </c>
      <c r="R9" s="462" t="s">
        <v>935</v>
      </c>
      <c r="S9" s="463">
        <f t="shared" si="0"/>
        <v>100</v>
      </c>
      <c r="T9" s="462" t="s">
        <v>935</v>
      </c>
      <c r="U9" s="463">
        <f t="shared" si="1"/>
        <v>100</v>
      </c>
      <c r="V9" s="462" t="s">
        <v>935</v>
      </c>
      <c r="W9" s="463">
        <f t="shared" si="2"/>
        <v>100</v>
      </c>
      <c r="X9" s="464"/>
      <c r="Y9" s="466" t="s">
        <v>942</v>
      </c>
      <c r="Z9" s="481" t="str">
        <f t="shared" ref="Z9:Z14" si="7">Q9</f>
        <v>用途</v>
      </c>
      <c r="AA9" s="481">
        <f t="shared" si="3"/>
        <v>1</v>
      </c>
      <c r="AB9" s="481">
        <f t="shared" si="4"/>
        <v>1</v>
      </c>
      <c r="AC9" s="481">
        <f t="shared" si="5"/>
        <v>1</v>
      </c>
    </row>
    <row r="10" s="190" customFormat="1" ht="27" spans="1:29">
      <c r="A10" s="246"/>
      <c r="B10" s="239" t="s">
        <v>943</v>
      </c>
      <c r="C10" s="247"/>
      <c r="D10" s="248">
        <v>100</v>
      </c>
      <c r="E10" s="247"/>
      <c r="F10" s="248">
        <f>SUMIF(55:55,E10,56:56)-SUMIF(55:55,C10,56:56)+100</f>
        <v>100</v>
      </c>
      <c r="G10" s="249"/>
      <c r="H10" s="248">
        <f>SUMIF(55:55,G10,56:56)-SUMIF(55:55,C10,56:56)+100</f>
        <v>100</v>
      </c>
      <c r="I10" s="247"/>
      <c r="J10" s="248">
        <f>SUMIF(55:55,I10,56:56)-SUMIF(55:55,C10,56:56)+100</f>
        <v>100</v>
      </c>
      <c r="K10" s="391"/>
      <c r="L10" s="392"/>
      <c r="M10" s="393"/>
      <c r="N10" s="393"/>
      <c r="O10" s="394"/>
      <c r="P10" s="390"/>
      <c r="Q10" s="466" t="str">
        <f t="shared" si="6"/>
        <v>土地使用年限（年）</v>
      </c>
      <c r="R10" s="462" t="s">
        <v>935</v>
      </c>
      <c r="S10" s="463">
        <f t="shared" si="0"/>
        <v>100</v>
      </c>
      <c r="T10" s="462" t="s">
        <v>935</v>
      </c>
      <c r="U10" s="463">
        <f t="shared" si="1"/>
        <v>100</v>
      </c>
      <c r="V10" s="462" t="s">
        <v>935</v>
      </c>
      <c r="W10" s="463">
        <f t="shared" si="2"/>
        <v>100</v>
      </c>
      <c r="X10" s="464"/>
      <c r="Y10" s="466"/>
      <c r="Z10" s="481" t="str">
        <f t="shared" si="7"/>
        <v>土地使用年限（年）</v>
      </c>
      <c r="AA10" s="481">
        <f t="shared" si="3"/>
        <v>1</v>
      </c>
      <c r="AB10" s="481">
        <f t="shared" si="4"/>
        <v>1</v>
      </c>
      <c r="AC10" s="481">
        <f t="shared" si="5"/>
        <v>1</v>
      </c>
    </row>
    <row r="11" ht="15" spans="1:29">
      <c r="A11" s="250"/>
      <c r="B11" s="251">
        <v>111</v>
      </c>
      <c r="C11" s="252"/>
      <c r="D11" s="248">
        <v>100</v>
      </c>
      <c r="E11" s="252"/>
      <c r="F11" s="248">
        <f>SUMIF(57:57,E11,58:58)-SUMIF(57:57,C11,58:58)+100</f>
        <v>100</v>
      </c>
      <c r="G11" s="252"/>
      <c r="H11" s="248">
        <f>SUMIF(57:57,G11,58:58)-SUMIF(57:57,C11,58:58)+100</f>
        <v>100</v>
      </c>
      <c r="I11" s="252"/>
      <c r="J11" s="248">
        <f>SUMIF(57:57,I11,58:58)-SUMIF(57:57,C11,58:58)+100</f>
        <v>100</v>
      </c>
      <c r="K11" s="395"/>
      <c r="L11" s="396"/>
      <c r="M11" s="338"/>
      <c r="N11" s="338"/>
      <c r="O11" s="397"/>
      <c r="P11" s="390"/>
      <c r="Q11" s="466">
        <f t="shared" si="6"/>
        <v>111</v>
      </c>
      <c r="R11" s="462" t="s">
        <v>935</v>
      </c>
      <c r="S11" s="463">
        <f t="shared" si="0"/>
        <v>100</v>
      </c>
      <c r="T11" s="462" t="s">
        <v>935</v>
      </c>
      <c r="U11" s="463">
        <f t="shared" si="1"/>
        <v>100</v>
      </c>
      <c r="V11" s="462" t="s">
        <v>935</v>
      </c>
      <c r="W11" s="463">
        <f t="shared" si="2"/>
        <v>100</v>
      </c>
      <c r="X11" s="464"/>
      <c r="Y11" s="466"/>
      <c r="Z11" s="481">
        <f t="shared" si="7"/>
        <v>111</v>
      </c>
      <c r="AA11" s="481">
        <f t="shared" si="3"/>
        <v>1</v>
      </c>
      <c r="AB11" s="481">
        <f t="shared" si="4"/>
        <v>1</v>
      </c>
      <c r="AC11" s="481">
        <f t="shared" si="5"/>
        <v>1</v>
      </c>
    </row>
    <row r="12" s="189" customFormat="1" ht="15" spans="1:29">
      <c r="A12" s="250"/>
      <c r="B12" s="251">
        <v>111</v>
      </c>
      <c r="C12" s="252"/>
      <c r="D12" s="254">
        <v>100</v>
      </c>
      <c r="E12" s="252"/>
      <c r="F12" s="248">
        <f>SUMIF(59:59,E12,60:60)-SUMIF(59:59,C12,60:60)+100</f>
        <v>100</v>
      </c>
      <c r="G12" s="252"/>
      <c r="H12" s="248">
        <f>SUMIF(59:59,G12,60:60)-SUMIF(59:59,C12,60:60)+100</f>
        <v>100</v>
      </c>
      <c r="I12" s="252"/>
      <c r="J12" s="248">
        <f>SUMIF(59:59,I12,60:60)-SUMIF(59:59,C12,60:60)+100</f>
        <v>100</v>
      </c>
      <c r="K12" s="395"/>
      <c r="L12" s="386"/>
      <c r="M12" s="387"/>
      <c r="N12" s="387"/>
      <c r="O12" s="389"/>
      <c r="P12" s="390"/>
      <c r="Q12" s="466">
        <f t="shared" si="6"/>
        <v>111</v>
      </c>
      <c r="R12" s="462" t="s">
        <v>935</v>
      </c>
      <c r="S12" s="463">
        <f t="shared" si="0"/>
        <v>100</v>
      </c>
      <c r="T12" s="462" t="s">
        <v>935</v>
      </c>
      <c r="U12" s="463">
        <f t="shared" si="1"/>
        <v>100</v>
      </c>
      <c r="V12" s="462" t="s">
        <v>935</v>
      </c>
      <c r="W12" s="463">
        <f t="shared" si="2"/>
        <v>100</v>
      </c>
      <c r="X12" s="464"/>
      <c r="Y12" s="466"/>
      <c r="Z12" s="481">
        <f t="shared" si="7"/>
        <v>111</v>
      </c>
      <c r="AA12" s="481">
        <f t="shared" si="3"/>
        <v>1</v>
      </c>
      <c r="AB12" s="481">
        <f t="shared" si="4"/>
        <v>1</v>
      </c>
      <c r="AC12" s="481">
        <f t="shared" si="5"/>
        <v>1</v>
      </c>
    </row>
    <row r="13" ht="15.75" spans="1:29">
      <c r="A13" s="255"/>
      <c r="B13" s="256">
        <v>111</v>
      </c>
      <c r="C13" s="257"/>
      <c r="D13" s="258">
        <v>100</v>
      </c>
      <c r="E13" s="252"/>
      <c r="F13" s="248">
        <f>SUMIF(61:61,E13,62:62)-SUMIF(61:61,C13,62:62)+100</f>
        <v>100</v>
      </c>
      <c r="G13" s="252"/>
      <c r="H13" s="258">
        <f>SUMIF(61:61,G13,62:62)-SUMIF(61:61,C13,62:62)+100</f>
        <v>100</v>
      </c>
      <c r="I13" s="252"/>
      <c r="J13" s="258">
        <f>SUMIF(61:61,I13,62:62)-SUMIF(61:61,C13,62:62)+100</f>
        <v>100</v>
      </c>
      <c r="K13" s="395"/>
      <c r="L13" s="398"/>
      <c r="M13" s="338"/>
      <c r="N13" s="338"/>
      <c r="O13" s="397"/>
      <c r="P13" s="390"/>
      <c r="Q13" s="466">
        <f t="shared" si="6"/>
        <v>111</v>
      </c>
      <c r="R13" s="462" t="s">
        <v>935</v>
      </c>
      <c r="S13" s="463">
        <f t="shared" si="0"/>
        <v>100</v>
      </c>
      <c r="T13" s="462" t="s">
        <v>935</v>
      </c>
      <c r="U13" s="463">
        <f t="shared" si="1"/>
        <v>100</v>
      </c>
      <c r="V13" s="462" t="s">
        <v>935</v>
      </c>
      <c r="W13" s="463">
        <f t="shared" si="2"/>
        <v>100</v>
      </c>
      <c r="X13" s="464"/>
      <c r="Y13" s="466"/>
      <c r="Z13" s="481">
        <f t="shared" si="7"/>
        <v>111</v>
      </c>
      <c r="AA13" s="481">
        <f t="shared" si="3"/>
        <v>1</v>
      </c>
      <c r="AB13" s="481">
        <f t="shared" si="4"/>
        <v>1</v>
      </c>
      <c r="AC13" s="481">
        <f t="shared" si="5"/>
        <v>1</v>
      </c>
    </row>
    <row r="14" ht="81" spans="1:29">
      <c r="A14" s="259" t="s">
        <v>946</v>
      </c>
      <c r="B14" s="512" t="s">
        <v>229</v>
      </c>
      <c r="C14" s="261" t="str">
        <f>IF(B1="工业",估价对象房地状况!G4,估价对象房地状况!C6)</f>
        <v>估价对象周边道路状况、公共交通通达情况、停车便捷程度，综合评价交通便捷度较好</v>
      </c>
      <c r="D14" s="262">
        <v>100</v>
      </c>
      <c r="E14" s="263"/>
      <c r="F14" s="264">
        <f>SUMIF(63:63,E15,64:64)-SUMIF(63:63,C15,64:64)+100</f>
        <v>100</v>
      </c>
      <c r="G14" s="265"/>
      <c r="H14" s="262">
        <f>SUMIF(63:63,G15,64:64)-SUMIF(63:63,C15,64:64)+100</f>
        <v>100</v>
      </c>
      <c r="I14" s="263"/>
      <c r="J14" s="262">
        <f>SUMIF(63:63,I15,64:64)-SUMIF(63:63,C15,64:64)+100</f>
        <v>100</v>
      </c>
      <c r="K14" s="399"/>
      <c r="L14" s="398"/>
      <c r="M14" s="338"/>
      <c r="N14" s="338"/>
      <c r="O14" s="397"/>
      <c r="P14" s="400" t="s">
        <v>947</v>
      </c>
      <c r="Q14" s="390" t="str">
        <f t="shared" si="6"/>
        <v>交通便捷度</v>
      </c>
      <c r="R14" s="467" t="s">
        <v>935</v>
      </c>
      <c r="S14" s="468">
        <f t="shared" si="0"/>
        <v>100</v>
      </c>
      <c r="T14" s="467" t="s">
        <v>935</v>
      </c>
      <c r="U14" s="468">
        <f t="shared" si="1"/>
        <v>100</v>
      </c>
      <c r="V14" s="467" t="s">
        <v>935</v>
      </c>
      <c r="W14" s="468">
        <f t="shared" si="2"/>
        <v>100</v>
      </c>
      <c r="X14" s="454"/>
      <c r="Y14" s="400" t="s">
        <v>947</v>
      </c>
      <c r="Z14" s="453" t="str">
        <f t="shared" si="7"/>
        <v>交通便捷度</v>
      </c>
      <c r="AA14" s="453">
        <f t="shared" si="3"/>
        <v>1</v>
      </c>
      <c r="AB14" s="453">
        <f t="shared" si="4"/>
        <v>1</v>
      </c>
      <c r="AC14" s="453">
        <f t="shared" si="5"/>
        <v>1</v>
      </c>
    </row>
    <row r="15" ht="15" spans="1:29">
      <c r="A15" s="219"/>
      <c r="B15" s="513"/>
      <c r="C15" s="268"/>
      <c r="D15" s="269"/>
      <c r="E15" s="268"/>
      <c r="F15" s="270"/>
      <c r="G15" s="268"/>
      <c r="H15" s="271"/>
      <c r="I15" s="268"/>
      <c r="J15" s="269"/>
      <c r="K15" s="401"/>
      <c r="L15" s="398"/>
      <c r="M15" s="338"/>
      <c r="N15" s="338"/>
      <c r="O15" s="397"/>
      <c r="P15" s="367"/>
      <c r="Q15" s="390"/>
      <c r="R15" s="467"/>
      <c r="S15" s="468"/>
      <c r="T15" s="467"/>
      <c r="U15" s="468"/>
      <c r="V15" s="467"/>
      <c r="W15" s="468"/>
      <c r="X15" s="454"/>
      <c r="Y15" s="367"/>
      <c r="Z15" s="453"/>
      <c r="AA15" s="453">
        <v>1</v>
      </c>
      <c r="AB15" s="453">
        <v>1</v>
      </c>
      <c r="AC15" s="453">
        <v>1</v>
      </c>
    </row>
    <row r="16" ht="40.5" spans="1:29">
      <c r="A16" s="219"/>
      <c r="B16" s="272" t="s">
        <v>231</v>
      </c>
      <c r="C16" s="273" t="str">
        <f>IF(B1="工业",估价对象房地状况!G5,估价对象房地状况!C7)</f>
        <v>估价对象所在区域公共配套设施齐备情况</v>
      </c>
      <c r="D16" s="274">
        <v>100</v>
      </c>
      <c r="E16" s="277"/>
      <c r="F16" s="276">
        <f>SUMIF(65:65,E17,66:66)-SUMIF(65:65,C17,66:66)+100</f>
        <v>100</v>
      </c>
      <c r="G16" s="277"/>
      <c r="H16" s="274">
        <f>SUMIF(65:65,G17,66:66)-SUMIF(65:65,C17,66:66)+100</f>
        <v>100</v>
      </c>
      <c r="I16" s="275"/>
      <c r="J16" s="274">
        <f>SUMIF(65:65,I17,66:66)-SUMIF(65:65,C17,66:66)+100</f>
        <v>100</v>
      </c>
      <c r="K16" s="399"/>
      <c r="L16" s="398"/>
      <c r="M16" s="338"/>
      <c r="N16" s="338"/>
      <c r="O16" s="397"/>
      <c r="P16" s="367"/>
      <c r="Q16" s="390" t="str">
        <f>B16</f>
        <v>公共配套设施</v>
      </c>
      <c r="R16" s="467" t="s">
        <v>935</v>
      </c>
      <c r="S16" s="468">
        <f>F16</f>
        <v>100</v>
      </c>
      <c r="T16" s="467" t="s">
        <v>935</v>
      </c>
      <c r="U16" s="468">
        <f>H16</f>
        <v>100</v>
      </c>
      <c r="V16" s="467" t="s">
        <v>935</v>
      </c>
      <c r="W16" s="468">
        <f>J16</f>
        <v>100</v>
      </c>
      <c r="X16" s="454"/>
      <c r="Y16" s="367"/>
      <c r="Z16" s="453" t="str">
        <f>Q16</f>
        <v>公共配套设施</v>
      </c>
      <c r="AA16" s="453">
        <f t="shared" si="3"/>
        <v>1</v>
      </c>
      <c r="AB16" s="453">
        <f t="shared" si="4"/>
        <v>1</v>
      </c>
      <c r="AC16" s="453">
        <f t="shared" si="5"/>
        <v>1</v>
      </c>
    </row>
    <row r="17" ht="15" spans="1:29">
      <c r="A17" s="219"/>
      <c r="B17" s="278"/>
      <c r="C17" s="279"/>
      <c r="D17" s="269"/>
      <c r="E17" s="268"/>
      <c r="F17" s="270"/>
      <c r="G17" s="268"/>
      <c r="H17" s="269"/>
      <c r="I17" s="268"/>
      <c r="J17" s="269"/>
      <c r="K17" s="401"/>
      <c r="L17" s="398"/>
      <c r="M17" s="338"/>
      <c r="N17" s="338"/>
      <c r="O17" s="397"/>
      <c r="P17" s="367"/>
      <c r="Q17" s="390"/>
      <c r="R17" s="467"/>
      <c r="S17" s="468"/>
      <c r="T17" s="467"/>
      <c r="U17" s="468"/>
      <c r="V17" s="467"/>
      <c r="W17" s="468"/>
      <c r="X17" s="454"/>
      <c r="Y17" s="367"/>
      <c r="Z17" s="453"/>
      <c r="AA17" s="453">
        <v>1</v>
      </c>
      <c r="AB17" s="453">
        <v>1</v>
      </c>
      <c r="AC17" s="453">
        <v>1</v>
      </c>
    </row>
    <row r="18" ht="27" spans="1:29">
      <c r="A18" s="219"/>
      <c r="B18" s="280" t="s">
        <v>232</v>
      </c>
      <c r="C18" s="273" t="str">
        <f>IF(B1="工业",估价对象房地状况!G6,估价对象房地状况!C8)</f>
        <v>估价对象所在区域基础设施水平</v>
      </c>
      <c r="D18" s="271">
        <v>100</v>
      </c>
      <c r="E18" s="277"/>
      <c r="F18" s="276">
        <f>SUMIF(67:67,E19,68:68)-SUMIF(67:67,C19,68:68)+100</f>
        <v>100</v>
      </c>
      <c r="G18" s="277"/>
      <c r="H18" s="274">
        <f>SUMIF(67:67,G19,68:68)-SUMIF(67:67,C19,68:68)+100</f>
        <v>100</v>
      </c>
      <c r="I18" s="275"/>
      <c r="J18" s="274">
        <f>SUMIF(67:67,I19,68:68)-SUMIF(67:67,C19,68:68)+100</f>
        <v>100</v>
      </c>
      <c r="K18" s="399"/>
      <c r="L18" s="398"/>
      <c r="M18" s="338"/>
      <c r="N18" s="338"/>
      <c r="O18" s="397"/>
      <c r="P18" s="367"/>
      <c r="Q18" s="390" t="str">
        <f>B18</f>
        <v>基础设施水平</v>
      </c>
      <c r="R18" s="467" t="s">
        <v>935</v>
      </c>
      <c r="S18" s="468">
        <f>F18</f>
        <v>100</v>
      </c>
      <c r="T18" s="467" t="s">
        <v>935</v>
      </c>
      <c r="U18" s="468">
        <f>H18</f>
        <v>100</v>
      </c>
      <c r="V18" s="467" t="s">
        <v>935</v>
      </c>
      <c r="W18" s="468">
        <f>J18</f>
        <v>100</v>
      </c>
      <c r="X18" s="454"/>
      <c r="Y18" s="367"/>
      <c r="Z18" s="453" t="str">
        <f>Q18</f>
        <v>基础设施水平</v>
      </c>
      <c r="AA18" s="453">
        <f t="shared" ref="AA18" si="8">D18/F18</f>
        <v>1</v>
      </c>
      <c r="AB18" s="453">
        <f t="shared" ref="AB18" si="9">D18/H18</f>
        <v>1</v>
      </c>
      <c r="AC18" s="453">
        <f t="shared" ref="AC18" si="10">D18/J18</f>
        <v>1</v>
      </c>
    </row>
    <row r="19" ht="15" spans="1:29">
      <c r="A19" s="219"/>
      <c r="B19" s="284"/>
      <c r="C19" s="279"/>
      <c r="D19" s="271"/>
      <c r="E19" s="268"/>
      <c r="F19" s="270"/>
      <c r="G19" s="268"/>
      <c r="H19" s="269"/>
      <c r="I19" s="268"/>
      <c r="J19" s="269"/>
      <c r="K19" s="402"/>
      <c r="L19" s="398"/>
      <c r="M19" s="338"/>
      <c r="N19" s="338"/>
      <c r="O19" s="397"/>
      <c r="P19" s="367"/>
      <c r="Q19" s="390"/>
      <c r="R19" s="467"/>
      <c r="S19" s="468"/>
      <c r="T19" s="467"/>
      <c r="U19" s="468"/>
      <c r="V19" s="467"/>
      <c r="W19" s="468"/>
      <c r="X19" s="454"/>
      <c r="Y19" s="367"/>
      <c r="Z19" s="453"/>
      <c r="AA19" s="453">
        <v>1</v>
      </c>
      <c r="AB19" s="453">
        <v>1</v>
      </c>
      <c r="AC19" s="453">
        <v>1</v>
      </c>
    </row>
    <row r="20" ht="54" spans="1:29">
      <c r="A20" s="219"/>
      <c r="B20" s="514" t="s">
        <v>2356</v>
      </c>
      <c r="C20" s="273" t="str">
        <f>IF(B1="工业",估价对象房地状况!G7,估价对象房地状况!C9)</f>
        <v>区域自然环境：；人文环境；综合评价环境状况一般</v>
      </c>
      <c r="D20" s="274">
        <v>100</v>
      </c>
      <c r="E20" s="281"/>
      <c r="F20" s="282">
        <f>SUMIF(69:69,E21,70:70)-SUMIF(69:69,C21,70:70)+100</f>
        <v>100</v>
      </c>
      <c r="G20" s="283"/>
      <c r="H20" s="271">
        <f>SUMIF(69:69,G21,70:70)-SUMIF(69:69,C21,70:70)+100</f>
        <v>100</v>
      </c>
      <c r="I20" s="281"/>
      <c r="J20" s="271">
        <f>SUMIF(69:69,I21,70:70)-SUMIF(69:69,C21,70:70)+100</f>
        <v>100</v>
      </c>
      <c r="K20" s="399"/>
      <c r="L20" s="398"/>
      <c r="M20" s="338"/>
      <c r="N20" s="338"/>
      <c r="O20" s="397"/>
      <c r="P20" s="367"/>
      <c r="Q20" s="390" t="str">
        <f>B20</f>
        <v>自然及人文环境</v>
      </c>
      <c r="R20" s="467" t="s">
        <v>935</v>
      </c>
      <c r="S20" s="468">
        <f>F20</f>
        <v>100</v>
      </c>
      <c r="T20" s="467" t="s">
        <v>935</v>
      </c>
      <c r="U20" s="468">
        <f>H20</f>
        <v>100</v>
      </c>
      <c r="V20" s="467" t="s">
        <v>935</v>
      </c>
      <c r="W20" s="468">
        <f>J20</f>
        <v>100</v>
      </c>
      <c r="X20" s="454"/>
      <c r="Y20" s="367"/>
      <c r="Z20" s="453" t="str">
        <f>Q20</f>
        <v>自然及人文环境</v>
      </c>
      <c r="AA20" s="453">
        <f t="shared" si="3"/>
        <v>1</v>
      </c>
      <c r="AB20" s="453">
        <f t="shared" si="4"/>
        <v>1</v>
      </c>
      <c r="AC20" s="453">
        <f t="shared" si="5"/>
        <v>1</v>
      </c>
    </row>
    <row r="21" ht="15" spans="1:29">
      <c r="A21" s="219"/>
      <c r="B21" s="278"/>
      <c r="C21" s="268"/>
      <c r="D21" s="269"/>
      <c r="E21" s="268"/>
      <c r="F21" s="270"/>
      <c r="G21" s="268"/>
      <c r="H21" s="269"/>
      <c r="I21" s="268"/>
      <c r="J21" s="269"/>
      <c r="K21" s="401"/>
      <c r="L21" s="398"/>
      <c r="M21" s="338"/>
      <c r="N21" s="338"/>
      <c r="O21" s="397"/>
      <c r="P21" s="367"/>
      <c r="Q21" s="390"/>
      <c r="R21" s="467"/>
      <c r="S21" s="468"/>
      <c r="T21" s="467"/>
      <c r="U21" s="468"/>
      <c r="V21" s="467"/>
      <c r="W21" s="468"/>
      <c r="X21" s="454"/>
      <c r="Y21" s="367"/>
      <c r="Z21" s="453"/>
      <c r="AA21" s="453">
        <v>1</v>
      </c>
      <c r="AB21" s="453">
        <v>1</v>
      </c>
      <c r="AC21" s="453">
        <v>1</v>
      </c>
    </row>
    <row r="22" ht="15" spans="1:29">
      <c r="A22" s="219"/>
      <c r="B22" s="514" t="s">
        <v>2460</v>
      </c>
      <c r="C22" s="287"/>
      <c r="D22" s="271">
        <v>100</v>
      </c>
      <c r="E22" s="287"/>
      <c r="F22" s="288">
        <f>SUMIF(71:71,E22,72:72)-SUMIF(71:71,C22,72:72)+100</f>
        <v>100</v>
      </c>
      <c r="G22" s="287"/>
      <c r="H22" s="258">
        <f>SUMIF(71:71,G22,72:72)-SUMIF(71:71,C22,72:72)+100</f>
        <v>100</v>
      </c>
      <c r="I22" s="287"/>
      <c r="J22" s="258">
        <f>SUMIF(71:71,I22,72:72)-SUMIF(71:71,C22,72:72)+100</f>
        <v>100</v>
      </c>
      <c r="K22" s="391"/>
      <c r="L22" s="398"/>
      <c r="M22" s="338"/>
      <c r="N22" s="338"/>
      <c r="O22" s="397"/>
      <c r="P22" s="367"/>
      <c r="Q22" s="390" t="str">
        <f>B22</f>
        <v>楼层</v>
      </c>
      <c r="R22" s="467" t="s">
        <v>935</v>
      </c>
      <c r="S22" s="468">
        <f>F22</f>
        <v>100</v>
      </c>
      <c r="T22" s="467" t="s">
        <v>935</v>
      </c>
      <c r="U22" s="468">
        <f>H22</f>
        <v>100</v>
      </c>
      <c r="V22" s="467" t="s">
        <v>935</v>
      </c>
      <c r="W22" s="468">
        <f>J22</f>
        <v>100</v>
      </c>
      <c r="X22" s="454"/>
      <c r="Y22" s="367"/>
      <c r="Z22" s="453" t="str">
        <f>Q22</f>
        <v>楼层</v>
      </c>
      <c r="AA22" s="453">
        <f t="shared" si="3"/>
        <v>1</v>
      </c>
      <c r="AB22" s="453">
        <f t="shared" si="4"/>
        <v>1</v>
      </c>
      <c r="AC22" s="453">
        <f t="shared" si="5"/>
        <v>1</v>
      </c>
    </row>
    <row r="23" ht="15" spans="1:29">
      <c r="A23" s="219"/>
      <c r="B23" s="421">
        <v>111</v>
      </c>
      <c r="C23" s="252"/>
      <c r="D23" s="258">
        <v>100</v>
      </c>
      <c r="E23" s="252"/>
      <c r="F23" s="288">
        <f>SUMIF(73:73,E23,74:74)-SUMIF(73:73,C23,74:74)+100</f>
        <v>100</v>
      </c>
      <c r="G23" s="252"/>
      <c r="H23" s="258">
        <f>SUMIF(73:73,G23,74:74)-SUMIF(73:73,C23,74:74)+100</f>
        <v>100</v>
      </c>
      <c r="I23" s="252"/>
      <c r="J23" s="258">
        <f>SUMIF(73:73,I23,74:74)-SUMIF(73:73,C23,74:74)+100</f>
        <v>100</v>
      </c>
      <c r="K23" s="395"/>
      <c r="L23" s="398"/>
      <c r="M23" s="338"/>
      <c r="N23" s="338"/>
      <c r="O23" s="397"/>
      <c r="P23" s="367"/>
      <c r="Q23" s="390">
        <f>B23</f>
        <v>111</v>
      </c>
      <c r="R23" s="467" t="s">
        <v>935</v>
      </c>
      <c r="S23" s="468">
        <f>F23</f>
        <v>100</v>
      </c>
      <c r="T23" s="467" t="s">
        <v>935</v>
      </c>
      <c r="U23" s="468">
        <f>H23</f>
        <v>100</v>
      </c>
      <c r="V23" s="467" t="s">
        <v>935</v>
      </c>
      <c r="W23" s="468">
        <f>J23</f>
        <v>100</v>
      </c>
      <c r="X23" s="454"/>
      <c r="Y23" s="367"/>
      <c r="Z23" s="453">
        <f>Q23</f>
        <v>111</v>
      </c>
      <c r="AA23" s="453">
        <f t="shared" si="3"/>
        <v>1</v>
      </c>
      <c r="AB23" s="453">
        <f t="shared" si="4"/>
        <v>1</v>
      </c>
      <c r="AC23" s="453">
        <f t="shared" si="5"/>
        <v>1</v>
      </c>
    </row>
    <row r="24" ht="15" spans="1:29">
      <c r="A24" s="219"/>
      <c r="B24" s="421">
        <v>111</v>
      </c>
      <c r="C24" s="252"/>
      <c r="D24" s="258">
        <v>100</v>
      </c>
      <c r="E24" s="252"/>
      <c r="F24" s="288">
        <f>SUMIF(75:75,E24,76:76)-SUMIF(75:75,C24,76:76)+100</f>
        <v>100</v>
      </c>
      <c r="G24" s="252"/>
      <c r="H24" s="258">
        <f>SUMIF(75:75,G24,76:76)-SUMIF(75:75,C24,76:76)+100</f>
        <v>100</v>
      </c>
      <c r="I24" s="252"/>
      <c r="J24" s="258">
        <f>SUMIF(75:75,I24,76:76)-SUMIF(75:75,C24,76:76)+100</f>
        <v>100</v>
      </c>
      <c r="K24" s="395"/>
      <c r="L24" s="398"/>
      <c r="M24" s="338"/>
      <c r="N24" s="338"/>
      <c r="O24" s="397"/>
      <c r="P24" s="367"/>
      <c r="Q24" s="390">
        <f t="shared" ref="Q24:Q36" si="11">B24</f>
        <v>111</v>
      </c>
      <c r="R24" s="467" t="s">
        <v>935</v>
      </c>
      <c r="S24" s="468">
        <f>F24</f>
        <v>100</v>
      </c>
      <c r="T24" s="467" t="s">
        <v>935</v>
      </c>
      <c r="U24" s="468">
        <f>H24</f>
        <v>100</v>
      </c>
      <c r="V24" s="467" t="s">
        <v>935</v>
      </c>
      <c r="W24" s="468">
        <f>J24</f>
        <v>100</v>
      </c>
      <c r="X24" s="454"/>
      <c r="Y24" s="367"/>
      <c r="Z24" s="453">
        <f>Q24</f>
        <v>111</v>
      </c>
      <c r="AA24" s="453">
        <f t="shared" si="3"/>
        <v>1</v>
      </c>
      <c r="AB24" s="453">
        <f t="shared" si="4"/>
        <v>1</v>
      </c>
      <c r="AC24" s="453">
        <f t="shared" si="5"/>
        <v>1</v>
      </c>
    </row>
    <row r="25" s="189" customFormat="1" ht="15.75" spans="1:29">
      <c r="A25" s="346"/>
      <c r="B25" s="515">
        <v>111</v>
      </c>
      <c r="C25" s="307"/>
      <c r="D25" s="516">
        <v>100</v>
      </c>
      <c r="E25" s="517"/>
      <c r="F25" s="518">
        <f>SUMIF(77:77,E25,78:78)-SUMIF(77:77,C25,78:78)+100</f>
        <v>100</v>
      </c>
      <c r="G25" s="517"/>
      <c r="H25" s="516">
        <f>SUMIF(77:77,G25,78:78)-SUMIF(77:77,C25,78:78)+100</f>
        <v>100</v>
      </c>
      <c r="I25" s="517"/>
      <c r="J25" s="516">
        <f>SUMIF(77:77,I25,78:78)-SUMIF(77:77,C25,78:78)+100</f>
        <v>100</v>
      </c>
      <c r="K25" s="395"/>
      <c r="L25" s="386"/>
      <c r="M25" s="387"/>
      <c r="N25" s="387"/>
      <c r="O25" s="389"/>
      <c r="P25" s="367"/>
      <c r="Q25" s="466">
        <f t="shared" si="11"/>
        <v>111</v>
      </c>
      <c r="R25" s="462" t="s">
        <v>935</v>
      </c>
      <c r="S25" s="463">
        <f>F25</f>
        <v>100</v>
      </c>
      <c r="T25" s="462" t="s">
        <v>935</v>
      </c>
      <c r="U25" s="463">
        <f>H25</f>
        <v>100</v>
      </c>
      <c r="V25" s="462" t="s">
        <v>935</v>
      </c>
      <c r="W25" s="463">
        <f>J25</f>
        <v>100</v>
      </c>
      <c r="X25" s="464"/>
      <c r="Y25" s="367"/>
      <c r="Z25" s="481">
        <f>Q25</f>
        <v>111</v>
      </c>
      <c r="AA25" s="453">
        <f t="shared" si="3"/>
        <v>1</v>
      </c>
      <c r="AB25" s="453">
        <f t="shared" si="4"/>
        <v>1</v>
      </c>
      <c r="AC25" s="453">
        <f t="shared" si="5"/>
        <v>1</v>
      </c>
    </row>
    <row r="26" ht="15" spans="1:29">
      <c r="A26" s="293" t="s">
        <v>955</v>
      </c>
      <c r="B26" s="244" t="s">
        <v>2588</v>
      </c>
      <c r="C26" s="519">
        <f>B1</f>
        <v>0</v>
      </c>
      <c r="D26" s="269">
        <v>100</v>
      </c>
      <c r="E26" s="268"/>
      <c r="F26" s="270">
        <f>SUMIF(79:79,E26,80:80)-SUMIF(79:79,C26,80:80)+100</f>
        <v>100</v>
      </c>
      <c r="G26" s="268"/>
      <c r="H26" s="269">
        <f>SUMIF(79:79,G26,80:80)-SUMIF(79:79,C26,80:80)+100</f>
        <v>100</v>
      </c>
      <c r="I26" s="268"/>
      <c r="J26" s="269">
        <f>SUMIF(79:79,I26,80:80)-SUMIF(79:79,C26,80:80)+100</f>
        <v>100</v>
      </c>
      <c r="K26" s="391"/>
      <c r="L26" s="398"/>
      <c r="M26" s="338"/>
      <c r="N26" s="338"/>
      <c r="O26" s="397"/>
      <c r="P26" s="403" t="s">
        <v>954</v>
      </c>
      <c r="Q26" s="390" t="str">
        <f t="shared" si="11"/>
        <v>配套类型</v>
      </c>
      <c r="R26" s="467" t="s">
        <v>935</v>
      </c>
      <c r="S26" s="468">
        <f t="shared" ref="S26:S36" si="12">F26</f>
        <v>100</v>
      </c>
      <c r="T26" s="467" t="s">
        <v>935</v>
      </c>
      <c r="U26" s="468">
        <f t="shared" ref="U26:U36" si="13">H26</f>
        <v>100</v>
      </c>
      <c r="V26" s="467" t="s">
        <v>935</v>
      </c>
      <c r="W26" s="468">
        <f t="shared" ref="W26:W36" si="14">J26</f>
        <v>100</v>
      </c>
      <c r="X26" s="454"/>
      <c r="Y26" s="406" t="s">
        <v>954</v>
      </c>
      <c r="Z26" s="453" t="str">
        <f t="shared" ref="Z26:Z36" si="15">Q26</f>
        <v>配套类型</v>
      </c>
      <c r="AA26" s="453">
        <f t="shared" si="3"/>
        <v>1</v>
      </c>
      <c r="AB26" s="453">
        <f t="shared" si="4"/>
        <v>1</v>
      </c>
      <c r="AC26" s="453">
        <f t="shared" si="5"/>
        <v>1</v>
      </c>
    </row>
    <row r="27" s="191" customFormat="1" ht="15" spans="1:29">
      <c r="A27" s="520"/>
      <c r="B27" s="248" t="s">
        <v>2589</v>
      </c>
      <c r="C27" s="521"/>
      <c r="D27" s="248">
        <v>100</v>
      </c>
      <c r="E27" s="521"/>
      <c r="F27" s="288">
        <f>SUMIF(81:81,E27,82:82)-SUMIF(81:81,C27,82:82)+100</f>
        <v>100</v>
      </c>
      <c r="G27" s="521"/>
      <c r="H27" s="258">
        <f>SUMIF(81:81,G27,82:82)-SUMIF(81:81,C27,82:82)+100</f>
        <v>100</v>
      </c>
      <c r="I27" s="521"/>
      <c r="J27" s="258">
        <f>SUMIF(81:81,I27,82:82)-SUMIF(81:81,C27,82:82)+100</f>
        <v>100</v>
      </c>
      <c r="K27" s="395"/>
      <c r="L27" s="396"/>
      <c r="M27" s="404"/>
      <c r="N27" s="404"/>
      <c r="O27" s="405"/>
      <c r="P27" s="406"/>
      <c r="Q27" s="469" t="str">
        <f t="shared" si="11"/>
        <v>项目停车位配比</v>
      </c>
      <c r="R27" s="470" t="s">
        <v>935</v>
      </c>
      <c r="S27" s="471">
        <f t="shared" si="12"/>
        <v>100</v>
      </c>
      <c r="T27" s="470" t="s">
        <v>935</v>
      </c>
      <c r="U27" s="471">
        <f t="shared" si="13"/>
        <v>100</v>
      </c>
      <c r="V27" s="470" t="s">
        <v>935</v>
      </c>
      <c r="W27" s="471">
        <f t="shared" si="14"/>
        <v>100</v>
      </c>
      <c r="X27" s="472"/>
      <c r="Y27" s="406"/>
      <c r="Z27" s="482" t="str">
        <f t="shared" si="15"/>
        <v>项目停车位配比</v>
      </c>
      <c r="AA27" s="453">
        <f t="shared" si="3"/>
        <v>1</v>
      </c>
      <c r="AB27" s="453">
        <f t="shared" si="4"/>
        <v>1</v>
      </c>
      <c r="AC27" s="453">
        <f t="shared" si="5"/>
        <v>1</v>
      </c>
    </row>
    <row r="28" ht="15" spans="1:29">
      <c r="A28" s="522"/>
      <c r="B28" s="248" t="s">
        <v>2365</v>
      </c>
      <c r="C28" s="302"/>
      <c r="D28" s="258">
        <v>100</v>
      </c>
      <c r="E28" s="302"/>
      <c r="F28" s="288">
        <f>SUMIF(83:83,E28,84:84)-SUMIF(83:83,C28,84:84)+100</f>
        <v>100</v>
      </c>
      <c r="G28" s="302"/>
      <c r="H28" s="258">
        <f>SUMIF(83:83,G28,84:84)-SUMIF(83:83,C28,84:84)+100</f>
        <v>100</v>
      </c>
      <c r="I28" s="302"/>
      <c r="J28" s="258">
        <f>SUMIF(83:83,I28,84:84)-SUMIF(83:83,C28,84:84)+100</f>
        <v>100</v>
      </c>
      <c r="K28" s="391"/>
      <c r="L28" s="398"/>
      <c r="M28" s="338"/>
      <c r="N28" s="338"/>
      <c r="O28" s="397"/>
      <c r="P28" s="406"/>
      <c r="Q28" s="390" t="str">
        <f t="shared" si="11"/>
        <v>公共部分装修</v>
      </c>
      <c r="R28" s="467" t="s">
        <v>935</v>
      </c>
      <c r="S28" s="468">
        <f t="shared" si="12"/>
        <v>100</v>
      </c>
      <c r="T28" s="467" t="s">
        <v>935</v>
      </c>
      <c r="U28" s="468">
        <f t="shared" si="13"/>
        <v>100</v>
      </c>
      <c r="V28" s="467" t="s">
        <v>935</v>
      </c>
      <c r="W28" s="468">
        <f t="shared" si="14"/>
        <v>100</v>
      </c>
      <c r="X28" s="454"/>
      <c r="Y28" s="406"/>
      <c r="Z28" s="453" t="str">
        <f t="shared" si="15"/>
        <v>公共部分装修</v>
      </c>
      <c r="AA28" s="453">
        <f t="shared" si="3"/>
        <v>1</v>
      </c>
      <c r="AB28" s="453">
        <f t="shared" si="4"/>
        <v>1</v>
      </c>
      <c r="AC28" s="453">
        <f t="shared" si="5"/>
        <v>1</v>
      </c>
    </row>
    <row r="29" ht="15" spans="1:29">
      <c r="A29" s="522"/>
      <c r="B29" s="248" t="s">
        <v>2590</v>
      </c>
      <c r="C29" s="253"/>
      <c r="D29" s="258">
        <v>100</v>
      </c>
      <c r="E29" s="298"/>
      <c r="F29" s="288" t="e">
        <f>LOOKUP(E29,86:86,87:87)-LOOKUP(C29,86:86,87:87)+100</f>
        <v>#N/A</v>
      </c>
      <c r="G29" s="298"/>
      <c r="H29" s="288" t="e">
        <f>LOOKUP(G29,86:86,87:87)-LOOKUP(C29,86:86,87:87)+100</f>
        <v>#N/A</v>
      </c>
      <c r="I29" s="298"/>
      <c r="J29" s="258" t="e">
        <f>LOOKUP(I29,86:86,87:87)-LOOKUP(C29,86:86,87:87)+100</f>
        <v>#N/A</v>
      </c>
      <c r="K29" s="391"/>
      <c r="L29" s="398"/>
      <c r="M29" s="338"/>
      <c r="N29" s="338"/>
      <c r="O29" s="397"/>
      <c r="P29" s="406"/>
      <c r="Q29" s="390" t="str">
        <f t="shared" si="11"/>
        <v>成新率</v>
      </c>
      <c r="R29" s="467" t="s">
        <v>935</v>
      </c>
      <c r="S29" s="468" t="e">
        <f t="shared" si="12"/>
        <v>#N/A</v>
      </c>
      <c r="T29" s="467" t="s">
        <v>935</v>
      </c>
      <c r="U29" s="468" t="e">
        <f t="shared" si="13"/>
        <v>#N/A</v>
      </c>
      <c r="V29" s="467" t="s">
        <v>935</v>
      </c>
      <c r="W29" s="468" t="e">
        <f t="shared" si="14"/>
        <v>#N/A</v>
      </c>
      <c r="X29" s="454"/>
      <c r="Y29" s="406"/>
      <c r="Z29" s="453" t="str">
        <f t="shared" si="15"/>
        <v>成新率</v>
      </c>
      <c r="AA29" s="453" t="e">
        <f t="shared" si="3"/>
        <v>#N/A</v>
      </c>
      <c r="AB29" s="453" t="e">
        <f t="shared" si="4"/>
        <v>#N/A</v>
      </c>
      <c r="AC29" s="453" t="e">
        <f t="shared" si="5"/>
        <v>#N/A</v>
      </c>
    </row>
    <row r="30" ht="15" spans="1:29">
      <c r="A30" s="522"/>
      <c r="B30" s="248" t="s">
        <v>2591</v>
      </c>
      <c r="C30" s="303"/>
      <c r="D30" s="258">
        <v>100</v>
      </c>
      <c r="E30" s="303"/>
      <c r="F30" s="288">
        <f>SUMIF(88:88,E30,89:89)-SUMIF(88:88,C30,89:89)+100</f>
        <v>100</v>
      </c>
      <c r="G30" s="303"/>
      <c r="H30" s="258">
        <f>SUMIF(88:88,E30,89:89)-SUMIF(88:88,C30,89:89)+100</f>
        <v>100</v>
      </c>
      <c r="I30" s="303"/>
      <c r="J30" s="258">
        <f>SUMIF(88:88,E30,89:89)-SUMIF(88:88,C30,89:89)+100</f>
        <v>100</v>
      </c>
      <c r="K30" s="391"/>
      <c r="L30" s="398"/>
      <c r="M30" s="338"/>
      <c r="N30" s="338"/>
      <c r="O30" s="397"/>
      <c r="P30" s="406"/>
      <c r="Q30" s="390" t="str">
        <f t="shared" si="11"/>
        <v>物业等级</v>
      </c>
      <c r="R30" s="467" t="s">
        <v>935</v>
      </c>
      <c r="S30" s="468">
        <f t="shared" si="12"/>
        <v>100</v>
      </c>
      <c r="T30" s="467" t="s">
        <v>935</v>
      </c>
      <c r="U30" s="468">
        <f t="shared" si="13"/>
        <v>100</v>
      </c>
      <c r="V30" s="467" t="s">
        <v>935</v>
      </c>
      <c r="W30" s="468">
        <f t="shared" si="14"/>
        <v>100</v>
      </c>
      <c r="X30" s="454"/>
      <c r="Y30" s="406"/>
      <c r="Z30" s="453" t="str">
        <f t="shared" si="15"/>
        <v>物业等级</v>
      </c>
      <c r="AA30" s="453">
        <f t="shared" si="3"/>
        <v>1</v>
      </c>
      <c r="AB30" s="453">
        <f t="shared" si="4"/>
        <v>1</v>
      </c>
      <c r="AC30" s="453">
        <f t="shared" si="5"/>
        <v>1</v>
      </c>
    </row>
    <row r="31" s="189" customFormat="1" ht="15" spans="1:29">
      <c r="A31" s="523"/>
      <c r="B31" s="248" t="s">
        <v>2592</v>
      </c>
      <c r="C31" s="253"/>
      <c r="D31" s="248">
        <v>100</v>
      </c>
      <c r="E31" s="253"/>
      <c r="F31" s="288" t="e">
        <f>LOOKUP(E31,91:91,92:92)-LOOKUP(C31,91:91,92:92)+100</f>
        <v>#N/A</v>
      </c>
      <c r="G31" s="253"/>
      <c r="H31" s="258" t="e">
        <f>LOOKUP(G31,91:91,92:92)-LOOKUP(C31,91:91,92:92)+100</f>
        <v>#N/A</v>
      </c>
      <c r="I31" s="253"/>
      <c r="J31" s="258" t="e">
        <f>LOOKUP(I31,91:91,92:92)-LOOKUP(C31,91:91,92:92)+100</f>
        <v>#N/A</v>
      </c>
      <c r="K31" s="391"/>
      <c r="L31" s="386"/>
      <c r="M31" s="387"/>
      <c r="N31" s="387"/>
      <c r="O31" s="389"/>
      <c r="P31" s="406"/>
      <c r="Q31" s="466" t="str">
        <f t="shared" si="11"/>
        <v>停车位面积</v>
      </c>
      <c r="R31" s="462" t="s">
        <v>935</v>
      </c>
      <c r="S31" s="463" t="e">
        <f t="shared" si="12"/>
        <v>#N/A</v>
      </c>
      <c r="T31" s="462" t="s">
        <v>935</v>
      </c>
      <c r="U31" s="463" t="e">
        <f t="shared" si="13"/>
        <v>#N/A</v>
      </c>
      <c r="V31" s="462" t="s">
        <v>935</v>
      </c>
      <c r="W31" s="463" t="e">
        <f t="shared" si="14"/>
        <v>#N/A</v>
      </c>
      <c r="X31" s="464"/>
      <c r="Y31" s="406"/>
      <c r="Z31" s="481" t="str">
        <f t="shared" si="15"/>
        <v>停车位面积</v>
      </c>
      <c r="AA31" s="481" t="e">
        <f t="shared" si="3"/>
        <v>#N/A</v>
      </c>
      <c r="AB31" s="481" t="e">
        <f t="shared" si="4"/>
        <v>#N/A</v>
      </c>
      <c r="AC31" s="481" t="e">
        <f t="shared" si="5"/>
        <v>#N/A</v>
      </c>
    </row>
    <row r="32" ht="15" spans="1:29">
      <c r="A32" s="522"/>
      <c r="B32" s="248" t="s">
        <v>2593</v>
      </c>
      <c r="C32" s="302"/>
      <c r="D32" s="258">
        <v>100</v>
      </c>
      <c r="E32" s="302"/>
      <c r="F32" s="288">
        <f>SUMIF(93:93,E32,94:94)-SUMIF(93:93,C32,94:94)+100</f>
        <v>100</v>
      </c>
      <c r="G32" s="302"/>
      <c r="H32" s="258">
        <f>SUMIF(93:93,G32,94:94)-SUMIF(93:93,C32,94:94)+100</f>
        <v>100</v>
      </c>
      <c r="I32" s="302"/>
      <c r="J32" s="258">
        <f>SUMIF(93:93,I32,94:94)-SUMIF(93:93,C32,94:94)+100</f>
        <v>100</v>
      </c>
      <c r="K32" s="391"/>
      <c r="L32" s="398"/>
      <c r="M32" s="338"/>
      <c r="N32" s="338"/>
      <c r="O32" s="397"/>
      <c r="P32" s="406" t="s">
        <v>954</v>
      </c>
      <c r="Q32" s="390" t="str">
        <f t="shared" si="11"/>
        <v>车位类型</v>
      </c>
      <c r="R32" s="467" t="s">
        <v>935</v>
      </c>
      <c r="S32" s="468">
        <f t="shared" si="12"/>
        <v>100</v>
      </c>
      <c r="T32" s="467" t="s">
        <v>935</v>
      </c>
      <c r="U32" s="468">
        <f t="shared" si="13"/>
        <v>100</v>
      </c>
      <c r="V32" s="467" t="s">
        <v>935</v>
      </c>
      <c r="W32" s="468">
        <f t="shared" si="14"/>
        <v>100</v>
      </c>
      <c r="X32" s="454"/>
      <c r="Y32" s="406" t="s">
        <v>954</v>
      </c>
      <c r="Z32" s="453" t="str">
        <f t="shared" si="15"/>
        <v>车位类型</v>
      </c>
      <c r="AA32" s="453">
        <f t="shared" si="3"/>
        <v>1</v>
      </c>
      <c r="AB32" s="453">
        <f t="shared" si="4"/>
        <v>1</v>
      </c>
      <c r="AC32" s="453">
        <f t="shared" si="5"/>
        <v>1</v>
      </c>
    </row>
    <row r="33" ht="15" spans="1:29">
      <c r="A33" s="522"/>
      <c r="B33" s="248" t="s">
        <v>2594</v>
      </c>
      <c r="C33" s="302"/>
      <c r="D33" s="258">
        <v>100</v>
      </c>
      <c r="E33" s="302"/>
      <c r="F33" s="288">
        <f>SUMIF(95:95,E33,96:96)-SUMIF(95:95,C33,96:96)+100</f>
        <v>100</v>
      </c>
      <c r="G33" s="302"/>
      <c r="H33" s="258">
        <f>SUMIF(95:95,G33,96:96)-SUMIF(95:95,C33,96:96)+100</f>
        <v>100</v>
      </c>
      <c r="I33" s="302"/>
      <c r="J33" s="258">
        <f>SUMIF(95:95,I33,96:96)-SUMIF(95:95,C33,96:96)+100</f>
        <v>100</v>
      </c>
      <c r="K33" s="391"/>
      <c r="L33" s="398"/>
      <c r="M33" s="338"/>
      <c r="N33" s="338"/>
      <c r="O33" s="397"/>
      <c r="P33" s="406"/>
      <c r="Q33" s="390" t="str">
        <f t="shared" si="11"/>
        <v>是否直接入户</v>
      </c>
      <c r="R33" s="467" t="s">
        <v>935</v>
      </c>
      <c r="S33" s="468">
        <f t="shared" si="12"/>
        <v>100</v>
      </c>
      <c r="T33" s="467" t="s">
        <v>935</v>
      </c>
      <c r="U33" s="468">
        <f t="shared" si="13"/>
        <v>100</v>
      </c>
      <c r="V33" s="467" t="s">
        <v>935</v>
      </c>
      <c r="W33" s="468">
        <f t="shared" si="14"/>
        <v>100</v>
      </c>
      <c r="X33" s="454"/>
      <c r="Y33" s="406"/>
      <c r="Z33" s="453" t="str">
        <f t="shared" si="15"/>
        <v>是否直接入户</v>
      </c>
      <c r="AA33" s="453">
        <f t="shared" si="3"/>
        <v>1</v>
      </c>
      <c r="AB33" s="453">
        <f t="shared" si="4"/>
        <v>1</v>
      </c>
      <c r="AC33" s="453">
        <f t="shared" si="5"/>
        <v>1</v>
      </c>
    </row>
    <row r="34" ht="15" spans="1:29">
      <c r="A34" s="522"/>
      <c r="B34" s="421">
        <v>111</v>
      </c>
      <c r="C34" s="252"/>
      <c r="D34" s="258">
        <v>100</v>
      </c>
      <c r="E34" s="252"/>
      <c r="F34" s="288">
        <f>SUMIF(97:97,E34,98:98)-SUMIF(97:97,C34,98:98)+100</f>
        <v>100</v>
      </c>
      <c r="G34" s="252"/>
      <c r="H34" s="258">
        <f>SUMIF(97:97,G34,98:98)-SUMIF(97:97,C34,98:98)+100</f>
        <v>100</v>
      </c>
      <c r="I34" s="252"/>
      <c r="J34" s="258">
        <f>SUMIF(97:97,I34,98:98)-SUMIF(97:97,C34,98:98)+100</f>
        <v>100</v>
      </c>
      <c r="K34" s="395"/>
      <c r="L34" s="398"/>
      <c r="M34" s="338"/>
      <c r="N34" s="338"/>
      <c r="O34" s="397"/>
      <c r="P34" s="406"/>
      <c r="Q34" s="390">
        <f t="shared" si="11"/>
        <v>111</v>
      </c>
      <c r="R34" s="467" t="s">
        <v>935</v>
      </c>
      <c r="S34" s="468">
        <f t="shared" si="12"/>
        <v>100</v>
      </c>
      <c r="T34" s="467" t="s">
        <v>935</v>
      </c>
      <c r="U34" s="468">
        <f t="shared" si="13"/>
        <v>100</v>
      </c>
      <c r="V34" s="467" t="s">
        <v>935</v>
      </c>
      <c r="W34" s="468">
        <f t="shared" si="14"/>
        <v>100</v>
      </c>
      <c r="X34" s="454"/>
      <c r="Y34" s="406"/>
      <c r="Z34" s="453">
        <f t="shared" si="15"/>
        <v>111</v>
      </c>
      <c r="AA34" s="453">
        <f t="shared" si="3"/>
        <v>1</v>
      </c>
      <c r="AB34" s="453">
        <f t="shared" si="4"/>
        <v>1</v>
      </c>
      <c r="AC34" s="453">
        <f t="shared" si="5"/>
        <v>1</v>
      </c>
    </row>
    <row r="35" s="191" customFormat="1" ht="15" spans="1:29">
      <c r="A35" s="520"/>
      <c r="B35" s="421">
        <v>111</v>
      </c>
      <c r="C35" s="252"/>
      <c r="D35" s="258">
        <v>100</v>
      </c>
      <c r="E35" s="252"/>
      <c r="F35" s="288">
        <f>SUMIF(99:99,E35,100:100)-SUMIF(99:99,C35,100:100)+100</f>
        <v>100</v>
      </c>
      <c r="G35" s="252"/>
      <c r="H35" s="258">
        <f>SUMIF(99:99,G35,100:100)-SUMIF(99:99,C35,100:100)+100</f>
        <v>100</v>
      </c>
      <c r="I35" s="252"/>
      <c r="J35" s="258">
        <f>SUMIF(99:99,I35,100:100)-SUMIF(99:99,C35,100:100)+100</f>
        <v>100</v>
      </c>
      <c r="K35" s="395"/>
      <c r="L35" s="396"/>
      <c r="M35" s="404"/>
      <c r="N35" s="404"/>
      <c r="O35" s="405"/>
      <c r="P35" s="406"/>
      <c r="Q35" s="469">
        <f t="shared" si="11"/>
        <v>111</v>
      </c>
      <c r="R35" s="470" t="s">
        <v>935</v>
      </c>
      <c r="S35" s="471">
        <f t="shared" si="12"/>
        <v>100</v>
      </c>
      <c r="T35" s="470" t="s">
        <v>935</v>
      </c>
      <c r="U35" s="471">
        <f t="shared" si="13"/>
        <v>100</v>
      </c>
      <c r="V35" s="470" t="s">
        <v>935</v>
      </c>
      <c r="W35" s="471">
        <f t="shared" si="14"/>
        <v>100</v>
      </c>
      <c r="X35" s="472"/>
      <c r="Y35" s="406"/>
      <c r="Z35" s="482">
        <f t="shared" si="15"/>
        <v>111</v>
      </c>
      <c r="AA35" s="453">
        <f t="shared" si="3"/>
        <v>1</v>
      </c>
      <c r="AB35" s="453">
        <f t="shared" si="4"/>
        <v>1</v>
      </c>
      <c r="AC35" s="453">
        <f t="shared" si="5"/>
        <v>1</v>
      </c>
    </row>
    <row r="36" ht="15.75" spans="1:29">
      <c r="A36" s="524"/>
      <c r="B36" s="515">
        <v>111</v>
      </c>
      <c r="C36" s="257"/>
      <c r="D36" s="258">
        <v>100</v>
      </c>
      <c r="E36" s="252"/>
      <c r="F36" s="288">
        <f>SUMIF(101:101,E36,102:102)-SUMIF(101:101,C36,102:102)+100</f>
        <v>100</v>
      </c>
      <c r="G36" s="252"/>
      <c r="H36" s="258">
        <f>SUMIF(101:101,G36,102:102)-SUMIF(101:101,C36,102:102)+100</f>
        <v>100</v>
      </c>
      <c r="I36" s="252"/>
      <c r="J36" s="258">
        <f>SUMIF(101:101,I36,102:102)-SUMIF(101:101,C36,102:102)+100</f>
        <v>100</v>
      </c>
      <c r="K36" s="395"/>
      <c r="L36" s="398"/>
      <c r="M36" s="338"/>
      <c r="N36" s="338"/>
      <c r="O36" s="397"/>
      <c r="P36" s="406"/>
      <c r="Q36" s="390">
        <f t="shared" si="11"/>
        <v>111</v>
      </c>
      <c r="R36" s="467" t="s">
        <v>935</v>
      </c>
      <c r="S36" s="468">
        <f t="shared" si="12"/>
        <v>100</v>
      </c>
      <c r="T36" s="467" t="s">
        <v>935</v>
      </c>
      <c r="U36" s="468">
        <f t="shared" si="13"/>
        <v>100</v>
      </c>
      <c r="V36" s="467" t="s">
        <v>935</v>
      </c>
      <c r="W36" s="468">
        <f t="shared" si="14"/>
        <v>100</v>
      </c>
      <c r="X36" s="454"/>
      <c r="Y36" s="406"/>
      <c r="Z36" s="453">
        <f t="shared" si="15"/>
        <v>111</v>
      </c>
      <c r="AA36" s="453">
        <f t="shared" si="3"/>
        <v>1</v>
      </c>
      <c r="AB36" s="453">
        <f t="shared" si="4"/>
        <v>1</v>
      </c>
      <c r="AC36" s="453">
        <f t="shared" si="5"/>
        <v>1</v>
      </c>
    </row>
    <row r="37" ht="15" spans="1:29">
      <c r="A37" s="525" t="s">
        <v>2595</v>
      </c>
      <c r="B37" s="526" t="s">
        <v>1114</v>
      </c>
      <c r="C37" s="313" t="s">
        <v>138</v>
      </c>
      <c r="D37" s="314"/>
      <c r="E37" s="315"/>
      <c r="F37" s="316"/>
      <c r="G37" s="317"/>
      <c r="H37" s="318"/>
      <c r="I37" s="315"/>
      <c r="J37" s="318"/>
      <c r="K37" s="407"/>
      <c r="L37" s="408"/>
      <c r="M37" s="338"/>
      <c r="N37" s="338"/>
      <c r="O37" s="338"/>
      <c r="P37" s="390" t="str">
        <f>A37</f>
        <v>成交单价</v>
      </c>
      <c r="Q37" s="390"/>
      <c r="R37" s="453">
        <f>E37</f>
        <v>0</v>
      </c>
      <c r="S37" s="453"/>
      <c r="T37" s="453">
        <f>G37</f>
        <v>0</v>
      </c>
      <c r="U37" s="453"/>
      <c r="V37" s="453">
        <f>I37</f>
        <v>0</v>
      </c>
      <c r="W37" s="453"/>
      <c r="X37" s="267"/>
      <c r="Y37" s="483"/>
      <c r="Z37" s="267"/>
      <c r="AA37" s="267"/>
      <c r="AB37" s="267"/>
      <c r="AC37" s="267"/>
    </row>
    <row r="38" ht="15.75" spans="1:29">
      <c r="A38" s="319" t="s">
        <v>963</v>
      </c>
      <c r="B38" s="320"/>
      <c r="C38" s="321" t="e">
        <f>R39</f>
        <v>#DIV/0!</v>
      </c>
      <c r="D38" s="322" t="s">
        <v>964</v>
      </c>
      <c r="E38" s="323" t="e">
        <f>R38</f>
        <v>#DIV/0!</v>
      </c>
      <c r="F38" s="324"/>
      <c r="G38" s="321" t="e">
        <f>T38</f>
        <v>#DIV/0!</v>
      </c>
      <c r="H38" s="324"/>
      <c r="I38" s="323" t="e">
        <f>V38</f>
        <v>#DIV/0!</v>
      </c>
      <c r="J38" s="324"/>
      <c r="K38" s="409">
        <f>F38+H38+J38</f>
        <v>0</v>
      </c>
      <c r="L38" s="408"/>
      <c r="M38" s="338"/>
      <c r="N38" s="338"/>
      <c r="O38" s="338"/>
      <c r="P38" s="390" t="str">
        <f>A38</f>
        <v>比较价格（元/平方米）</v>
      </c>
      <c r="Q38" s="390"/>
      <c r="R38" s="453" t="e">
        <f>IF(F1="售价",ROUND(PRODUCT(R37,AA7:AA36),0),ROUND(PRODUCT(R37,AA7:AA36),1))</f>
        <v>#DIV/0!</v>
      </c>
      <c r="S38" s="453"/>
      <c r="T38" s="453" t="e">
        <f>IF(F1="售价",ROUND(PRODUCT(T37,AB7:AB36),0),ROUND(PRODUCT(T37,AB7:AB36),1))</f>
        <v>#DIV/0!</v>
      </c>
      <c r="U38" s="453"/>
      <c r="V38" s="453" t="e">
        <f>IF(F1="售价",ROUND(PRODUCT(V37,AC7:AC36),0),ROUND(PRODUCT(V37,AC7:AC36),1))</f>
        <v>#DIV/0!</v>
      </c>
      <c r="W38" s="453"/>
      <c r="X38" s="267"/>
      <c r="Y38" s="267"/>
      <c r="Z38" s="267"/>
      <c r="AA38" s="267"/>
      <c r="AB38" s="267"/>
      <c r="AC38" s="267"/>
    </row>
    <row r="39" ht="15.75" spans="1:29">
      <c r="A39" s="325" t="s">
        <v>965</v>
      </c>
      <c r="B39" s="326"/>
      <c r="C39" s="226" t="e">
        <f>R39</f>
        <v>#DIV/0!</v>
      </c>
      <c r="D39" s="226"/>
      <c r="E39" s="226"/>
      <c r="F39" s="226"/>
      <c r="G39" s="226"/>
      <c r="H39" s="226"/>
      <c r="I39" s="226"/>
      <c r="J39" s="226"/>
      <c r="K39" s="410"/>
      <c r="L39" s="408"/>
      <c r="M39" s="338"/>
      <c r="N39" s="338"/>
      <c r="O39" s="338"/>
      <c r="P39" s="288" t="str">
        <f>A39</f>
        <v>估价对象XX用房的比较价格（楼面单价，元/平方米）</v>
      </c>
      <c r="Q39" s="473"/>
      <c r="R39" s="474" t="e">
        <f>IF(F1="售价",ROUND(IF(D38="简单平均",AVERAGE(R38:W38),R38*F38+T38*H38+V38*J38),0),ROUND(IF(D38="简单平均",AVERAGE(R38:V38),R38*F38+T38*H38+V38*J38),1))</f>
        <v>#DIV/0!</v>
      </c>
      <c r="S39" s="474"/>
      <c r="T39" s="474"/>
      <c r="U39" s="474"/>
      <c r="V39" s="474"/>
      <c r="W39" s="474"/>
      <c r="X39" s="267"/>
      <c r="Y39" s="267"/>
      <c r="Z39" s="267"/>
      <c r="AA39" s="267"/>
      <c r="AB39" s="267"/>
      <c r="AC39" s="267"/>
    </row>
    <row r="40" spans="1:29">
      <c r="A40" s="327"/>
      <c r="B40" s="327"/>
      <c r="C40" s="327"/>
      <c r="D40" s="327"/>
      <c r="E40" s="327"/>
      <c r="F40" s="327"/>
      <c r="G40" s="328"/>
      <c r="H40" s="327"/>
      <c r="I40" s="327"/>
      <c r="J40" s="327"/>
      <c r="K40" s="411"/>
      <c r="L40" s="412"/>
      <c r="M40" s="338"/>
      <c r="N40" s="338"/>
      <c r="O40" s="338"/>
      <c r="P40" s="338"/>
      <c r="Q40" s="338"/>
      <c r="R40" s="338"/>
      <c r="S40" s="338"/>
      <c r="T40" s="338"/>
      <c r="U40" s="338"/>
      <c r="V40" s="338"/>
      <c r="W40" s="338"/>
      <c r="X40" s="338"/>
      <c r="Y40" s="338"/>
      <c r="Z40" s="338"/>
      <c r="AA40" s="338"/>
      <c r="AB40" s="338"/>
      <c r="AC40" s="338"/>
    </row>
    <row r="41" spans="1:29">
      <c r="A41" s="327"/>
      <c r="B41" s="327"/>
      <c r="C41" s="327"/>
      <c r="D41" s="327"/>
      <c r="E41" s="327"/>
      <c r="F41" s="327"/>
      <c r="G41" s="327"/>
      <c r="H41" s="327"/>
      <c r="I41" s="327"/>
      <c r="J41" s="327"/>
      <c r="K41" s="411"/>
      <c r="L41" s="412"/>
      <c r="M41" s="338"/>
      <c r="N41" s="338"/>
      <c r="O41" s="338"/>
      <c r="P41" s="338"/>
      <c r="Q41" s="338"/>
      <c r="R41" s="338"/>
      <c r="S41" s="338"/>
      <c r="T41" s="338"/>
      <c r="U41" s="338"/>
      <c r="V41" s="338"/>
      <c r="W41" s="338"/>
      <c r="X41" s="338"/>
      <c r="Y41" s="338"/>
      <c r="Z41" s="338"/>
      <c r="AA41" s="338"/>
      <c r="AB41" s="338"/>
      <c r="AC41" s="338"/>
    </row>
    <row r="42" ht="13.5" customHeight="1" spans="1:29">
      <c r="A42" s="327"/>
      <c r="B42" s="327"/>
      <c r="C42" s="329" t="s">
        <v>966</v>
      </c>
      <c r="D42" s="330"/>
      <c r="E42" s="331" t="e">
        <f>IF(E37&lt;E38,E38/E37-1,E37/E38-1)</f>
        <v>#DIV/0!</v>
      </c>
      <c r="F42" s="332" t="e">
        <f>IF(OR(E42&gt;=0.3,E42&lt;=-0.3),"超过30%","")</f>
        <v>#DIV/0!</v>
      </c>
      <c r="G42" s="331" t="e">
        <f>IF(G37&lt;G38,G38/G37-1,G37/G38-1)</f>
        <v>#DIV/0!</v>
      </c>
      <c r="H42" s="332" t="e">
        <f>IF(OR(G42&gt;=0.3,G42&lt;=-0.3),"超过30%","")</f>
        <v>#DIV/0!</v>
      </c>
      <c r="I42" s="331" t="e">
        <f>IF(I37&lt;I38,I38/I37-1,I37/I38-1)</f>
        <v>#DIV/0!</v>
      </c>
      <c r="J42" s="332" t="e">
        <f>IF(OR(I42&gt;=0.3,I42&lt;=-0.3),"超过30%","")</f>
        <v>#DIV/0!</v>
      </c>
      <c r="K42" s="411"/>
      <c r="L42" s="412"/>
      <c r="M42" s="338"/>
      <c r="N42" s="338"/>
      <c r="O42" s="338"/>
      <c r="P42" s="338"/>
      <c r="Q42" s="338"/>
      <c r="R42" s="338"/>
      <c r="S42" s="338"/>
      <c r="T42" s="338"/>
      <c r="U42" s="338"/>
      <c r="V42" s="338"/>
      <c r="W42" s="338"/>
      <c r="X42" s="338"/>
      <c r="Y42" s="338"/>
      <c r="Z42" s="338"/>
      <c r="AA42" s="338"/>
      <c r="AB42" s="338"/>
      <c r="AC42" s="338"/>
    </row>
    <row r="43" ht="13.5" customHeight="1" spans="1:29">
      <c r="A43" s="327"/>
      <c r="B43" s="327"/>
      <c r="C43" s="329" t="s">
        <v>967</v>
      </c>
      <c r="D43" s="333"/>
      <c r="E43" s="331" t="e">
        <f>IF(E38&lt;G38,G38/E38-1,E38/G38-1)</f>
        <v>#DIV/0!</v>
      </c>
      <c r="F43" s="332" t="e">
        <f>IF(OR(E43&gt;=0.2,E43&lt;=-0.2),"超过20%","")</f>
        <v>#DIV/0!</v>
      </c>
      <c r="G43" s="331" t="e">
        <f>IF(G38&lt;I38,I38/G38-1,G38/I38-1)</f>
        <v>#DIV/0!</v>
      </c>
      <c r="H43" s="332" t="e">
        <f>IF(OR(G43&gt;=0.2,G43&lt;=-0.2),"超过20%","")</f>
        <v>#DIV/0!</v>
      </c>
      <c r="I43" s="331" t="e">
        <f>IF(I38&lt;E38,E38/I38-1,I38/E38-1)</f>
        <v>#DIV/0!</v>
      </c>
      <c r="J43" s="332" t="e">
        <f>IF(OR(I43&gt;=0.2,I43&lt;=-0.2),"超过20%","")</f>
        <v>#DIV/0!</v>
      </c>
      <c r="K43" s="411"/>
      <c r="L43" s="412"/>
      <c r="M43" s="338"/>
      <c r="N43" s="338"/>
      <c r="O43" s="338"/>
      <c r="P43" s="338"/>
      <c r="Q43" s="338"/>
      <c r="R43" s="338"/>
      <c r="S43" s="338"/>
      <c r="T43" s="338"/>
      <c r="U43" s="338"/>
      <c r="V43" s="338"/>
      <c r="W43" s="338"/>
      <c r="X43" s="338"/>
      <c r="Y43" s="338"/>
      <c r="Z43" s="338"/>
      <c r="AA43" s="338"/>
      <c r="AB43" s="338"/>
      <c r="AC43" s="338"/>
    </row>
    <row r="44" s="192" customFormat="1" ht="13.5" customHeight="1" spans="1:29">
      <c r="A44" s="334"/>
      <c r="B44" s="334"/>
      <c r="C44" s="329" t="s">
        <v>968</v>
      </c>
      <c r="D44" s="333"/>
      <c r="E44" s="331" t="e">
        <f>IF(E37&lt;G37,G37/E37-1,E37/G37-1)</f>
        <v>#DIV/0!</v>
      </c>
      <c r="F44" s="332" t="e">
        <f>IF(OR(E44&gt;=0.3,E44&lt;=-0.3),"超过30%","")</f>
        <v>#DIV/0!</v>
      </c>
      <c r="G44" s="331" t="e">
        <f>IF(G37&lt;I37,I37/G37-1,G37/I37-1)</f>
        <v>#DIV/0!</v>
      </c>
      <c r="H44" s="332" t="e">
        <f>IF(OR(G44&gt;=0.3,G44&lt;=-0.3),"超过30%","")</f>
        <v>#DIV/0!</v>
      </c>
      <c r="I44" s="331" t="e">
        <f>IF(I37&lt;E37,E37/I37-1,I37/E37-1)</f>
        <v>#DIV/0!</v>
      </c>
      <c r="J44" s="332" t="e">
        <f>IF(OR(I44&gt;=0.3,I44&lt;=-0.3),"超过30%","")</f>
        <v>#DIV/0!</v>
      </c>
      <c r="K44" s="413"/>
      <c r="L44" s="414"/>
      <c r="M44" s="335"/>
      <c r="N44" s="335"/>
      <c r="O44" s="335"/>
      <c r="P44" s="335"/>
      <c r="Q44" s="335"/>
      <c r="R44" s="335"/>
      <c r="S44" s="335"/>
      <c r="T44" s="335"/>
      <c r="U44" s="335"/>
      <c r="V44" s="335"/>
      <c r="W44" s="335"/>
      <c r="X44" s="335"/>
      <c r="Y44" s="335"/>
      <c r="Z44" s="335"/>
      <c r="AA44" s="335"/>
      <c r="AB44" s="335"/>
      <c r="AC44" s="335"/>
    </row>
    <row r="45" s="192" customFormat="1" spans="1:29">
      <c r="A45" s="335"/>
      <c r="B45" s="336"/>
      <c r="C45" s="337"/>
      <c r="D45" s="335"/>
      <c r="E45" s="335"/>
      <c r="F45" s="335"/>
      <c r="G45" s="335"/>
      <c r="H45" s="335"/>
      <c r="I45" s="335"/>
      <c r="J45" s="335"/>
      <c r="K45" s="415"/>
      <c r="L45" s="414"/>
      <c r="M45" s="335"/>
      <c r="N45" s="335"/>
      <c r="O45" s="335"/>
      <c r="P45" s="335"/>
      <c r="Q45" s="335"/>
      <c r="R45" s="335"/>
      <c r="S45" s="335"/>
      <c r="T45" s="335"/>
      <c r="U45" s="335"/>
      <c r="V45" s="335"/>
      <c r="W45" s="335"/>
      <c r="X45" s="335"/>
      <c r="Y45" s="335"/>
      <c r="Z45" s="335"/>
      <c r="AA45" s="335"/>
      <c r="AB45" s="335"/>
      <c r="AC45" s="335"/>
    </row>
    <row r="46" spans="1:29">
      <c r="A46" s="338"/>
      <c r="B46" s="336"/>
      <c r="C46" s="337"/>
      <c r="D46" s="338"/>
      <c r="E46" s="338"/>
      <c r="F46" s="338"/>
      <c r="G46" s="338"/>
      <c r="H46" s="338"/>
      <c r="I46" s="338"/>
      <c r="J46" s="338"/>
      <c r="K46" s="416"/>
      <c r="L46" s="412"/>
      <c r="M46" s="338"/>
      <c r="N46" s="338"/>
      <c r="O46" s="338"/>
      <c r="P46" s="338"/>
      <c r="Q46" s="338"/>
      <c r="R46" s="338"/>
      <c r="S46" s="338"/>
      <c r="T46" s="338"/>
      <c r="U46" s="338"/>
      <c r="V46" s="338"/>
      <c r="W46" s="338"/>
      <c r="X46" s="338"/>
      <c r="Y46" s="338"/>
      <c r="Z46" s="338"/>
      <c r="AA46" s="338"/>
      <c r="AB46" s="338"/>
      <c r="AC46" s="338"/>
    </row>
    <row r="47" ht="21" spans="1:29">
      <c r="A47" s="339" t="s">
        <v>990</v>
      </c>
      <c r="B47" s="267"/>
      <c r="C47" s="419"/>
      <c r="D47" s="419"/>
      <c r="E47" s="419"/>
      <c r="F47" s="527"/>
      <c r="G47" s="527"/>
      <c r="H47" s="419"/>
      <c r="I47" s="419"/>
      <c r="J47" s="419"/>
      <c r="K47" s="529"/>
      <c r="L47" s="530"/>
      <c r="M47" s="419"/>
      <c r="N47" s="419"/>
      <c r="O47" s="419"/>
      <c r="P47" s="419"/>
      <c r="Q47" s="422"/>
      <c r="R47" s="338"/>
      <c r="S47" s="338"/>
      <c r="T47" s="338"/>
      <c r="U47" s="338"/>
      <c r="V47" s="338"/>
      <c r="W47" s="338"/>
      <c r="X47" s="338"/>
      <c r="Y47" s="338"/>
      <c r="Z47" s="338"/>
      <c r="AA47" s="338"/>
      <c r="AB47" s="338"/>
      <c r="AC47" s="338"/>
    </row>
    <row r="48" s="193" customFormat="1" ht="15" spans="1:29">
      <c r="A48" s="342" t="s">
        <v>933</v>
      </c>
      <c r="B48" s="343"/>
      <c r="C48" s="344" t="str">
        <f>YEAR(C7)&amp;"-"&amp;MONTH(C7)</f>
        <v>2023-11</v>
      </c>
      <c r="D48" s="345">
        <f>EDATE(C48,-1)</f>
        <v>45200</v>
      </c>
      <c r="E48" s="345">
        <f t="shared" ref="E48:O48" si="16">EDATE(D48,-1)</f>
        <v>45170</v>
      </c>
      <c r="F48" s="345">
        <f t="shared" si="16"/>
        <v>45139</v>
      </c>
      <c r="G48" s="345">
        <f t="shared" si="16"/>
        <v>45108</v>
      </c>
      <c r="H48" s="345">
        <f t="shared" si="16"/>
        <v>45078</v>
      </c>
      <c r="I48" s="345">
        <f t="shared" si="16"/>
        <v>45047</v>
      </c>
      <c r="J48" s="345">
        <f t="shared" si="16"/>
        <v>45017</v>
      </c>
      <c r="K48" s="345">
        <f t="shared" si="16"/>
        <v>44986</v>
      </c>
      <c r="L48" s="345">
        <f t="shared" si="16"/>
        <v>44958</v>
      </c>
      <c r="M48" s="345">
        <f t="shared" si="16"/>
        <v>44927</v>
      </c>
      <c r="N48" s="345">
        <f t="shared" si="16"/>
        <v>44896</v>
      </c>
      <c r="O48" s="345">
        <f t="shared" si="16"/>
        <v>44866</v>
      </c>
      <c r="P48" s="420"/>
      <c r="Q48" s="420"/>
      <c r="R48" s="420"/>
      <c r="S48" s="420"/>
      <c r="T48" s="420"/>
      <c r="U48" s="420"/>
      <c r="V48" s="420"/>
      <c r="W48" s="420"/>
      <c r="X48" s="420"/>
      <c r="Y48" s="420"/>
      <c r="Z48" s="420"/>
      <c r="AA48" s="420"/>
      <c r="AB48" s="420"/>
      <c r="AC48" s="420"/>
    </row>
    <row r="49" s="189" customFormat="1" ht="15" spans="1:29">
      <c r="A49" s="346"/>
      <c r="B49" s="347"/>
      <c r="C49" s="528">
        <v>100</v>
      </c>
      <c r="D49" s="349"/>
      <c r="E49" s="349"/>
      <c r="F49" s="349"/>
      <c r="G49" s="349"/>
      <c r="H49" s="349"/>
      <c r="I49" s="349"/>
      <c r="J49" s="349"/>
      <c r="K49" s="349"/>
      <c r="L49" s="349"/>
      <c r="M49" s="289"/>
      <c r="N49" s="349"/>
      <c r="O49" s="421"/>
      <c r="P49" s="422"/>
      <c r="Q49" s="387"/>
      <c r="R49" s="387"/>
      <c r="S49" s="387"/>
      <c r="T49" s="387"/>
      <c r="U49" s="387"/>
      <c r="V49" s="387"/>
      <c r="W49" s="387"/>
      <c r="X49" s="387"/>
      <c r="Y49" s="387"/>
      <c r="Z49" s="387"/>
      <c r="AA49" s="387"/>
      <c r="AB49" s="387"/>
      <c r="AC49" s="387"/>
    </row>
    <row r="50" s="189" customFormat="1" ht="15.75" spans="1:29">
      <c r="A50" s="350" t="s">
        <v>1105</v>
      </c>
      <c r="B50" s="351"/>
      <c r="C50" s="352"/>
      <c r="D50" s="353"/>
      <c r="E50" s="353"/>
      <c r="F50" s="353"/>
      <c r="G50" s="353"/>
      <c r="H50" s="353"/>
      <c r="I50" s="353"/>
      <c r="J50" s="353"/>
      <c r="K50" s="353"/>
      <c r="L50" s="353"/>
      <c r="M50" s="423"/>
      <c r="N50" s="353"/>
      <c r="O50" s="424"/>
      <c r="P50" s="422"/>
      <c r="Q50" s="422"/>
      <c r="R50" s="387"/>
      <c r="S50" s="387"/>
      <c r="T50" s="387"/>
      <c r="U50" s="387"/>
      <c r="V50" s="387"/>
      <c r="W50" s="387"/>
      <c r="X50" s="387"/>
      <c r="Y50" s="387"/>
      <c r="Z50" s="387"/>
      <c r="AA50" s="387"/>
      <c r="AB50" s="387"/>
      <c r="AC50" s="387"/>
    </row>
    <row r="51" s="189" customFormat="1" ht="15" spans="1:29">
      <c r="A51" s="354" t="s">
        <v>936</v>
      </c>
      <c r="B51" s="347"/>
      <c r="C51" s="355" t="s">
        <v>937</v>
      </c>
      <c r="D51" s="356"/>
      <c r="E51" s="356"/>
      <c r="F51" s="356"/>
      <c r="G51" s="356"/>
      <c r="H51" s="356"/>
      <c r="I51" s="356"/>
      <c r="J51" s="356"/>
      <c r="K51" s="356"/>
      <c r="L51" s="425"/>
      <c r="M51" s="426"/>
      <c r="N51" s="427"/>
      <c r="O51" s="427"/>
      <c r="P51" s="428"/>
      <c r="Q51" s="422"/>
      <c r="R51" s="387"/>
      <c r="S51" s="387"/>
      <c r="T51" s="387"/>
      <c r="U51" s="387"/>
      <c r="V51" s="387"/>
      <c r="W51" s="387"/>
      <c r="X51" s="387"/>
      <c r="Y51" s="387"/>
      <c r="Z51" s="387"/>
      <c r="AA51" s="387"/>
      <c r="AB51" s="387"/>
      <c r="AC51" s="387"/>
    </row>
    <row r="52" s="189" customFormat="1" ht="15.75" spans="1:29">
      <c r="A52" s="354"/>
      <c r="B52" s="347"/>
      <c r="C52" s="348">
        <v>100</v>
      </c>
      <c r="D52" s="349"/>
      <c r="E52" s="349"/>
      <c r="F52" s="349"/>
      <c r="G52" s="349"/>
      <c r="H52" s="349"/>
      <c r="I52" s="349"/>
      <c r="J52" s="349"/>
      <c r="K52" s="349"/>
      <c r="L52" s="349"/>
      <c r="M52" s="421"/>
      <c r="N52" s="427"/>
      <c r="O52" s="427"/>
      <c r="P52" s="422"/>
      <c r="Q52" s="422"/>
      <c r="R52" s="387"/>
      <c r="S52" s="387"/>
      <c r="T52" s="387"/>
      <c r="U52" s="387"/>
      <c r="V52" s="387"/>
      <c r="W52" s="387"/>
      <c r="X52" s="387"/>
      <c r="Y52" s="387"/>
      <c r="Z52" s="387"/>
      <c r="AA52" s="387"/>
      <c r="AB52" s="387"/>
      <c r="AC52" s="387"/>
    </row>
    <row r="53" spans="1:29">
      <c r="A53" s="357" t="s">
        <v>993</v>
      </c>
      <c r="B53" s="358" t="s">
        <v>994</v>
      </c>
      <c r="C53" s="359">
        <f>C9</f>
        <v>0</v>
      </c>
      <c r="D53" s="360"/>
      <c r="E53" s="360"/>
      <c r="F53" s="360"/>
      <c r="G53" s="360"/>
      <c r="H53" s="360"/>
      <c r="I53" s="360"/>
      <c r="J53" s="360"/>
      <c r="K53" s="429"/>
      <c r="L53" s="430"/>
      <c r="M53" s="431"/>
      <c r="N53" s="432"/>
      <c r="O53" s="432"/>
      <c r="P53" s="427"/>
      <c r="Q53" s="422"/>
      <c r="R53" s="338"/>
      <c r="S53" s="338"/>
      <c r="T53" s="338"/>
      <c r="U53" s="338"/>
      <c r="V53" s="338"/>
      <c r="W53" s="338"/>
      <c r="X53" s="338"/>
      <c r="Y53" s="338"/>
      <c r="Z53" s="338"/>
      <c r="AA53" s="338"/>
      <c r="AB53" s="338"/>
      <c r="AC53" s="338"/>
    </row>
    <row r="54" ht="15.75" spans="1:29">
      <c r="A54" s="266"/>
      <c r="B54" s="361"/>
      <c r="C54" s="362"/>
      <c r="D54" s="362"/>
      <c r="E54" s="362"/>
      <c r="F54" s="362"/>
      <c r="G54" s="362"/>
      <c r="H54" s="362"/>
      <c r="I54" s="362"/>
      <c r="J54" s="362"/>
      <c r="K54" s="362"/>
      <c r="L54" s="362"/>
      <c r="M54" s="433"/>
      <c r="N54" s="434"/>
      <c r="O54" s="434"/>
      <c r="P54" s="427"/>
      <c r="Q54" s="422"/>
      <c r="R54" s="338"/>
      <c r="S54" s="338"/>
      <c r="T54" s="338"/>
      <c r="U54" s="338"/>
      <c r="V54" s="338"/>
      <c r="W54" s="338"/>
      <c r="X54" s="338"/>
      <c r="Y54" s="338"/>
      <c r="Z54" s="338"/>
      <c r="AA54" s="338"/>
      <c r="AB54" s="338"/>
      <c r="AC54" s="338"/>
    </row>
    <row r="55" ht="27.75" spans="1:29">
      <c r="A55" s="266"/>
      <c r="B55" s="363" t="s">
        <v>995</v>
      </c>
      <c r="C55" s="364" t="s">
        <v>2376</v>
      </c>
      <c r="D55" s="364" t="s">
        <v>2377</v>
      </c>
      <c r="E55" s="364" t="s">
        <v>2378</v>
      </c>
      <c r="F55" s="364" t="s">
        <v>2379</v>
      </c>
      <c r="G55" s="364" t="s">
        <v>2380</v>
      </c>
      <c r="H55" s="364" t="s">
        <v>2381</v>
      </c>
      <c r="I55" s="364" t="s">
        <v>2382</v>
      </c>
      <c r="J55" s="364"/>
      <c r="K55" s="435"/>
      <c r="L55" s="436"/>
      <c r="M55" s="437"/>
      <c r="N55" s="432"/>
      <c r="O55" s="432"/>
      <c r="P55" s="427"/>
      <c r="Q55" s="422"/>
      <c r="R55" s="338"/>
      <c r="S55" s="338"/>
      <c r="T55" s="338"/>
      <c r="U55" s="338"/>
      <c r="V55" s="338"/>
      <c r="W55" s="338"/>
      <c r="X55" s="338"/>
      <c r="Y55" s="338"/>
      <c r="Z55" s="338"/>
      <c r="AA55" s="338"/>
      <c r="AB55" s="338"/>
      <c r="AC55" s="338"/>
    </row>
    <row r="56" ht="15.75" spans="1:29">
      <c r="A56" s="266"/>
      <c r="B56" s="365"/>
      <c r="C56" s="366" t="s">
        <v>989</v>
      </c>
      <c r="D56" s="366" t="s">
        <v>989</v>
      </c>
      <c r="E56" s="366">
        <v>100</v>
      </c>
      <c r="F56" s="366">
        <f>E56-$K10</f>
        <v>100</v>
      </c>
      <c r="G56" s="366">
        <f>F56-$K10</f>
        <v>100</v>
      </c>
      <c r="H56" s="366">
        <f>G56-$K10</f>
        <v>100</v>
      </c>
      <c r="I56" s="366">
        <f>H56-$K10</f>
        <v>100</v>
      </c>
      <c r="J56" s="366"/>
      <c r="K56" s="366"/>
      <c r="L56" s="366"/>
      <c r="M56" s="438"/>
      <c r="N56" s="434"/>
      <c r="O56" s="434"/>
      <c r="P56" s="427"/>
      <c r="Q56" s="422"/>
      <c r="R56" s="338"/>
      <c r="S56" s="338"/>
      <c r="T56" s="338"/>
      <c r="U56" s="338"/>
      <c r="V56" s="338"/>
      <c r="W56" s="338"/>
      <c r="X56" s="338"/>
      <c r="Y56" s="338"/>
      <c r="Z56" s="338"/>
      <c r="AA56" s="338"/>
      <c r="AB56" s="338"/>
      <c r="AC56" s="338"/>
    </row>
    <row r="57" ht="15.75" spans="1:29">
      <c r="A57" s="266"/>
      <c r="B57" s="367">
        <f>B11</f>
        <v>111</v>
      </c>
      <c r="C57" s="368"/>
      <c r="D57" s="368"/>
      <c r="E57" s="368"/>
      <c r="F57" s="368"/>
      <c r="G57" s="368"/>
      <c r="H57" s="368"/>
      <c r="I57" s="368"/>
      <c r="J57" s="368"/>
      <c r="K57" s="439"/>
      <c r="L57" s="440"/>
      <c r="M57" s="441"/>
      <c r="N57" s="432"/>
      <c r="O57" s="432"/>
      <c r="P57" s="427"/>
      <c r="Q57" s="422"/>
      <c r="R57" s="338"/>
      <c r="S57" s="338"/>
      <c r="T57" s="338"/>
      <c r="U57" s="338"/>
      <c r="V57" s="338"/>
      <c r="W57" s="338"/>
      <c r="X57" s="338"/>
      <c r="Y57" s="338"/>
      <c r="Z57" s="338"/>
      <c r="AA57" s="338"/>
      <c r="AB57" s="338"/>
      <c r="AC57" s="338"/>
    </row>
    <row r="58" ht="15.75" spans="1:29">
      <c r="A58" s="266"/>
      <c r="B58" s="361"/>
      <c r="C58" s="369"/>
      <c r="D58" s="362"/>
      <c r="E58" s="362"/>
      <c r="F58" s="362"/>
      <c r="G58" s="362"/>
      <c r="H58" s="362"/>
      <c r="I58" s="362"/>
      <c r="J58" s="362"/>
      <c r="K58" s="362"/>
      <c r="L58" s="362"/>
      <c r="M58" s="433"/>
      <c r="N58" s="434"/>
      <c r="O58" s="434"/>
      <c r="P58" s="427"/>
      <c r="Q58" s="422"/>
      <c r="R58" s="338"/>
      <c r="S58" s="338"/>
      <c r="T58" s="338"/>
      <c r="U58" s="338"/>
      <c r="V58" s="338"/>
      <c r="W58" s="338"/>
      <c r="X58" s="338"/>
      <c r="Y58" s="338"/>
      <c r="Z58" s="338"/>
      <c r="AA58" s="338"/>
      <c r="AB58" s="338"/>
      <c r="AC58" s="338"/>
    </row>
    <row r="59" s="191" customFormat="1" ht="15.75" spans="1:29">
      <c r="A59" s="370"/>
      <c r="B59" s="363">
        <f>B12</f>
        <v>111</v>
      </c>
      <c r="C59" s="368"/>
      <c r="D59" s="368"/>
      <c r="E59" s="368"/>
      <c r="F59" s="368"/>
      <c r="G59" s="371"/>
      <c r="H59" s="372"/>
      <c r="I59" s="372"/>
      <c r="J59" s="372"/>
      <c r="K59" s="372"/>
      <c r="L59" s="442"/>
      <c r="M59" s="443"/>
      <c r="N59" s="444"/>
      <c r="O59" s="444"/>
      <c r="P59" s="444"/>
      <c r="Q59" s="475"/>
      <c r="R59" s="404"/>
      <c r="S59" s="404"/>
      <c r="T59" s="404"/>
      <c r="U59" s="404"/>
      <c r="V59" s="404"/>
      <c r="W59" s="404"/>
      <c r="X59" s="404"/>
      <c r="Y59" s="404"/>
      <c r="Z59" s="404"/>
      <c r="AA59" s="404"/>
      <c r="AB59" s="404"/>
      <c r="AC59" s="404"/>
    </row>
    <row r="60" s="191" customFormat="1" ht="15.75" spans="1:29">
      <c r="A60" s="370"/>
      <c r="B60" s="365"/>
      <c r="C60" s="369"/>
      <c r="D60" s="362"/>
      <c r="E60" s="362"/>
      <c r="F60" s="362"/>
      <c r="G60" s="362"/>
      <c r="H60" s="362"/>
      <c r="I60" s="362"/>
      <c r="J60" s="362"/>
      <c r="K60" s="362"/>
      <c r="L60" s="362"/>
      <c r="M60" s="433"/>
      <c r="N60" s="434"/>
      <c r="O60" s="434"/>
      <c r="P60" s="444"/>
      <c r="Q60" s="475"/>
      <c r="R60" s="404"/>
      <c r="S60" s="404"/>
      <c r="T60" s="404"/>
      <c r="U60" s="404"/>
      <c r="V60" s="404"/>
      <c r="W60" s="404"/>
      <c r="X60" s="404"/>
      <c r="Y60" s="404"/>
      <c r="Z60" s="404"/>
      <c r="AA60" s="404"/>
      <c r="AB60" s="404"/>
      <c r="AC60" s="404"/>
    </row>
    <row r="61" s="191" customFormat="1" ht="15.75" spans="1:29">
      <c r="A61" s="370"/>
      <c r="B61" s="363">
        <f>B13</f>
        <v>111</v>
      </c>
      <c r="C61" s="371"/>
      <c r="D61" s="371"/>
      <c r="E61" s="371"/>
      <c r="F61" s="371"/>
      <c r="G61" s="371"/>
      <c r="H61" s="372"/>
      <c r="I61" s="372"/>
      <c r="J61" s="372"/>
      <c r="K61" s="372"/>
      <c r="L61" s="442"/>
      <c r="M61" s="443"/>
      <c r="N61" s="444"/>
      <c r="O61" s="444"/>
      <c r="P61" s="404"/>
      <c r="Q61" s="476"/>
      <c r="R61" s="404"/>
      <c r="S61" s="404"/>
      <c r="T61" s="404"/>
      <c r="U61" s="404"/>
      <c r="V61" s="404"/>
      <c r="W61" s="404"/>
      <c r="X61" s="404"/>
      <c r="Y61" s="404"/>
      <c r="Z61" s="404"/>
      <c r="AA61" s="404"/>
      <c r="AB61" s="404"/>
      <c r="AC61" s="404"/>
    </row>
    <row r="62" s="191" customFormat="1" ht="15.75" spans="1:29">
      <c r="A62" s="370"/>
      <c r="B62" s="365"/>
      <c r="C62" s="369"/>
      <c r="D62" s="369"/>
      <c r="E62" s="369"/>
      <c r="F62" s="369"/>
      <c r="G62" s="369"/>
      <c r="H62" s="373"/>
      <c r="I62" s="373"/>
      <c r="J62" s="373"/>
      <c r="K62" s="373"/>
      <c r="L62" s="373"/>
      <c r="M62" s="445"/>
      <c r="N62" s="444"/>
      <c r="O62" s="444"/>
      <c r="P62" s="444"/>
      <c r="Q62" s="475"/>
      <c r="R62" s="404"/>
      <c r="S62" s="404"/>
      <c r="T62" s="404"/>
      <c r="U62" s="404"/>
      <c r="V62" s="404"/>
      <c r="W62" s="404"/>
      <c r="X62" s="404"/>
      <c r="Y62" s="404"/>
      <c r="Z62" s="404"/>
      <c r="AA62" s="404"/>
      <c r="AB62" s="404"/>
      <c r="AC62" s="404"/>
    </row>
    <row r="63" ht="15" spans="1:29">
      <c r="A63" s="357" t="s">
        <v>997</v>
      </c>
      <c r="B63" s="358" t="s">
        <v>229</v>
      </c>
      <c r="C63" s="374" t="s">
        <v>246</v>
      </c>
      <c r="D63" s="374" t="s">
        <v>258</v>
      </c>
      <c r="E63" s="374" t="s">
        <v>269</v>
      </c>
      <c r="F63" s="374" t="s">
        <v>279</v>
      </c>
      <c r="G63" s="374" t="s">
        <v>287</v>
      </c>
      <c r="H63" s="359"/>
      <c r="I63" s="359"/>
      <c r="J63" s="359"/>
      <c r="K63" s="446"/>
      <c r="L63" s="447"/>
      <c r="M63" s="448"/>
      <c r="N63" s="432"/>
      <c r="O63" s="432"/>
      <c r="P63" s="449"/>
      <c r="Q63" s="422"/>
      <c r="R63" s="338"/>
      <c r="S63" s="338"/>
      <c r="T63" s="338"/>
      <c r="U63" s="338"/>
      <c r="V63" s="338"/>
      <c r="W63" s="338"/>
      <c r="X63" s="338"/>
      <c r="Y63" s="338"/>
      <c r="Z63" s="338"/>
      <c r="AA63" s="338"/>
      <c r="AB63" s="338"/>
      <c r="AC63" s="338"/>
    </row>
    <row r="64" ht="15.75" spans="1:29">
      <c r="A64" s="266"/>
      <c r="B64" s="365"/>
      <c r="C64" s="366">
        <v>100</v>
      </c>
      <c r="D64" s="366">
        <f>C64-$K14</f>
        <v>100</v>
      </c>
      <c r="E64" s="366">
        <f>D64-$K14</f>
        <v>100</v>
      </c>
      <c r="F64" s="366">
        <f>E64-$K14</f>
        <v>100</v>
      </c>
      <c r="G64" s="366">
        <f>F64-$K14</f>
        <v>100</v>
      </c>
      <c r="H64" s="366"/>
      <c r="I64" s="366"/>
      <c r="J64" s="366"/>
      <c r="K64" s="366"/>
      <c r="L64" s="366"/>
      <c r="M64" s="438"/>
      <c r="N64" s="434"/>
      <c r="O64" s="434"/>
      <c r="P64" s="427"/>
      <c r="Q64" s="422"/>
      <c r="R64" s="338"/>
      <c r="S64" s="338"/>
      <c r="T64" s="338"/>
      <c r="U64" s="338"/>
      <c r="V64" s="338"/>
      <c r="W64" s="338"/>
      <c r="X64" s="338"/>
      <c r="Y64" s="338"/>
      <c r="Z64" s="338"/>
      <c r="AA64" s="338"/>
      <c r="AB64" s="338"/>
      <c r="AC64" s="338"/>
    </row>
    <row r="65" ht="15.75" spans="1:29">
      <c r="A65" s="266"/>
      <c r="B65" s="375" t="s">
        <v>231</v>
      </c>
      <c r="C65" s="376" t="s">
        <v>246</v>
      </c>
      <c r="D65" s="376" t="s">
        <v>258</v>
      </c>
      <c r="E65" s="376" t="s">
        <v>269</v>
      </c>
      <c r="F65" s="376" t="s">
        <v>279</v>
      </c>
      <c r="G65" s="376" t="s">
        <v>287</v>
      </c>
      <c r="H65" s="364"/>
      <c r="I65" s="364"/>
      <c r="J65" s="364"/>
      <c r="K65" s="435"/>
      <c r="L65" s="436"/>
      <c r="M65" s="437"/>
      <c r="N65" s="432"/>
      <c r="O65" s="432"/>
      <c r="P65" s="427"/>
      <c r="Q65" s="422"/>
      <c r="R65" s="338"/>
      <c r="S65" s="338"/>
      <c r="T65" s="338"/>
      <c r="U65" s="338"/>
      <c r="V65" s="338"/>
      <c r="W65" s="338"/>
      <c r="X65" s="338"/>
      <c r="Y65" s="338"/>
      <c r="Z65" s="338"/>
      <c r="AA65" s="338"/>
      <c r="AB65" s="338"/>
      <c r="AC65" s="338"/>
    </row>
    <row r="66" ht="15.75" spans="1:29">
      <c r="A66" s="266"/>
      <c r="B66" s="365"/>
      <c r="C66" s="366">
        <v>100</v>
      </c>
      <c r="D66" s="366">
        <f>C66-$K16</f>
        <v>100</v>
      </c>
      <c r="E66" s="366">
        <f>D66-$K16</f>
        <v>100</v>
      </c>
      <c r="F66" s="366">
        <f>E66-$K16</f>
        <v>100</v>
      </c>
      <c r="G66" s="366">
        <f>F66-$K16</f>
        <v>100</v>
      </c>
      <c r="H66" s="366"/>
      <c r="I66" s="366"/>
      <c r="J66" s="366"/>
      <c r="K66" s="366"/>
      <c r="L66" s="366"/>
      <c r="M66" s="438"/>
      <c r="N66" s="434"/>
      <c r="O66" s="434"/>
      <c r="P66" s="427"/>
      <c r="Q66" s="422"/>
      <c r="R66" s="338"/>
      <c r="S66" s="338"/>
      <c r="T66" s="338"/>
      <c r="U66" s="338"/>
      <c r="V66" s="338"/>
      <c r="W66" s="338"/>
      <c r="X66" s="338"/>
      <c r="Y66" s="338"/>
      <c r="Z66" s="338"/>
      <c r="AA66" s="338"/>
      <c r="AB66" s="338"/>
      <c r="AC66" s="338"/>
    </row>
    <row r="67" ht="15.75" spans="1:29">
      <c r="A67" s="266"/>
      <c r="B67" s="484" t="s">
        <v>232</v>
      </c>
      <c r="C67" s="485" t="s">
        <v>247</v>
      </c>
      <c r="D67" s="485" t="s">
        <v>259</v>
      </c>
      <c r="E67" s="485" t="s">
        <v>270</v>
      </c>
      <c r="F67" s="485" t="s">
        <v>280</v>
      </c>
      <c r="G67" s="485" t="s">
        <v>288</v>
      </c>
      <c r="H67" s="364"/>
      <c r="I67" s="364"/>
      <c r="J67" s="364"/>
      <c r="K67" s="364"/>
      <c r="L67" s="364"/>
      <c r="M67" s="492"/>
      <c r="N67" s="434"/>
      <c r="O67" s="434"/>
      <c r="P67" s="427"/>
      <c r="Q67" s="422"/>
      <c r="R67" s="338"/>
      <c r="S67" s="338"/>
      <c r="T67" s="338"/>
      <c r="U67" s="338"/>
      <c r="V67" s="338"/>
      <c r="W67" s="338"/>
      <c r="X67" s="338"/>
      <c r="Y67" s="338"/>
      <c r="Z67" s="338"/>
      <c r="AA67" s="338"/>
      <c r="AB67" s="338"/>
      <c r="AC67" s="338"/>
    </row>
    <row r="68" ht="15.75" spans="1:29">
      <c r="A68" s="266"/>
      <c r="B68" s="486"/>
      <c r="C68" s="366">
        <v>100</v>
      </c>
      <c r="D68" s="366">
        <f>C68-$K18</f>
        <v>100</v>
      </c>
      <c r="E68" s="366">
        <f>D68-$K18</f>
        <v>100</v>
      </c>
      <c r="F68" s="366">
        <f>E68-$K18</f>
        <v>100</v>
      </c>
      <c r="G68" s="366">
        <f>F68-$K18</f>
        <v>100</v>
      </c>
      <c r="H68" s="367"/>
      <c r="I68" s="367"/>
      <c r="J68" s="367"/>
      <c r="K68" s="367"/>
      <c r="L68" s="367"/>
      <c r="M68" s="271"/>
      <c r="N68" s="434"/>
      <c r="O68" s="434"/>
      <c r="P68" s="427"/>
      <c r="Q68" s="422"/>
      <c r="R68" s="338"/>
      <c r="S68" s="338"/>
      <c r="T68" s="338"/>
      <c r="U68" s="338"/>
      <c r="V68" s="338"/>
      <c r="W68" s="338"/>
      <c r="X68" s="338"/>
      <c r="Y68" s="338"/>
      <c r="Z68" s="338"/>
      <c r="AA68" s="338"/>
      <c r="AB68" s="338"/>
      <c r="AC68" s="338"/>
    </row>
    <row r="69" ht="15.75" spans="1:29">
      <c r="A69" s="266"/>
      <c r="B69" s="363" t="s">
        <v>2356</v>
      </c>
      <c r="C69" s="376" t="s">
        <v>246</v>
      </c>
      <c r="D69" s="376" t="s">
        <v>258</v>
      </c>
      <c r="E69" s="376" t="s">
        <v>269</v>
      </c>
      <c r="F69" s="376" t="s">
        <v>279</v>
      </c>
      <c r="G69" s="376" t="s">
        <v>287</v>
      </c>
      <c r="H69" s="364"/>
      <c r="I69" s="364"/>
      <c r="J69" s="364"/>
      <c r="K69" s="435"/>
      <c r="L69" s="436"/>
      <c r="M69" s="437"/>
      <c r="N69" s="432"/>
      <c r="O69" s="432"/>
      <c r="P69" s="427"/>
      <c r="Q69" s="422"/>
      <c r="R69" s="338"/>
      <c r="S69" s="338"/>
      <c r="T69" s="338"/>
      <c r="U69" s="338"/>
      <c r="V69" s="338"/>
      <c r="W69" s="338"/>
      <c r="X69" s="338"/>
      <c r="Y69" s="338"/>
      <c r="Z69" s="338"/>
      <c r="AA69" s="338"/>
      <c r="AB69" s="338"/>
      <c r="AC69" s="338"/>
    </row>
    <row r="70" ht="15.75" spans="1:29">
      <c r="A70" s="266"/>
      <c r="B70" s="365"/>
      <c r="C70" s="366">
        <v>100</v>
      </c>
      <c r="D70" s="366">
        <f>C70-$K20</f>
        <v>100</v>
      </c>
      <c r="E70" s="366">
        <f>D70-$K20</f>
        <v>100</v>
      </c>
      <c r="F70" s="366">
        <f>E70-$K20</f>
        <v>100</v>
      </c>
      <c r="G70" s="366">
        <f>F70-$K20</f>
        <v>100</v>
      </c>
      <c r="H70" s="366"/>
      <c r="I70" s="366"/>
      <c r="J70" s="366"/>
      <c r="K70" s="366"/>
      <c r="L70" s="366"/>
      <c r="M70" s="438"/>
      <c r="N70" s="434"/>
      <c r="O70" s="434"/>
      <c r="P70" s="427"/>
      <c r="Q70" s="422"/>
      <c r="R70" s="338"/>
      <c r="S70" s="338"/>
      <c r="T70" s="338"/>
      <c r="U70" s="338"/>
      <c r="V70" s="338"/>
      <c r="W70" s="338"/>
      <c r="X70" s="338"/>
      <c r="Y70" s="338"/>
      <c r="Z70" s="338"/>
      <c r="AA70" s="338"/>
      <c r="AB70" s="338"/>
      <c r="AC70" s="338"/>
    </row>
    <row r="71" ht="15.75" spans="1:29">
      <c r="A71" s="266"/>
      <c r="B71" s="363" t="s">
        <v>2460</v>
      </c>
      <c r="C71" s="371"/>
      <c r="D71" s="371"/>
      <c r="E71" s="371"/>
      <c r="F71" s="371"/>
      <c r="G71" s="371"/>
      <c r="H71" s="487"/>
      <c r="I71" s="487"/>
      <c r="J71" s="487"/>
      <c r="K71" s="493"/>
      <c r="L71" s="494"/>
      <c r="M71" s="495"/>
      <c r="N71" s="432"/>
      <c r="O71" s="432"/>
      <c r="P71" s="427"/>
      <c r="Q71" s="422"/>
      <c r="R71" s="338"/>
      <c r="S71" s="338"/>
      <c r="T71" s="338"/>
      <c r="U71" s="338"/>
      <c r="V71" s="338"/>
      <c r="W71" s="338"/>
      <c r="X71" s="338"/>
      <c r="Y71" s="338"/>
      <c r="Z71" s="338"/>
      <c r="AA71" s="338"/>
      <c r="AB71" s="338"/>
      <c r="AC71" s="338"/>
    </row>
    <row r="72" ht="15.75" spans="1:29">
      <c r="A72" s="266"/>
      <c r="B72" s="365"/>
      <c r="C72" s="366">
        <v>100</v>
      </c>
      <c r="D72" s="366">
        <f>C72-$K22</f>
        <v>100</v>
      </c>
      <c r="E72" s="366">
        <f>D72-$K22</f>
        <v>100</v>
      </c>
      <c r="F72" s="366">
        <f>E72-$K22</f>
        <v>100</v>
      </c>
      <c r="G72" s="366">
        <f>F72-$K22</f>
        <v>100</v>
      </c>
      <c r="H72" s="366"/>
      <c r="I72" s="366"/>
      <c r="J72" s="366"/>
      <c r="K72" s="366"/>
      <c r="L72" s="366"/>
      <c r="M72" s="438"/>
      <c r="N72" s="434"/>
      <c r="O72" s="434"/>
      <c r="P72" s="427"/>
      <c r="Q72" s="422"/>
      <c r="R72" s="338"/>
      <c r="S72" s="338"/>
      <c r="T72" s="338"/>
      <c r="U72" s="338"/>
      <c r="V72" s="338"/>
      <c r="W72" s="338"/>
      <c r="X72" s="338"/>
      <c r="Y72" s="338"/>
      <c r="Z72" s="338"/>
      <c r="AA72" s="338"/>
      <c r="AB72" s="338"/>
      <c r="AC72" s="338"/>
    </row>
    <row r="73" s="189" customFormat="1" ht="15.75" spans="1:29">
      <c r="A73" s="290"/>
      <c r="B73" s="363">
        <f>B23</f>
        <v>111</v>
      </c>
      <c r="C73" s="368"/>
      <c r="D73" s="368"/>
      <c r="E73" s="368"/>
      <c r="F73" s="368"/>
      <c r="G73" s="371"/>
      <c r="H73" s="371"/>
      <c r="I73" s="371"/>
      <c r="J73" s="371"/>
      <c r="K73" s="371"/>
      <c r="L73" s="496"/>
      <c r="M73" s="497"/>
      <c r="N73" s="427"/>
      <c r="O73" s="427"/>
      <c r="P73" s="427"/>
      <c r="Q73" s="422"/>
      <c r="R73" s="387"/>
      <c r="S73" s="387"/>
      <c r="T73" s="387"/>
      <c r="U73" s="387"/>
      <c r="V73" s="387"/>
      <c r="W73" s="387"/>
      <c r="X73" s="387"/>
      <c r="Y73" s="387"/>
      <c r="Z73" s="387"/>
      <c r="AA73" s="387"/>
      <c r="AB73" s="387"/>
      <c r="AC73" s="387"/>
    </row>
    <row r="74" s="189" customFormat="1" ht="15.75" spans="1:29">
      <c r="A74" s="290"/>
      <c r="B74" s="365"/>
      <c r="C74" s="369"/>
      <c r="D74" s="362"/>
      <c r="E74" s="362"/>
      <c r="F74" s="362"/>
      <c r="G74" s="362"/>
      <c r="H74" s="362"/>
      <c r="I74" s="362"/>
      <c r="J74" s="362"/>
      <c r="K74" s="362"/>
      <c r="L74" s="362"/>
      <c r="M74" s="433"/>
      <c r="N74" s="434"/>
      <c r="O74" s="434"/>
      <c r="P74" s="427"/>
      <c r="Q74" s="422"/>
      <c r="R74" s="387"/>
      <c r="S74" s="387"/>
      <c r="T74" s="387"/>
      <c r="U74" s="387"/>
      <c r="V74" s="387"/>
      <c r="W74" s="387"/>
      <c r="X74" s="387"/>
      <c r="Y74" s="387"/>
      <c r="Z74" s="387"/>
      <c r="AA74" s="387"/>
      <c r="AB74" s="387"/>
      <c r="AC74" s="387"/>
    </row>
    <row r="75" s="189" customFormat="1" ht="15.75" spans="1:29">
      <c r="A75" s="290"/>
      <c r="B75" s="363">
        <f>B24</f>
        <v>111</v>
      </c>
      <c r="C75" s="368"/>
      <c r="D75" s="368"/>
      <c r="E75" s="368"/>
      <c r="F75" s="368"/>
      <c r="G75" s="371"/>
      <c r="H75" s="371"/>
      <c r="I75" s="371"/>
      <c r="J75" s="371"/>
      <c r="K75" s="371"/>
      <c r="L75" s="371"/>
      <c r="M75" s="497"/>
      <c r="N75" s="427"/>
      <c r="O75" s="427"/>
      <c r="P75" s="427"/>
      <c r="Q75" s="422"/>
      <c r="R75" s="387"/>
      <c r="S75" s="387"/>
      <c r="T75" s="387"/>
      <c r="U75" s="387"/>
      <c r="V75" s="387"/>
      <c r="W75" s="387"/>
      <c r="X75" s="387"/>
      <c r="Y75" s="387"/>
      <c r="Z75" s="387"/>
      <c r="AA75" s="387"/>
      <c r="AB75" s="387"/>
      <c r="AC75" s="387"/>
    </row>
    <row r="76" s="189" customFormat="1" ht="15.75" spans="1:29">
      <c r="A76" s="290"/>
      <c r="B76" s="365"/>
      <c r="C76" s="369"/>
      <c r="D76" s="362"/>
      <c r="E76" s="362"/>
      <c r="F76" s="362"/>
      <c r="G76" s="362"/>
      <c r="H76" s="362"/>
      <c r="I76" s="362"/>
      <c r="J76" s="362"/>
      <c r="K76" s="362"/>
      <c r="L76" s="362"/>
      <c r="M76" s="433"/>
      <c r="N76" s="434"/>
      <c r="O76" s="434"/>
      <c r="P76" s="427"/>
      <c r="Q76" s="422"/>
      <c r="R76" s="387"/>
      <c r="S76" s="387"/>
      <c r="T76" s="387"/>
      <c r="U76" s="387"/>
      <c r="V76" s="387"/>
      <c r="W76" s="387"/>
      <c r="X76" s="387"/>
      <c r="Y76" s="387"/>
      <c r="Z76" s="387"/>
      <c r="AA76" s="387"/>
      <c r="AB76" s="387"/>
      <c r="AC76" s="387"/>
    </row>
    <row r="77" s="191" customFormat="1" ht="15.75" spans="1:29">
      <c r="A77" s="370"/>
      <c r="B77" s="363">
        <f>B25</f>
        <v>111</v>
      </c>
      <c r="C77" s="371"/>
      <c r="D77" s="371"/>
      <c r="E77" s="371"/>
      <c r="F77" s="371"/>
      <c r="G77" s="371"/>
      <c r="H77" s="372"/>
      <c r="I77" s="372"/>
      <c r="J77" s="372"/>
      <c r="K77" s="372"/>
      <c r="L77" s="442"/>
      <c r="M77" s="443"/>
      <c r="N77" s="444"/>
      <c r="O77" s="444"/>
      <c r="P77" s="444"/>
      <c r="Q77" s="475"/>
      <c r="R77" s="404"/>
      <c r="S77" s="404"/>
      <c r="T77" s="404"/>
      <c r="U77" s="404"/>
      <c r="V77" s="404"/>
      <c r="W77" s="404"/>
      <c r="X77" s="404"/>
      <c r="Y77" s="404"/>
      <c r="Z77" s="404"/>
      <c r="AA77" s="404"/>
      <c r="AB77" s="404"/>
      <c r="AC77" s="404"/>
    </row>
    <row r="78" s="191" customFormat="1" ht="15.75" spans="1:29">
      <c r="A78" s="370"/>
      <c r="B78" s="365"/>
      <c r="C78" s="369"/>
      <c r="D78" s="369"/>
      <c r="E78" s="369"/>
      <c r="F78" s="369"/>
      <c r="G78" s="362"/>
      <c r="H78" s="362"/>
      <c r="I78" s="362"/>
      <c r="J78" s="362"/>
      <c r="K78" s="362"/>
      <c r="L78" s="362"/>
      <c r="M78" s="433"/>
      <c r="N78" s="444"/>
      <c r="O78" s="444"/>
      <c r="P78" s="444"/>
      <c r="Q78" s="475"/>
      <c r="R78" s="404"/>
      <c r="S78" s="404"/>
      <c r="T78" s="404"/>
      <c r="U78" s="404"/>
      <c r="V78" s="404"/>
      <c r="W78" s="404"/>
      <c r="X78" s="404"/>
      <c r="Y78" s="404"/>
      <c r="Z78" s="404"/>
      <c r="AA78" s="404"/>
      <c r="AB78" s="404"/>
      <c r="AC78" s="404"/>
    </row>
    <row r="79" ht="27.75" spans="1:29">
      <c r="A79" s="357" t="s">
        <v>1002</v>
      </c>
      <c r="B79" s="358" t="s">
        <v>2596</v>
      </c>
      <c r="C79" s="359">
        <f>C26</f>
        <v>0</v>
      </c>
      <c r="D79" s="360"/>
      <c r="E79" s="360"/>
      <c r="F79" s="360"/>
      <c r="G79" s="360"/>
      <c r="H79" s="360"/>
      <c r="I79" s="360"/>
      <c r="J79" s="360"/>
      <c r="K79" s="429"/>
      <c r="L79" s="430"/>
      <c r="M79" s="431"/>
      <c r="N79" s="432"/>
      <c r="O79" s="432"/>
      <c r="P79" s="427"/>
      <c r="Q79" s="422"/>
      <c r="R79" s="338"/>
      <c r="S79" s="338"/>
      <c r="T79" s="338"/>
      <c r="U79" s="338"/>
      <c r="V79" s="338"/>
      <c r="W79" s="338"/>
      <c r="X79" s="338"/>
      <c r="Y79" s="338"/>
      <c r="Z79" s="338"/>
      <c r="AA79" s="338"/>
      <c r="AB79" s="338"/>
      <c r="AC79" s="338"/>
    </row>
    <row r="80" ht="15.75" spans="1:29">
      <c r="A80" s="266"/>
      <c r="B80" s="365"/>
      <c r="C80" s="366">
        <v>100</v>
      </c>
      <c r="D80" s="366">
        <f t="shared" ref="D80:M80" si="17">C80-$K26</f>
        <v>100</v>
      </c>
      <c r="E80" s="366">
        <f t="shared" si="17"/>
        <v>100</v>
      </c>
      <c r="F80" s="366">
        <f t="shared" si="17"/>
        <v>100</v>
      </c>
      <c r="G80" s="366">
        <f t="shared" si="17"/>
        <v>100</v>
      </c>
      <c r="H80" s="366">
        <f t="shared" si="17"/>
        <v>100</v>
      </c>
      <c r="I80" s="366">
        <f t="shared" si="17"/>
        <v>100</v>
      </c>
      <c r="J80" s="366">
        <f t="shared" si="17"/>
        <v>100</v>
      </c>
      <c r="K80" s="366">
        <f t="shared" si="17"/>
        <v>100</v>
      </c>
      <c r="L80" s="366">
        <f t="shared" si="17"/>
        <v>100</v>
      </c>
      <c r="M80" s="438">
        <f t="shared" si="17"/>
        <v>100</v>
      </c>
      <c r="N80" s="434"/>
      <c r="O80" s="434"/>
      <c r="P80" s="427"/>
      <c r="Q80" s="422"/>
      <c r="R80" s="338"/>
      <c r="S80" s="338"/>
      <c r="T80" s="338"/>
      <c r="U80" s="338"/>
      <c r="V80" s="338"/>
      <c r="W80" s="338"/>
      <c r="X80" s="338"/>
      <c r="Y80" s="338"/>
      <c r="Z80" s="338"/>
      <c r="AA80" s="338"/>
      <c r="AB80" s="338"/>
      <c r="AC80" s="338"/>
    </row>
    <row r="81" ht="15.75" spans="1:29">
      <c r="A81" s="266"/>
      <c r="B81" s="363" t="s">
        <v>2589</v>
      </c>
      <c r="C81" s="531"/>
      <c r="D81" s="531"/>
      <c r="E81" s="531"/>
      <c r="F81" s="531"/>
      <c r="G81" s="531"/>
      <c r="H81" s="531"/>
      <c r="I81" s="531"/>
      <c r="J81" s="531"/>
      <c r="K81" s="532"/>
      <c r="L81" s="533"/>
      <c r="M81" s="534"/>
      <c r="N81" s="427"/>
      <c r="O81" s="427"/>
      <c r="P81" s="427"/>
      <c r="Q81" s="422"/>
      <c r="R81" s="338"/>
      <c r="S81" s="338"/>
      <c r="T81" s="338"/>
      <c r="U81" s="338"/>
      <c r="V81" s="338"/>
      <c r="W81" s="338"/>
      <c r="X81" s="338"/>
      <c r="Y81" s="338"/>
      <c r="Z81" s="338"/>
      <c r="AA81" s="338"/>
      <c r="AB81" s="338"/>
      <c r="AC81" s="338"/>
    </row>
    <row r="82" s="191" customFormat="1" ht="15.75" spans="1:29">
      <c r="A82" s="370"/>
      <c r="B82" s="365"/>
      <c r="C82" s="369"/>
      <c r="D82" s="362"/>
      <c r="E82" s="362"/>
      <c r="F82" s="362"/>
      <c r="G82" s="362"/>
      <c r="H82" s="362"/>
      <c r="I82" s="362"/>
      <c r="J82" s="362"/>
      <c r="K82" s="362"/>
      <c r="L82" s="362"/>
      <c r="M82" s="433"/>
      <c r="N82" s="434"/>
      <c r="O82" s="434"/>
      <c r="P82" s="444"/>
      <c r="Q82" s="475"/>
      <c r="R82" s="404"/>
      <c r="S82" s="404"/>
      <c r="T82" s="404"/>
      <c r="U82" s="404"/>
      <c r="V82" s="404"/>
      <c r="W82" s="404"/>
      <c r="X82" s="404"/>
      <c r="Y82" s="404"/>
      <c r="Z82" s="404"/>
      <c r="AA82" s="404"/>
      <c r="AB82" s="404"/>
      <c r="AC82" s="404"/>
    </row>
    <row r="83" ht="15.75" spans="1:29">
      <c r="A83" s="301"/>
      <c r="B83" s="363" t="s">
        <v>2365</v>
      </c>
      <c r="C83" s="371"/>
      <c r="D83" s="371"/>
      <c r="E83" s="487"/>
      <c r="F83" s="487"/>
      <c r="G83" s="487"/>
      <c r="H83" s="487"/>
      <c r="I83" s="487"/>
      <c r="J83" s="487"/>
      <c r="K83" s="493"/>
      <c r="L83" s="494"/>
      <c r="M83" s="495"/>
      <c r="N83" s="432"/>
      <c r="O83" s="432"/>
      <c r="P83" s="427"/>
      <c r="Q83" s="422"/>
      <c r="R83" s="338"/>
      <c r="S83" s="338"/>
      <c r="T83" s="338"/>
      <c r="U83" s="338"/>
      <c r="V83" s="338"/>
      <c r="W83" s="338"/>
      <c r="X83" s="338"/>
      <c r="Y83" s="338"/>
      <c r="Z83" s="338"/>
      <c r="AA83" s="338"/>
      <c r="AB83" s="338"/>
      <c r="AC83" s="338"/>
    </row>
    <row r="84" ht="15.75" spans="1:29">
      <c r="A84" s="266"/>
      <c r="B84" s="365"/>
      <c r="C84" s="366">
        <v>100</v>
      </c>
      <c r="D84" s="366">
        <f t="shared" ref="D84:M84" si="18">C84-$K28</f>
        <v>100</v>
      </c>
      <c r="E84" s="366">
        <f t="shared" si="18"/>
        <v>100</v>
      </c>
      <c r="F84" s="366">
        <f t="shared" si="18"/>
        <v>100</v>
      </c>
      <c r="G84" s="366">
        <f t="shared" si="18"/>
        <v>100</v>
      </c>
      <c r="H84" s="366">
        <f t="shared" si="18"/>
        <v>100</v>
      </c>
      <c r="I84" s="366">
        <f t="shared" si="18"/>
        <v>100</v>
      </c>
      <c r="J84" s="366">
        <f t="shared" si="18"/>
        <v>100</v>
      </c>
      <c r="K84" s="366">
        <f t="shared" si="18"/>
        <v>100</v>
      </c>
      <c r="L84" s="366">
        <f t="shared" si="18"/>
        <v>100</v>
      </c>
      <c r="M84" s="438">
        <f t="shared" si="18"/>
        <v>100</v>
      </c>
      <c r="N84" s="434"/>
      <c r="O84" s="434"/>
      <c r="P84" s="427"/>
      <c r="Q84" s="422"/>
      <c r="R84" s="338"/>
      <c r="S84" s="338"/>
      <c r="T84" s="338"/>
      <c r="U84" s="338"/>
      <c r="V84" s="338"/>
      <c r="W84" s="338"/>
      <c r="X84" s="338"/>
      <c r="Y84" s="338"/>
      <c r="Z84" s="338"/>
      <c r="AA84" s="338"/>
      <c r="AB84" s="338"/>
      <c r="AC84" s="338"/>
    </row>
    <row r="85" ht="15.75" spans="1:29">
      <c r="A85" s="301"/>
      <c r="B85" s="363" t="s">
        <v>2590</v>
      </c>
      <c r="C85" s="376" t="str">
        <f>C86&amp;"(含)"&amp;"-"&amp;D86</f>
        <v>0.5(含)-0.6</v>
      </c>
      <c r="D85" s="376" t="str">
        <f>D86&amp;"(含)"&amp;"-"&amp;E86</f>
        <v>0.6(含)-0.7</v>
      </c>
      <c r="E85" s="376" t="str">
        <f>E86&amp;"(含)"&amp;"-"&amp;F86</f>
        <v>0.7(含)-0.8</v>
      </c>
      <c r="F85" s="376" t="str">
        <f>F86&amp;"(含)"&amp;"-"&amp;G86</f>
        <v>0.8(含)-0.9</v>
      </c>
      <c r="G85" s="376" t="str">
        <f>G86&amp;"(含)"&amp;"-"&amp;ROUND(H86,0)</f>
        <v>0.9(含)-1</v>
      </c>
      <c r="H85" s="376"/>
      <c r="I85" s="487"/>
      <c r="J85" s="487"/>
      <c r="K85" s="493"/>
      <c r="L85" s="494"/>
      <c r="M85" s="495"/>
      <c r="N85" s="432"/>
      <c r="O85" s="432"/>
      <c r="P85" s="427"/>
      <c r="Q85" s="422"/>
      <c r="R85" s="338"/>
      <c r="S85" s="338"/>
      <c r="T85" s="338"/>
      <c r="U85" s="338"/>
      <c r="V85" s="338"/>
      <c r="W85" s="338"/>
      <c r="X85" s="338"/>
      <c r="Y85" s="338"/>
      <c r="Z85" s="338"/>
      <c r="AA85" s="338"/>
      <c r="AB85" s="338"/>
      <c r="AC85" s="338"/>
    </row>
    <row r="86" ht="15" spans="1:29">
      <c r="A86" s="301"/>
      <c r="B86" s="486"/>
      <c r="C86" s="466">
        <v>0.5</v>
      </c>
      <c r="D86" s="466">
        <v>0.6</v>
      </c>
      <c r="E86" s="466">
        <v>0.7</v>
      </c>
      <c r="F86" s="466">
        <v>0.8</v>
      </c>
      <c r="G86" s="466">
        <v>0.9</v>
      </c>
      <c r="H86" s="466">
        <v>1.0001</v>
      </c>
      <c r="I86" s="535"/>
      <c r="J86" s="535"/>
      <c r="K86" s="536"/>
      <c r="L86" s="537"/>
      <c r="M86" s="538"/>
      <c r="N86" s="432"/>
      <c r="O86" s="432"/>
      <c r="P86" s="427"/>
      <c r="Q86" s="422"/>
      <c r="R86" s="338"/>
      <c r="S86" s="338"/>
      <c r="T86" s="338"/>
      <c r="U86" s="338"/>
      <c r="V86" s="338"/>
      <c r="W86" s="338"/>
      <c r="X86" s="338"/>
      <c r="Y86" s="338"/>
      <c r="Z86" s="338"/>
      <c r="AA86" s="338"/>
      <c r="AB86" s="338"/>
      <c r="AC86" s="338"/>
    </row>
    <row r="87" ht="15.75" spans="1:29">
      <c r="A87" s="266"/>
      <c r="B87" s="365"/>
      <c r="C87" s="488">
        <v>100</v>
      </c>
      <c r="D87" s="366">
        <f>C87+$K$29</f>
        <v>100</v>
      </c>
      <c r="E87" s="366">
        <f t="shared" ref="E87:M87" si="19">D87+$K$29</f>
        <v>100</v>
      </c>
      <c r="F87" s="366">
        <f t="shared" si="19"/>
        <v>100</v>
      </c>
      <c r="G87" s="366">
        <f t="shared" si="19"/>
        <v>100</v>
      </c>
      <c r="H87" s="366">
        <f t="shared" si="19"/>
        <v>100</v>
      </c>
      <c r="I87" s="366">
        <f t="shared" si="19"/>
        <v>100</v>
      </c>
      <c r="J87" s="366">
        <f t="shared" si="19"/>
        <v>100</v>
      </c>
      <c r="K87" s="366">
        <f t="shared" si="19"/>
        <v>100</v>
      </c>
      <c r="L87" s="366">
        <f t="shared" si="19"/>
        <v>100</v>
      </c>
      <c r="M87" s="366">
        <f t="shared" si="19"/>
        <v>100</v>
      </c>
      <c r="N87" s="434"/>
      <c r="O87" s="434"/>
      <c r="P87" s="427"/>
      <c r="Q87" s="422"/>
      <c r="R87" s="338"/>
      <c r="S87" s="338"/>
      <c r="T87" s="338"/>
      <c r="U87" s="338"/>
      <c r="V87" s="338"/>
      <c r="W87" s="338"/>
      <c r="X87" s="338"/>
      <c r="Y87" s="338"/>
      <c r="Z87" s="338"/>
      <c r="AA87" s="338"/>
      <c r="AB87" s="338"/>
      <c r="AC87" s="338"/>
    </row>
    <row r="88" ht="15.75" spans="1:29">
      <c r="A88" s="301"/>
      <c r="B88" s="486" t="s">
        <v>2591</v>
      </c>
      <c r="C88" s="360"/>
      <c r="D88" s="360"/>
      <c r="E88" s="360"/>
      <c r="F88" s="360"/>
      <c r="G88" s="360"/>
      <c r="H88" s="360"/>
      <c r="I88" s="360"/>
      <c r="J88" s="360"/>
      <c r="K88" s="429"/>
      <c r="L88" s="430"/>
      <c r="M88" s="431"/>
      <c r="N88" s="432"/>
      <c r="O88" s="432"/>
      <c r="P88" s="427"/>
      <c r="Q88" s="422"/>
      <c r="R88" s="338"/>
      <c r="S88" s="338"/>
      <c r="T88" s="338"/>
      <c r="U88" s="338"/>
      <c r="V88" s="338"/>
      <c r="W88" s="338"/>
      <c r="X88" s="338"/>
      <c r="Y88" s="338"/>
      <c r="Z88" s="338"/>
      <c r="AA88" s="338"/>
      <c r="AB88" s="338"/>
      <c r="AC88" s="338"/>
    </row>
    <row r="89" ht="15.75" spans="1:29">
      <c r="A89" s="266"/>
      <c r="B89" s="365"/>
      <c r="C89" s="488">
        <v>100</v>
      </c>
      <c r="D89" s="366">
        <f t="shared" ref="D89:M89" si="20">C89+$K30</f>
        <v>100</v>
      </c>
      <c r="E89" s="366">
        <f t="shared" si="20"/>
        <v>100</v>
      </c>
      <c r="F89" s="366">
        <f t="shared" si="20"/>
        <v>100</v>
      </c>
      <c r="G89" s="366">
        <f t="shared" si="20"/>
        <v>100</v>
      </c>
      <c r="H89" s="366">
        <f t="shared" si="20"/>
        <v>100</v>
      </c>
      <c r="I89" s="366">
        <f t="shared" si="20"/>
        <v>100</v>
      </c>
      <c r="J89" s="366">
        <f t="shared" si="20"/>
        <v>100</v>
      </c>
      <c r="K89" s="366">
        <f t="shared" si="20"/>
        <v>100</v>
      </c>
      <c r="L89" s="366">
        <f t="shared" si="20"/>
        <v>100</v>
      </c>
      <c r="M89" s="366">
        <f t="shared" si="20"/>
        <v>100</v>
      </c>
      <c r="N89" s="434"/>
      <c r="O89" s="434"/>
      <c r="P89" s="427"/>
      <c r="Q89" s="422"/>
      <c r="R89" s="338"/>
      <c r="S89" s="338"/>
      <c r="T89" s="338"/>
      <c r="U89" s="338"/>
      <c r="V89" s="338"/>
      <c r="W89" s="338"/>
      <c r="X89" s="338"/>
      <c r="Y89" s="338"/>
      <c r="Z89" s="338"/>
      <c r="AA89" s="338"/>
      <c r="AB89" s="338"/>
      <c r="AC89" s="338"/>
    </row>
    <row r="90" s="191" customFormat="1" ht="15.75" spans="1:29">
      <c r="A90" s="296"/>
      <c r="B90" s="363" t="s">
        <v>2592</v>
      </c>
      <c r="C90" s="376" t="str">
        <f>C91&amp;"(含)"&amp;"-"&amp;D91</f>
        <v>(含)-</v>
      </c>
      <c r="D90" s="376" t="str">
        <f t="shared" ref="D90:L90" si="21">D91&amp;"(含)"&amp;"-"&amp;E91</f>
        <v>(含)-</v>
      </c>
      <c r="E90" s="376" t="str">
        <f t="shared" si="21"/>
        <v>(含)-</v>
      </c>
      <c r="F90" s="376" t="str">
        <f t="shared" si="21"/>
        <v>(含)-</v>
      </c>
      <c r="G90" s="376" t="str">
        <f t="shared" si="21"/>
        <v>(含)-</v>
      </c>
      <c r="H90" s="376" t="str">
        <f t="shared" si="21"/>
        <v>(含)-</v>
      </c>
      <c r="I90" s="376" t="str">
        <f t="shared" si="21"/>
        <v>(含)-</v>
      </c>
      <c r="J90" s="376" t="str">
        <f t="shared" si="21"/>
        <v>(含)-</v>
      </c>
      <c r="K90" s="376" t="str">
        <f t="shared" si="21"/>
        <v>(含)-</v>
      </c>
      <c r="L90" s="376" t="str">
        <f t="shared" si="21"/>
        <v>(含)-</v>
      </c>
      <c r="M90" s="501" t="str">
        <f>M91&amp;"(含)"&amp;"-"&amp;P91</f>
        <v>(含)-</v>
      </c>
      <c r="N90" s="444"/>
      <c r="O90" s="444"/>
      <c r="P90" s="444"/>
      <c r="Q90" s="475"/>
      <c r="R90" s="404"/>
      <c r="S90" s="404"/>
      <c r="T90" s="404"/>
      <c r="U90" s="404"/>
      <c r="V90" s="404"/>
      <c r="W90" s="404"/>
      <c r="X90" s="404"/>
      <c r="Y90" s="404"/>
      <c r="Z90" s="404"/>
      <c r="AA90" s="404"/>
      <c r="AB90" s="404"/>
      <c r="AC90" s="404"/>
    </row>
    <row r="91" s="191" customFormat="1" ht="15" spans="1:29">
      <c r="A91" s="296"/>
      <c r="B91" s="486"/>
      <c r="C91" s="489"/>
      <c r="D91" s="489"/>
      <c r="E91" s="489"/>
      <c r="F91" s="489"/>
      <c r="G91" s="489"/>
      <c r="H91" s="489"/>
      <c r="I91" s="489"/>
      <c r="J91" s="502"/>
      <c r="K91" s="502"/>
      <c r="L91" s="503"/>
      <c r="M91" s="504"/>
      <c r="N91" s="444"/>
      <c r="O91" s="444"/>
      <c r="P91" s="444"/>
      <c r="Q91" s="475"/>
      <c r="R91" s="404"/>
      <c r="S91" s="404"/>
      <c r="T91" s="404"/>
      <c r="U91" s="404"/>
      <c r="V91" s="404"/>
      <c r="W91" s="404"/>
      <c r="X91" s="404"/>
      <c r="Y91" s="404"/>
      <c r="Z91" s="404"/>
      <c r="AA91" s="404"/>
      <c r="AB91" s="404"/>
      <c r="AC91" s="404"/>
    </row>
    <row r="92" s="191" customFormat="1" ht="15.75" spans="1:29">
      <c r="A92" s="370"/>
      <c r="B92" s="365"/>
      <c r="C92" s="369"/>
      <c r="D92" s="362"/>
      <c r="E92" s="362"/>
      <c r="F92" s="362"/>
      <c r="G92" s="362"/>
      <c r="H92" s="362"/>
      <c r="I92" s="362"/>
      <c r="J92" s="362"/>
      <c r="K92" s="362"/>
      <c r="L92" s="362"/>
      <c r="M92" s="433"/>
      <c r="N92" s="444"/>
      <c r="O92" s="444"/>
      <c r="P92" s="444"/>
      <c r="Q92" s="475"/>
      <c r="R92" s="404"/>
      <c r="S92" s="404"/>
      <c r="T92" s="404"/>
      <c r="U92" s="404"/>
      <c r="V92" s="404"/>
      <c r="W92" s="404"/>
      <c r="X92" s="404"/>
      <c r="Y92" s="404"/>
      <c r="Z92" s="404"/>
      <c r="AA92" s="404"/>
      <c r="AB92" s="404"/>
      <c r="AC92" s="404"/>
    </row>
    <row r="93" ht="15.75" spans="1:29">
      <c r="A93" s="301"/>
      <c r="B93" s="363" t="s">
        <v>2593</v>
      </c>
      <c r="C93" s="371"/>
      <c r="D93" s="371"/>
      <c r="E93" s="487"/>
      <c r="F93" s="487"/>
      <c r="G93" s="487"/>
      <c r="H93" s="487"/>
      <c r="I93" s="487"/>
      <c r="J93" s="487"/>
      <c r="K93" s="493"/>
      <c r="L93" s="494"/>
      <c r="M93" s="495"/>
      <c r="N93" s="432"/>
      <c r="O93" s="432"/>
      <c r="P93" s="427"/>
      <c r="Q93" s="422"/>
      <c r="R93" s="338"/>
      <c r="S93" s="338"/>
      <c r="T93" s="338"/>
      <c r="U93" s="338"/>
      <c r="V93" s="338"/>
      <c r="W93" s="338"/>
      <c r="X93" s="338"/>
      <c r="Y93" s="338"/>
      <c r="Z93" s="338"/>
      <c r="AA93" s="338"/>
      <c r="AB93" s="338"/>
      <c r="AC93" s="338"/>
    </row>
    <row r="94" ht="15.75" spans="1:29">
      <c r="A94" s="266"/>
      <c r="B94" s="365"/>
      <c r="C94" s="366">
        <v>100</v>
      </c>
      <c r="D94" s="366">
        <f t="shared" ref="D94:M94" si="22">C94-$K32</f>
        <v>100</v>
      </c>
      <c r="E94" s="366">
        <f t="shared" si="22"/>
        <v>100</v>
      </c>
      <c r="F94" s="366">
        <f t="shared" si="22"/>
        <v>100</v>
      </c>
      <c r="G94" s="366">
        <f t="shared" si="22"/>
        <v>100</v>
      </c>
      <c r="H94" s="366">
        <f t="shared" si="22"/>
        <v>100</v>
      </c>
      <c r="I94" s="366">
        <f t="shared" si="22"/>
        <v>100</v>
      </c>
      <c r="J94" s="366">
        <f t="shared" si="22"/>
        <v>100</v>
      </c>
      <c r="K94" s="366">
        <f t="shared" si="22"/>
        <v>100</v>
      </c>
      <c r="L94" s="366">
        <f t="shared" si="22"/>
        <v>100</v>
      </c>
      <c r="M94" s="438">
        <f t="shared" si="22"/>
        <v>100</v>
      </c>
      <c r="N94" s="434"/>
      <c r="O94" s="434"/>
      <c r="P94" s="427"/>
      <c r="Q94" s="422"/>
      <c r="R94" s="338"/>
      <c r="S94" s="338"/>
      <c r="T94" s="338"/>
      <c r="U94" s="338"/>
      <c r="V94" s="338"/>
      <c r="W94" s="338"/>
      <c r="X94" s="338"/>
      <c r="Y94" s="338"/>
      <c r="Z94" s="338"/>
      <c r="AA94" s="338"/>
      <c r="AB94" s="338"/>
      <c r="AC94" s="338"/>
    </row>
    <row r="95" ht="15.75" spans="1:29">
      <c r="A95" s="301"/>
      <c r="B95" s="363" t="s">
        <v>2594</v>
      </c>
      <c r="C95" s="360"/>
      <c r="D95" s="360"/>
      <c r="E95" s="360"/>
      <c r="F95" s="360"/>
      <c r="G95" s="360"/>
      <c r="H95" s="360"/>
      <c r="I95" s="360"/>
      <c r="J95" s="360"/>
      <c r="K95" s="429"/>
      <c r="L95" s="430"/>
      <c r="M95" s="431"/>
      <c r="N95" s="432"/>
      <c r="O95" s="432"/>
      <c r="P95" s="427"/>
      <c r="Q95" s="422"/>
      <c r="R95" s="338"/>
      <c r="S95" s="338"/>
      <c r="T95" s="338"/>
      <c r="U95" s="338"/>
      <c r="V95" s="338"/>
      <c r="W95" s="338"/>
      <c r="X95" s="338"/>
      <c r="Y95" s="338"/>
      <c r="Z95" s="338"/>
      <c r="AA95" s="338"/>
      <c r="AB95" s="338"/>
      <c r="AC95" s="338"/>
    </row>
    <row r="96" ht="15.75" spans="1:29">
      <c r="A96" s="266"/>
      <c r="B96" s="365"/>
      <c r="C96" s="366">
        <v>100</v>
      </c>
      <c r="D96" s="366">
        <f>C96-$K33</f>
        <v>100</v>
      </c>
      <c r="E96" s="366">
        <f>D96-$K33</f>
        <v>100</v>
      </c>
      <c r="F96" s="366">
        <f>E96-$K33</f>
        <v>100</v>
      </c>
      <c r="G96" s="366">
        <f>F96-$K33</f>
        <v>100</v>
      </c>
      <c r="H96" s="366"/>
      <c r="I96" s="366"/>
      <c r="J96" s="366"/>
      <c r="K96" s="366"/>
      <c r="L96" s="366"/>
      <c r="M96" s="438"/>
      <c r="N96" s="434"/>
      <c r="O96" s="434"/>
      <c r="P96" s="427"/>
      <c r="Q96" s="422"/>
      <c r="R96" s="338"/>
      <c r="S96" s="338"/>
      <c r="T96" s="338"/>
      <c r="U96" s="338"/>
      <c r="V96" s="338"/>
      <c r="W96" s="338"/>
      <c r="X96" s="338"/>
      <c r="Y96" s="338"/>
      <c r="Z96" s="338"/>
      <c r="AA96" s="338"/>
      <c r="AB96" s="338"/>
      <c r="AC96" s="338"/>
    </row>
    <row r="97" ht="15.75" spans="1:29">
      <c r="A97" s="301"/>
      <c r="B97" s="490">
        <f>B34</f>
        <v>111</v>
      </c>
      <c r="C97" s="368"/>
      <c r="D97" s="368"/>
      <c r="E97" s="368"/>
      <c r="F97" s="368"/>
      <c r="G97" s="371"/>
      <c r="H97" s="372"/>
      <c r="I97" s="372"/>
      <c r="J97" s="372"/>
      <c r="K97" s="372"/>
      <c r="L97" s="442"/>
      <c r="M97" s="443"/>
      <c r="N97" s="434"/>
      <c r="O97" s="434"/>
      <c r="P97" s="434"/>
      <c r="Q97" s="507"/>
      <c r="R97" s="338"/>
      <c r="S97" s="338"/>
      <c r="T97" s="338"/>
      <c r="U97" s="338"/>
      <c r="V97" s="338"/>
      <c r="W97" s="338"/>
      <c r="X97" s="338"/>
      <c r="Y97" s="338"/>
      <c r="Z97" s="338"/>
      <c r="AA97" s="338"/>
      <c r="AB97" s="338"/>
      <c r="AC97" s="338"/>
    </row>
    <row r="98" ht="15.75" spans="1:29">
      <c r="A98" s="266"/>
      <c r="B98" s="365"/>
      <c r="C98" s="369"/>
      <c r="D98" s="362"/>
      <c r="E98" s="362"/>
      <c r="F98" s="362"/>
      <c r="G98" s="369"/>
      <c r="H98" s="373"/>
      <c r="I98" s="373"/>
      <c r="J98" s="373"/>
      <c r="K98" s="373"/>
      <c r="L98" s="373"/>
      <c r="M98" s="445"/>
      <c r="N98" s="434"/>
      <c r="O98" s="434"/>
      <c r="P98" s="427"/>
      <c r="Q98" s="422"/>
      <c r="R98" s="338"/>
      <c r="S98" s="338"/>
      <c r="T98" s="338"/>
      <c r="U98" s="338"/>
      <c r="V98" s="338"/>
      <c r="W98" s="338"/>
      <c r="X98" s="338"/>
      <c r="Y98" s="338"/>
      <c r="Z98" s="338"/>
      <c r="AA98" s="338"/>
      <c r="AB98" s="338"/>
      <c r="AC98" s="338"/>
    </row>
    <row r="99" s="191" customFormat="1" ht="15.75" spans="1:29">
      <c r="A99" s="296"/>
      <c r="B99" s="363">
        <f>B35</f>
        <v>111</v>
      </c>
      <c r="C99" s="368"/>
      <c r="D99" s="368"/>
      <c r="E99" s="368"/>
      <c r="F99" s="368"/>
      <c r="G99" s="371"/>
      <c r="H99" s="372"/>
      <c r="I99" s="372"/>
      <c r="J99" s="372"/>
      <c r="K99" s="372"/>
      <c r="L99" s="442"/>
      <c r="M99" s="443"/>
      <c r="N99" s="444"/>
      <c r="O99" s="444"/>
      <c r="P99" s="444"/>
      <c r="Q99" s="475"/>
      <c r="R99" s="404"/>
      <c r="S99" s="404"/>
      <c r="T99" s="404"/>
      <c r="U99" s="404"/>
      <c r="V99" s="404"/>
      <c r="W99" s="404"/>
      <c r="X99" s="404"/>
      <c r="Y99" s="404"/>
      <c r="Z99" s="404"/>
      <c r="AA99" s="404"/>
      <c r="AB99" s="404"/>
      <c r="AC99" s="404"/>
    </row>
    <row r="100" s="191" customFormat="1" ht="15.75" spans="1:29">
      <c r="A100" s="370"/>
      <c r="B100" s="361"/>
      <c r="C100" s="369"/>
      <c r="D100" s="362"/>
      <c r="E100" s="362"/>
      <c r="F100" s="362"/>
      <c r="G100" s="369"/>
      <c r="H100" s="373"/>
      <c r="I100" s="373"/>
      <c r="J100" s="373"/>
      <c r="K100" s="373"/>
      <c r="L100" s="373"/>
      <c r="M100" s="445"/>
      <c r="N100" s="444"/>
      <c r="O100" s="444"/>
      <c r="P100" s="444"/>
      <c r="Q100" s="475"/>
      <c r="R100" s="404"/>
      <c r="S100" s="404"/>
      <c r="T100" s="404"/>
      <c r="U100" s="404"/>
      <c r="V100" s="404"/>
      <c r="W100" s="404"/>
      <c r="X100" s="404"/>
      <c r="Y100" s="404"/>
      <c r="Z100" s="404"/>
      <c r="AA100" s="404"/>
      <c r="AB100" s="404"/>
      <c r="AC100" s="404"/>
    </row>
    <row r="101" ht="15.75" spans="1:29">
      <c r="A101" s="301"/>
      <c r="B101" s="363">
        <f>B36</f>
        <v>111</v>
      </c>
      <c r="C101" s="371"/>
      <c r="D101" s="371"/>
      <c r="E101" s="371"/>
      <c r="F101" s="371"/>
      <c r="G101" s="371"/>
      <c r="H101" s="372"/>
      <c r="I101" s="372"/>
      <c r="J101" s="372"/>
      <c r="K101" s="372"/>
      <c r="L101" s="442"/>
      <c r="M101" s="443"/>
      <c r="N101" s="432"/>
      <c r="O101" s="432"/>
      <c r="P101" s="427"/>
      <c r="Q101" s="422"/>
      <c r="R101" s="338"/>
      <c r="S101" s="338"/>
      <c r="T101" s="338"/>
      <c r="U101" s="338"/>
      <c r="V101" s="338"/>
      <c r="W101" s="338"/>
      <c r="X101" s="338"/>
      <c r="Y101" s="338"/>
      <c r="Z101" s="338"/>
      <c r="AA101" s="338"/>
      <c r="AB101" s="338"/>
      <c r="AC101" s="338"/>
    </row>
    <row r="102" ht="15.75" spans="1:29">
      <c r="A102" s="266"/>
      <c r="B102" s="365"/>
      <c r="C102" s="369"/>
      <c r="D102" s="369"/>
      <c r="E102" s="369"/>
      <c r="F102" s="369"/>
      <c r="G102" s="369"/>
      <c r="H102" s="373"/>
      <c r="I102" s="373"/>
      <c r="J102" s="373"/>
      <c r="K102" s="373"/>
      <c r="L102" s="373"/>
      <c r="M102" s="445"/>
      <c r="N102" s="434"/>
      <c r="O102" s="434"/>
      <c r="P102" s="427"/>
      <c r="Q102" s="422"/>
      <c r="R102" s="338"/>
      <c r="S102" s="338"/>
      <c r="T102" s="338"/>
      <c r="U102" s="338"/>
      <c r="V102" s="338"/>
      <c r="W102" s="338"/>
      <c r="X102" s="338"/>
      <c r="Y102" s="338"/>
      <c r="Z102" s="338"/>
      <c r="AA102" s="338"/>
      <c r="AB102" s="338"/>
      <c r="AC102" s="338"/>
    </row>
    <row r="103" ht="15" spans="1:29">
      <c r="A103" s="491"/>
      <c r="B103" s="491"/>
      <c r="C103" s="491"/>
      <c r="D103" s="491"/>
      <c r="E103" s="491"/>
      <c r="F103" s="491"/>
      <c r="G103" s="491"/>
      <c r="H103" s="491"/>
      <c r="I103" s="491"/>
      <c r="J103" s="491"/>
      <c r="K103" s="505"/>
      <c r="L103" s="506"/>
      <c r="M103" s="491"/>
      <c r="N103" s="491"/>
      <c r="O103" s="491"/>
      <c r="P103" s="491"/>
      <c r="Q103" s="491"/>
      <c r="R103" s="491"/>
      <c r="S103" s="491"/>
      <c r="T103" s="491"/>
      <c r="U103" s="491"/>
      <c r="V103" s="491"/>
      <c r="W103" s="491"/>
      <c r="X103" s="491"/>
      <c r="Y103" s="491"/>
      <c r="Z103" s="491"/>
      <c r="AA103" s="491"/>
      <c r="AB103" s="491"/>
      <c r="AC103" s="491"/>
    </row>
    <row r="104" spans="1:29">
      <c r="A104" s="491"/>
      <c r="B104" s="491"/>
      <c r="C104" s="491"/>
      <c r="D104" s="491"/>
      <c r="E104" s="491"/>
      <c r="F104" s="491"/>
      <c r="G104" s="491"/>
      <c r="H104" s="491"/>
      <c r="I104" s="491"/>
      <c r="J104" s="491"/>
      <c r="K104" s="505"/>
      <c r="L104" s="506"/>
      <c r="M104" s="491"/>
      <c r="N104" s="491"/>
      <c r="O104" s="491"/>
      <c r="P104" s="491"/>
      <c r="Q104" s="491"/>
      <c r="R104" s="491"/>
      <c r="S104" s="491"/>
      <c r="T104" s="491"/>
      <c r="U104" s="491"/>
      <c r="V104" s="491"/>
      <c r="W104" s="491"/>
      <c r="X104" s="491"/>
      <c r="Y104" s="491"/>
      <c r="Z104" s="491"/>
      <c r="AA104" s="491"/>
      <c r="AB104" s="491"/>
      <c r="AC104" s="491"/>
    </row>
    <row r="105" spans="1:29">
      <c r="A105" s="491"/>
      <c r="B105" s="491"/>
      <c r="C105" s="491"/>
      <c r="D105" s="491"/>
      <c r="E105" s="491"/>
      <c r="F105" s="491"/>
      <c r="G105" s="491"/>
      <c r="H105" s="491"/>
      <c r="I105" s="491"/>
      <c r="J105" s="491"/>
      <c r="K105" s="505"/>
      <c r="L105" s="506"/>
      <c r="M105" s="491"/>
      <c r="N105" s="491"/>
      <c r="O105" s="491"/>
      <c r="P105" s="491"/>
      <c r="Q105" s="491"/>
      <c r="R105" s="491"/>
      <c r="S105" s="491"/>
      <c r="T105" s="491"/>
      <c r="U105" s="491"/>
      <c r="V105" s="491"/>
      <c r="W105" s="491"/>
      <c r="X105" s="491"/>
      <c r="Y105" s="491"/>
      <c r="Z105" s="491"/>
      <c r="AA105" s="491"/>
      <c r="AB105" s="491"/>
      <c r="AC105" s="491"/>
    </row>
    <row r="106" spans="1:29">
      <c r="A106" s="491"/>
      <c r="B106" s="491"/>
      <c r="C106" s="491"/>
      <c r="D106" s="491"/>
      <c r="E106" s="491"/>
      <c r="F106" s="491"/>
      <c r="G106" s="491"/>
      <c r="H106" s="491"/>
      <c r="I106" s="491"/>
      <c r="J106" s="491"/>
      <c r="K106" s="505"/>
      <c r="L106" s="506"/>
      <c r="M106" s="491"/>
      <c r="N106" s="491"/>
      <c r="O106" s="491"/>
      <c r="P106" s="491"/>
      <c r="Q106" s="491"/>
      <c r="R106" s="491"/>
      <c r="S106" s="491"/>
      <c r="T106" s="491"/>
      <c r="U106" s="491"/>
      <c r="V106" s="491"/>
      <c r="W106" s="491"/>
      <c r="X106" s="491"/>
      <c r="Y106" s="491"/>
      <c r="Z106" s="491"/>
      <c r="AA106" s="491"/>
      <c r="AB106" s="491"/>
      <c r="AC106" s="491"/>
    </row>
    <row r="107" spans="1:29">
      <c r="A107" s="491"/>
      <c r="B107" s="491"/>
      <c r="C107" s="491"/>
      <c r="D107" s="491"/>
      <c r="E107" s="491"/>
      <c r="F107" s="491"/>
      <c r="G107" s="491"/>
      <c r="H107" s="491"/>
      <c r="I107" s="491"/>
      <c r="J107" s="491"/>
      <c r="K107" s="505"/>
      <c r="L107" s="506"/>
      <c r="M107" s="491"/>
      <c r="N107" s="491"/>
      <c r="O107" s="491"/>
      <c r="P107" s="491"/>
      <c r="Q107" s="491"/>
      <c r="R107" s="491"/>
      <c r="S107" s="491"/>
      <c r="T107" s="491"/>
      <c r="U107" s="491"/>
      <c r="V107" s="491"/>
      <c r="W107" s="491"/>
      <c r="X107" s="491"/>
      <c r="Y107" s="491"/>
      <c r="Z107" s="491"/>
      <c r="AA107" s="491"/>
      <c r="AB107" s="491"/>
      <c r="AC107" s="491"/>
    </row>
    <row r="108" spans="1:29">
      <c r="A108" s="491"/>
      <c r="B108" s="491"/>
      <c r="C108" s="491"/>
      <c r="D108" s="491"/>
      <c r="E108" s="491"/>
      <c r="F108" s="491"/>
      <c r="G108" s="491"/>
      <c r="H108" s="491"/>
      <c r="I108" s="491"/>
      <c r="J108" s="491"/>
      <c r="K108" s="505"/>
      <c r="L108" s="506"/>
      <c r="M108" s="491"/>
      <c r="N108" s="491"/>
      <c r="O108" s="491"/>
      <c r="P108" s="491"/>
      <c r="Q108" s="491"/>
      <c r="R108" s="491"/>
      <c r="S108" s="491"/>
      <c r="T108" s="491"/>
      <c r="U108" s="491"/>
      <c r="V108" s="491"/>
      <c r="W108" s="491"/>
      <c r="X108" s="491"/>
      <c r="Y108" s="491"/>
      <c r="Z108" s="491"/>
      <c r="AA108" s="491"/>
      <c r="AB108" s="491"/>
      <c r="AC108" s="491"/>
    </row>
    <row r="109" spans="1:29">
      <c r="A109" s="491"/>
      <c r="B109" s="491"/>
      <c r="C109" s="491"/>
      <c r="D109" s="491"/>
      <c r="E109" s="491"/>
      <c r="F109" s="491"/>
      <c r="G109" s="491"/>
      <c r="H109" s="491"/>
      <c r="I109" s="491"/>
      <c r="J109" s="491"/>
      <c r="K109" s="505"/>
      <c r="L109" s="506"/>
      <c r="M109" s="491"/>
      <c r="N109" s="491"/>
      <c r="O109" s="491"/>
      <c r="P109" s="491"/>
      <c r="Q109" s="491"/>
      <c r="R109" s="491"/>
      <c r="S109" s="491"/>
      <c r="T109" s="491"/>
      <c r="U109" s="491"/>
      <c r="V109" s="491"/>
      <c r="W109" s="491"/>
      <c r="X109" s="491"/>
      <c r="Y109" s="491"/>
      <c r="Z109" s="491"/>
      <c r="AA109" s="491"/>
      <c r="AB109" s="491"/>
      <c r="AC109" s="491"/>
    </row>
    <row r="110" spans="1:29">
      <c r="A110" s="491"/>
      <c r="B110" s="491"/>
      <c r="C110" s="491"/>
      <c r="D110" s="491"/>
      <c r="E110" s="491"/>
      <c r="F110" s="491"/>
      <c r="G110" s="491"/>
      <c r="H110" s="491"/>
      <c r="I110" s="491"/>
      <c r="J110" s="491"/>
      <c r="K110" s="505"/>
      <c r="L110" s="506"/>
      <c r="M110" s="491"/>
      <c r="N110" s="491"/>
      <c r="O110" s="491"/>
      <c r="P110" s="491"/>
      <c r="Q110" s="491"/>
      <c r="R110" s="491"/>
      <c r="S110" s="491"/>
      <c r="T110" s="491"/>
      <c r="U110" s="491"/>
      <c r="V110" s="491"/>
      <c r="W110" s="491"/>
      <c r="X110" s="491"/>
      <c r="Y110" s="491"/>
      <c r="Z110" s="491"/>
      <c r="AA110" s="491"/>
      <c r="AB110" s="491"/>
      <c r="AC110" s="491"/>
    </row>
    <row r="111" spans="1:29">
      <c r="A111" s="491"/>
      <c r="B111" s="491"/>
      <c r="C111" s="491"/>
      <c r="D111" s="491"/>
      <c r="E111" s="491"/>
      <c r="F111" s="491"/>
      <c r="G111" s="491"/>
      <c r="H111" s="491"/>
      <c r="I111" s="491"/>
      <c r="J111" s="491"/>
      <c r="K111" s="505"/>
      <c r="L111" s="506"/>
      <c r="M111" s="491"/>
      <c r="N111" s="491"/>
      <c r="O111" s="491"/>
      <c r="P111" s="491"/>
      <c r="Q111" s="491"/>
      <c r="R111" s="491"/>
      <c r="S111" s="491"/>
      <c r="T111" s="491"/>
      <c r="U111" s="491"/>
      <c r="V111" s="491"/>
      <c r="W111" s="491"/>
      <c r="X111" s="491"/>
      <c r="Y111" s="491"/>
      <c r="Z111" s="491"/>
      <c r="AA111" s="491"/>
      <c r="AB111" s="491"/>
      <c r="AC111" s="491"/>
    </row>
    <row r="112" spans="1:29">
      <c r="A112" s="491"/>
      <c r="B112" s="491"/>
      <c r="C112" s="491"/>
      <c r="D112" s="491"/>
      <c r="E112" s="491"/>
      <c r="F112" s="491"/>
      <c r="G112" s="491"/>
      <c r="H112" s="491"/>
      <c r="I112" s="491"/>
      <c r="J112" s="491"/>
      <c r="K112" s="505"/>
      <c r="L112" s="506"/>
      <c r="M112" s="491"/>
      <c r="N112" s="491"/>
      <c r="O112" s="491"/>
      <c r="P112" s="491"/>
      <c r="Q112" s="491"/>
      <c r="R112" s="491"/>
      <c r="S112" s="491"/>
      <c r="T112" s="491"/>
      <c r="U112" s="491"/>
      <c r="V112" s="491"/>
      <c r="W112" s="491"/>
      <c r="X112" s="491"/>
      <c r="Y112" s="491"/>
      <c r="Z112" s="491"/>
      <c r="AA112" s="491"/>
      <c r="AB112" s="491"/>
      <c r="AC112" s="491"/>
    </row>
    <row r="113" spans="1:29">
      <c r="A113" s="491"/>
      <c r="B113" s="491"/>
      <c r="C113" s="491"/>
      <c r="D113" s="491"/>
      <c r="E113" s="491"/>
      <c r="F113" s="491"/>
      <c r="G113" s="491"/>
      <c r="H113" s="491"/>
      <c r="I113" s="491"/>
      <c r="J113" s="491"/>
      <c r="K113" s="505"/>
      <c r="L113" s="506"/>
      <c r="M113" s="491"/>
      <c r="N113" s="491"/>
      <c r="O113" s="491"/>
      <c r="P113" s="491"/>
      <c r="Q113" s="491"/>
      <c r="R113" s="491"/>
      <c r="S113" s="491"/>
      <c r="T113" s="491"/>
      <c r="U113" s="491"/>
      <c r="V113" s="491"/>
      <c r="W113" s="491"/>
      <c r="X113" s="491"/>
      <c r="Y113" s="491"/>
      <c r="Z113" s="491"/>
      <c r="AA113" s="491"/>
      <c r="AB113" s="491"/>
      <c r="AC113" s="491"/>
    </row>
    <row r="114" spans="1:29">
      <c r="A114" s="491"/>
      <c r="B114" s="491"/>
      <c r="C114" s="491"/>
      <c r="D114" s="491"/>
      <c r="E114" s="491"/>
      <c r="F114" s="491"/>
      <c r="G114" s="491"/>
      <c r="H114" s="491"/>
      <c r="I114" s="491"/>
      <c r="J114" s="491"/>
      <c r="K114" s="505"/>
      <c r="L114" s="506"/>
      <c r="M114" s="491"/>
      <c r="N114" s="491"/>
      <c r="O114" s="491"/>
      <c r="P114" s="491"/>
      <c r="Q114" s="491"/>
      <c r="R114" s="491"/>
      <c r="S114" s="491"/>
      <c r="T114" s="491"/>
      <c r="U114" s="491"/>
      <c r="V114" s="491"/>
      <c r="W114" s="491"/>
      <c r="X114" s="491"/>
      <c r="Y114" s="491"/>
      <c r="Z114" s="491"/>
      <c r="AA114" s="491"/>
      <c r="AB114" s="491"/>
      <c r="AC114" s="491"/>
    </row>
    <row r="115" spans="1:29">
      <c r="A115" s="491"/>
      <c r="B115" s="491"/>
      <c r="C115" s="491"/>
      <c r="D115" s="491"/>
      <c r="E115" s="491"/>
      <c r="F115" s="491"/>
      <c r="G115" s="491"/>
      <c r="H115" s="491"/>
      <c r="I115" s="491"/>
      <c r="J115" s="491"/>
      <c r="K115" s="505"/>
      <c r="L115" s="506"/>
      <c r="M115" s="491"/>
      <c r="N115" s="491"/>
      <c r="O115" s="491"/>
      <c r="P115" s="491"/>
      <c r="Q115" s="491"/>
      <c r="R115" s="491"/>
      <c r="S115" s="491"/>
      <c r="T115" s="491"/>
      <c r="U115" s="491"/>
      <c r="V115" s="491"/>
      <c r="W115" s="491"/>
      <c r="X115" s="491"/>
      <c r="Y115" s="491"/>
      <c r="Z115" s="491"/>
      <c r="AA115" s="491"/>
      <c r="AB115" s="491"/>
      <c r="AC115" s="491"/>
    </row>
    <row r="116" spans="1:29">
      <c r="A116" s="491"/>
      <c r="B116" s="491"/>
      <c r="C116" s="491"/>
      <c r="D116" s="491"/>
      <c r="E116" s="491"/>
      <c r="F116" s="491"/>
      <c r="G116" s="491"/>
      <c r="H116" s="491"/>
      <c r="I116" s="491"/>
      <c r="J116" s="491"/>
      <c r="K116" s="505"/>
      <c r="L116" s="506"/>
      <c r="M116" s="491"/>
      <c r="N116" s="491"/>
      <c r="O116" s="491"/>
      <c r="P116" s="491"/>
      <c r="Q116" s="491"/>
      <c r="R116" s="491"/>
      <c r="S116" s="491"/>
      <c r="T116" s="491"/>
      <c r="U116" s="491"/>
      <c r="V116" s="491"/>
      <c r="W116" s="491"/>
      <c r="X116" s="491"/>
      <c r="Y116" s="491"/>
      <c r="Z116" s="491"/>
      <c r="AA116" s="491"/>
      <c r="AB116" s="491"/>
      <c r="AC116" s="491"/>
    </row>
    <row r="117" spans="1:29">
      <c r="A117" s="491"/>
      <c r="B117" s="491"/>
      <c r="C117" s="491"/>
      <c r="D117" s="491"/>
      <c r="E117" s="491"/>
      <c r="F117" s="491"/>
      <c r="G117" s="491"/>
      <c r="H117" s="491"/>
      <c r="I117" s="491"/>
      <c r="J117" s="491"/>
      <c r="K117" s="505"/>
      <c r="L117" s="506"/>
      <c r="M117" s="491"/>
      <c r="N117" s="491"/>
      <c r="O117" s="491"/>
      <c r="P117" s="491"/>
      <c r="Q117" s="491"/>
      <c r="R117" s="491"/>
      <c r="S117" s="491"/>
      <c r="T117" s="491"/>
      <c r="U117" s="491"/>
      <c r="V117" s="491"/>
      <c r="W117" s="491"/>
      <c r="X117" s="491"/>
      <c r="Y117" s="491"/>
      <c r="Z117" s="491"/>
      <c r="AA117" s="491"/>
      <c r="AB117" s="491"/>
      <c r="AC117" s="491"/>
    </row>
    <row r="118" spans="1:29">
      <c r="A118" s="491"/>
      <c r="B118" s="491"/>
      <c r="C118" s="491"/>
      <c r="D118" s="491"/>
      <c r="E118" s="491"/>
      <c r="F118" s="491"/>
      <c r="G118" s="491"/>
      <c r="H118" s="491"/>
      <c r="I118" s="491"/>
      <c r="J118" s="491"/>
      <c r="K118" s="505"/>
      <c r="L118" s="506"/>
      <c r="M118" s="491"/>
      <c r="N118" s="491"/>
      <c r="O118" s="491"/>
      <c r="P118" s="491"/>
      <c r="Q118" s="491"/>
      <c r="R118" s="491"/>
      <c r="S118" s="491"/>
      <c r="T118" s="491"/>
      <c r="U118" s="491"/>
      <c r="V118" s="491"/>
      <c r="W118" s="491"/>
      <c r="X118" s="491"/>
      <c r="Y118" s="491"/>
      <c r="Z118" s="491"/>
      <c r="AA118" s="491"/>
      <c r="AB118" s="491"/>
      <c r="AC118" s="491"/>
    </row>
    <row r="119" spans="1:29">
      <c r="A119" s="491"/>
      <c r="B119" s="491"/>
      <c r="C119" s="491"/>
      <c r="D119" s="491"/>
      <c r="E119" s="491"/>
      <c r="F119" s="491"/>
      <c r="G119" s="491"/>
      <c r="H119" s="491"/>
      <c r="I119" s="491"/>
      <c r="J119" s="491"/>
      <c r="K119" s="505"/>
      <c r="L119" s="506"/>
      <c r="M119" s="491"/>
      <c r="N119" s="491"/>
      <c r="O119" s="491"/>
      <c r="P119" s="491"/>
      <c r="Q119" s="491"/>
      <c r="R119" s="491"/>
      <c r="S119" s="491"/>
      <c r="T119" s="491"/>
      <c r="U119" s="491"/>
      <c r="V119" s="491"/>
      <c r="W119" s="491"/>
      <c r="X119" s="491"/>
      <c r="Y119" s="491"/>
      <c r="Z119" s="491"/>
      <c r="AA119" s="491"/>
      <c r="AB119" s="491"/>
      <c r="AC119" s="491"/>
    </row>
    <row r="120" spans="1:29">
      <c r="A120" s="491"/>
      <c r="B120" s="491"/>
      <c r="C120" s="491"/>
      <c r="D120" s="491"/>
      <c r="E120" s="491"/>
      <c r="F120" s="491"/>
      <c r="G120" s="491"/>
      <c r="H120" s="491"/>
      <c r="I120" s="491"/>
      <c r="J120" s="491"/>
      <c r="K120" s="505"/>
      <c r="L120" s="506"/>
      <c r="M120" s="491"/>
      <c r="N120" s="491"/>
      <c r="O120" s="491"/>
      <c r="P120" s="491"/>
      <c r="Q120" s="491"/>
      <c r="R120" s="491"/>
      <c r="S120" s="491"/>
      <c r="T120" s="491"/>
      <c r="U120" s="491"/>
      <c r="V120" s="491"/>
      <c r="W120" s="491"/>
      <c r="X120" s="491"/>
      <c r="Y120" s="491"/>
      <c r="Z120" s="491"/>
      <c r="AA120" s="491"/>
      <c r="AB120" s="491"/>
      <c r="AC120" s="491"/>
    </row>
    <row r="121" spans="1:29">
      <c r="A121" s="491"/>
      <c r="B121" s="491"/>
      <c r="C121" s="491"/>
      <c r="D121" s="491"/>
      <c r="E121" s="491"/>
      <c r="F121" s="491"/>
      <c r="G121" s="491"/>
      <c r="H121" s="491"/>
      <c r="I121" s="491"/>
      <c r="J121" s="491"/>
      <c r="K121" s="505"/>
      <c r="L121" s="506"/>
      <c r="M121" s="491"/>
      <c r="N121" s="491"/>
      <c r="O121" s="491"/>
      <c r="P121" s="491"/>
      <c r="Q121" s="491"/>
      <c r="R121" s="491"/>
      <c r="S121" s="491"/>
      <c r="T121" s="491"/>
      <c r="U121" s="491"/>
      <c r="V121" s="491"/>
      <c r="W121" s="491"/>
      <c r="X121" s="491"/>
      <c r="Y121" s="491"/>
      <c r="Z121" s="491"/>
      <c r="AA121" s="491"/>
      <c r="AB121" s="491"/>
      <c r="AC121" s="491"/>
    </row>
    <row r="122" spans="1:29">
      <c r="A122" s="491"/>
      <c r="B122" s="491"/>
      <c r="C122" s="491"/>
      <c r="D122" s="491"/>
      <c r="E122" s="491"/>
      <c r="F122" s="491"/>
      <c r="G122" s="491"/>
      <c r="H122" s="491"/>
      <c r="I122" s="491"/>
      <c r="J122" s="491"/>
      <c r="K122" s="505"/>
      <c r="L122" s="506"/>
      <c r="M122" s="491"/>
      <c r="N122" s="491"/>
      <c r="O122" s="491"/>
      <c r="P122" s="491"/>
      <c r="Q122" s="491"/>
      <c r="R122" s="491"/>
      <c r="S122" s="491"/>
      <c r="T122" s="491"/>
      <c r="U122" s="491"/>
      <c r="V122" s="491"/>
      <c r="W122" s="491"/>
      <c r="X122" s="491"/>
      <c r="Y122" s="491"/>
      <c r="Z122" s="491"/>
      <c r="AA122" s="491"/>
      <c r="AB122" s="491"/>
      <c r="AC122" s="491"/>
    </row>
    <row r="123" spans="1:29">
      <c r="A123" s="491"/>
      <c r="B123" s="491"/>
      <c r="C123" s="491"/>
      <c r="D123" s="491"/>
      <c r="E123" s="491"/>
      <c r="F123" s="491"/>
      <c r="G123" s="491"/>
      <c r="H123" s="491"/>
      <c r="I123" s="491"/>
      <c r="J123" s="491"/>
      <c r="K123" s="505"/>
      <c r="L123" s="506"/>
      <c r="M123" s="491"/>
      <c r="N123" s="491"/>
      <c r="O123" s="491"/>
      <c r="P123" s="491"/>
      <c r="Q123" s="491"/>
      <c r="R123" s="491"/>
      <c r="S123" s="491"/>
      <c r="T123" s="491"/>
      <c r="U123" s="491"/>
      <c r="V123" s="491"/>
      <c r="W123" s="491"/>
      <c r="X123" s="491"/>
      <c r="Y123" s="491"/>
      <c r="Z123" s="491"/>
      <c r="AA123" s="491"/>
      <c r="AB123" s="491"/>
      <c r="AC123" s="491"/>
    </row>
    <row r="124" spans="1:29">
      <c r="A124" s="491"/>
      <c r="B124" s="491"/>
      <c r="C124" s="491"/>
      <c r="D124" s="491"/>
      <c r="E124" s="491"/>
      <c r="F124" s="491"/>
      <c r="G124" s="491"/>
      <c r="H124" s="491"/>
      <c r="I124" s="491"/>
      <c r="J124" s="491"/>
      <c r="K124" s="505"/>
      <c r="L124" s="506"/>
      <c r="M124" s="491"/>
      <c r="N124" s="491"/>
      <c r="O124" s="491"/>
      <c r="P124" s="491"/>
      <c r="Q124" s="491"/>
      <c r="R124" s="491"/>
      <c r="S124" s="491"/>
      <c r="T124" s="491"/>
      <c r="U124" s="491"/>
      <c r="V124" s="491"/>
      <c r="W124" s="491"/>
      <c r="X124" s="491"/>
      <c r="Y124" s="491"/>
      <c r="Z124" s="491"/>
      <c r="AA124" s="491"/>
      <c r="AB124" s="491"/>
      <c r="AC124" s="491"/>
    </row>
    <row r="125" spans="1:29">
      <c r="A125" s="491"/>
      <c r="B125" s="491"/>
      <c r="C125" s="491"/>
      <c r="D125" s="491"/>
      <c r="E125" s="491"/>
      <c r="F125" s="491"/>
      <c r="G125" s="491"/>
      <c r="H125" s="491"/>
      <c r="I125" s="491"/>
      <c r="J125" s="491"/>
      <c r="K125" s="505"/>
      <c r="L125" s="506"/>
      <c r="M125" s="491"/>
      <c r="N125" s="491"/>
      <c r="O125" s="491"/>
      <c r="P125" s="491"/>
      <c r="Q125" s="491"/>
      <c r="R125" s="491"/>
      <c r="S125" s="491"/>
      <c r="T125" s="491"/>
      <c r="U125" s="491"/>
      <c r="V125" s="491"/>
      <c r="W125" s="491"/>
      <c r="X125" s="491"/>
      <c r="Y125" s="491"/>
      <c r="Z125" s="491"/>
      <c r="AA125" s="491"/>
      <c r="AB125" s="491"/>
      <c r="AC125" s="491"/>
    </row>
    <row r="126" spans="1:29">
      <c r="A126" s="491"/>
      <c r="B126" s="491"/>
      <c r="C126" s="491"/>
      <c r="D126" s="491"/>
      <c r="E126" s="491"/>
      <c r="F126" s="491"/>
      <c r="G126" s="491"/>
      <c r="H126" s="491"/>
      <c r="I126" s="491"/>
      <c r="J126" s="491"/>
      <c r="K126" s="505"/>
      <c r="L126" s="506"/>
      <c r="M126" s="491"/>
      <c r="N126" s="491"/>
      <c r="O126" s="491"/>
      <c r="P126" s="491"/>
      <c r="Q126" s="491"/>
      <c r="R126" s="491"/>
      <c r="S126" s="491"/>
      <c r="T126" s="491"/>
      <c r="U126" s="491"/>
      <c r="V126" s="491"/>
      <c r="W126" s="491"/>
      <c r="X126" s="491"/>
      <c r="Y126" s="491"/>
      <c r="Z126" s="491"/>
      <c r="AA126" s="491"/>
      <c r="AB126" s="491"/>
      <c r="AC126" s="491"/>
    </row>
    <row r="127" spans="1:29">
      <c r="A127" s="491"/>
      <c r="B127" s="491"/>
      <c r="C127" s="491"/>
      <c r="D127" s="491"/>
      <c r="E127" s="491"/>
      <c r="F127" s="491"/>
      <c r="G127" s="491"/>
      <c r="H127" s="491"/>
      <c r="I127" s="491"/>
      <c r="J127" s="491"/>
      <c r="K127" s="505"/>
      <c r="L127" s="506"/>
      <c r="M127" s="491"/>
      <c r="N127" s="491"/>
      <c r="O127" s="491"/>
      <c r="P127" s="491"/>
      <c r="Q127" s="491"/>
      <c r="R127" s="491"/>
      <c r="S127" s="491"/>
      <c r="T127" s="491"/>
      <c r="U127" s="491"/>
      <c r="V127" s="491"/>
      <c r="W127" s="491"/>
      <c r="X127" s="491"/>
      <c r="Y127" s="491"/>
      <c r="Z127" s="491"/>
      <c r="AA127" s="491"/>
      <c r="AB127" s="491"/>
      <c r="AC127" s="491"/>
    </row>
    <row r="128" spans="1:29">
      <c r="A128" s="491"/>
      <c r="B128" s="491"/>
      <c r="C128" s="491"/>
      <c r="D128" s="491"/>
      <c r="E128" s="491"/>
      <c r="F128" s="491"/>
      <c r="G128" s="491"/>
      <c r="H128" s="491"/>
      <c r="I128" s="491"/>
      <c r="J128" s="491"/>
      <c r="K128" s="505"/>
      <c r="L128" s="506"/>
      <c r="M128" s="491"/>
      <c r="N128" s="491"/>
      <c r="O128" s="491"/>
      <c r="P128" s="491"/>
      <c r="Q128" s="491"/>
      <c r="R128" s="491"/>
      <c r="S128" s="491"/>
      <c r="T128" s="491"/>
      <c r="U128" s="491"/>
      <c r="V128" s="491"/>
      <c r="W128" s="491"/>
      <c r="X128" s="491"/>
      <c r="Y128" s="491"/>
      <c r="Z128" s="491"/>
      <c r="AA128" s="491"/>
      <c r="AB128" s="491"/>
      <c r="AC128" s="491"/>
    </row>
    <row r="129" spans="1:29">
      <c r="A129" s="491"/>
      <c r="B129" s="491"/>
      <c r="C129" s="491"/>
      <c r="D129" s="491"/>
      <c r="E129" s="491"/>
      <c r="F129" s="491"/>
      <c r="G129" s="491"/>
      <c r="H129" s="491"/>
      <c r="I129" s="491"/>
      <c r="J129" s="491"/>
      <c r="K129" s="505"/>
      <c r="L129" s="506"/>
      <c r="M129" s="491"/>
      <c r="N129" s="491"/>
      <c r="O129" s="491"/>
      <c r="P129" s="491"/>
      <c r="Q129" s="491"/>
      <c r="R129" s="491"/>
      <c r="S129" s="491"/>
      <c r="T129" s="491"/>
      <c r="U129" s="491"/>
      <c r="V129" s="491"/>
      <c r="W129" s="491"/>
      <c r="X129" s="491"/>
      <c r="Y129" s="491"/>
      <c r="Z129" s="491"/>
      <c r="AA129" s="491"/>
      <c r="AB129" s="491"/>
      <c r="AC129" s="491"/>
    </row>
    <row r="130" spans="1:29">
      <c r="A130" s="491"/>
      <c r="B130" s="491"/>
      <c r="C130" s="491"/>
      <c r="D130" s="491"/>
      <c r="E130" s="491"/>
      <c r="F130" s="491"/>
      <c r="G130" s="491"/>
      <c r="H130" s="491"/>
      <c r="I130" s="491"/>
      <c r="J130" s="491"/>
      <c r="K130" s="505"/>
      <c r="L130" s="506"/>
      <c r="M130" s="491"/>
      <c r="N130" s="491"/>
      <c r="O130" s="491"/>
      <c r="P130" s="491"/>
      <c r="Q130" s="491"/>
      <c r="R130" s="491"/>
      <c r="S130" s="491"/>
      <c r="T130" s="491"/>
      <c r="U130" s="491"/>
      <c r="V130" s="491"/>
      <c r="W130" s="491"/>
      <c r="X130" s="491"/>
      <c r="Y130" s="491"/>
      <c r="Z130" s="491"/>
      <c r="AA130" s="491"/>
      <c r="AB130" s="491"/>
      <c r="AC130" s="491"/>
    </row>
    <row r="131" spans="1:29">
      <c r="A131" s="491"/>
      <c r="B131" s="491"/>
      <c r="C131" s="491"/>
      <c r="D131" s="491"/>
      <c r="E131" s="491"/>
      <c r="F131" s="491"/>
      <c r="G131" s="491"/>
      <c r="H131" s="491"/>
      <c r="I131" s="491"/>
      <c r="J131" s="491"/>
      <c r="K131" s="505"/>
      <c r="L131" s="506"/>
      <c r="M131" s="491"/>
      <c r="N131" s="491"/>
      <c r="O131" s="491"/>
      <c r="P131" s="491"/>
      <c r="Q131" s="491"/>
      <c r="R131" s="491"/>
      <c r="S131" s="491"/>
      <c r="T131" s="491"/>
      <c r="U131" s="491"/>
      <c r="V131" s="491"/>
      <c r="W131" s="491"/>
      <c r="X131" s="491"/>
      <c r="Y131" s="491"/>
      <c r="Z131" s="491"/>
      <c r="AA131" s="491"/>
      <c r="AB131" s="491"/>
      <c r="AC131" s="491"/>
    </row>
    <row r="132" spans="1:29">
      <c r="A132" s="491"/>
      <c r="B132" s="491"/>
      <c r="C132" s="491"/>
      <c r="D132" s="491"/>
      <c r="E132" s="491"/>
      <c r="F132" s="491"/>
      <c r="G132" s="491"/>
      <c r="H132" s="491"/>
      <c r="I132" s="491"/>
      <c r="J132" s="491"/>
      <c r="K132" s="505"/>
      <c r="L132" s="506"/>
      <c r="M132" s="491"/>
      <c r="N132" s="491"/>
      <c r="O132" s="491"/>
      <c r="P132" s="491"/>
      <c r="Q132" s="491"/>
      <c r="R132" s="491"/>
      <c r="S132" s="491"/>
      <c r="T132" s="491"/>
      <c r="U132" s="491"/>
      <c r="V132" s="491"/>
      <c r="W132" s="491"/>
      <c r="X132" s="491"/>
      <c r="Y132" s="491"/>
      <c r="Z132" s="491"/>
      <c r="AA132" s="491"/>
      <c r="AB132" s="491"/>
      <c r="AC132" s="491"/>
    </row>
    <row r="133" spans="1:29">
      <c r="A133" s="491"/>
      <c r="B133" s="491"/>
      <c r="C133" s="491"/>
      <c r="D133" s="491"/>
      <c r="E133" s="491"/>
      <c r="F133" s="491"/>
      <c r="G133" s="491"/>
      <c r="H133" s="491"/>
      <c r="I133" s="491"/>
      <c r="J133" s="491"/>
      <c r="K133" s="505"/>
      <c r="L133" s="506"/>
      <c r="M133" s="491"/>
      <c r="N133" s="491"/>
      <c r="O133" s="491"/>
      <c r="P133" s="491"/>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491"/>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491"/>
      <c r="Q135" s="491"/>
      <c r="R135" s="491"/>
      <c r="S135" s="491"/>
      <c r="T135" s="491"/>
      <c r="U135" s="491"/>
      <c r="V135" s="491"/>
      <c r="W135" s="491"/>
      <c r="X135" s="491"/>
      <c r="Y135" s="491"/>
      <c r="Z135" s="491"/>
      <c r="AA135" s="491"/>
      <c r="AB135" s="491"/>
      <c r="AC135" s="491"/>
    </row>
    <row r="136" spans="1:29">
      <c r="A136" s="491"/>
      <c r="B136" s="491"/>
      <c r="C136" s="491"/>
      <c r="D136" s="491"/>
      <c r="E136" s="491"/>
      <c r="F136" s="491"/>
      <c r="G136" s="491"/>
      <c r="H136" s="491"/>
      <c r="I136" s="491"/>
      <c r="J136" s="491"/>
      <c r="K136" s="505"/>
      <c r="L136" s="506"/>
      <c r="M136" s="491"/>
      <c r="N136" s="491"/>
      <c r="O136" s="491"/>
      <c r="P136" s="491"/>
      <c r="Q136" s="491"/>
      <c r="R136" s="491"/>
      <c r="S136" s="491"/>
      <c r="T136" s="491"/>
      <c r="U136" s="491"/>
      <c r="V136" s="491"/>
      <c r="W136" s="491"/>
      <c r="X136" s="491"/>
      <c r="Y136" s="491"/>
      <c r="Z136" s="491"/>
      <c r="AA136" s="491"/>
      <c r="AB136" s="491"/>
      <c r="AC136" s="491"/>
    </row>
    <row r="137" spans="1:29">
      <c r="A137" s="491"/>
      <c r="B137" s="491"/>
      <c r="C137" s="491"/>
      <c r="D137" s="491"/>
      <c r="E137" s="491"/>
      <c r="F137" s="491"/>
      <c r="G137" s="491"/>
      <c r="H137" s="491"/>
      <c r="I137" s="491"/>
      <c r="J137" s="491"/>
      <c r="K137" s="505"/>
      <c r="L137" s="506"/>
      <c r="M137" s="491"/>
      <c r="N137" s="491"/>
      <c r="O137" s="491"/>
      <c r="P137" s="491"/>
      <c r="Q137" s="491"/>
      <c r="R137" s="491"/>
      <c r="S137" s="491"/>
      <c r="T137" s="491"/>
      <c r="U137" s="491"/>
      <c r="V137" s="491"/>
      <c r="W137" s="491"/>
      <c r="X137" s="491"/>
      <c r="Y137" s="491"/>
      <c r="Z137" s="491"/>
      <c r="AA137" s="491"/>
      <c r="AB137" s="491"/>
      <c r="AC137" s="491"/>
    </row>
    <row r="138" spans="1:29">
      <c r="A138" s="491"/>
      <c r="B138" s="491"/>
      <c r="C138" s="491"/>
      <c r="D138" s="491"/>
      <c r="E138" s="491"/>
      <c r="F138" s="491"/>
      <c r="G138" s="491"/>
      <c r="H138" s="491"/>
      <c r="I138" s="491"/>
      <c r="J138" s="491"/>
      <c r="K138" s="505"/>
      <c r="L138" s="506"/>
      <c r="M138" s="491"/>
      <c r="N138" s="491"/>
      <c r="O138" s="491"/>
      <c r="P138" s="491"/>
      <c r="Q138" s="491"/>
      <c r="R138" s="491"/>
      <c r="S138" s="491"/>
      <c r="T138" s="491"/>
      <c r="U138" s="491"/>
      <c r="V138" s="491"/>
      <c r="W138" s="491"/>
      <c r="X138" s="491"/>
      <c r="Y138" s="491"/>
      <c r="Z138" s="491"/>
      <c r="AA138" s="491"/>
      <c r="AB138" s="491"/>
      <c r="AC138" s="491"/>
    </row>
    <row r="139" spans="1:29">
      <c r="A139" s="491"/>
      <c r="B139" s="491"/>
      <c r="C139" s="491"/>
      <c r="D139" s="491"/>
      <c r="E139" s="491"/>
      <c r="F139" s="491"/>
      <c r="G139" s="491"/>
      <c r="H139" s="491"/>
      <c r="I139" s="491"/>
      <c r="J139" s="491"/>
      <c r="K139" s="505"/>
      <c r="L139" s="506"/>
      <c r="M139" s="491"/>
      <c r="N139" s="491"/>
      <c r="O139" s="491"/>
      <c r="P139" s="491"/>
      <c r="Q139" s="491"/>
      <c r="R139" s="491"/>
      <c r="S139" s="491"/>
      <c r="T139" s="491"/>
      <c r="U139" s="491"/>
      <c r="V139" s="491"/>
      <c r="W139" s="491"/>
      <c r="X139" s="491"/>
      <c r="Y139" s="491"/>
      <c r="Z139" s="491"/>
      <c r="AA139" s="491"/>
      <c r="AB139" s="491"/>
      <c r="AC139" s="491"/>
    </row>
    <row r="140" spans="1:29">
      <c r="A140" s="491"/>
      <c r="B140" s="491"/>
      <c r="C140" s="491"/>
      <c r="D140" s="491"/>
      <c r="E140" s="491"/>
      <c r="F140" s="491"/>
      <c r="G140" s="491"/>
      <c r="H140" s="491"/>
      <c r="I140" s="491"/>
      <c r="J140" s="491"/>
      <c r="K140" s="505"/>
      <c r="L140" s="506"/>
      <c r="M140" s="491"/>
      <c r="N140" s="491"/>
      <c r="O140" s="491"/>
      <c r="P140" s="491"/>
      <c r="Q140" s="491"/>
      <c r="R140" s="491"/>
      <c r="S140" s="491"/>
      <c r="T140" s="491"/>
      <c r="U140" s="491"/>
      <c r="V140" s="491"/>
      <c r="W140" s="491"/>
      <c r="X140" s="491"/>
      <c r="Y140" s="491"/>
      <c r="Z140" s="491"/>
      <c r="AA140" s="491"/>
      <c r="AB140" s="491"/>
      <c r="AC140" s="491"/>
    </row>
    <row r="141" spans="1:29">
      <c r="A141" s="491"/>
      <c r="B141" s="491"/>
      <c r="C141" s="491"/>
      <c r="D141" s="491"/>
      <c r="E141" s="491"/>
      <c r="F141" s="491"/>
      <c r="G141" s="491"/>
      <c r="H141" s="491"/>
      <c r="I141" s="491"/>
      <c r="J141" s="491"/>
      <c r="K141" s="505"/>
      <c r="L141" s="506"/>
      <c r="M141" s="491"/>
      <c r="N141" s="491"/>
      <c r="O141" s="491"/>
      <c r="P141" s="491"/>
      <c r="Q141" s="491"/>
      <c r="R141" s="491"/>
      <c r="S141" s="491"/>
      <c r="T141" s="491"/>
      <c r="U141" s="491"/>
      <c r="V141" s="491"/>
      <c r="W141" s="491"/>
      <c r="X141" s="491"/>
      <c r="Y141" s="491"/>
      <c r="Z141" s="491"/>
      <c r="AA141" s="491"/>
      <c r="AB141" s="491"/>
      <c r="AC141" s="491"/>
    </row>
    <row r="142" spans="1:29">
      <c r="A142" s="491"/>
      <c r="B142" s="491"/>
      <c r="C142" s="491"/>
      <c r="D142" s="491"/>
      <c r="E142" s="491"/>
      <c r="F142" s="491"/>
      <c r="G142" s="491"/>
      <c r="H142" s="491"/>
      <c r="I142" s="491"/>
      <c r="J142" s="491"/>
      <c r="K142" s="505"/>
      <c r="L142" s="506"/>
      <c r="M142" s="491"/>
      <c r="N142" s="491"/>
      <c r="O142" s="491"/>
      <c r="P142" s="491"/>
      <c r="Q142" s="491"/>
      <c r="R142" s="491"/>
      <c r="S142" s="491"/>
      <c r="T142" s="491"/>
      <c r="U142" s="491"/>
      <c r="V142" s="491"/>
      <c r="W142" s="491"/>
      <c r="X142" s="491"/>
      <c r="Y142" s="491"/>
      <c r="Z142" s="491"/>
      <c r="AA142" s="491"/>
      <c r="AB142" s="491"/>
      <c r="AC142" s="491"/>
    </row>
    <row r="143" spans="1:29">
      <c r="A143" s="491"/>
      <c r="B143" s="491"/>
      <c r="C143" s="491"/>
      <c r="D143" s="491"/>
      <c r="E143" s="491"/>
      <c r="F143" s="491"/>
      <c r="G143" s="491"/>
      <c r="H143" s="491"/>
      <c r="I143" s="491"/>
      <c r="J143" s="491"/>
      <c r="K143" s="505"/>
      <c r="L143" s="506"/>
      <c r="M143" s="491"/>
      <c r="N143" s="491"/>
      <c r="O143" s="491"/>
      <c r="P143" s="491"/>
      <c r="Q143" s="491"/>
      <c r="R143" s="491"/>
      <c r="S143" s="491"/>
      <c r="T143" s="491"/>
      <c r="U143" s="491"/>
      <c r="V143" s="491"/>
      <c r="W143" s="491"/>
      <c r="X143" s="491"/>
      <c r="Y143" s="491"/>
      <c r="Z143" s="491"/>
      <c r="AA143" s="491"/>
      <c r="AB143" s="491"/>
      <c r="AC143" s="491"/>
    </row>
    <row r="144" spans="1:29">
      <c r="A144" s="491"/>
      <c r="B144" s="491"/>
      <c r="C144" s="491"/>
      <c r="D144" s="491"/>
      <c r="E144" s="491"/>
      <c r="F144" s="491"/>
      <c r="G144" s="491"/>
      <c r="H144" s="491"/>
      <c r="I144" s="491"/>
      <c r="J144" s="491"/>
      <c r="K144" s="505"/>
      <c r="L144" s="506"/>
      <c r="M144" s="491"/>
      <c r="N144" s="491"/>
      <c r="O144" s="491"/>
      <c r="P144" s="491"/>
      <c r="Q144" s="491"/>
      <c r="R144" s="491"/>
      <c r="S144" s="491"/>
      <c r="T144" s="491"/>
      <c r="U144" s="491"/>
      <c r="V144" s="491"/>
      <c r="W144" s="491"/>
      <c r="X144" s="491"/>
      <c r="Y144" s="491"/>
      <c r="Z144" s="491"/>
      <c r="AA144" s="491"/>
      <c r="AB144" s="491"/>
      <c r="AC144" s="491"/>
    </row>
    <row r="145" spans="1:29">
      <c r="A145" s="491"/>
      <c r="B145" s="491"/>
      <c r="C145" s="491"/>
      <c r="D145" s="491"/>
      <c r="E145" s="491"/>
      <c r="F145" s="491"/>
      <c r="G145" s="491"/>
      <c r="H145" s="491"/>
      <c r="I145" s="491"/>
      <c r="J145" s="491"/>
      <c r="K145" s="505"/>
      <c r="L145" s="506"/>
      <c r="M145" s="491"/>
      <c r="N145" s="491"/>
      <c r="O145" s="491"/>
      <c r="P145" s="491"/>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491"/>
      <c r="Q146" s="491"/>
      <c r="R146" s="491"/>
      <c r="S146" s="491"/>
      <c r="T146" s="491"/>
      <c r="U146" s="491"/>
      <c r="V146" s="491"/>
      <c r="W146" s="491"/>
      <c r="X146" s="491"/>
      <c r="Y146" s="491"/>
      <c r="Z146" s="491"/>
      <c r="AA146" s="491"/>
      <c r="AB146" s="491"/>
      <c r="AC146" s="491"/>
    </row>
    <row r="147" spans="1:29">
      <c r="A147" s="491"/>
      <c r="B147" s="491"/>
      <c r="C147" s="491"/>
      <c r="D147" s="491"/>
      <c r="E147" s="491"/>
      <c r="F147" s="491"/>
      <c r="G147" s="491"/>
      <c r="H147" s="491"/>
      <c r="I147" s="491"/>
      <c r="J147" s="491"/>
      <c r="K147" s="505"/>
      <c r="L147" s="506"/>
      <c r="M147" s="491"/>
      <c r="N147" s="491"/>
      <c r="O147" s="491"/>
      <c r="P147" s="491"/>
      <c r="Q147" s="491"/>
      <c r="R147" s="491"/>
      <c r="S147" s="491"/>
      <c r="T147" s="491"/>
      <c r="U147" s="491"/>
      <c r="V147" s="491"/>
      <c r="W147" s="491"/>
      <c r="X147" s="491"/>
      <c r="Y147" s="491"/>
      <c r="Z147" s="491"/>
      <c r="AA147" s="491"/>
      <c r="AB147" s="491"/>
      <c r="AC147" s="491"/>
    </row>
    <row r="148" spans="1:29">
      <c r="A148" s="491"/>
      <c r="B148" s="491"/>
      <c r="C148" s="491"/>
      <c r="D148" s="491"/>
      <c r="E148" s="491"/>
      <c r="F148" s="491"/>
      <c r="G148" s="491"/>
      <c r="H148" s="491"/>
      <c r="I148" s="491"/>
      <c r="J148" s="491"/>
      <c r="K148" s="505"/>
      <c r="L148" s="506"/>
      <c r="M148" s="491"/>
      <c r="N148" s="491"/>
      <c r="O148" s="491"/>
      <c r="P148" s="491"/>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491"/>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491"/>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491"/>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491"/>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491"/>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491"/>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491"/>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491"/>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491"/>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491"/>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491"/>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491"/>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491"/>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491"/>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491"/>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491"/>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491"/>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491"/>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491"/>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491"/>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491"/>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491"/>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491"/>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491"/>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491"/>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491"/>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491"/>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491"/>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491"/>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491"/>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491"/>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491"/>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491"/>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491"/>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491"/>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491"/>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491"/>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491"/>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491"/>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491"/>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491"/>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491"/>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491"/>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491"/>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491"/>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491"/>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491"/>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491"/>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491"/>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491"/>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491"/>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491"/>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491"/>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491"/>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491"/>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491"/>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491"/>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491"/>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491"/>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491"/>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491"/>
      <c r="Q209" s="491"/>
      <c r="R209" s="491"/>
      <c r="S209" s="491"/>
      <c r="T209" s="491"/>
      <c r="U209" s="491"/>
      <c r="V209" s="491"/>
      <c r="W209" s="491"/>
      <c r="X209" s="491"/>
      <c r="Y209" s="491"/>
      <c r="Z209" s="491"/>
      <c r="AA209" s="491"/>
      <c r="AB209" s="491"/>
      <c r="AC209" s="491"/>
    </row>
    <row r="210" spans="1:29">
      <c r="A210" s="491"/>
      <c r="B210" s="491"/>
      <c r="C210" s="491"/>
      <c r="D210" s="491"/>
      <c r="E210" s="491"/>
      <c r="F210" s="491"/>
      <c r="G210" s="491"/>
      <c r="H210" s="491"/>
      <c r="I210" s="491"/>
      <c r="J210" s="491"/>
      <c r="K210" s="505"/>
      <c r="L210" s="506"/>
      <c r="M210" s="491"/>
      <c r="N210" s="491"/>
      <c r="O210" s="491"/>
      <c r="P210" s="491"/>
      <c r="Q210" s="491"/>
      <c r="R210" s="491"/>
      <c r="S210" s="491"/>
      <c r="T210" s="491"/>
      <c r="U210" s="491"/>
      <c r="V210" s="491"/>
      <c r="W210" s="491"/>
      <c r="X210" s="491"/>
      <c r="Y210" s="491"/>
      <c r="Z210" s="491"/>
      <c r="AA210" s="491"/>
      <c r="AB210" s="491"/>
      <c r="AC210" s="491"/>
    </row>
    <row r="211" spans="1:29">
      <c r="A211" s="491"/>
      <c r="B211" s="491"/>
      <c r="C211" s="491"/>
      <c r="D211" s="491"/>
      <c r="E211" s="491"/>
      <c r="F211" s="491"/>
      <c r="G211" s="491"/>
      <c r="H211" s="491"/>
      <c r="I211" s="491"/>
      <c r="J211" s="491"/>
      <c r="K211" s="505"/>
      <c r="L211" s="506"/>
      <c r="M211" s="491"/>
      <c r="N211" s="491"/>
      <c r="O211" s="491"/>
      <c r="P211" s="491"/>
      <c r="Q211" s="491"/>
      <c r="R211" s="491"/>
      <c r="S211" s="491"/>
      <c r="T211" s="491"/>
      <c r="U211" s="491"/>
      <c r="V211" s="491"/>
      <c r="W211" s="491"/>
      <c r="X211" s="491"/>
      <c r="Y211" s="491"/>
      <c r="Z211" s="491"/>
      <c r="AA211" s="491"/>
      <c r="AB211" s="491"/>
      <c r="AC211" s="491"/>
    </row>
    <row r="212" spans="1:29">
      <c r="A212" s="491"/>
      <c r="B212" s="491"/>
      <c r="C212" s="491"/>
      <c r="D212" s="491"/>
      <c r="E212" s="491"/>
      <c r="F212" s="491"/>
      <c r="G212" s="491"/>
      <c r="H212" s="491"/>
      <c r="I212" s="491"/>
      <c r="J212" s="491"/>
      <c r="K212" s="505"/>
      <c r="L212" s="506"/>
      <c r="M212" s="491"/>
      <c r="N212" s="491"/>
      <c r="O212" s="491"/>
      <c r="P212" s="491"/>
      <c r="Q212" s="491"/>
      <c r="R212" s="491"/>
      <c r="S212" s="491"/>
      <c r="T212" s="491"/>
      <c r="U212" s="491"/>
      <c r="V212" s="491"/>
      <c r="W212" s="491"/>
      <c r="X212" s="491"/>
      <c r="Y212" s="491"/>
      <c r="Z212" s="491"/>
      <c r="AA212" s="491"/>
      <c r="AB212" s="491"/>
      <c r="AC212" s="491"/>
    </row>
    <row r="213" spans="1:29">
      <c r="A213" s="491"/>
      <c r="B213" s="491"/>
      <c r="C213" s="491"/>
      <c r="D213" s="491"/>
      <c r="E213" s="491"/>
      <c r="F213" s="491"/>
      <c r="G213" s="491"/>
      <c r="H213" s="491"/>
      <c r="I213" s="491"/>
      <c r="J213" s="491"/>
      <c r="K213" s="505"/>
      <c r="L213" s="506"/>
      <c r="M213" s="491"/>
      <c r="N213" s="491"/>
      <c r="O213" s="491"/>
      <c r="P213" s="491"/>
      <c r="Q213" s="491"/>
      <c r="R213" s="491"/>
      <c r="S213" s="491"/>
      <c r="T213" s="491"/>
      <c r="U213" s="491"/>
      <c r="V213" s="491"/>
      <c r="W213" s="491"/>
      <c r="X213" s="491"/>
      <c r="Y213" s="491"/>
      <c r="Z213" s="491"/>
      <c r="AA213" s="491"/>
      <c r="AB213" s="491"/>
      <c r="AC213" s="491"/>
    </row>
    <row r="214" spans="1:29">
      <c r="A214" s="491"/>
      <c r="B214" s="491"/>
      <c r="C214" s="491"/>
      <c r="D214" s="491"/>
      <c r="E214" s="491"/>
      <c r="F214" s="491"/>
      <c r="G214" s="491"/>
      <c r="H214" s="491"/>
      <c r="I214" s="491"/>
      <c r="J214" s="491"/>
      <c r="K214" s="505"/>
      <c r="L214" s="506"/>
      <c r="M214" s="491"/>
      <c r="N214" s="491"/>
      <c r="O214" s="491"/>
      <c r="P214" s="491"/>
      <c r="Q214" s="491"/>
      <c r="R214" s="491"/>
      <c r="S214" s="491"/>
      <c r="T214" s="491"/>
      <c r="U214" s="491"/>
      <c r="V214" s="491"/>
      <c r="W214" s="491"/>
      <c r="X214" s="491"/>
      <c r="Y214" s="491"/>
      <c r="Z214" s="491"/>
      <c r="AA214" s="491"/>
      <c r="AB214" s="491"/>
      <c r="AC214" s="491"/>
    </row>
    <row r="215" spans="1:29">
      <c r="A215" s="491"/>
      <c r="B215" s="491"/>
      <c r="C215" s="491"/>
      <c r="D215" s="491"/>
      <c r="E215" s="491"/>
      <c r="F215" s="491"/>
      <c r="G215" s="491"/>
      <c r="H215" s="491"/>
      <c r="I215" s="491"/>
      <c r="J215" s="491"/>
      <c r="K215" s="505"/>
      <c r="L215" s="506"/>
      <c r="M215" s="491"/>
      <c r="N215" s="491"/>
      <c r="O215" s="491"/>
      <c r="P215" s="491"/>
      <c r="Q215" s="491"/>
      <c r="R215" s="491"/>
      <c r="S215" s="491"/>
      <c r="T215" s="491"/>
      <c r="U215" s="491"/>
      <c r="V215" s="491"/>
      <c r="W215" s="491"/>
      <c r="X215" s="491"/>
      <c r="Y215" s="491"/>
      <c r="Z215" s="491"/>
      <c r="AA215" s="491"/>
      <c r="AB215" s="491"/>
      <c r="AC215" s="491"/>
    </row>
    <row r="216" spans="1:29">
      <c r="A216" s="491"/>
      <c r="B216" s="491"/>
      <c r="C216" s="491"/>
      <c r="D216" s="491"/>
      <c r="E216" s="491"/>
      <c r="F216" s="491"/>
      <c r="G216" s="491"/>
      <c r="H216" s="491"/>
      <c r="I216" s="491"/>
      <c r="J216" s="491"/>
      <c r="K216" s="505"/>
      <c r="L216" s="506"/>
      <c r="M216" s="491"/>
      <c r="N216" s="491"/>
      <c r="O216" s="491"/>
      <c r="P216" s="491"/>
      <c r="Q216" s="491"/>
      <c r="R216" s="491"/>
      <c r="S216" s="491"/>
      <c r="T216" s="491"/>
      <c r="U216" s="491"/>
      <c r="V216" s="491"/>
      <c r="W216" s="491"/>
      <c r="X216" s="491"/>
      <c r="Y216" s="491"/>
      <c r="Z216" s="491"/>
      <c r="AA216" s="491"/>
      <c r="AB216" s="491"/>
      <c r="AC216" s="491"/>
    </row>
    <row r="217" spans="1:29">
      <c r="A217" s="491"/>
      <c r="B217" s="491"/>
      <c r="C217" s="491"/>
      <c r="D217" s="491"/>
      <c r="E217" s="491"/>
      <c r="F217" s="491"/>
      <c r="G217" s="491"/>
      <c r="H217" s="491"/>
      <c r="I217" s="491"/>
      <c r="J217" s="491"/>
      <c r="K217" s="505"/>
      <c r="L217" s="506"/>
      <c r="M217" s="491"/>
      <c r="N217" s="491"/>
      <c r="O217" s="491"/>
      <c r="P217" s="491"/>
      <c r="Q217" s="491"/>
      <c r="R217" s="491"/>
      <c r="S217" s="491"/>
      <c r="T217" s="491"/>
      <c r="U217" s="491"/>
      <c r="V217" s="491"/>
      <c r="W217" s="491"/>
      <c r="X217" s="491"/>
      <c r="Y217" s="491"/>
      <c r="Z217" s="491"/>
      <c r="AA217" s="491"/>
      <c r="AB217" s="491"/>
      <c r="AC217" s="491"/>
    </row>
    <row r="218" spans="1:29">
      <c r="A218" s="491"/>
      <c r="B218" s="491"/>
      <c r="C218" s="491"/>
      <c r="D218" s="491"/>
      <c r="E218" s="491"/>
      <c r="F218" s="491"/>
      <c r="G218" s="491"/>
      <c r="H218" s="491"/>
      <c r="I218" s="491"/>
      <c r="J218" s="491"/>
      <c r="K218" s="505"/>
      <c r="L218" s="506"/>
      <c r="M218" s="491"/>
      <c r="N218" s="491"/>
      <c r="O218" s="491"/>
      <c r="P218" s="491"/>
      <c r="Q218" s="491"/>
      <c r="R218" s="491"/>
      <c r="S218" s="491"/>
      <c r="T218" s="491"/>
      <c r="U218" s="491"/>
      <c r="V218" s="491"/>
      <c r="W218" s="491"/>
      <c r="X218" s="491"/>
      <c r="Y218" s="491"/>
      <c r="Z218" s="491"/>
      <c r="AA218" s="491"/>
      <c r="AB218" s="491"/>
      <c r="AC218" s="491"/>
    </row>
    <row r="219" spans="1:29">
      <c r="A219" s="491"/>
      <c r="B219" s="491"/>
      <c r="C219" s="491"/>
      <c r="D219" s="491"/>
      <c r="E219" s="491"/>
      <c r="F219" s="491"/>
      <c r="G219" s="491"/>
      <c r="H219" s="491"/>
      <c r="I219" s="491"/>
      <c r="J219" s="491"/>
      <c r="K219" s="505"/>
      <c r="L219" s="506"/>
      <c r="M219" s="491"/>
      <c r="N219" s="491"/>
      <c r="O219" s="491"/>
      <c r="P219" s="491"/>
      <c r="Q219" s="491"/>
      <c r="R219" s="491"/>
      <c r="S219" s="491"/>
      <c r="T219" s="491"/>
      <c r="U219" s="491"/>
      <c r="V219" s="491"/>
      <c r="W219" s="491"/>
      <c r="X219" s="491"/>
      <c r="Y219" s="491"/>
      <c r="Z219" s="491"/>
      <c r="AA219" s="491"/>
      <c r="AB219" s="491"/>
      <c r="AC219" s="491"/>
    </row>
    <row r="220" spans="1:29">
      <c r="A220" s="491"/>
      <c r="B220" s="491"/>
      <c r="C220" s="491"/>
      <c r="D220" s="491"/>
      <c r="E220" s="491"/>
      <c r="F220" s="491"/>
      <c r="G220" s="491"/>
      <c r="H220" s="491"/>
      <c r="I220" s="491"/>
      <c r="J220" s="491"/>
      <c r="K220" s="505"/>
      <c r="L220" s="506"/>
      <c r="M220" s="491"/>
      <c r="N220" s="491"/>
      <c r="O220" s="491"/>
      <c r="P220" s="491"/>
      <c r="Q220" s="491"/>
      <c r="R220" s="491"/>
      <c r="S220" s="491"/>
      <c r="T220" s="491"/>
      <c r="U220" s="491"/>
      <c r="V220" s="491"/>
      <c r="W220" s="491"/>
      <c r="X220" s="491"/>
      <c r="Y220" s="491"/>
      <c r="Z220" s="491"/>
      <c r="AA220" s="491"/>
      <c r="AB220" s="491"/>
      <c r="AC220" s="491"/>
    </row>
    <row r="221" spans="1:29">
      <c r="A221" s="491"/>
      <c r="B221" s="491"/>
      <c r="C221" s="491"/>
      <c r="D221" s="491"/>
      <c r="E221" s="491"/>
      <c r="F221" s="491"/>
      <c r="G221" s="491"/>
      <c r="H221" s="491"/>
      <c r="I221" s="491"/>
      <c r="J221" s="491"/>
      <c r="K221" s="505"/>
      <c r="L221" s="506"/>
      <c r="M221" s="491"/>
      <c r="N221" s="491"/>
      <c r="O221" s="491"/>
      <c r="P221" s="491"/>
      <c r="Q221" s="491"/>
      <c r="R221" s="491"/>
      <c r="S221" s="491"/>
      <c r="T221" s="491"/>
      <c r="U221" s="491"/>
      <c r="V221" s="491"/>
      <c r="W221" s="491"/>
      <c r="X221" s="491"/>
      <c r="Y221" s="491"/>
      <c r="Z221" s="491"/>
      <c r="AA221" s="491"/>
      <c r="AB221" s="491"/>
      <c r="AC221" s="491"/>
    </row>
    <row r="222" spans="1:29">
      <c r="A222" s="491"/>
      <c r="B222" s="491"/>
      <c r="C222" s="491"/>
      <c r="D222" s="491"/>
      <c r="E222" s="491"/>
      <c r="F222" s="491"/>
      <c r="G222" s="491"/>
      <c r="H222" s="491"/>
      <c r="I222" s="491"/>
      <c r="J222" s="491"/>
      <c r="K222" s="505"/>
      <c r="L222" s="506"/>
      <c r="M222" s="491"/>
      <c r="N222" s="491"/>
      <c r="O222" s="491"/>
      <c r="P222" s="491"/>
      <c r="Q222" s="491"/>
      <c r="R222" s="491"/>
      <c r="S222" s="491"/>
      <c r="T222" s="491"/>
      <c r="U222" s="491"/>
      <c r="V222" s="491"/>
      <c r="W222" s="491"/>
      <c r="X222" s="491"/>
      <c r="Y222" s="491"/>
      <c r="Z222" s="491"/>
      <c r="AA222" s="491"/>
      <c r="AB222" s="491"/>
      <c r="AC222" s="491"/>
    </row>
    <row r="223" spans="1:29">
      <c r="A223" s="491"/>
      <c r="B223" s="491"/>
      <c r="C223" s="491"/>
      <c r="D223" s="491"/>
      <c r="E223" s="491"/>
      <c r="F223" s="491"/>
      <c r="G223" s="491"/>
      <c r="H223" s="491"/>
      <c r="I223" s="491"/>
      <c r="J223" s="491"/>
      <c r="K223" s="505"/>
      <c r="L223" s="506"/>
      <c r="M223" s="491"/>
      <c r="N223" s="491"/>
      <c r="O223" s="491"/>
      <c r="P223" s="491"/>
      <c r="Q223" s="491"/>
      <c r="R223" s="491"/>
      <c r="S223" s="491"/>
      <c r="T223" s="491"/>
      <c r="U223" s="491"/>
      <c r="V223" s="491"/>
      <c r="W223" s="491"/>
      <c r="X223" s="491"/>
      <c r="Y223" s="491"/>
      <c r="Z223" s="491"/>
      <c r="AA223" s="491"/>
      <c r="AB223" s="491"/>
      <c r="AC223" s="491"/>
    </row>
    <row r="224" spans="1:29">
      <c r="A224" s="491"/>
      <c r="B224" s="491"/>
      <c r="C224" s="491"/>
      <c r="D224" s="491"/>
      <c r="E224" s="491"/>
      <c r="F224" s="491"/>
      <c r="G224" s="491"/>
      <c r="H224" s="491"/>
      <c r="I224" s="491"/>
      <c r="J224" s="491"/>
      <c r="K224" s="505"/>
      <c r="L224" s="506"/>
      <c r="M224" s="491"/>
      <c r="N224" s="491"/>
      <c r="O224" s="491"/>
      <c r="P224" s="491"/>
      <c r="Q224" s="491"/>
      <c r="R224" s="491"/>
      <c r="S224" s="491"/>
      <c r="T224" s="491"/>
      <c r="U224" s="491"/>
      <c r="V224" s="491"/>
      <c r="W224" s="491"/>
      <c r="X224" s="491"/>
      <c r="Y224" s="491"/>
      <c r="Z224" s="491"/>
      <c r="AA224" s="491"/>
      <c r="AB224" s="491"/>
      <c r="AC224" s="491"/>
    </row>
    <row r="225" spans="1:29">
      <c r="A225" s="491"/>
      <c r="B225" s="491"/>
      <c r="C225" s="491"/>
      <c r="D225" s="491"/>
      <c r="E225" s="491"/>
      <c r="F225" s="491"/>
      <c r="G225" s="491"/>
      <c r="H225" s="491"/>
      <c r="I225" s="491"/>
      <c r="J225" s="491"/>
      <c r="K225" s="505"/>
      <c r="L225" s="506"/>
      <c r="M225" s="491"/>
      <c r="N225" s="491"/>
      <c r="O225" s="491"/>
      <c r="P225" s="491"/>
      <c r="Q225" s="491"/>
      <c r="R225" s="491"/>
      <c r="S225" s="491"/>
      <c r="T225" s="491"/>
      <c r="U225" s="491"/>
      <c r="V225" s="491"/>
      <c r="W225" s="491"/>
      <c r="X225" s="491"/>
      <c r="Y225" s="491"/>
      <c r="Z225" s="491"/>
      <c r="AA225" s="491"/>
      <c r="AB225" s="491"/>
      <c r="AC225" s="491"/>
    </row>
    <row r="226" spans="1:29">
      <c r="A226" s="491"/>
      <c r="B226" s="491"/>
      <c r="C226" s="491"/>
      <c r="D226" s="491"/>
      <c r="E226" s="491"/>
      <c r="F226" s="491"/>
      <c r="G226" s="491"/>
      <c r="H226" s="491"/>
      <c r="I226" s="491"/>
      <c r="J226" s="491"/>
      <c r="K226" s="505"/>
      <c r="L226" s="506"/>
      <c r="M226" s="491"/>
      <c r="N226" s="491"/>
      <c r="O226" s="491"/>
      <c r="P226" s="491"/>
      <c r="Q226" s="491"/>
      <c r="R226" s="491"/>
      <c r="S226" s="491"/>
      <c r="T226" s="491"/>
      <c r="U226" s="491"/>
      <c r="V226" s="491"/>
      <c r="W226" s="491"/>
      <c r="X226" s="491"/>
      <c r="Y226" s="491"/>
      <c r="Z226" s="491"/>
      <c r="AA226" s="491"/>
      <c r="AB226" s="491"/>
      <c r="AC226" s="491"/>
    </row>
    <row r="227" spans="1:29">
      <c r="A227" s="491"/>
      <c r="B227" s="491"/>
      <c r="C227" s="491"/>
      <c r="D227" s="491"/>
      <c r="E227" s="491"/>
      <c r="F227" s="491"/>
      <c r="G227" s="491"/>
      <c r="H227" s="491"/>
      <c r="I227" s="491"/>
      <c r="J227" s="491"/>
      <c r="K227" s="505"/>
      <c r="L227" s="506"/>
      <c r="M227" s="491"/>
      <c r="N227" s="491"/>
      <c r="O227" s="491"/>
      <c r="P227" s="491"/>
      <c r="Q227" s="491"/>
      <c r="R227" s="491"/>
      <c r="S227" s="491"/>
      <c r="T227" s="491"/>
      <c r="U227" s="491"/>
      <c r="V227" s="491"/>
      <c r="W227" s="491"/>
      <c r="X227" s="491"/>
      <c r="Y227" s="491"/>
      <c r="Z227" s="491"/>
      <c r="AA227" s="491"/>
      <c r="AB227" s="491"/>
      <c r="AC227" s="491"/>
    </row>
    <row r="228" spans="1:29">
      <c r="A228" s="491"/>
      <c r="B228" s="491"/>
      <c r="C228" s="491"/>
      <c r="D228" s="491"/>
      <c r="E228" s="491"/>
      <c r="F228" s="491"/>
      <c r="G228" s="491"/>
      <c r="H228" s="491"/>
      <c r="I228" s="491"/>
      <c r="J228" s="491"/>
      <c r="K228" s="505"/>
      <c r="L228" s="506"/>
      <c r="M228" s="491"/>
      <c r="N228" s="491"/>
      <c r="O228" s="491"/>
      <c r="P228" s="491"/>
      <c r="Q228" s="491"/>
      <c r="R228" s="491"/>
      <c r="S228" s="491"/>
      <c r="T228" s="491"/>
      <c r="U228" s="491"/>
      <c r="V228" s="491"/>
      <c r="W228" s="491"/>
      <c r="X228" s="491"/>
      <c r="Y228" s="491"/>
      <c r="Z228" s="491"/>
      <c r="AA228" s="491"/>
      <c r="AB228" s="491"/>
      <c r="AC228" s="491"/>
    </row>
    <row r="229" spans="1:29">
      <c r="A229" s="491"/>
      <c r="B229" s="491"/>
      <c r="C229" s="491"/>
      <c r="D229" s="491"/>
      <c r="E229" s="491"/>
      <c r="F229" s="491"/>
      <c r="G229" s="491"/>
      <c r="H229" s="491"/>
      <c r="I229" s="491"/>
      <c r="J229" s="491"/>
      <c r="K229" s="505"/>
      <c r="L229" s="506"/>
      <c r="M229" s="491"/>
      <c r="N229" s="491"/>
      <c r="O229" s="491"/>
      <c r="P229" s="491"/>
      <c r="Q229" s="491"/>
      <c r="R229" s="491"/>
      <c r="S229" s="491"/>
      <c r="T229" s="491"/>
      <c r="U229" s="491"/>
      <c r="V229" s="491"/>
      <c r="W229" s="491"/>
      <c r="X229" s="491"/>
      <c r="Y229" s="491"/>
      <c r="Z229" s="491"/>
      <c r="AA229" s="491"/>
      <c r="AB229" s="491"/>
      <c r="AC229" s="491"/>
    </row>
    <row r="230" spans="1:29">
      <c r="A230" s="491"/>
      <c r="B230" s="491"/>
      <c r="C230" s="491"/>
      <c r="D230" s="491"/>
      <c r="E230" s="491"/>
      <c r="F230" s="491"/>
      <c r="G230" s="491"/>
      <c r="H230" s="491"/>
      <c r="I230" s="491"/>
      <c r="J230" s="491"/>
      <c r="K230" s="505"/>
      <c r="L230" s="506"/>
      <c r="M230" s="491"/>
      <c r="N230" s="491"/>
      <c r="O230" s="491"/>
      <c r="P230" s="491"/>
      <c r="Q230" s="491"/>
      <c r="R230" s="491"/>
      <c r="S230" s="491"/>
      <c r="T230" s="491"/>
      <c r="U230" s="491"/>
      <c r="V230" s="491"/>
      <c r="W230" s="491"/>
      <c r="X230" s="491"/>
      <c r="Y230" s="491"/>
      <c r="Z230" s="491"/>
      <c r="AA230" s="491"/>
      <c r="AB230" s="491"/>
      <c r="AC230" s="491"/>
    </row>
    <row r="231" spans="1:29">
      <c r="A231" s="491"/>
      <c r="B231" s="491"/>
      <c r="C231" s="491"/>
      <c r="D231" s="491"/>
      <c r="E231" s="491"/>
      <c r="F231" s="491"/>
      <c r="G231" s="491"/>
      <c r="H231" s="491"/>
      <c r="I231" s="491"/>
      <c r="J231" s="491"/>
      <c r="K231" s="505"/>
      <c r="L231" s="506"/>
      <c r="M231" s="491"/>
      <c r="N231" s="491"/>
      <c r="O231" s="491"/>
      <c r="P231" s="491"/>
      <c r="Q231" s="491"/>
      <c r="R231" s="491"/>
      <c r="S231" s="491"/>
      <c r="T231" s="491"/>
      <c r="U231" s="491"/>
      <c r="V231" s="491"/>
      <c r="W231" s="491"/>
      <c r="X231" s="491"/>
      <c r="Y231" s="491"/>
      <c r="Z231" s="491"/>
      <c r="AA231" s="491"/>
      <c r="AB231" s="491"/>
      <c r="AC231" s="491"/>
    </row>
    <row r="232" spans="1:29">
      <c r="A232" s="491"/>
      <c r="B232" s="491"/>
      <c r="C232" s="491"/>
      <c r="D232" s="491"/>
      <c r="E232" s="491"/>
      <c r="F232" s="491"/>
      <c r="G232" s="491"/>
      <c r="H232" s="491"/>
      <c r="I232" s="491"/>
      <c r="J232" s="491"/>
      <c r="K232" s="505"/>
      <c r="L232" s="506"/>
      <c r="M232" s="491"/>
      <c r="N232" s="491"/>
      <c r="O232" s="491"/>
      <c r="P232" s="491"/>
      <c r="Q232" s="491"/>
      <c r="R232" s="491"/>
      <c r="S232" s="491"/>
      <c r="T232" s="491"/>
      <c r="U232" s="491"/>
      <c r="V232" s="491"/>
      <c r="W232" s="491"/>
      <c r="X232" s="491"/>
      <c r="Y232" s="491"/>
      <c r="Z232" s="491"/>
      <c r="AA232" s="491"/>
      <c r="AB232" s="491"/>
      <c r="AC232" s="491"/>
    </row>
    <row r="233" spans="1:29">
      <c r="A233" s="491"/>
      <c r="B233" s="491"/>
      <c r="C233" s="491"/>
      <c r="D233" s="491"/>
      <c r="E233" s="491"/>
      <c r="F233" s="491"/>
      <c r="G233" s="491"/>
      <c r="H233" s="491"/>
      <c r="I233" s="491"/>
      <c r="J233" s="491"/>
      <c r="K233" s="505"/>
      <c r="L233" s="506"/>
      <c r="M233" s="491"/>
      <c r="N233" s="491"/>
      <c r="O233" s="491"/>
      <c r="P233" s="491"/>
      <c r="Q233" s="491"/>
      <c r="R233" s="491"/>
      <c r="S233" s="491"/>
      <c r="T233" s="491"/>
      <c r="U233" s="491"/>
      <c r="V233" s="491"/>
      <c r="W233" s="491"/>
      <c r="X233" s="491"/>
      <c r="Y233" s="491"/>
      <c r="Z233" s="491"/>
      <c r="AA233" s="491"/>
      <c r="AB233" s="491"/>
      <c r="AC233" s="491"/>
    </row>
    <row r="234" spans="1:29">
      <c r="A234" s="491"/>
      <c r="B234" s="491"/>
      <c r="C234" s="491"/>
      <c r="D234" s="491"/>
      <c r="E234" s="491"/>
      <c r="F234" s="491"/>
      <c r="G234" s="491"/>
      <c r="H234" s="491"/>
      <c r="I234" s="491"/>
      <c r="J234" s="491"/>
      <c r="K234" s="505"/>
      <c r="L234" s="506"/>
      <c r="M234" s="491"/>
      <c r="N234" s="491"/>
      <c r="O234" s="491"/>
      <c r="P234" s="491"/>
      <c r="Q234" s="491"/>
      <c r="R234" s="491"/>
      <c r="S234" s="491"/>
      <c r="T234" s="491"/>
      <c r="U234" s="491"/>
      <c r="V234" s="491"/>
      <c r="W234" s="491"/>
      <c r="X234" s="491"/>
      <c r="Y234" s="491"/>
      <c r="Z234" s="491"/>
      <c r="AA234" s="491"/>
      <c r="AB234" s="491"/>
      <c r="AC234" s="491"/>
    </row>
    <row r="235" spans="1:29">
      <c r="A235" s="491"/>
      <c r="B235" s="491"/>
      <c r="C235" s="491"/>
      <c r="D235" s="491"/>
      <c r="E235" s="491"/>
      <c r="F235" s="491"/>
      <c r="G235" s="491"/>
      <c r="H235" s="491"/>
      <c r="I235" s="491"/>
      <c r="J235" s="491"/>
      <c r="K235" s="505"/>
      <c r="L235" s="506"/>
      <c r="M235" s="491"/>
      <c r="N235" s="491"/>
      <c r="O235" s="491"/>
      <c r="P235" s="491"/>
      <c r="Q235" s="491"/>
      <c r="R235" s="491"/>
      <c r="S235" s="491"/>
      <c r="T235" s="491"/>
      <c r="U235" s="491"/>
      <c r="V235" s="491"/>
      <c r="W235" s="491"/>
      <c r="X235" s="491"/>
      <c r="Y235" s="491"/>
      <c r="Z235" s="491"/>
      <c r="AA235" s="491"/>
      <c r="AB235" s="491"/>
      <c r="AC235" s="49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7" priority="4">
      <formula>$D$38="简单平均"</formula>
    </cfRule>
  </conditionalFormatting>
  <conditionalFormatting sqref="H38">
    <cfRule type="expression" dxfId="7" priority="3">
      <formula>$D$38="简单平均"</formula>
    </cfRule>
  </conditionalFormatting>
  <conditionalFormatting sqref="J38">
    <cfRule type="expression" dxfId="7" priority="2">
      <formula>$D$38="简单平均"</formula>
    </cfRule>
  </conditionalFormatting>
  <conditionalFormatting sqref="E42">
    <cfRule type="expression" dxfId="10" priority="13" stopIfTrue="1">
      <formula>$F$42="超过30%"</formula>
    </cfRule>
  </conditionalFormatting>
  <conditionalFormatting sqref="G42">
    <cfRule type="expression" dxfId="10" priority="9" stopIfTrue="1">
      <formula>$H$52+$H$42="超过30%"</formula>
    </cfRule>
  </conditionalFormatting>
  <conditionalFormatting sqref="I42">
    <cfRule type="expression" dxfId="10" priority="7" stopIfTrue="1">
      <formula>$J$52+$J$42="超过30%"</formula>
    </cfRule>
  </conditionalFormatting>
  <conditionalFormatting sqref="E43">
    <cfRule type="expression" dxfId="10" priority="11" stopIfTrue="1">
      <formula>$F$43="超过20%"</formula>
    </cfRule>
  </conditionalFormatting>
  <conditionalFormatting sqref="G43">
    <cfRule type="expression" dxfId="10" priority="8" stopIfTrue="1">
      <formula>$H$43="超过20%"</formula>
    </cfRule>
  </conditionalFormatting>
  <conditionalFormatting sqref="I43">
    <cfRule type="expression" dxfId="10" priority="6" stopIfTrue="1">
      <formula>$J$53+$J$43="超过20%"</formula>
    </cfRule>
  </conditionalFormatting>
  <conditionalFormatting sqref="E44">
    <cfRule type="expression" dxfId="10" priority="10" stopIfTrue="1">
      <formula>$F$44="超过30%"</formula>
    </cfRule>
  </conditionalFormatting>
  <conditionalFormatting sqref="G44">
    <cfRule type="expression" dxfId="10" priority="12" stopIfTrue="1">
      <formula>$H$54+$H$44="超过30%"</formula>
    </cfRule>
  </conditionalFormatting>
  <conditionalFormatting sqref="I44">
    <cfRule type="expression" dxfId="10" priority="5" stopIfTrue="1">
      <formula>$J$44="超过30%"</formula>
    </cfRule>
  </conditionalFormatting>
  <conditionalFormatting sqref="F7:F36 H7:H36 J7:J36">
    <cfRule type="cellIs" dxfId="11" priority="1" operator="notEqual">
      <formula>100</formula>
    </cfRule>
  </conditionalFormatting>
  <conditionalFormatting sqref="F42:F44 H42:H44 J42:J44">
    <cfRule type="containsText" dxfId="12" priority="14" stopIfTrue="1" operator="between" text="超过">
      <formula>NOT(ISERROR(SEARCH("超过",F42)))</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C209"/>
  <sheetViews>
    <sheetView view="pageBreakPreview" zoomScale="60" zoomScaleNormal="60" workbookViewId="0">
      <selection activeCell="F7" sqref="F7:F40"/>
    </sheetView>
  </sheetViews>
  <sheetFormatPr defaultColWidth="9" defaultRowHeight="14.25"/>
  <cols>
    <col min="1" max="1" width="10.45" style="194" customWidth="1"/>
    <col min="2" max="2" width="15.725" style="194" customWidth="1"/>
    <col min="3" max="3" width="14.3666666666667" style="194" customWidth="1"/>
    <col min="4" max="4" width="12.2666666666667" style="194" customWidth="1"/>
    <col min="5" max="5" width="14.3666666666667" style="194" customWidth="1"/>
    <col min="6" max="6" width="12.2666666666667" style="194" customWidth="1"/>
    <col min="7" max="7" width="14.45" style="194" customWidth="1"/>
    <col min="8" max="8" width="12.2666666666667" style="194" customWidth="1"/>
    <col min="9" max="9" width="14.45" style="194" customWidth="1"/>
    <col min="10" max="10" width="12.2666666666667" style="194" customWidth="1"/>
    <col min="11" max="11" width="12.2666666666667" style="195" customWidth="1"/>
    <col min="12" max="12" width="12.2666666666667" style="196" customWidth="1"/>
    <col min="13" max="15" width="12.2666666666667" style="194" customWidth="1"/>
    <col min="16" max="16" width="4.725" style="194" customWidth="1"/>
    <col min="17" max="17" width="19.45" style="194" customWidth="1"/>
    <col min="18" max="22" width="6.09166666666667" style="194" customWidth="1"/>
    <col min="23" max="23" width="5.725" style="194" customWidth="1"/>
    <col min="24" max="24" width="4.26666666666667" style="194" customWidth="1"/>
    <col min="25" max="25" width="3.45" style="194" customWidth="1"/>
    <col min="26" max="26" width="19.725" style="194" customWidth="1"/>
    <col min="27" max="28" width="9.36666666666667" style="194" customWidth="1"/>
    <col min="29" max="16384" width="9" style="194"/>
  </cols>
  <sheetData>
    <row r="1" s="188" customFormat="1" ht="28.5" customHeight="1" spans="1:29">
      <c r="A1" s="197" t="s">
        <v>2345</v>
      </c>
      <c r="B1" s="198"/>
      <c r="C1" s="199" t="s">
        <v>2347</v>
      </c>
      <c r="D1" s="200"/>
      <c r="E1" s="201"/>
      <c r="F1" s="202"/>
      <c r="G1" s="203" t="s">
        <v>2349</v>
      </c>
      <c r="H1" s="201"/>
      <c r="I1" s="201"/>
      <c r="J1" s="201"/>
      <c r="K1" s="377"/>
      <c r="L1" s="378"/>
      <c r="M1" s="379"/>
      <c r="N1" s="379"/>
      <c r="O1" s="379"/>
      <c r="P1" s="380"/>
      <c r="Q1" s="380"/>
      <c r="R1" s="380"/>
      <c r="S1" s="380"/>
      <c r="T1" s="380"/>
      <c r="U1" s="380"/>
      <c r="V1" s="380"/>
      <c r="W1" s="380"/>
      <c r="X1" s="380"/>
      <c r="Y1" s="380"/>
      <c r="Z1" s="380"/>
      <c r="AA1" s="380"/>
      <c r="AB1" s="380"/>
      <c r="AC1" s="477"/>
    </row>
    <row r="2" s="188" customFormat="1" ht="28.5" customHeight="1" spans="1:29">
      <c r="A2" s="204" t="s">
        <v>919</v>
      </c>
      <c r="B2" s="205" t="e">
        <f>ROUND(B3*D3/10000,0)</f>
        <v>#DIV/0!</v>
      </c>
      <c r="C2" s="206"/>
      <c r="D2" s="206"/>
      <c r="E2" s="207"/>
      <c r="F2" s="208"/>
      <c r="G2" s="207"/>
      <c r="H2" s="207"/>
      <c r="I2" s="207"/>
      <c r="J2" s="207"/>
      <c r="K2" s="381"/>
      <c r="L2" s="382"/>
      <c r="M2" s="380"/>
      <c r="N2" s="380"/>
      <c r="O2" s="380"/>
      <c r="P2" s="380"/>
      <c r="Q2" s="380"/>
      <c r="R2" s="380"/>
      <c r="S2" s="380"/>
      <c r="T2" s="380"/>
      <c r="U2" s="380"/>
      <c r="V2" s="380"/>
      <c r="W2" s="380"/>
      <c r="X2" s="380"/>
      <c r="Y2" s="380"/>
      <c r="Z2" s="380"/>
      <c r="AA2" s="380"/>
      <c r="AB2" s="380"/>
      <c r="AC2" s="477"/>
    </row>
    <row r="3" s="188" customFormat="1" ht="28.5" customHeight="1" spans="1:29">
      <c r="A3" s="209" t="s">
        <v>2350</v>
      </c>
      <c r="B3" s="210" t="e">
        <f>C37</f>
        <v>#DIV/0!</v>
      </c>
      <c r="C3" s="211" t="s">
        <v>2351</v>
      </c>
      <c r="D3" s="212">
        <f>SUMIF('数据-汇总表'!$C19:$C33,D1,'数据-汇总表'!$E19:$E33)</f>
        <v>0</v>
      </c>
      <c r="E3" s="207"/>
      <c r="F3" s="208"/>
      <c r="G3" s="207"/>
      <c r="H3" s="207"/>
      <c r="I3" s="207"/>
      <c r="J3" s="207"/>
      <c r="K3" s="381"/>
      <c r="L3" s="382"/>
      <c r="M3" s="380"/>
      <c r="N3" s="380"/>
      <c r="O3" s="380"/>
      <c r="P3" s="380"/>
      <c r="Q3" s="380"/>
      <c r="R3" s="380"/>
      <c r="S3" s="380"/>
      <c r="T3" s="380"/>
      <c r="U3" s="380"/>
      <c r="V3" s="380"/>
      <c r="W3" s="380"/>
      <c r="X3" s="380"/>
      <c r="Y3" s="380"/>
      <c r="Z3" s="380"/>
      <c r="AA3" s="380"/>
      <c r="AB3" s="478"/>
      <c r="AC3" s="477"/>
    </row>
    <row r="4" ht="15" spans="1:29">
      <c r="A4" s="213" t="s">
        <v>923</v>
      </c>
      <c r="B4" s="214"/>
      <c r="C4" s="215" t="s">
        <v>924</v>
      </c>
      <c r="D4" s="216"/>
      <c r="E4" s="217" t="s">
        <v>925</v>
      </c>
      <c r="F4" s="218"/>
      <c r="G4" s="215" t="s">
        <v>926</v>
      </c>
      <c r="H4" s="216"/>
      <c r="I4" s="215" t="s">
        <v>927</v>
      </c>
      <c r="J4" s="216"/>
      <c r="K4" s="383" t="s">
        <v>928</v>
      </c>
      <c r="L4" s="384"/>
      <c r="M4" s="338"/>
      <c r="N4" s="338"/>
      <c r="O4" s="338"/>
      <c r="P4" s="276" t="s">
        <v>929</v>
      </c>
      <c r="Q4" s="450"/>
      <c r="R4" s="451" t="s">
        <v>925</v>
      </c>
      <c r="S4" s="452"/>
      <c r="T4" s="451" t="s">
        <v>926</v>
      </c>
      <c r="U4" s="452"/>
      <c r="V4" s="453" t="s">
        <v>927</v>
      </c>
      <c r="W4" s="453"/>
      <c r="X4" s="454"/>
      <c r="Y4" s="451" t="s">
        <v>929</v>
      </c>
      <c r="Z4" s="452"/>
      <c r="AA4" s="479" t="s">
        <v>925</v>
      </c>
      <c r="AB4" s="454" t="s">
        <v>926</v>
      </c>
      <c r="AC4" s="479" t="s">
        <v>927</v>
      </c>
    </row>
    <row r="5" ht="15" spans="1:29">
      <c r="A5" s="219"/>
      <c r="B5" s="220"/>
      <c r="C5" s="221" t="s">
        <v>930</v>
      </c>
      <c r="D5" s="222"/>
      <c r="E5" s="223" t="s">
        <v>1099</v>
      </c>
      <c r="F5" s="224"/>
      <c r="G5" s="221" t="s">
        <v>1100</v>
      </c>
      <c r="H5" s="222"/>
      <c r="I5" s="221" t="s">
        <v>1101</v>
      </c>
      <c r="J5" s="222"/>
      <c r="K5" s="383"/>
      <c r="L5" s="384"/>
      <c r="M5" s="338"/>
      <c r="N5" s="338"/>
      <c r="O5" s="338"/>
      <c r="P5" s="282"/>
      <c r="Q5" s="455"/>
      <c r="R5" s="456"/>
      <c r="S5" s="457"/>
      <c r="T5" s="456"/>
      <c r="U5" s="457"/>
      <c r="V5" s="453"/>
      <c r="W5" s="453"/>
      <c r="X5" s="454"/>
      <c r="Y5" s="456"/>
      <c r="Z5" s="457"/>
      <c r="AA5" s="454"/>
      <c r="AB5" s="454"/>
      <c r="AC5" s="454"/>
    </row>
    <row r="6" ht="15.75" spans="1:29">
      <c r="A6" s="225"/>
      <c r="B6" s="226"/>
      <c r="C6" s="227" t="s">
        <v>931</v>
      </c>
      <c r="D6" s="228"/>
      <c r="E6" s="229" t="s">
        <v>931</v>
      </c>
      <c r="F6" s="230"/>
      <c r="G6" s="227" t="s">
        <v>931</v>
      </c>
      <c r="H6" s="228"/>
      <c r="I6" s="227" t="s">
        <v>931</v>
      </c>
      <c r="J6" s="228"/>
      <c r="K6" s="383" t="s">
        <v>932</v>
      </c>
      <c r="L6" s="384"/>
      <c r="M6" s="338"/>
      <c r="N6" s="338"/>
      <c r="O6" s="338"/>
      <c r="P6" s="270"/>
      <c r="Q6" s="458"/>
      <c r="R6" s="456"/>
      <c r="S6" s="457"/>
      <c r="T6" s="459"/>
      <c r="U6" s="460"/>
      <c r="V6" s="453"/>
      <c r="W6" s="453"/>
      <c r="X6" s="454"/>
      <c r="Y6" s="459"/>
      <c r="Z6" s="460"/>
      <c r="AA6" s="480"/>
      <c r="AB6" s="480"/>
      <c r="AC6" s="480"/>
    </row>
    <row r="7" s="189" customFormat="1" ht="15.75" spans="1:29">
      <c r="A7" s="231"/>
      <c r="B7" s="232" t="s">
        <v>933</v>
      </c>
      <c r="C7" s="233">
        <f>'数据-取费表'!B2</f>
        <v>45252</v>
      </c>
      <c r="D7" s="234">
        <v>100</v>
      </c>
      <c r="E7" s="235"/>
      <c r="F7" s="236">
        <f>SUMIF(46:46,YEAR(E7)&amp;"-"&amp;MONTH(E7),47:47)</f>
        <v>0</v>
      </c>
      <c r="G7" s="237"/>
      <c r="H7" s="234">
        <f>SUMIF(46:46,YEAR(G7)&amp;"-"&amp;MONTH(G7),47:47)</f>
        <v>0</v>
      </c>
      <c r="I7" s="237"/>
      <c r="J7" s="234">
        <f>SUMIF(46:46,YEAR(I7)&amp;"-"&amp;MONTH(I7),47:47)</f>
        <v>0</v>
      </c>
      <c r="K7" s="385"/>
      <c r="L7" s="386"/>
      <c r="M7" s="387"/>
      <c r="N7" s="387"/>
      <c r="O7" s="387"/>
      <c r="P7" s="388" t="s">
        <v>934</v>
      </c>
      <c r="Q7" s="461"/>
      <c r="R7" s="462" t="s">
        <v>935</v>
      </c>
      <c r="S7" s="463">
        <f t="shared" ref="S7:S14" si="0">F7</f>
        <v>0</v>
      </c>
      <c r="T7" s="462" t="s">
        <v>935</v>
      </c>
      <c r="U7" s="463">
        <f t="shared" ref="U7:U14" si="1">H7</f>
        <v>0</v>
      </c>
      <c r="V7" s="462" t="s">
        <v>935</v>
      </c>
      <c r="W7" s="463">
        <f t="shared" ref="W7:W14" si="2">J7</f>
        <v>0</v>
      </c>
      <c r="X7" s="464"/>
      <c r="Y7" s="388" t="s">
        <v>934</v>
      </c>
      <c r="Z7" s="465"/>
      <c r="AA7" s="481" t="e">
        <f>D7/F7</f>
        <v>#DIV/0!</v>
      </c>
      <c r="AB7" s="481" t="e">
        <f>D7/H7</f>
        <v>#DIV/0!</v>
      </c>
      <c r="AC7" s="481" t="e">
        <f>D7/J7</f>
        <v>#DIV/0!</v>
      </c>
    </row>
    <row r="8" s="189" customFormat="1" ht="15.75" spans="1:29">
      <c r="A8" s="238"/>
      <c r="B8" s="239" t="s">
        <v>936</v>
      </c>
      <c r="C8" s="240" t="s">
        <v>937</v>
      </c>
      <c r="D8" s="234">
        <v>100</v>
      </c>
      <c r="E8" s="240"/>
      <c r="F8" s="236">
        <f>SUMIF(49:49,E8,50:50)-SUMIF(49:49,C8,50:50)+100</f>
        <v>0</v>
      </c>
      <c r="G8" s="240"/>
      <c r="H8" s="234">
        <f>SUMIF(49:49,G8,50:50)-SUMIF(49:49,C8,50:50)+100</f>
        <v>0</v>
      </c>
      <c r="I8" s="240"/>
      <c r="J8" s="234">
        <f>SUMIF(49:49,I8,50:50)-SUMIF(49:49,C8,50:50)+100</f>
        <v>0</v>
      </c>
      <c r="K8" s="385"/>
      <c r="L8" s="386"/>
      <c r="M8" s="387"/>
      <c r="N8" s="387"/>
      <c r="O8" s="387"/>
      <c r="P8" s="388" t="s">
        <v>939</v>
      </c>
      <c r="Q8" s="465"/>
      <c r="R8" s="462" t="s">
        <v>935</v>
      </c>
      <c r="S8" s="463">
        <f t="shared" si="0"/>
        <v>0</v>
      </c>
      <c r="T8" s="462" t="s">
        <v>935</v>
      </c>
      <c r="U8" s="463">
        <f t="shared" si="1"/>
        <v>0</v>
      </c>
      <c r="V8" s="462" t="s">
        <v>935</v>
      </c>
      <c r="W8" s="463">
        <f t="shared" si="2"/>
        <v>0</v>
      </c>
      <c r="X8" s="464"/>
      <c r="Y8" s="388" t="s">
        <v>939</v>
      </c>
      <c r="Z8" s="465"/>
      <c r="AA8" s="481" t="e">
        <f t="shared" ref="AA8:AA34" si="3">D8/F8</f>
        <v>#DIV/0!</v>
      </c>
      <c r="AB8" s="481" t="e">
        <f t="shared" ref="AB8:AB34" si="4">D8/H8</f>
        <v>#DIV/0!</v>
      </c>
      <c r="AC8" s="481" t="e">
        <f t="shared" ref="AC8:AC34" si="5">D8/J8</f>
        <v>#DIV/0!</v>
      </c>
    </row>
    <row r="9" s="189" customFormat="1" ht="15" spans="1:29">
      <c r="A9" s="241"/>
      <c r="B9" s="242" t="s">
        <v>940</v>
      </c>
      <c r="C9" s="243"/>
      <c r="D9" s="244">
        <v>100</v>
      </c>
      <c r="E9" s="245"/>
      <c r="F9" s="244">
        <f>SUMIF(51:51,E9,52:52)-SUMIF(51:51,C9,52:52)+100</f>
        <v>100</v>
      </c>
      <c r="G9" s="245"/>
      <c r="H9" s="244">
        <f>SUMIF(51:51,G9,52:52)-SUMIF(51:51,C9,52:52)+100</f>
        <v>100</v>
      </c>
      <c r="I9" s="245"/>
      <c r="J9" s="244">
        <f>SUMIF(51:51,I9,52:52)-SUMIF(51:51,C9,52:52)+100</f>
        <v>100</v>
      </c>
      <c r="K9" s="385"/>
      <c r="L9" s="386"/>
      <c r="M9" s="387"/>
      <c r="N9" s="387"/>
      <c r="O9" s="389"/>
      <c r="P9" s="390" t="s">
        <v>941</v>
      </c>
      <c r="Q9" s="466" t="str">
        <f t="shared" ref="Q9:Q14" si="6">B9</f>
        <v>用途</v>
      </c>
      <c r="R9" s="462" t="s">
        <v>935</v>
      </c>
      <c r="S9" s="463">
        <f t="shared" si="0"/>
        <v>100</v>
      </c>
      <c r="T9" s="462" t="s">
        <v>935</v>
      </c>
      <c r="U9" s="463">
        <f t="shared" si="1"/>
        <v>100</v>
      </c>
      <c r="V9" s="462" t="s">
        <v>935</v>
      </c>
      <c r="W9" s="463">
        <f t="shared" si="2"/>
        <v>100</v>
      </c>
      <c r="X9" s="464"/>
      <c r="Y9" s="466" t="s">
        <v>942</v>
      </c>
      <c r="Z9" s="481" t="str">
        <f t="shared" ref="Z9:Z14" si="7">Q9</f>
        <v>用途</v>
      </c>
      <c r="AA9" s="481">
        <f t="shared" si="3"/>
        <v>1</v>
      </c>
      <c r="AB9" s="481">
        <f t="shared" si="4"/>
        <v>1</v>
      </c>
      <c r="AC9" s="481">
        <f t="shared" si="5"/>
        <v>1</v>
      </c>
    </row>
    <row r="10" s="190" customFormat="1" ht="27" spans="1:29">
      <c r="A10" s="246"/>
      <c r="B10" s="239" t="s">
        <v>943</v>
      </c>
      <c r="C10" s="247"/>
      <c r="D10" s="248">
        <v>100</v>
      </c>
      <c r="E10" s="247"/>
      <c r="F10" s="248">
        <f>SUMIF(53:53,E10,54:54)-SUMIF(53:53,C10,54:54)+100</f>
        <v>100</v>
      </c>
      <c r="G10" s="249"/>
      <c r="H10" s="248">
        <f>SUMIF(53:53,G10,54:54)-SUMIF(53:53,C10,54:54)+100</f>
        <v>100</v>
      </c>
      <c r="I10" s="247"/>
      <c r="J10" s="248">
        <f>SUMIF(53:53,I10,54:54)-SUMIF(53:53,C10,54:54)+100</f>
        <v>100</v>
      </c>
      <c r="K10" s="391"/>
      <c r="L10" s="392"/>
      <c r="M10" s="393"/>
      <c r="N10" s="393"/>
      <c r="O10" s="394"/>
      <c r="P10" s="390"/>
      <c r="Q10" s="466" t="str">
        <f t="shared" si="6"/>
        <v>土地使用年限（年）</v>
      </c>
      <c r="R10" s="462" t="s">
        <v>935</v>
      </c>
      <c r="S10" s="463">
        <f t="shared" si="0"/>
        <v>100</v>
      </c>
      <c r="T10" s="462" t="s">
        <v>935</v>
      </c>
      <c r="U10" s="463">
        <f t="shared" si="1"/>
        <v>100</v>
      </c>
      <c r="V10" s="462" t="s">
        <v>935</v>
      </c>
      <c r="W10" s="463">
        <f t="shared" si="2"/>
        <v>100</v>
      </c>
      <c r="X10" s="464"/>
      <c r="Y10" s="466"/>
      <c r="Z10" s="481" t="str">
        <f t="shared" si="7"/>
        <v>土地使用年限（年）</v>
      </c>
      <c r="AA10" s="481">
        <f t="shared" si="3"/>
        <v>1</v>
      </c>
      <c r="AB10" s="481">
        <f t="shared" si="4"/>
        <v>1</v>
      </c>
      <c r="AC10" s="481">
        <f t="shared" si="5"/>
        <v>1</v>
      </c>
    </row>
    <row r="11" ht="15" spans="1:29">
      <c r="A11" s="250"/>
      <c r="B11" s="251">
        <v>111</v>
      </c>
      <c r="C11" s="252"/>
      <c r="D11" s="248">
        <v>100</v>
      </c>
      <c r="E11" s="253"/>
      <c r="F11" s="248">
        <f>SUMIF(55:55,E11,56:56)-SUMIF(55:55,C11,56:56)+100</f>
        <v>100</v>
      </c>
      <c r="G11" s="253"/>
      <c r="H11" s="248">
        <f>SUMIF(55:55,G11,56:56)-SUMIF(55:55,C11,56:56)+100</f>
        <v>100</v>
      </c>
      <c r="I11" s="253"/>
      <c r="J11" s="248">
        <f>SUMIF(55:55,I11,56:56)-SUMIF(55:55,C11,56:56)+100</f>
        <v>100</v>
      </c>
      <c r="K11" s="395"/>
      <c r="L11" s="396"/>
      <c r="M11" s="338"/>
      <c r="N11" s="338"/>
      <c r="O11" s="397"/>
      <c r="P11" s="390"/>
      <c r="Q11" s="466">
        <f t="shared" si="6"/>
        <v>111</v>
      </c>
      <c r="R11" s="462" t="s">
        <v>935</v>
      </c>
      <c r="S11" s="463">
        <f t="shared" si="0"/>
        <v>100</v>
      </c>
      <c r="T11" s="462" t="s">
        <v>935</v>
      </c>
      <c r="U11" s="463">
        <f t="shared" si="1"/>
        <v>100</v>
      </c>
      <c r="V11" s="462" t="s">
        <v>935</v>
      </c>
      <c r="W11" s="463">
        <f t="shared" si="2"/>
        <v>100</v>
      </c>
      <c r="X11" s="464"/>
      <c r="Y11" s="466"/>
      <c r="Z11" s="481">
        <f t="shared" si="7"/>
        <v>111</v>
      </c>
      <c r="AA11" s="481">
        <f t="shared" si="3"/>
        <v>1</v>
      </c>
      <c r="AB11" s="481">
        <f t="shared" si="4"/>
        <v>1</v>
      </c>
      <c r="AC11" s="481">
        <f t="shared" si="5"/>
        <v>1</v>
      </c>
    </row>
    <row r="12" s="189" customFormat="1" ht="15" spans="1:29">
      <c r="A12" s="250"/>
      <c r="B12" s="251">
        <v>111</v>
      </c>
      <c r="C12" s="252"/>
      <c r="D12" s="254">
        <v>100</v>
      </c>
      <c r="E12" s="253"/>
      <c r="F12" s="248">
        <f>SUMIF(57:57,E12,58:58)-SUMIF(57:57,C12,58:58)+100</f>
        <v>100</v>
      </c>
      <c r="G12" s="253"/>
      <c r="H12" s="248">
        <f>SUMIF(57:57,G12,58:58)-SUMIF(57:57,C12,58:58)+100</f>
        <v>100</v>
      </c>
      <c r="I12" s="253"/>
      <c r="J12" s="248">
        <f>SUMIF(57:57,I12,58:58)-SUMIF(57:57,C12,58:58)+100</f>
        <v>100</v>
      </c>
      <c r="K12" s="395"/>
      <c r="L12" s="386"/>
      <c r="M12" s="387"/>
      <c r="N12" s="387"/>
      <c r="O12" s="389"/>
      <c r="P12" s="390"/>
      <c r="Q12" s="466">
        <f t="shared" si="6"/>
        <v>111</v>
      </c>
      <c r="R12" s="462" t="s">
        <v>935</v>
      </c>
      <c r="S12" s="463">
        <f t="shared" si="0"/>
        <v>100</v>
      </c>
      <c r="T12" s="462" t="s">
        <v>935</v>
      </c>
      <c r="U12" s="463">
        <f t="shared" si="1"/>
        <v>100</v>
      </c>
      <c r="V12" s="462" t="s">
        <v>935</v>
      </c>
      <c r="W12" s="463">
        <f t="shared" si="2"/>
        <v>100</v>
      </c>
      <c r="X12" s="464"/>
      <c r="Y12" s="466"/>
      <c r="Z12" s="481">
        <f t="shared" si="7"/>
        <v>111</v>
      </c>
      <c r="AA12" s="481">
        <f t="shared" si="3"/>
        <v>1</v>
      </c>
      <c r="AB12" s="481">
        <f t="shared" si="4"/>
        <v>1</v>
      </c>
      <c r="AC12" s="481">
        <f t="shared" si="5"/>
        <v>1</v>
      </c>
    </row>
    <row r="13" ht="15.75" spans="1:29">
      <c r="A13" s="255"/>
      <c r="B13" s="256">
        <v>111</v>
      </c>
      <c r="C13" s="257"/>
      <c r="D13" s="258">
        <v>100</v>
      </c>
      <c r="E13" s="253"/>
      <c r="F13" s="248">
        <f>SUMIF(59:59,E13,60:60)-SUMIF(59:59,C13,60:60)+100</f>
        <v>100</v>
      </c>
      <c r="G13" s="253"/>
      <c r="H13" s="258">
        <f>SUMIF(59:59,G13,60:60)-SUMIF(59:59,C13,60:60)+100</f>
        <v>100</v>
      </c>
      <c r="I13" s="253"/>
      <c r="J13" s="258">
        <f>SUMIF(59:59,I13,60:60)-SUMIF(59:59,C13,60:60)+100</f>
        <v>100</v>
      </c>
      <c r="K13" s="395"/>
      <c r="L13" s="398"/>
      <c r="M13" s="338"/>
      <c r="N13" s="338"/>
      <c r="O13" s="397"/>
      <c r="P13" s="390"/>
      <c r="Q13" s="466">
        <f t="shared" si="6"/>
        <v>111</v>
      </c>
      <c r="R13" s="462" t="s">
        <v>935</v>
      </c>
      <c r="S13" s="463">
        <f t="shared" si="0"/>
        <v>100</v>
      </c>
      <c r="T13" s="462" t="s">
        <v>935</v>
      </c>
      <c r="U13" s="463">
        <f t="shared" si="1"/>
        <v>100</v>
      </c>
      <c r="V13" s="462" t="s">
        <v>935</v>
      </c>
      <c r="W13" s="463">
        <f t="shared" si="2"/>
        <v>100</v>
      </c>
      <c r="X13" s="464"/>
      <c r="Y13" s="466"/>
      <c r="Z13" s="481">
        <f t="shared" si="7"/>
        <v>111</v>
      </c>
      <c r="AA13" s="481">
        <f t="shared" si="3"/>
        <v>1</v>
      </c>
      <c r="AB13" s="481">
        <f t="shared" si="4"/>
        <v>1</v>
      </c>
      <c r="AC13" s="481">
        <f t="shared" si="5"/>
        <v>1</v>
      </c>
    </row>
    <row r="14" ht="81" spans="1:29">
      <c r="A14" s="259" t="s">
        <v>946</v>
      </c>
      <c r="B14" s="260" t="s">
        <v>229</v>
      </c>
      <c r="C14" s="261" t="str">
        <f>IF(B1="工业",估价对象房地状况!G4,估价对象房地状况!C6)</f>
        <v>估价对象周边道路状况、公共交通通达情况、停车便捷程度，综合评价交通便捷度较好</v>
      </c>
      <c r="D14" s="262">
        <v>100</v>
      </c>
      <c r="E14" s="263"/>
      <c r="F14" s="264">
        <f>SUMIF(61:61,E15,62:62)-SUMIF(61:61,C15,62:62)+100</f>
        <v>100</v>
      </c>
      <c r="G14" s="265"/>
      <c r="H14" s="262">
        <f>SUMIF(61:61,G15,62:62)-SUMIF(61:61,C15,62:62)+100</f>
        <v>100</v>
      </c>
      <c r="I14" s="263"/>
      <c r="J14" s="262">
        <f>SUMIF(61:61,I15,62:62)-SUMIF(61:61,C15,62:62)+100</f>
        <v>100</v>
      </c>
      <c r="K14" s="399"/>
      <c r="L14" s="398"/>
      <c r="M14" s="338"/>
      <c r="N14" s="338"/>
      <c r="O14" s="397"/>
      <c r="P14" s="400" t="s">
        <v>947</v>
      </c>
      <c r="Q14" s="390" t="str">
        <f t="shared" si="6"/>
        <v>交通便捷度</v>
      </c>
      <c r="R14" s="467" t="s">
        <v>935</v>
      </c>
      <c r="S14" s="468">
        <f t="shared" si="0"/>
        <v>100</v>
      </c>
      <c r="T14" s="467" t="s">
        <v>935</v>
      </c>
      <c r="U14" s="468">
        <f t="shared" si="1"/>
        <v>100</v>
      </c>
      <c r="V14" s="467" t="s">
        <v>935</v>
      </c>
      <c r="W14" s="468">
        <f t="shared" si="2"/>
        <v>100</v>
      </c>
      <c r="X14" s="454"/>
      <c r="Y14" s="400" t="s">
        <v>947</v>
      </c>
      <c r="Z14" s="453" t="str">
        <f t="shared" si="7"/>
        <v>交通便捷度</v>
      </c>
      <c r="AA14" s="453">
        <f t="shared" si="3"/>
        <v>1</v>
      </c>
      <c r="AB14" s="453">
        <f t="shared" si="4"/>
        <v>1</v>
      </c>
      <c r="AC14" s="453">
        <f t="shared" si="5"/>
        <v>1</v>
      </c>
    </row>
    <row r="15" ht="15" spans="1:29">
      <c r="A15" s="266"/>
      <c r="B15" s="267"/>
      <c r="C15" s="268"/>
      <c r="D15" s="269"/>
      <c r="E15" s="268"/>
      <c r="F15" s="270"/>
      <c r="G15" s="268"/>
      <c r="H15" s="271"/>
      <c r="I15" s="268"/>
      <c r="J15" s="269"/>
      <c r="K15" s="401"/>
      <c r="L15" s="398"/>
      <c r="M15" s="338"/>
      <c r="N15" s="338"/>
      <c r="O15" s="397"/>
      <c r="P15" s="367"/>
      <c r="Q15" s="390"/>
      <c r="R15" s="467"/>
      <c r="S15" s="468"/>
      <c r="T15" s="467"/>
      <c r="U15" s="468"/>
      <c r="V15" s="467"/>
      <c r="W15" s="468"/>
      <c r="X15" s="454"/>
      <c r="Y15" s="367"/>
      <c r="Z15" s="453"/>
      <c r="AA15" s="453">
        <v>1</v>
      </c>
      <c r="AB15" s="453">
        <v>1</v>
      </c>
      <c r="AC15" s="453">
        <v>1</v>
      </c>
    </row>
    <row r="16" ht="40.5" spans="1:29">
      <c r="A16" s="266"/>
      <c r="B16" s="272" t="s">
        <v>231</v>
      </c>
      <c r="C16" s="273" t="str">
        <f>IF(B1="工业",估价对象房地状况!G5,估价对象房地状况!C7)</f>
        <v>估价对象所在区域公共配套设施齐备情况</v>
      </c>
      <c r="D16" s="274">
        <v>100</v>
      </c>
      <c r="E16" s="275"/>
      <c r="F16" s="276">
        <f>SUMIF(63:63,E17,64:64)-SUMIF(63:63,C17,64:64)+100</f>
        <v>100</v>
      </c>
      <c r="G16" s="277"/>
      <c r="H16" s="274">
        <f>SUMIF(63:63,G17,64:64)-SUMIF(63:63,C17,64:64)+100</f>
        <v>100</v>
      </c>
      <c r="I16" s="275"/>
      <c r="J16" s="274">
        <f>SUMIF(63:63,I17,64:64)-SUMIF(63:63,C17,64:64)+100</f>
        <v>100</v>
      </c>
      <c r="K16" s="399"/>
      <c r="L16" s="398"/>
      <c r="M16" s="338"/>
      <c r="N16" s="338"/>
      <c r="O16" s="397"/>
      <c r="P16" s="367"/>
      <c r="Q16" s="390" t="str">
        <f>B16</f>
        <v>公共配套设施</v>
      </c>
      <c r="R16" s="467" t="s">
        <v>935</v>
      </c>
      <c r="S16" s="468">
        <f>F16</f>
        <v>100</v>
      </c>
      <c r="T16" s="467" t="s">
        <v>935</v>
      </c>
      <c r="U16" s="468">
        <f>H16</f>
        <v>100</v>
      </c>
      <c r="V16" s="467" t="s">
        <v>935</v>
      </c>
      <c r="W16" s="468">
        <f>J16</f>
        <v>100</v>
      </c>
      <c r="X16" s="454"/>
      <c r="Y16" s="367"/>
      <c r="Z16" s="453" t="str">
        <f>Q16</f>
        <v>公共配套设施</v>
      </c>
      <c r="AA16" s="453">
        <f t="shared" si="3"/>
        <v>1</v>
      </c>
      <c r="AB16" s="453">
        <f t="shared" si="4"/>
        <v>1</v>
      </c>
      <c r="AC16" s="453">
        <f t="shared" si="5"/>
        <v>1</v>
      </c>
    </row>
    <row r="17" ht="15" spans="1:29">
      <c r="A17" s="266"/>
      <c r="B17" s="278"/>
      <c r="C17" s="279"/>
      <c r="D17" s="269"/>
      <c r="E17" s="268"/>
      <c r="F17" s="270"/>
      <c r="G17" s="268"/>
      <c r="H17" s="269"/>
      <c r="I17" s="268"/>
      <c r="J17" s="269"/>
      <c r="K17" s="401"/>
      <c r="L17" s="398"/>
      <c r="M17" s="338"/>
      <c r="N17" s="338"/>
      <c r="O17" s="397"/>
      <c r="P17" s="367"/>
      <c r="Q17" s="390"/>
      <c r="R17" s="467"/>
      <c r="S17" s="468"/>
      <c r="T17" s="467"/>
      <c r="U17" s="468"/>
      <c r="V17" s="467"/>
      <c r="W17" s="468"/>
      <c r="X17" s="454"/>
      <c r="Y17" s="367"/>
      <c r="Z17" s="453"/>
      <c r="AA17" s="453">
        <v>1</v>
      </c>
      <c r="AB17" s="453">
        <v>1</v>
      </c>
      <c r="AC17" s="453">
        <v>1</v>
      </c>
    </row>
    <row r="18" ht="27" spans="1:29">
      <c r="A18" s="266"/>
      <c r="B18" s="280" t="s">
        <v>232</v>
      </c>
      <c r="C18" s="273" t="str">
        <f>IF(B1="工业",估价对象房地状况!G6,估价对象房地状况!C8)</f>
        <v>估价对象所在区域基础设施水平</v>
      </c>
      <c r="D18" s="271">
        <v>100</v>
      </c>
      <c r="E18" s="281"/>
      <c r="F18" s="282">
        <f>SUMIF(65:65,E19,66:66)-SUMIF(65:65,C19,66:66)+100</f>
        <v>100</v>
      </c>
      <c r="G18" s="283"/>
      <c r="H18" s="274">
        <f>SUMIF(65:65,G19,66:66)-SUMIF(65:65,C19,66:66)+100</f>
        <v>100</v>
      </c>
      <c r="I18" s="275"/>
      <c r="J18" s="274">
        <f>SUMIF(65:65,I19,66:66)-SUMIF(65:65,C19,66:66)+100</f>
        <v>100</v>
      </c>
      <c r="K18" s="399"/>
      <c r="L18" s="398"/>
      <c r="M18" s="338"/>
      <c r="N18" s="338"/>
      <c r="O18" s="397"/>
      <c r="P18" s="367"/>
      <c r="Q18" s="390" t="str">
        <f>B18</f>
        <v>基础设施水平</v>
      </c>
      <c r="R18" s="467" t="s">
        <v>935</v>
      </c>
      <c r="S18" s="468">
        <f>F18</f>
        <v>100</v>
      </c>
      <c r="T18" s="467" t="s">
        <v>935</v>
      </c>
      <c r="U18" s="468">
        <f>H18</f>
        <v>100</v>
      </c>
      <c r="V18" s="467" t="s">
        <v>935</v>
      </c>
      <c r="W18" s="468">
        <f>J18</f>
        <v>100</v>
      </c>
      <c r="X18" s="454"/>
      <c r="Y18" s="367"/>
      <c r="Z18" s="453" t="str">
        <f>Q18</f>
        <v>基础设施水平</v>
      </c>
      <c r="AA18" s="453">
        <f t="shared" ref="AA18" si="8">D18/F18</f>
        <v>1</v>
      </c>
      <c r="AB18" s="453">
        <f t="shared" ref="AB18" si="9">D18/H18</f>
        <v>1</v>
      </c>
      <c r="AC18" s="453">
        <f t="shared" ref="AC18" si="10">D18/J18</f>
        <v>1</v>
      </c>
    </row>
    <row r="19" ht="15" spans="1:29">
      <c r="A19" s="266"/>
      <c r="B19" s="284"/>
      <c r="C19" s="279"/>
      <c r="D19" s="271"/>
      <c r="E19" s="279"/>
      <c r="F19" s="282"/>
      <c r="G19" s="279"/>
      <c r="H19" s="269"/>
      <c r="I19" s="268"/>
      <c r="J19" s="269"/>
      <c r="K19" s="402"/>
      <c r="L19" s="398"/>
      <c r="M19" s="338"/>
      <c r="N19" s="338"/>
      <c r="O19" s="397"/>
      <c r="P19" s="367"/>
      <c r="Q19" s="390"/>
      <c r="R19" s="467"/>
      <c r="S19" s="468"/>
      <c r="T19" s="467"/>
      <c r="U19" s="468"/>
      <c r="V19" s="467"/>
      <c r="W19" s="468"/>
      <c r="X19" s="454"/>
      <c r="Y19" s="367"/>
      <c r="Z19" s="453"/>
      <c r="AA19" s="453">
        <v>1</v>
      </c>
      <c r="AB19" s="453">
        <v>1</v>
      </c>
      <c r="AC19" s="453">
        <v>1</v>
      </c>
    </row>
    <row r="20" ht="54" spans="1:29">
      <c r="A20" s="266"/>
      <c r="B20" s="285" t="s">
        <v>2356</v>
      </c>
      <c r="C20" s="273" t="str">
        <f>IF(B1="工业",估价对象房地状况!G7,估价对象房地状况!C9)</f>
        <v>区域自然环境：；人文环境；综合评价环境状况一般</v>
      </c>
      <c r="D20" s="274">
        <v>100</v>
      </c>
      <c r="E20" s="275"/>
      <c r="F20" s="276">
        <f>SUMIF(67:67,E21,68:68)-SUMIF(67:67,C21,68:68)+100</f>
        <v>100</v>
      </c>
      <c r="G20" s="277"/>
      <c r="H20" s="271">
        <f>SUMIF(67:67,G21,68:68)-SUMIF(67:67,C21,68:68)+100</f>
        <v>100</v>
      </c>
      <c r="I20" s="281"/>
      <c r="J20" s="271">
        <f>SUMIF(67:67,I21,68:68)-SUMIF(67:67,C21,68:68)+100</f>
        <v>100</v>
      </c>
      <c r="K20" s="399"/>
      <c r="L20" s="398"/>
      <c r="M20" s="338"/>
      <c r="N20" s="338"/>
      <c r="O20" s="397"/>
      <c r="P20" s="367"/>
      <c r="Q20" s="390" t="str">
        <f>B20</f>
        <v>自然及人文环境</v>
      </c>
      <c r="R20" s="467" t="s">
        <v>935</v>
      </c>
      <c r="S20" s="468">
        <f>F20</f>
        <v>100</v>
      </c>
      <c r="T20" s="467" t="s">
        <v>935</v>
      </c>
      <c r="U20" s="468">
        <f>H20</f>
        <v>100</v>
      </c>
      <c r="V20" s="467" t="s">
        <v>935</v>
      </c>
      <c r="W20" s="468">
        <f>J20</f>
        <v>100</v>
      </c>
      <c r="X20" s="454"/>
      <c r="Y20" s="367"/>
      <c r="Z20" s="453" t="str">
        <f>Q20</f>
        <v>自然及人文环境</v>
      </c>
      <c r="AA20" s="453">
        <f t="shared" si="3"/>
        <v>1</v>
      </c>
      <c r="AB20" s="453">
        <f t="shared" si="4"/>
        <v>1</v>
      </c>
      <c r="AC20" s="453">
        <f t="shared" si="5"/>
        <v>1</v>
      </c>
    </row>
    <row r="21" ht="15" spans="1:29">
      <c r="A21" s="266"/>
      <c r="B21" s="286"/>
      <c r="C21" s="268"/>
      <c r="D21" s="269"/>
      <c r="E21" s="268"/>
      <c r="F21" s="270"/>
      <c r="G21" s="268"/>
      <c r="H21" s="269"/>
      <c r="I21" s="268"/>
      <c r="J21" s="269"/>
      <c r="K21" s="401"/>
      <c r="L21" s="398"/>
      <c r="M21" s="338"/>
      <c r="N21" s="338"/>
      <c r="O21" s="397"/>
      <c r="P21" s="367"/>
      <c r="Q21" s="390"/>
      <c r="R21" s="467"/>
      <c r="S21" s="468"/>
      <c r="T21" s="467"/>
      <c r="U21" s="468"/>
      <c r="V21" s="467"/>
      <c r="W21" s="468"/>
      <c r="X21" s="454"/>
      <c r="Y21" s="367"/>
      <c r="Z21" s="453"/>
      <c r="AA21" s="453">
        <v>1</v>
      </c>
      <c r="AB21" s="453">
        <v>1</v>
      </c>
      <c r="AC21" s="453">
        <v>1</v>
      </c>
    </row>
    <row r="22" ht="15" spans="1:29">
      <c r="A22" s="266"/>
      <c r="B22" s="285" t="s">
        <v>2460</v>
      </c>
      <c r="C22" s="287"/>
      <c r="D22" s="271">
        <v>100</v>
      </c>
      <c r="E22" s="287"/>
      <c r="F22" s="288">
        <f>SUMIF(69:69,E22,70:70)-SUMIF(69:69,C22,70:70)+100</f>
        <v>100</v>
      </c>
      <c r="G22" s="287"/>
      <c r="H22" s="258">
        <f>SUMIF(69:69,G22,70:70)-SUMIF(69:69,C22,70:70)+100</f>
        <v>100</v>
      </c>
      <c r="I22" s="287"/>
      <c r="J22" s="258">
        <f>SUMIF(69:69,I22,70:70)-SUMIF(69:69,C22,70:70)+100</f>
        <v>100</v>
      </c>
      <c r="K22" s="391"/>
      <c r="L22" s="398"/>
      <c r="M22" s="338"/>
      <c r="N22" s="338"/>
      <c r="O22" s="397"/>
      <c r="P22" s="367"/>
      <c r="Q22" s="390" t="str">
        <f>B22</f>
        <v>楼层</v>
      </c>
      <c r="R22" s="467" t="s">
        <v>935</v>
      </c>
      <c r="S22" s="468">
        <f>F22</f>
        <v>100</v>
      </c>
      <c r="T22" s="467" t="s">
        <v>935</v>
      </c>
      <c r="U22" s="468">
        <f>H22</f>
        <v>100</v>
      </c>
      <c r="V22" s="467" t="s">
        <v>935</v>
      </c>
      <c r="W22" s="468">
        <f>J22</f>
        <v>100</v>
      </c>
      <c r="X22" s="454"/>
      <c r="Y22" s="367"/>
      <c r="Z22" s="453" t="str">
        <f>Q22</f>
        <v>楼层</v>
      </c>
      <c r="AA22" s="453">
        <f t="shared" si="3"/>
        <v>1</v>
      </c>
      <c r="AB22" s="453">
        <f t="shared" si="4"/>
        <v>1</v>
      </c>
      <c r="AC22" s="453">
        <f t="shared" si="5"/>
        <v>1</v>
      </c>
    </row>
    <row r="23" ht="15" spans="1:29">
      <c r="A23" s="219"/>
      <c r="B23" s="289">
        <v>111</v>
      </c>
      <c r="C23" s="252"/>
      <c r="D23" s="258">
        <v>100</v>
      </c>
      <c r="E23" s="257"/>
      <c r="F23" s="288">
        <f>SUMIF(71:71,E23,72:72)-SUMIF(71:71,C23,72:72)+100</f>
        <v>100</v>
      </c>
      <c r="G23" s="257"/>
      <c r="H23" s="258">
        <f>SUMIF(71:71,G23,72:72)-SUMIF(71:71,C23,72:72)+100</f>
        <v>100</v>
      </c>
      <c r="I23" s="257"/>
      <c r="J23" s="258">
        <f>SUMIF(71:71,I23,72:72)-SUMIF(71:71,C23,72:72)+100</f>
        <v>100</v>
      </c>
      <c r="K23" s="395"/>
      <c r="L23" s="398"/>
      <c r="M23" s="338"/>
      <c r="N23" s="338"/>
      <c r="O23" s="397"/>
      <c r="P23" s="367"/>
      <c r="Q23" s="390">
        <f>B23</f>
        <v>111</v>
      </c>
      <c r="R23" s="467" t="s">
        <v>935</v>
      </c>
      <c r="S23" s="468">
        <f>F23</f>
        <v>100</v>
      </c>
      <c r="T23" s="467" t="s">
        <v>935</v>
      </c>
      <c r="U23" s="468">
        <f>H23</f>
        <v>100</v>
      </c>
      <c r="V23" s="467" t="s">
        <v>935</v>
      </c>
      <c r="W23" s="468">
        <f>J23</f>
        <v>100</v>
      </c>
      <c r="X23" s="454"/>
      <c r="Y23" s="367"/>
      <c r="Z23" s="453">
        <f>Q23</f>
        <v>111</v>
      </c>
      <c r="AA23" s="453">
        <f t="shared" si="3"/>
        <v>1</v>
      </c>
      <c r="AB23" s="453">
        <f t="shared" si="4"/>
        <v>1</v>
      </c>
      <c r="AC23" s="453">
        <f t="shared" si="5"/>
        <v>1</v>
      </c>
    </row>
    <row r="24" ht="15" spans="1:29">
      <c r="A24" s="266"/>
      <c r="B24" s="289">
        <v>111</v>
      </c>
      <c r="C24" s="252"/>
      <c r="D24" s="258">
        <v>100</v>
      </c>
      <c r="E24" s="257"/>
      <c r="F24" s="288">
        <f>SUMIF(73:73,E24,74:74)-SUMIF(73:73,C24,74:74)+100</f>
        <v>100</v>
      </c>
      <c r="G24" s="257"/>
      <c r="H24" s="258">
        <f>SUMIF(73:73,G24,74:74)-SUMIF(73:73,C24,74:74)+100</f>
        <v>100</v>
      </c>
      <c r="I24" s="257"/>
      <c r="J24" s="258">
        <f>SUMIF(73:73,I24,74:74)-SUMIF(73:73,C24,74:74)+100</f>
        <v>100</v>
      </c>
      <c r="K24" s="395"/>
      <c r="L24" s="398"/>
      <c r="M24" s="338"/>
      <c r="N24" s="338"/>
      <c r="O24" s="397"/>
      <c r="P24" s="367"/>
      <c r="Q24" s="390">
        <f t="shared" ref="Q24:Q34" si="11">B24</f>
        <v>111</v>
      </c>
      <c r="R24" s="467" t="s">
        <v>935</v>
      </c>
      <c r="S24" s="468">
        <f>F24</f>
        <v>100</v>
      </c>
      <c r="T24" s="467" t="s">
        <v>935</v>
      </c>
      <c r="U24" s="468">
        <f>H24</f>
        <v>100</v>
      </c>
      <c r="V24" s="467" t="s">
        <v>935</v>
      </c>
      <c r="W24" s="468">
        <f>J24</f>
        <v>100</v>
      </c>
      <c r="X24" s="454"/>
      <c r="Y24" s="367"/>
      <c r="Z24" s="453">
        <f>Q24</f>
        <v>111</v>
      </c>
      <c r="AA24" s="453">
        <f t="shared" si="3"/>
        <v>1</v>
      </c>
      <c r="AB24" s="453">
        <f t="shared" si="4"/>
        <v>1</v>
      </c>
      <c r="AC24" s="453">
        <f t="shared" si="5"/>
        <v>1</v>
      </c>
    </row>
    <row r="25" s="189" customFormat="1" ht="15.75" spans="1:29">
      <c r="A25" s="290"/>
      <c r="B25" s="289">
        <v>111</v>
      </c>
      <c r="C25" s="291"/>
      <c r="D25" s="284">
        <v>100</v>
      </c>
      <c r="E25" s="291"/>
      <c r="F25" s="292">
        <f>SUMIF(75:75,E25,76:76)-SUMIF(75:75,C25,76:76)+100</f>
        <v>100</v>
      </c>
      <c r="G25" s="291"/>
      <c r="H25" s="284">
        <f>SUMIF(75:75,G25,76:76)-SUMIF(75:75,C25,76:76)+100</f>
        <v>100</v>
      </c>
      <c r="I25" s="291"/>
      <c r="J25" s="284">
        <f>SUMIF(75:75,I25,76:76)-SUMIF(75:75,C25,76:76)+100</f>
        <v>100</v>
      </c>
      <c r="K25" s="395"/>
      <c r="L25" s="386"/>
      <c r="M25" s="387"/>
      <c r="N25" s="387"/>
      <c r="O25" s="389"/>
      <c r="P25" s="367"/>
      <c r="Q25" s="466">
        <f t="shared" si="11"/>
        <v>111</v>
      </c>
      <c r="R25" s="462" t="s">
        <v>935</v>
      </c>
      <c r="S25" s="463">
        <f>F25</f>
        <v>100</v>
      </c>
      <c r="T25" s="462" t="s">
        <v>935</v>
      </c>
      <c r="U25" s="463">
        <f>H25</f>
        <v>100</v>
      </c>
      <c r="V25" s="462" t="s">
        <v>935</v>
      </c>
      <c r="W25" s="463">
        <f>J25</f>
        <v>100</v>
      </c>
      <c r="X25" s="464"/>
      <c r="Y25" s="367"/>
      <c r="Z25" s="481">
        <f>Q25</f>
        <v>111</v>
      </c>
      <c r="AA25" s="453">
        <f t="shared" si="3"/>
        <v>1</v>
      </c>
      <c r="AB25" s="453">
        <f t="shared" si="4"/>
        <v>1</v>
      </c>
      <c r="AC25" s="453">
        <f t="shared" si="5"/>
        <v>1</v>
      </c>
    </row>
    <row r="26" ht="15" spans="1:29">
      <c r="A26" s="293" t="s">
        <v>955</v>
      </c>
      <c r="B26" s="294" t="s">
        <v>2365</v>
      </c>
      <c r="C26" s="295"/>
      <c r="D26" s="216">
        <v>100</v>
      </c>
      <c r="E26" s="295"/>
      <c r="F26" s="218">
        <f>SUMIF(77:77,E26,78:78)-SUMIF(77:77,C26,78:78)+100</f>
        <v>100</v>
      </c>
      <c r="G26" s="295"/>
      <c r="H26" s="216">
        <f>SUMIF(77:77,G26,78:78)-SUMIF(77:77,C26,78:78)+100</f>
        <v>100</v>
      </c>
      <c r="I26" s="295"/>
      <c r="J26" s="216">
        <f>SUMIF(77:77,I26,78:78)-SUMIF(77:77,C26,78:78)+100</f>
        <v>100</v>
      </c>
      <c r="K26" s="391"/>
      <c r="L26" s="398"/>
      <c r="M26" s="338"/>
      <c r="N26" s="338"/>
      <c r="O26" s="397"/>
      <c r="P26" s="403" t="s">
        <v>954</v>
      </c>
      <c r="Q26" s="390" t="str">
        <f t="shared" si="11"/>
        <v>公共部分装修</v>
      </c>
      <c r="R26" s="467" t="s">
        <v>935</v>
      </c>
      <c r="S26" s="468">
        <f t="shared" ref="S26:S34" si="12">F26</f>
        <v>100</v>
      </c>
      <c r="T26" s="467" t="s">
        <v>935</v>
      </c>
      <c r="U26" s="468">
        <f t="shared" ref="U26:U34" si="13">H26</f>
        <v>100</v>
      </c>
      <c r="V26" s="467" t="s">
        <v>935</v>
      </c>
      <c r="W26" s="468">
        <f t="shared" ref="W26:W34" si="14">J26</f>
        <v>100</v>
      </c>
      <c r="X26" s="454"/>
      <c r="Y26" s="406" t="s">
        <v>954</v>
      </c>
      <c r="Z26" s="453" t="str">
        <f t="shared" ref="Z26:Z34" si="15">Q26</f>
        <v>公共部分装修</v>
      </c>
      <c r="AA26" s="453">
        <f t="shared" si="3"/>
        <v>1</v>
      </c>
      <c r="AB26" s="453">
        <f t="shared" si="4"/>
        <v>1</v>
      </c>
      <c r="AC26" s="453">
        <f t="shared" si="5"/>
        <v>1</v>
      </c>
    </row>
    <row r="27" s="191" customFormat="1" ht="15" spans="1:29">
      <c r="A27" s="296"/>
      <c r="B27" s="297" t="s">
        <v>2590</v>
      </c>
      <c r="C27" s="298"/>
      <c r="D27" s="248">
        <v>100</v>
      </c>
      <c r="E27" s="299"/>
      <c r="F27" s="288" t="e">
        <f>LOOKUP(E27,80:80,81:81)-LOOKUP(C27,80:80,81:81)+100</f>
        <v>#N/A</v>
      </c>
      <c r="G27" s="300"/>
      <c r="H27" s="258" t="e">
        <f>LOOKUP(G27,80:80,81:81)-LOOKUP(C27,80:80,81:81)+100</f>
        <v>#N/A</v>
      </c>
      <c r="I27" s="300"/>
      <c r="J27" s="258" t="e">
        <f>LOOKUP(I27,80:80,81:81)-LOOKUP(C27,80:80,81:81)+100</f>
        <v>#N/A</v>
      </c>
      <c r="K27" s="391"/>
      <c r="L27" s="396"/>
      <c r="M27" s="404"/>
      <c r="N27" s="404"/>
      <c r="O27" s="405"/>
      <c r="P27" s="406"/>
      <c r="Q27" s="469" t="str">
        <f t="shared" si="11"/>
        <v>成新率</v>
      </c>
      <c r="R27" s="470" t="s">
        <v>935</v>
      </c>
      <c r="S27" s="471" t="e">
        <f t="shared" si="12"/>
        <v>#N/A</v>
      </c>
      <c r="T27" s="470" t="s">
        <v>935</v>
      </c>
      <c r="U27" s="471" t="e">
        <f t="shared" si="13"/>
        <v>#N/A</v>
      </c>
      <c r="V27" s="470" t="s">
        <v>935</v>
      </c>
      <c r="W27" s="471" t="e">
        <f t="shared" si="14"/>
        <v>#N/A</v>
      </c>
      <c r="X27" s="472"/>
      <c r="Y27" s="406"/>
      <c r="Z27" s="482" t="str">
        <f t="shared" si="15"/>
        <v>成新率</v>
      </c>
      <c r="AA27" s="453" t="e">
        <f t="shared" si="3"/>
        <v>#N/A</v>
      </c>
      <c r="AB27" s="453" t="e">
        <f t="shared" si="4"/>
        <v>#N/A</v>
      </c>
      <c r="AC27" s="453" t="e">
        <f t="shared" si="5"/>
        <v>#N/A</v>
      </c>
    </row>
    <row r="28" ht="15" spans="1:29">
      <c r="A28" s="301"/>
      <c r="B28" s="297" t="s">
        <v>2591</v>
      </c>
      <c r="C28" s="302"/>
      <c r="D28" s="258">
        <v>100</v>
      </c>
      <c r="E28" s="302"/>
      <c r="F28" s="288">
        <f>SUMIF(82:82,E28,83:83)-SUMIF(82:82,C28,83:83)+100</f>
        <v>100</v>
      </c>
      <c r="G28" s="302"/>
      <c r="H28" s="258">
        <f>SUMIF(82:82,G28,83:83)-SUMIF(82:82,C28,83:83)+100</f>
        <v>100</v>
      </c>
      <c r="I28" s="302"/>
      <c r="J28" s="258">
        <f>SUMIF(82:82,I28,83:83)-SUMIF(82:82,C28,83:83)+100</f>
        <v>100</v>
      </c>
      <c r="K28" s="391"/>
      <c r="L28" s="398"/>
      <c r="M28" s="338"/>
      <c r="N28" s="338"/>
      <c r="O28" s="397"/>
      <c r="P28" s="406"/>
      <c r="Q28" s="390" t="str">
        <f t="shared" si="11"/>
        <v>物业等级</v>
      </c>
      <c r="R28" s="467" t="s">
        <v>935</v>
      </c>
      <c r="S28" s="468">
        <f t="shared" si="12"/>
        <v>100</v>
      </c>
      <c r="T28" s="467" t="s">
        <v>935</v>
      </c>
      <c r="U28" s="468">
        <f t="shared" si="13"/>
        <v>100</v>
      </c>
      <c r="V28" s="467" t="s">
        <v>935</v>
      </c>
      <c r="W28" s="468">
        <f t="shared" si="14"/>
        <v>100</v>
      </c>
      <c r="X28" s="454"/>
      <c r="Y28" s="406"/>
      <c r="Z28" s="453" t="str">
        <f t="shared" si="15"/>
        <v>物业等级</v>
      </c>
      <c r="AA28" s="453">
        <f t="shared" si="3"/>
        <v>1</v>
      </c>
      <c r="AB28" s="453">
        <f t="shared" si="4"/>
        <v>1</v>
      </c>
      <c r="AC28" s="453">
        <f t="shared" si="5"/>
        <v>1</v>
      </c>
    </row>
    <row r="29" ht="15" spans="1:29">
      <c r="A29" s="301"/>
      <c r="B29" s="297" t="s">
        <v>2597</v>
      </c>
      <c r="C29" s="303"/>
      <c r="D29" s="258">
        <v>100</v>
      </c>
      <c r="E29" s="303"/>
      <c r="F29" s="288">
        <f>SUMIF(84:84,E29,85:85)-SUMIF(84:84,C29,85:85)+100</f>
        <v>100</v>
      </c>
      <c r="G29" s="303"/>
      <c r="H29" s="258">
        <f>SUMIF(84:84,G29,85:85)-SUMIF(84:84,C29,85:85)+100</f>
        <v>100</v>
      </c>
      <c r="I29" s="303"/>
      <c r="J29" s="258">
        <f>SUMIF(84:84,I29,85:85)-SUMIF(84:84,C29,85:85)+100</f>
        <v>100</v>
      </c>
      <c r="K29" s="391"/>
      <c r="L29" s="398"/>
      <c r="M29" s="338"/>
      <c r="N29" s="338"/>
      <c r="O29" s="397"/>
      <c r="P29" s="406"/>
      <c r="Q29" s="390" t="str">
        <f t="shared" si="11"/>
        <v>有无电梯</v>
      </c>
      <c r="R29" s="467" t="s">
        <v>935</v>
      </c>
      <c r="S29" s="468">
        <f t="shared" si="12"/>
        <v>100</v>
      </c>
      <c r="T29" s="467" t="s">
        <v>935</v>
      </c>
      <c r="U29" s="468">
        <f t="shared" si="13"/>
        <v>100</v>
      </c>
      <c r="V29" s="467" t="s">
        <v>935</v>
      </c>
      <c r="W29" s="468">
        <f t="shared" si="14"/>
        <v>100</v>
      </c>
      <c r="X29" s="454"/>
      <c r="Y29" s="406"/>
      <c r="Z29" s="453" t="str">
        <f t="shared" si="15"/>
        <v>有无电梯</v>
      </c>
      <c r="AA29" s="453">
        <f t="shared" si="3"/>
        <v>1</v>
      </c>
      <c r="AB29" s="453">
        <f t="shared" si="4"/>
        <v>1</v>
      </c>
      <c r="AC29" s="453">
        <f t="shared" si="5"/>
        <v>1</v>
      </c>
    </row>
    <row r="30" ht="15" spans="1:29">
      <c r="A30" s="301"/>
      <c r="B30" s="297" t="s">
        <v>544</v>
      </c>
      <c r="C30" s="253"/>
      <c r="D30" s="258">
        <v>100</v>
      </c>
      <c r="E30" s="253"/>
      <c r="F30" s="288" t="e">
        <f>LOOKUP(E30,87:87,88:88)-LOOKUP(C30,87:87,88:88)+100</f>
        <v>#N/A</v>
      </c>
      <c r="G30" s="253"/>
      <c r="H30" s="258" t="e">
        <f>LOOKUP(G30,87:87,88:88)-LOOKUP(C30,87:87,88:88)+100</f>
        <v>#N/A</v>
      </c>
      <c r="I30" s="253"/>
      <c r="J30" s="258" t="e">
        <f>LOOKUP(I30,87:87,88:88)-LOOKUP(C30,87:87,88:88)+100</f>
        <v>#N/A</v>
      </c>
      <c r="K30" s="395"/>
      <c r="L30" s="398"/>
      <c r="M30" s="338"/>
      <c r="N30" s="338"/>
      <c r="O30" s="397"/>
      <c r="P30" s="406"/>
      <c r="Q30" s="390" t="str">
        <f t="shared" si="11"/>
        <v>建筑面积</v>
      </c>
      <c r="R30" s="467" t="s">
        <v>935</v>
      </c>
      <c r="S30" s="468" t="e">
        <f t="shared" si="12"/>
        <v>#N/A</v>
      </c>
      <c r="T30" s="467" t="s">
        <v>935</v>
      </c>
      <c r="U30" s="468" t="e">
        <f t="shared" si="13"/>
        <v>#N/A</v>
      </c>
      <c r="V30" s="467" t="s">
        <v>935</v>
      </c>
      <c r="W30" s="468" t="e">
        <f t="shared" si="14"/>
        <v>#N/A</v>
      </c>
      <c r="X30" s="454"/>
      <c r="Y30" s="406"/>
      <c r="Z30" s="453" t="str">
        <f t="shared" si="15"/>
        <v>建筑面积</v>
      </c>
      <c r="AA30" s="453" t="e">
        <f t="shared" si="3"/>
        <v>#N/A</v>
      </c>
      <c r="AB30" s="453" t="e">
        <f t="shared" si="4"/>
        <v>#N/A</v>
      </c>
      <c r="AC30" s="453" t="e">
        <f t="shared" si="5"/>
        <v>#N/A</v>
      </c>
    </row>
    <row r="31" s="189" customFormat="1" ht="15" spans="1:29">
      <c r="A31" s="304"/>
      <c r="B31" s="297" t="s">
        <v>2598</v>
      </c>
      <c r="C31" s="303"/>
      <c r="D31" s="248">
        <v>100</v>
      </c>
      <c r="E31" s="303"/>
      <c r="F31" s="288">
        <f>SUMIF(89:89,E31,90:90)-SUMIF(89:89,C31,90:90)+100</f>
        <v>100</v>
      </c>
      <c r="G31" s="303"/>
      <c r="H31" s="258">
        <f>SUMIF(89:89,G31,90:90)-SUMIF(89:89,C31,90:90)+100</f>
        <v>100</v>
      </c>
      <c r="I31" s="303"/>
      <c r="J31" s="258">
        <f>SUMIF(89:89,I31,90:90)-SUMIF(89:89,C31,90:90)+100</f>
        <v>100</v>
      </c>
      <c r="K31" s="391"/>
      <c r="L31" s="386"/>
      <c r="M31" s="387"/>
      <c r="N31" s="387"/>
      <c r="O31" s="389"/>
      <c r="P31" s="406"/>
      <c r="Q31" s="466" t="str">
        <f t="shared" si="11"/>
        <v>是否封闭</v>
      </c>
      <c r="R31" s="462" t="s">
        <v>935</v>
      </c>
      <c r="S31" s="463">
        <f t="shared" si="12"/>
        <v>100</v>
      </c>
      <c r="T31" s="462" t="s">
        <v>935</v>
      </c>
      <c r="U31" s="463">
        <f t="shared" si="13"/>
        <v>100</v>
      </c>
      <c r="V31" s="462" t="s">
        <v>935</v>
      </c>
      <c r="W31" s="463">
        <f t="shared" si="14"/>
        <v>100</v>
      </c>
      <c r="X31" s="464"/>
      <c r="Y31" s="406"/>
      <c r="Z31" s="481" t="str">
        <f t="shared" si="15"/>
        <v>是否封闭</v>
      </c>
      <c r="AA31" s="481">
        <f t="shared" si="3"/>
        <v>1</v>
      </c>
      <c r="AB31" s="481">
        <f t="shared" si="4"/>
        <v>1</v>
      </c>
      <c r="AC31" s="481">
        <f t="shared" si="5"/>
        <v>1</v>
      </c>
    </row>
    <row r="32" ht="15" spans="1:29">
      <c r="A32" s="301"/>
      <c r="B32" s="289">
        <v>111</v>
      </c>
      <c r="C32" s="252"/>
      <c r="D32" s="258">
        <v>100</v>
      </c>
      <c r="E32" s="253"/>
      <c r="F32" s="288">
        <f>SUMIF(91:91,E32,92:92)-SUMIF(91:91,C32,92:92)+100</f>
        <v>100</v>
      </c>
      <c r="G32" s="253"/>
      <c r="H32" s="258">
        <f>SUMIF(91:91,G32,92:92)-SUMIF(91:91,C32,92:92)+100</f>
        <v>100</v>
      </c>
      <c r="I32" s="253"/>
      <c r="J32" s="258">
        <f>SUMIF(91:91,I32,92:92)-SUMIF(91:91,C32,92:92)+100</f>
        <v>100</v>
      </c>
      <c r="K32" s="395"/>
      <c r="L32" s="398"/>
      <c r="M32" s="338"/>
      <c r="N32" s="338"/>
      <c r="O32" s="397"/>
      <c r="P32" s="406" t="s">
        <v>954</v>
      </c>
      <c r="Q32" s="390">
        <f t="shared" si="11"/>
        <v>111</v>
      </c>
      <c r="R32" s="467" t="s">
        <v>935</v>
      </c>
      <c r="S32" s="468">
        <f t="shared" si="12"/>
        <v>100</v>
      </c>
      <c r="T32" s="467" t="s">
        <v>935</v>
      </c>
      <c r="U32" s="468">
        <f t="shared" si="13"/>
        <v>100</v>
      </c>
      <c r="V32" s="467" t="s">
        <v>935</v>
      </c>
      <c r="W32" s="468">
        <f t="shared" si="14"/>
        <v>100</v>
      </c>
      <c r="X32" s="454"/>
      <c r="Y32" s="406" t="s">
        <v>954</v>
      </c>
      <c r="Z32" s="453">
        <f t="shared" si="15"/>
        <v>111</v>
      </c>
      <c r="AA32" s="453">
        <f t="shared" si="3"/>
        <v>1</v>
      </c>
      <c r="AB32" s="453">
        <f t="shared" si="4"/>
        <v>1</v>
      </c>
      <c r="AC32" s="453">
        <f t="shared" si="5"/>
        <v>1</v>
      </c>
    </row>
    <row r="33" ht="15" spans="1:29">
      <c r="A33" s="301"/>
      <c r="B33" s="289">
        <v>111</v>
      </c>
      <c r="C33" s="252"/>
      <c r="D33" s="258">
        <v>100</v>
      </c>
      <c r="E33" s="253"/>
      <c r="F33" s="288">
        <f>SUMIF(93:93,E33,94:94)-SUMIF(93:93,C33,94:94)+100</f>
        <v>100</v>
      </c>
      <c r="G33" s="253"/>
      <c r="H33" s="258">
        <f>SUMIF(93:93,G33,94:94)-SUMIF(93:93,C33,94:94)+100</f>
        <v>100</v>
      </c>
      <c r="I33" s="253"/>
      <c r="J33" s="258">
        <f>SUMIF(93:93,I33,94:94)-SUMIF(93:93,C33,94:94)+100</f>
        <v>100</v>
      </c>
      <c r="K33" s="395"/>
      <c r="L33" s="398"/>
      <c r="M33" s="338"/>
      <c r="N33" s="338"/>
      <c r="O33" s="397"/>
      <c r="P33" s="406"/>
      <c r="Q33" s="390">
        <f t="shared" si="11"/>
        <v>111</v>
      </c>
      <c r="R33" s="467" t="s">
        <v>935</v>
      </c>
      <c r="S33" s="468">
        <f t="shared" si="12"/>
        <v>100</v>
      </c>
      <c r="T33" s="467" t="s">
        <v>935</v>
      </c>
      <c r="U33" s="468">
        <f t="shared" si="13"/>
        <v>100</v>
      </c>
      <c r="V33" s="467" t="s">
        <v>935</v>
      </c>
      <c r="W33" s="468">
        <f t="shared" si="14"/>
        <v>100</v>
      </c>
      <c r="X33" s="454"/>
      <c r="Y33" s="406"/>
      <c r="Z33" s="453">
        <f t="shared" si="15"/>
        <v>111</v>
      </c>
      <c r="AA33" s="453">
        <f t="shared" si="3"/>
        <v>1</v>
      </c>
      <c r="AB33" s="453">
        <f t="shared" si="4"/>
        <v>1</v>
      </c>
      <c r="AC33" s="453">
        <f t="shared" si="5"/>
        <v>1</v>
      </c>
    </row>
    <row r="34" ht="15.75" spans="1:29">
      <c r="A34" s="305"/>
      <c r="B34" s="306">
        <v>111</v>
      </c>
      <c r="C34" s="307"/>
      <c r="D34" s="308">
        <v>100</v>
      </c>
      <c r="E34" s="309"/>
      <c r="F34" s="310">
        <f>SUMIF(95:95,E34,96:96)-SUMIF(95:95,C34,96:96)+100</f>
        <v>100</v>
      </c>
      <c r="G34" s="309"/>
      <c r="H34" s="308">
        <f>SUMIF(95:95,G34,96:96)-SUMIF(95:95,C34,96:96)+100</f>
        <v>100</v>
      </c>
      <c r="I34" s="309"/>
      <c r="J34" s="308">
        <f>SUMIF(95:95,I34,96:96)-SUMIF(95:95,C34,96:96)+100</f>
        <v>100</v>
      </c>
      <c r="K34" s="395"/>
      <c r="L34" s="398"/>
      <c r="M34" s="338"/>
      <c r="N34" s="338"/>
      <c r="O34" s="397"/>
      <c r="P34" s="406"/>
      <c r="Q34" s="390">
        <f t="shared" si="11"/>
        <v>111</v>
      </c>
      <c r="R34" s="467" t="s">
        <v>935</v>
      </c>
      <c r="S34" s="468">
        <f t="shared" si="12"/>
        <v>100</v>
      </c>
      <c r="T34" s="467" t="s">
        <v>935</v>
      </c>
      <c r="U34" s="468">
        <f t="shared" si="13"/>
        <v>100</v>
      </c>
      <c r="V34" s="467" t="s">
        <v>935</v>
      </c>
      <c r="W34" s="468">
        <f t="shared" si="14"/>
        <v>100</v>
      </c>
      <c r="X34" s="454"/>
      <c r="Y34" s="406"/>
      <c r="Z34" s="453">
        <f t="shared" si="15"/>
        <v>111</v>
      </c>
      <c r="AA34" s="453">
        <f t="shared" si="3"/>
        <v>1</v>
      </c>
      <c r="AB34" s="453">
        <f t="shared" si="4"/>
        <v>1</v>
      </c>
      <c r="AC34" s="453">
        <f t="shared" si="5"/>
        <v>1</v>
      </c>
    </row>
    <row r="35" ht="15" spans="1:29">
      <c r="A35" s="311" t="s">
        <v>2375</v>
      </c>
      <c r="B35" s="312"/>
      <c r="C35" s="313" t="s">
        <v>138</v>
      </c>
      <c r="D35" s="314"/>
      <c r="E35" s="315"/>
      <c r="F35" s="316"/>
      <c r="G35" s="317"/>
      <c r="H35" s="318"/>
      <c r="I35" s="315"/>
      <c r="J35" s="318"/>
      <c r="K35" s="407"/>
      <c r="L35" s="408"/>
      <c r="M35" s="338"/>
      <c r="N35" s="338"/>
      <c r="O35" s="338"/>
      <c r="P35" s="390" t="str">
        <f>A35</f>
        <v>成交单价（元/平方米）</v>
      </c>
      <c r="Q35" s="390"/>
      <c r="R35" s="453">
        <f>E35</f>
        <v>0</v>
      </c>
      <c r="S35" s="453"/>
      <c r="T35" s="453">
        <f>G35</f>
        <v>0</v>
      </c>
      <c r="U35" s="453"/>
      <c r="V35" s="453">
        <f>I35</f>
        <v>0</v>
      </c>
      <c r="W35" s="453"/>
      <c r="X35" s="267"/>
      <c r="Y35" s="483"/>
      <c r="Z35" s="267"/>
      <c r="AA35" s="267"/>
      <c r="AB35" s="267"/>
      <c r="AC35" s="267"/>
    </row>
    <row r="36" ht="15.75" spans="1:29">
      <c r="A36" s="319" t="s">
        <v>963</v>
      </c>
      <c r="B36" s="320"/>
      <c r="C36" s="321" t="e">
        <f>R37</f>
        <v>#DIV/0!</v>
      </c>
      <c r="D36" s="322" t="s">
        <v>2599</v>
      </c>
      <c r="E36" s="323" t="e">
        <f>R36</f>
        <v>#DIV/0!</v>
      </c>
      <c r="F36" s="324"/>
      <c r="G36" s="321" t="e">
        <f>T36</f>
        <v>#DIV/0!</v>
      </c>
      <c r="H36" s="324"/>
      <c r="I36" s="323" t="e">
        <f>V36</f>
        <v>#DIV/0!</v>
      </c>
      <c r="J36" s="324"/>
      <c r="K36" s="409">
        <f>F36+H36+J36</f>
        <v>0</v>
      </c>
      <c r="L36" s="408"/>
      <c r="M36" s="338"/>
      <c r="N36" s="338"/>
      <c r="O36" s="338"/>
      <c r="P36" s="390" t="str">
        <f>A36</f>
        <v>比较价格（元/平方米）</v>
      </c>
      <c r="Q36" s="390"/>
      <c r="R36" s="453" t="e">
        <f>IF(F1="售价",ROUND(PRODUCT(R35,AA7:AA34),0),ROUND(PRODUCT(R35,AA7:AA34),1))</f>
        <v>#DIV/0!</v>
      </c>
      <c r="S36" s="453"/>
      <c r="T36" s="453" t="e">
        <f>IF(F1="售价",ROUND(PRODUCT(T35,AB7:AB34),0),ROUND(PRODUCT(T35,AB7:AB34),1))</f>
        <v>#DIV/0!</v>
      </c>
      <c r="U36" s="453"/>
      <c r="V36" s="453" t="e">
        <f>IF(F1="售价",ROUND(PRODUCT(V35,AC7:AC34),0),ROUND(PRODUCT(V35,AC7:AC34),1))</f>
        <v>#DIV/0!</v>
      </c>
      <c r="W36" s="453"/>
      <c r="X36" s="267"/>
      <c r="Y36" s="267"/>
      <c r="Z36" s="267"/>
      <c r="AA36" s="267"/>
      <c r="AB36" s="267"/>
      <c r="AC36" s="267"/>
    </row>
    <row r="37" ht="15.75" spans="1:29">
      <c r="A37" s="325" t="s">
        <v>965</v>
      </c>
      <c r="B37" s="326"/>
      <c r="C37" s="226" t="e">
        <f>R37</f>
        <v>#DIV/0!</v>
      </c>
      <c r="D37" s="226"/>
      <c r="E37" s="226"/>
      <c r="F37" s="226"/>
      <c r="G37" s="226"/>
      <c r="H37" s="226"/>
      <c r="I37" s="226"/>
      <c r="J37" s="226"/>
      <c r="K37" s="410"/>
      <c r="L37" s="408"/>
      <c r="M37" s="338"/>
      <c r="N37" s="338"/>
      <c r="O37" s="338"/>
      <c r="P37" s="288" t="str">
        <f>A37</f>
        <v>估价对象XX用房的比较价格（楼面单价，元/平方米）</v>
      </c>
      <c r="Q37" s="473"/>
      <c r="R37" s="474" t="e">
        <f>IF(F1="售价",ROUND(IF(D36="简单平均",AVERAGE(R36:W36),R36*F36+T36*H36+V36*J36),0),ROUND(IF(D36="简单平均",AVERAGE(R36:V36),R36*F36+T36*H36+V36*J36),1))</f>
        <v>#DIV/0!</v>
      </c>
      <c r="S37" s="474"/>
      <c r="T37" s="474"/>
      <c r="U37" s="474"/>
      <c r="V37" s="474"/>
      <c r="W37" s="474"/>
      <c r="X37" s="267"/>
      <c r="Y37" s="267"/>
      <c r="Z37" s="267"/>
      <c r="AA37" s="267"/>
      <c r="AB37" s="267"/>
      <c r="AC37" s="267"/>
    </row>
    <row r="38" spans="1:29">
      <c r="A38" s="327"/>
      <c r="B38" s="327"/>
      <c r="C38" s="327"/>
      <c r="D38" s="327"/>
      <c r="E38" s="327"/>
      <c r="F38" s="327"/>
      <c r="G38" s="328"/>
      <c r="H38" s="327"/>
      <c r="I38" s="327"/>
      <c r="J38" s="327"/>
      <c r="K38" s="411"/>
      <c r="L38" s="412"/>
      <c r="M38" s="338"/>
      <c r="N38" s="338"/>
      <c r="O38" s="338"/>
      <c r="P38" s="338"/>
      <c r="Q38" s="338"/>
      <c r="R38" s="338"/>
      <c r="S38" s="338"/>
      <c r="T38" s="338"/>
      <c r="U38" s="338"/>
      <c r="V38" s="338"/>
      <c r="W38" s="338"/>
      <c r="X38" s="338"/>
      <c r="Y38" s="338"/>
      <c r="Z38" s="338"/>
      <c r="AA38" s="338"/>
      <c r="AB38" s="338"/>
      <c r="AC38" s="338"/>
    </row>
    <row r="39" spans="1:29">
      <c r="A39" s="327"/>
      <c r="B39" s="327"/>
      <c r="C39" s="327"/>
      <c r="D39" s="327"/>
      <c r="E39" s="327"/>
      <c r="F39" s="327"/>
      <c r="G39" s="327"/>
      <c r="H39" s="327"/>
      <c r="I39" s="327"/>
      <c r="J39" s="327"/>
      <c r="K39" s="411"/>
      <c r="L39" s="412"/>
      <c r="M39" s="338"/>
      <c r="N39" s="338"/>
      <c r="O39" s="338"/>
      <c r="P39" s="338"/>
      <c r="Q39" s="338"/>
      <c r="R39" s="338"/>
      <c r="S39" s="338"/>
      <c r="T39" s="338"/>
      <c r="U39" s="338"/>
      <c r="V39" s="338"/>
      <c r="W39" s="338"/>
      <c r="X39" s="338"/>
      <c r="Y39" s="338"/>
      <c r="Z39" s="338"/>
      <c r="AA39" s="338"/>
      <c r="AB39" s="338"/>
      <c r="AC39" s="338"/>
    </row>
    <row r="40" ht="13.5" customHeight="1" spans="1:29">
      <c r="A40" s="327"/>
      <c r="B40" s="327"/>
      <c r="C40" s="329" t="s">
        <v>966</v>
      </c>
      <c r="D40" s="330"/>
      <c r="E40" s="331" t="e">
        <f>IF(E35&lt;E36,E36/E35-1,E35/E36-1)</f>
        <v>#DIV/0!</v>
      </c>
      <c r="F40" s="332" t="e">
        <f>IF(OR(E40&gt;=0.3,E40&lt;=-0.3),"超过30%","")</f>
        <v>#DIV/0!</v>
      </c>
      <c r="G40" s="331" t="e">
        <f>IF(G35&lt;G36,G36/G35-1,G35/G36-1)</f>
        <v>#DIV/0!</v>
      </c>
      <c r="H40" s="332" t="e">
        <f>IF(OR(G40&gt;=0.3,G40&lt;=-0.3),"超过30%","")</f>
        <v>#DIV/0!</v>
      </c>
      <c r="I40" s="331" t="e">
        <f>IF(I35&lt;I36,I36/I35-1,I35/I36-1)</f>
        <v>#DIV/0!</v>
      </c>
      <c r="J40" s="332" t="e">
        <f>IF(OR(I40&gt;=0.3,I40&lt;=-0.3),"超过30%","")</f>
        <v>#DIV/0!</v>
      </c>
      <c r="K40" s="411"/>
      <c r="L40" s="412"/>
      <c r="M40" s="338"/>
      <c r="N40" s="338"/>
      <c r="O40" s="338"/>
      <c r="P40" s="338"/>
      <c r="Q40" s="338"/>
      <c r="R40" s="338"/>
      <c r="S40" s="338"/>
      <c r="T40" s="338"/>
      <c r="U40" s="338"/>
      <c r="V40" s="338"/>
      <c r="W40" s="338"/>
      <c r="X40" s="338"/>
      <c r="Y40" s="338"/>
      <c r="Z40" s="338"/>
      <c r="AA40" s="338"/>
      <c r="AB40" s="338"/>
      <c r="AC40" s="338"/>
    </row>
    <row r="41" ht="13.5" customHeight="1" spans="1:29">
      <c r="A41" s="327"/>
      <c r="B41" s="327"/>
      <c r="C41" s="329" t="s">
        <v>967</v>
      </c>
      <c r="D41" s="333"/>
      <c r="E41" s="331" t="e">
        <f>IF(E36&lt;G36,G36/E36-1,E36/G36-1)</f>
        <v>#DIV/0!</v>
      </c>
      <c r="F41" s="332" t="e">
        <f>IF(OR(E41&gt;=0.2,E41&lt;=-0.2),"超过20%","")</f>
        <v>#DIV/0!</v>
      </c>
      <c r="G41" s="331" t="e">
        <f>IF(G36&lt;I36,I36/G36-1,G36/I36-1)</f>
        <v>#DIV/0!</v>
      </c>
      <c r="H41" s="332" t="e">
        <f>IF(OR(G41&gt;=0.2,G41&lt;=-0.2),"超过20%","")</f>
        <v>#DIV/0!</v>
      </c>
      <c r="I41" s="331" t="e">
        <f>IF(I36&lt;E36,E36/I36-1,I36/E36-1)</f>
        <v>#DIV/0!</v>
      </c>
      <c r="J41" s="332" t="e">
        <f>IF(OR(I41&gt;=0.2,I41&lt;=-0.2),"超过20%","")</f>
        <v>#DIV/0!</v>
      </c>
      <c r="K41" s="411"/>
      <c r="L41" s="412"/>
      <c r="M41" s="338"/>
      <c r="N41" s="338"/>
      <c r="O41" s="338"/>
      <c r="P41" s="338"/>
      <c r="Q41" s="338"/>
      <c r="R41" s="338"/>
      <c r="S41" s="338"/>
      <c r="T41" s="338"/>
      <c r="U41" s="338"/>
      <c r="V41" s="338"/>
      <c r="W41" s="338"/>
      <c r="X41" s="338"/>
      <c r="Y41" s="338"/>
      <c r="Z41" s="338"/>
      <c r="AA41" s="338"/>
      <c r="AB41" s="338"/>
      <c r="AC41" s="338"/>
    </row>
    <row r="42" s="192" customFormat="1" ht="13.5" customHeight="1" spans="1:29">
      <c r="A42" s="334"/>
      <c r="B42" s="334"/>
      <c r="C42" s="329" t="s">
        <v>968</v>
      </c>
      <c r="D42" s="333"/>
      <c r="E42" s="331" t="e">
        <f>IF(E35&lt;G35,G35/E35-1,E35/G35-1)</f>
        <v>#DIV/0!</v>
      </c>
      <c r="F42" s="332" t="e">
        <f>IF(OR(E42&gt;=0.3,E42&lt;=-0.3),"超过30%","")</f>
        <v>#DIV/0!</v>
      </c>
      <c r="G42" s="331" t="e">
        <f>IF(G35&lt;I35,I35/G35-1,G35/I35-1)</f>
        <v>#DIV/0!</v>
      </c>
      <c r="H42" s="332" t="e">
        <f>IF(OR(G42&gt;=0.3,G42&lt;=-0.3),"超过30%","")</f>
        <v>#DIV/0!</v>
      </c>
      <c r="I42" s="331" t="e">
        <f>IF(I35&lt;E35,E35/I35-1,I35/E35-1)</f>
        <v>#DIV/0!</v>
      </c>
      <c r="J42" s="332" t="e">
        <f>IF(OR(I42&gt;=0.3,I42&lt;=-0.3),"超过30%","")</f>
        <v>#DIV/0!</v>
      </c>
      <c r="K42" s="413"/>
      <c r="L42" s="414"/>
      <c r="M42" s="335"/>
      <c r="N42" s="335"/>
      <c r="O42" s="335"/>
      <c r="P42" s="335"/>
      <c r="Q42" s="335"/>
      <c r="R42" s="335"/>
      <c r="S42" s="335"/>
      <c r="T42" s="335"/>
      <c r="U42" s="335"/>
      <c r="V42" s="335"/>
      <c r="W42" s="335"/>
      <c r="X42" s="335"/>
      <c r="Y42" s="335"/>
      <c r="Z42" s="335"/>
      <c r="AA42" s="335"/>
      <c r="AB42" s="335"/>
      <c r="AC42" s="335"/>
    </row>
    <row r="43" s="192" customFormat="1" spans="1:29">
      <c r="A43" s="335"/>
      <c r="B43" s="336"/>
      <c r="C43" s="337"/>
      <c r="D43" s="335"/>
      <c r="E43" s="335"/>
      <c r="F43" s="335"/>
      <c r="G43" s="335"/>
      <c r="H43" s="335"/>
      <c r="I43" s="335"/>
      <c r="J43" s="335"/>
      <c r="K43" s="415"/>
      <c r="L43" s="414"/>
      <c r="M43" s="335"/>
      <c r="N43" s="335"/>
      <c r="O43" s="335"/>
      <c r="P43" s="335"/>
      <c r="Q43" s="335"/>
      <c r="R43" s="335"/>
      <c r="S43" s="335"/>
      <c r="T43" s="335"/>
      <c r="U43" s="335"/>
      <c r="V43" s="335"/>
      <c r="W43" s="335"/>
      <c r="X43" s="335"/>
      <c r="Y43" s="335"/>
      <c r="Z43" s="335"/>
      <c r="AA43" s="335"/>
      <c r="AB43" s="335"/>
      <c r="AC43" s="335"/>
    </row>
    <row r="44" spans="1:29">
      <c r="A44" s="338"/>
      <c r="B44" s="336"/>
      <c r="C44" s="337"/>
      <c r="D44" s="338"/>
      <c r="E44" s="338"/>
      <c r="F44" s="338"/>
      <c r="G44" s="338"/>
      <c r="H44" s="338"/>
      <c r="I44" s="338"/>
      <c r="J44" s="338"/>
      <c r="K44" s="416"/>
      <c r="L44" s="412"/>
      <c r="M44" s="338"/>
      <c r="N44" s="338"/>
      <c r="O44" s="338"/>
      <c r="P44" s="338"/>
      <c r="Q44" s="338"/>
      <c r="R44" s="338"/>
      <c r="S44" s="338"/>
      <c r="T44" s="338"/>
      <c r="U44" s="338"/>
      <c r="V44" s="338"/>
      <c r="W44" s="338"/>
      <c r="X44" s="338"/>
      <c r="Y44" s="338"/>
      <c r="Z44" s="338"/>
      <c r="AA44" s="338"/>
      <c r="AB44" s="338"/>
      <c r="AC44" s="338"/>
    </row>
    <row r="45" ht="21" spans="1:29">
      <c r="A45" s="339" t="s">
        <v>990</v>
      </c>
      <c r="B45" s="267"/>
      <c r="C45" s="340"/>
      <c r="D45" s="340"/>
      <c r="E45" s="340"/>
      <c r="F45" s="341"/>
      <c r="G45" s="341"/>
      <c r="H45" s="340"/>
      <c r="I45" s="340"/>
      <c r="J45" s="340"/>
      <c r="K45" s="417"/>
      <c r="L45" s="418"/>
      <c r="M45" s="340"/>
      <c r="N45" s="419"/>
      <c r="O45" s="419"/>
      <c r="P45" s="419"/>
      <c r="Q45" s="422"/>
      <c r="R45" s="338"/>
      <c r="S45" s="338"/>
      <c r="T45" s="338"/>
      <c r="U45" s="338"/>
      <c r="V45" s="338"/>
      <c r="W45" s="338"/>
      <c r="X45" s="338"/>
      <c r="Y45" s="338"/>
      <c r="Z45" s="338"/>
      <c r="AA45" s="338"/>
      <c r="AB45" s="338"/>
      <c r="AC45" s="338"/>
    </row>
    <row r="46" s="193" customFormat="1" ht="15" spans="1:29">
      <c r="A46" s="342" t="s">
        <v>933</v>
      </c>
      <c r="B46" s="343"/>
      <c r="C46" s="344" t="str">
        <f>YEAR(C7)&amp;"-"&amp;MONTH(C7)</f>
        <v>2023-11</v>
      </c>
      <c r="D46" s="345">
        <f>EDATE(C46,-1)</f>
        <v>45200</v>
      </c>
      <c r="E46" s="345">
        <f t="shared" ref="E46:O46" si="16">EDATE(D46,-1)</f>
        <v>45170</v>
      </c>
      <c r="F46" s="345">
        <f t="shared" si="16"/>
        <v>45139</v>
      </c>
      <c r="G46" s="345">
        <f t="shared" si="16"/>
        <v>45108</v>
      </c>
      <c r="H46" s="345">
        <f t="shared" si="16"/>
        <v>45078</v>
      </c>
      <c r="I46" s="345">
        <f t="shared" si="16"/>
        <v>45047</v>
      </c>
      <c r="J46" s="345">
        <f t="shared" si="16"/>
        <v>45017</v>
      </c>
      <c r="K46" s="345">
        <f t="shared" si="16"/>
        <v>44986</v>
      </c>
      <c r="L46" s="345">
        <f t="shared" si="16"/>
        <v>44958</v>
      </c>
      <c r="M46" s="345">
        <f t="shared" si="16"/>
        <v>44927</v>
      </c>
      <c r="N46" s="345">
        <f t="shared" si="16"/>
        <v>44896</v>
      </c>
      <c r="O46" s="345">
        <f t="shared" si="16"/>
        <v>44866</v>
      </c>
      <c r="P46" s="420"/>
      <c r="Q46" s="420"/>
      <c r="R46" s="420"/>
      <c r="S46" s="420"/>
      <c r="T46" s="420"/>
      <c r="U46" s="420"/>
      <c r="V46" s="420"/>
      <c r="W46" s="420"/>
      <c r="X46" s="420"/>
      <c r="Y46" s="420"/>
      <c r="Z46" s="420"/>
      <c r="AA46" s="420"/>
      <c r="AB46" s="420"/>
      <c r="AC46" s="420"/>
    </row>
    <row r="47" s="189" customFormat="1" ht="15" spans="1:29">
      <c r="A47" s="346"/>
      <c r="B47" s="347"/>
      <c r="C47" s="348">
        <v>100</v>
      </c>
      <c r="D47" s="349"/>
      <c r="E47" s="349"/>
      <c r="F47" s="349"/>
      <c r="G47" s="349"/>
      <c r="H47" s="349"/>
      <c r="I47" s="349"/>
      <c r="J47" s="349"/>
      <c r="K47" s="349"/>
      <c r="L47" s="349"/>
      <c r="M47" s="289"/>
      <c r="N47" s="349"/>
      <c r="O47" s="421"/>
      <c r="P47" s="422"/>
      <c r="Q47" s="387"/>
      <c r="R47" s="387"/>
      <c r="S47" s="387"/>
      <c r="T47" s="387"/>
      <c r="U47" s="387"/>
      <c r="V47" s="387"/>
      <c r="W47" s="387"/>
      <c r="X47" s="387"/>
      <c r="Y47" s="387"/>
      <c r="Z47" s="387"/>
      <c r="AA47" s="387"/>
      <c r="AB47" s="387"/>
      <c r="AC47" s="387"/>
    </row>
    <row r="48" s="189" customFormat="1" ht="15.75" spans="1:29">
      <c r="A48" s="350" t="s">
        <v>1105</v>
      </c>
      <c r="B48" s="351"/>
      <c r="C48" s="352"/>
      <c r="D48" s="353"/>
      <c r="E48" s="353"/>
      <c r="F48" s="353"/>
      <c r="G48" s="353"/>
      <c r="H48" s="353"/>
      <c r="I48" s="353"/>
      <c r="J48" s="353"/>
      <c r="K48" s="353"/>
      <c r="L48" s="353"/>
      <c r="M48" s="423"/>
      <c r="N48" s="353"/>
      <c r="O48" s="424"/>
      <c r="P48" s="422"/>
      <c r="Q48" s="422"/>
      <c r="R48" s="387"/>
      <c r="S48" s="387"/>
      <c r="T48" s="387"/>
      <c r="U48" s="387"/>
      <c r="V48" s="387"/>
      <c r="W48" s="387"/>
      <c r="X48" s="387"/>
      <c r="Y48" s="387"/>
      <c r="Z48" s="387"/>
      <c r="AA48" s="387"/>
      <c r="AB48" s="387"/>
      <c r="AC48" s="387"/>
    </row>
    <row r="49" s="189" customFormat="1" ht="15" spans="1:29">
      <c r="A49" s="354" t="s">
        <v>936</v>
      </c>
      <c r="B49" s="347"/>
      <c r="C49" s="355" t="s">
        <v>937</v>
      </c>
      <c r="D49" s="356"/>
      <c r="E49" s="356"/>
      <c r="F49" s="356"/>
      <c r="G49" s="356"/>
      <c r="H49" s="356"/>
      <c r="I49" s="356"/>
      <c r="J49" s="356"/>
      <c r="K49" s="356"/>
      <c r="L49" s="425"/>
      <c r="M49" s="426"/>
      <c r="N49" s="427"/>
      <c r="O49" s="427"/>
      <c r="P49" s="428"/>
      <c r="Q49" s="422"/>
      <c r="R49" s="387"/>
      <c r="S49" s="387"/>
      <c r="T49" s="387"/>
      <c r="U49" s="387"/>
      <c r="V49" s="387"/>
      <c r="W49" s="387"/>
      <c r="X49" s="387"/>
      <c r="Y49" s="387"/>
      <c r="Z49" s="387"/>
      <c r="AA49" s="387"/>
      <c r="AB49" s="387"/>
      <c r="AC49" s="387"/>
    </row>
    <row r="50" s="189" customFormat="1" ht="15.75" spans="1:29">
      <c r="A50" s="354"/>
      <c r="B50" s="347"/>
      <c r="C50" s="348">
        <v>100</v>
      </c>
      <c r="D50" s="349"/>
      <c r="E50" s="349"/>
      <c r="F50" s="349"/>
      <c r="G50" s="349"/>
      <c r="H50" s="349"/>
      <c r="I50" s="349"/>
      <c r="J50" s="349"/>
      <c r="K50" s="349"/>
      <c r="L50" s="349"/>
      <c r="M50" s="421"/>
      <c r="N50" s="427"/>
      <c r="O50" s="427"/>
      <c r="P50" s="422"/>
      <c r="Q50" s="422"/>
      <c r="R50" s="387"/>
      <c r="S50" s="387"/>
      <c r="T50" s="387"/>
      <c r="U50" s="387"/>
      <c r="V50" s="387"/>
      <c r="W50" s="387"/>
      <c r="X50" s="387"/>
      <c r="Y50" s="387"/>
      <c r="Z50" s="387"/>
      <c r="AA50" s="387"/>
      <c r="AB50" s="387"/>
      <c r="AC50" s="387"/>
    </row>
    <row r="51" spans="1:29">
      <c r="A51" s="357" t="s">
        <v>993</v>
      </c>
      <c r="B51" s="358" t="s">
        <v>994</v>
      </c>
      <c r="C51" s="359">
        <f>C9</f>
        <v>0</v>
      </c>
      <c r="D51" s="360"/>
      <c r="E51" s="360"/>
      <c r="F51" s="360"/>
      <c r="G51" s="360"/>
      <c r="H51" s="360"/>
      <c r="I51" s="360"/>
      <c r="J51" s="360"/>
      <c r="K51" s="429"/>
      <c r="L51" s="430"/>
      <c r="M51" s="431"/>
      <c r="N51" s="432"/>
      <c r="O51" s="432"/>
      <c r="P51" s="427"/>
      <c r="Q51" s="422"/>
      <c r="R51" s="338"/>
      <c r="S51" s="338"/>
      <c r="T51" s="338"/>
      <c r="U51" s="338"/>
      <c r="V51" s="338"/>
      <c r="W51" s="338"/>
      <c r="X51" s="338"/>
      <c r="Y51" s="338"/>
      <c r="Z51" s="338"/>
      <c r="AA51" s="338"/>
      <c r="AB51" s="338"/>
      <c r="AC51" s="338"/>
    </row>
    <row r="52" ht="15.75" spans="1:29">
      <c r="A52" s="266"/>
      <c r="B52" s="361"/>
      <c r="C52" s="362">
        <v>100</v>
      </c>
      <c r="D52" s="362"/>
      <c r="E52" s="362"/>
      <c r="F52" s="362"/>
      <c r="G52" s="362"/>
      <c r="H52" s="362"/>
      <c r="I52" s="362"/>
      <c r="J52" s="362"/>
      <c r="K52" s="362"/>
      <c r="L52" s="362"/>
      <c r="M52" s="433"/>
      <c r="N52" s="434"/>
      <c r="O52" s="434"/>
      <c r="P52" s="427"/>
      <c r="Q52" s="422"/>
      <c r="R52" s="338"/>
      <c r="S52" s="338"/>
      <c r="T52" s="338"/>
      <c r="U52" s="338"/>
      <c r="V52" s="338"/>
      <c r="W52" s="338"/>
      <c r="X52" s="338"/>
      <c r="Y52" s="338"/>
      <c r="Z52" s="338"/>
      <c r="AA52" s="338"/>
      <c r="AB52" s="338"/>
      <c r="AC52" s="338"/>
    </row>
    <row r="53" ht="27.75" spans="1:29">
      <c r="A53" s="266"/>
      <c r="B53" s="363" t="s">
        <v>995</v>
      </c>
      <c r="C53" s="364" t="s">
        <v>2376</v>
      </c>
      <c r="D53" s="364" t="s">
        <v>2377</v>
      </c>
      <c r="E53" s="364" t="s">
        <v>2378</v>
      </c>
      <c r="F53" s="364" t="s">
        <v>2379</v>
      </c>
      <c r="G53" s="364" t="s">
        <v>2380</v>
      </c>
      <c r="H53" s="364" t="s">
        <v>2381</v>
      </c>
      <c r="I53" s="364" t="s">
        <v>2382</v>
      </c>
      <c r="J53" s="364"/>
      <c r="K53" s="435"/>
      <c r="L53" s="436"/>
      <c r="M53" s="437"/>
      <c r="N53" s="432"/>
      <c r="O53" s="432"/>
      <c r="P53" s="427"/>
      <c r="Q53" s="422"/>
      <c r="R53" s="338"/>
      <c r="S53" s="338"/>
      <c r="T53" s="338"/>
      <c r="U53" s="338"/>
      <c r="V53" s="338"/>
      <c r="W53" s="338"/>
      <c r="X53" s="338"/>
      <c r="Y53" s="338"/>
      <c r="Z53" s="338"/>
      <c r="AA53" s="338"/>
      <c r="AB53" s="338"/>
      <c r="AC53" s="338"/>
    </row>
    <row r="54" ht="15.75" spans="1:29">
      <c r="A54" s="266"/>
      <c r="B54" s="365"/>
      <c r="C54" s="366" t="s">
        <v>989</v>
      </c>
      <c r="D54" s="366" t="s">
        <v>989</v>
      </c>
      <c r="E54" s="366">
        <v>100</v>
      </c>
      <c r="F54" s="366">
        <f>E54-$K10</f>
        <v>100</v>
      </c>
      <c r="G54" s="366">
        <f>F54-$K10</f>
        <v>100</v>
      </c>
      <c r="H54" s="366">
        <f>G54-$K10</f>
        <v>100</v>
      </c>
      <c r="I54" s="366">
        <f>H54-$K10</f>
        <v>100</v>
      </c>
      <c r="J54" s="366"/>
      <c r="K54" s="366"/>
      <c r="L54" s="366"/>
      <c r="M54" s="438"/>
      <c r="N54" s="434"/>
      <c r="O54" s="434"/>
      <c r="P54" s="427"/>
      <c r="Q54" s="422"/>
      <c r="R54" s="338"/>
      <c r="S54" s="338"/>
      <c r="T54" s="338"/>
      <c r="U54" s="338"/>
      <c r="V54" s="338"/>
      <c r="W54" s="338"/>
      <c r="X54" s="338"/>
      <c r="Y54" s="338"/>
      <c r="Z54" s="338"/>
      <c r="AA54" s="338"/>
      <c r="AB54" s="338"/>
      <c r="AC54" s="338"/>
    </row>
    <row r="55" ht="15.75" spans="1:29">
      <c r="A55" s="266"/>
      <c r="B55" s="367">
        <f>B11</f>
        <v>111</v>
      </c>
      <c r="C55" s="368"/>
      <c r="D55" s="368"/>
      <c r="E55" s="368"/>
      <c r="F55" s="368"/>
      <c r="G55" s="368"/>
      <c r="H55" s="368"/>
      <c r="I55" s="368"/>
      <c r="J55" s="368"/>
      <c r="K55" s="439"/>
      <c r="L55" s="440"/>
      <c r="M55" s="441"/>
      <c r="N55" s="432"/>
      <c r="O55" s="432"/>
      <c r="P55" s="427"/>
      <c r="Q55" s="422"/>
      <c r="R55" s="338"/>
      <c r="S55" s="338"/>
      <c r="T55" s="338"/>
      <c r="U55" s="338"/>
      <c r="V55" s="338"/>
      <c r="W55" s="338"/>
      <c r="X55" s="338"/>
      <c r="Y55" s="338"/>
      <c r="Z55" s="338"/>
      <c r="AA55" s="338"/>
      <c r="AB55" s="338"/>
      <c r="AC55" s="338"/>
    </row>
    <row r="56" ht="15.75" spans="1:29">
      <c r="A56" s="266"/>
      <c r="B56" s="361"/>
      <c r="C56" s="369"/>
      <c r="D56" s="362"/>
      <c r="E56" s="362"/>
      <c r="F56" s="362"/>
      <c r="G56" s="362"/>
      <c r="H56" s="362"/>
      <c r="I56" s="362"/>
      <c r="J56" s="362"/>
      <c r="K56" s="362"/>
      <c r="L56" s="362"/>
      <c r="M56" s="433"/>
      <c r="N56" s="434"/>
      <c r="O56" s="434"/>
      <c r="P56" s="427"/>
      <c r="Q56" s="422"/>
      <c r="R56" s="338"/>
      <c r="S56" s="338"/>
      <c r="T56" s="338"/>
      <c r="U56" s="338"/>
      <c r="V56" s="338"/>
      <c r="W56" s="338"/>
      <c r="X56" s="338"/>
      <c r="Y56" s="338"/>
      <c r="Z56" s="338"/>
      <c r="AA56" s="338"/>
      <c r="AB56" s="338"/>
      <c r="AC56" s="338"/>
    </row>
    <row r="57" s="191" customFormat="1" ht="15.75" spans="1:29">
      <c r="A57" s="370"/>
      <c r="B57" s="363">
        <f>B12</f>
        <v>111</v>
      </c>
      <c r="C57" s="368"/>
      <c r="D57" s="368"/>
      <c r="E57" s="368"/>
      <c r="F57" s="368"/>
      <c r="G57" s="371"/>
      <c r="H57" s="372"/>
      <c r="I57" s="372"/>
      <c r="J57" s="372"/>
      <c r="K57" s="372"/>
      <c r="L57" s="442"/>
      <c r="M57" s="443"/>
      <c r="N57" s="444"/>
      <c r="O57" s="444"/>
      <c r="P57" s="444"/>
      <c r="Q57" s="475"/>
      <c r="R57" s="404"/>
      <c r="S57" s="404"/>
      <c r="T57" s="404"/>
      <c r="U57" s="404"/>
      <c r="V57" s="404"/>
      <c r="W57" s="404"/>
      <c r="X57" s="404"/>
      <c r="Y57" s="404"/>
      <c r="Z57" s="404"/>
      <c r="AA57" s="404"/>
      <c r="AB57" s="404"/>
      <c r="AC57" s="404"/>
    </row>
    <row r="58" s="191" customFormat="1" ht="15.75" spans="1:29">
      <c r="A58" s="370"/>
      <c r="B58" s="365"/>
      <c r="C58" s="369"/>
      <c r="D58" s="362"/>
      <c r="E58" s="362"/>
      <c r="F58" s="362"/>
      <c r="G58" s="362"/>
      <c r="H58" s="362"/>
      <c r="I58" s="362"/>
      <c r="J58" s="362"/>
      <c r="K58" s="362"/>
      <c r="L58" s="362"/>
      <c r="M58" s="433"/>
      <c r="N58" s="434"/>
      <c r="O58" s="434"/>
      <c r="P58" s="444"/>
      <c r="Q58" s="475"/>
      <c r="R58" s="404"/>
      <c r="S58" s="404"/>
      <c r="T58" s="404"/>
      <c r="U58" s="404"/>
      <c r="V58" s="404"/>
      <c r="W58" s="404"/>
      <c r="X58" s="404"/>
      <c r="Y58" s="404"/>
      <c r="Z58" s="404"/>
      <c r="AA58" s="404"/>
      <c r="AB58" s="404"/>
      <c r="AC58" s="404"/>
    </row>
    <row r="59" s="191" customFormat="1" ht="15.75" spans="1:29">
      <c r="A59" s="370"/>
      <c r="B59" s="363">
        <f>B13</f>
        <v>111</v>
      </c>
      <c r="C59" s="368"/>
      <c r="D59" s="368"/>
      <c r="E59" s="368"/>
      <c r="F59" s="368"/>
      <c r="G59" s="371"/>
      <c r="H59" s="372"/>
      <c r="I59" s="372"/>
      <c r="J59" s="372"/>
      <c r="K59" s="372"/>
      <c r="L59" s="442"/>
      <c r="M59" s="443"/>
      <c r="N59" s="444"/>
      <c r="O59" s="444"/>
      <c r="P59" s="404"/>
      <c r="Q59" s="476"/>
      <c r="R59" s="404"/>
      <c r="S59" s="404"/>
      <c r="T59" s="404"/>
      <c r="U59" s="404"/>
      <c r="V59" s="404"/>
      <c r="W59" s="404"/>
      <c r="X59" s="404"/>
      <c r="Y59" s="404"/>
      <c r="Z59" s="404"/>
      <c r="AA59" s="404"/>
      <c r="AB59" s="404"/>
      <c r="AC59" s="404"/>
    </row>
    <row r="60" s="191" customFormat="1" ht="15.75" spans="1:29">
      <c r="A60" s="370"/>
      <c r="B60" s="365"/>
      <c r="C60" s="369"/>
      <c r="D60" s="369"/>
      <c r="E60" s="369"/>
      <c r="F60" s="369"/>
      <c r="G60" s="369"/>
      <c r="H60" s="373"/>
      <c r="I60" s="373"/>
      <c r="J60" s="373"/>
      <c r="K60" s="373"/>
      <c r="L60" s="373"/>
      <c r="M60" s="445"/>
      <c r="N60" s="444"/>
      <c r="O60" s="444"/>
      <c r="P60" s="444"/>
      <c r="Q60" s="475"/>
      <c r="R60" s="404"/>
      <c r="S60" s="404"/>
      <c r="T60" s="404"/>
      <c r="U60" s="404"/>
      <c r="V60" s="404"/>
      <c r="W60" s="404"/>
      <c r="X60" s="404"/>
      <c r="Y60" s="404"/>
      <c r="Z60" s="404"/>
      <c r="AA60" s="404"/>
      <c r="AB60" s="404"/>
      <c r="AC60" s="404"/>
    </row>
    <row r="61" ht="15" spans="1:29">
      <c r="A61" s="357" t="s">
        <v>997</v>
      </c>
      <c r="B61" s="358" t="s">
        <v>229</v>
      </c>
      <c r="C61" s="374" t="s">
        <v>246</v>
      </c>
      <c r="D61" s="374" t="s">
        <v>258</v>
      </c>
      <c r="E61" s="374" t="s">
        <v>269</v>
      </c>
      <c r="F61" s="374" t="s">
        <v>279</v>
      </c>
      <c r="G61" s="374" t="s">
        <v>287</v>
      </c>
      <c r="H61" s="359"/>
      <c r="I61" s="359"/>
      <c r="J61" s="359"/>
      <c r="K61" s="446"/>
      <c r="L61" s="447"/>
      <c r="M61" s="448"/>
      <c r="N61" s="432"/>
      <c r="O61" s="432"/>
      <c r="P61" s="449"/>
      <c r="Q61" s="422"/>
      <c r="R61" s="338"/>
      <c r="S61" s="338"/>
      <c r="T61" s="338"/>
      <c r="U61" s="338"/>
      <c r="V61" s="338"/>
      <c r="W61" s="338"/>
      <c r="X61" s="338"/>
      <c r="Y61" s="338"/>
      <c r="Z61" s="338"/>
      <c r="AA61" s="338"/>
      <c r="AB61" s="338"/>
      <c r="AC61" s="338"/>
    </row>
    <row r="62" ht="15.75" spans="1:29">
      <c r="A62" s="266"/>
      <c r="B62" s="365"/>
      <c r="C62" s="366">
        <v>100</v>
      </c>
      <c r="D62" s="366">
        <f>C62-$K14</f>
        <v>100</v>
      </c>
      <c r="E62" s="366">
        <f>D62-$K14</f>
        <v>100</v>
      </c>
      <c r="F62" s="366">
        <f>E62-$K14</f>
        <v>100</v>
      </c>
      <c r="G62" s="366">
        <f>F62-$K14</f>
        <v>100</v>
      </c>
      <c r="H62" s="366"/>
      <c r="I62" s="366"/>
      <c r="J62" s="366"/>
      <c r="K62" s="366"/>
      <c r="L62" s="366"/>
      <c r="M62" s="438"/>
      <c r="N62" s="434"/>
      <c r="O62" s="434"/>
      <c r="P62" s="427"/>
      <c r="Q62" s="422"/>
      <c r="R62" s="338"/>
      <c r="S62" s="338"/>
      <c r="T62" s="338"/>
      <c r="U62" s="338"/>
      <c r="V62" s="338"/>
      <c r="W62" s="338"/>
      <c r="X62" s="338"/>
      <c r="Y62" s="338"/>
      <c r="Z62" s="338"/>
      <c r="AA62" s="338"/>
      <c r="AB62" s="338"/>
      <c r="AC62" s="338"/>
    </row>
    <row r="63" ht="15.75" spans="1:29">
      <c r="A63" s="266"/>
      <c r="B63" s="375" t="s">
        <v>231</v>
      </c>
      <c r="C63" s="376" t="s">
        <v>246</v>
      </c>
      <c r="D63" s="376" t="s">
        <v>258</v>
      </c>
      <c r="E63" s="376" t="s">
        <v>269</v>
      </c>
      <c r="F63" s="376" t="s">
        <v>279</v>
      </c>
      <c r="G63" s="376" t="s">
        <v>287</v>
      </c>
      <c r="H63" s="364"/>
      <c r="I63" s="364"/>
      <c r="J63" s="364"/>
      <c r="K63" s="435"/>
      <c r="L63" s="436"/>
      <c r="M63" s="437"/>
      <c r="N63" s="432"/>
      <c r="O63" s="432"/>
      <c r="P63" s="427"/>
      <c r="Q63" s="422"/>
      <c r="R63" s="338"/>
      <c r="S63" s="338"/>
      <c r="T63" s="338"/>
      <c r="U63" s="338"/>
      <c r="V63" s="338"/>
      <c r="W63" s="338"/>
      <c r="X63" s="338"/>
      <c r="Y63" s="338"/>
      <c r="Z63" s="338"/>
      <c r="AA63" s="338"/>
      <c r="AB63" s="338"/>
      <c r="AC63" s="338"/>
    </row>
    <row r="64" ht="15.75" spans="1:29">
      <c r="A64" s="266"/>
      <c r="B64" s="365"/>
      <c r="C64" s="366">
        <v>100</v>
      </c>
      <c r="D64" s="366">
        <f>C64-$K16</f>
        <v>100</v>
      </c>
      <c r="E64" s="366">
        <f>D64-$K16</f>
        <v>100</v>
      </c>
      <c r="F64" s="366">
        <f>E64-$K16</f>
        <v>100</v>
      </c>
      <c r="G64" s="366">
        <f>F64-$K16</f>
        <v>100</v>
      </c>
      <c r="H64" s="366"/>
      <c r="I64" s="366"/>
      <c r="J64" s="366"/>
      <c r="K64" s="366"/>
      <c r="L64" s="366"/>
      <c r="M64" s="438"/>
      <c r="N64" s="434"/>
      <c r="O64" s="434"/>
      <c r="P64" s="427"/>
      <c r="Q64" s="422"/>
      <c r="R64" s="338"/>
      <c r="S64" s="338"/>
      <c r="T64" s="338"/>
      <c r="U64" s="338"/>
      <c r="V64" s="338"/>
      <c r="W64" s="338"/>
      <c r="X64" s="338"/>
      <c r="Y64" s="338"/>
      <c r="Z64" s="338"/>
      <c r="AA64" s="338"/>
      <c r="AB64" s="338"/>
      <c r="AC64" s="338"/>
    </row>
    <row r="65" ht="15.75" spans="1:29">
      <c r="A65" s="266"/>
      <c r="B65" s="484" t="s">
        <v>232</v>
      </c>
      <c r="C65" s="485" t="s">
        <v>247</v>
      </c>
      <c r="D65" s="485" t="s">
        <v>259</v>
      </c>
      <c r="E65" s="485" t="s">
        <v>270</v>
      </c>
      <c r="F65" s="485" t="s">
        <v>280</v>
      </c>
      <c r="G65" s="485" t="s">
        <v>288</v>
      </c>
      <c r="H65" s="364"/>
      <c r="I65" s="364"/>
      <c r="J65" s="364"/>
      <c r="K65" s="364"/>
      <c r="L65" s="364"/>
      <c r="M65" s="492"/>
      <c r="N65" s="434"/>
      <c r="O65" s="434"/>
      <c r="P65" s="427"/>
      <c r="Q65" s="422"/>
      <c r="R65" s="338"/>
      <c r="S65" s="338"/>
      <c r="T65" s="338"/>
      <c r="U65" s="338"/>
      <c r="V65" s="338"/>
      <c r="W65" s="338"/>
      <c r="X65" s="338"/>
      <c r="Y65" s="338"/>
      <c r="Z65" s="338"/>
      <c r="AA65" s="338"/>
      <c r="AB65" s="338"/>
      <c r="AC65" s="338"/>
    </row>
    <row r="66" ht="15.75" spans="1:29">
      <c r="A66" s="266"/>
      <c r="B66" s="486"/>
      <c r="C66" s="366">
        <v>100</v>
      </c>
      <c r="D66" s="366">
        <f>C66-$K18</f>
        <v>100</v>
      </c>
      <c r="E66" s="366">
        <f>D66-$K18</f>
        <v>100</v>
      </c>
      <c r="F66" s="366">
        <f>E66-$K18</f>
        <v>100</v>
      </c>
      <c r="G66" s="366">
        <f>F66-$K18</f>
        <v>100</v>
      </c>
      <c r="H66" s="367"/>
      <c r="I66" s="367"/>
      <c r="J66" s="367"/>
      <c r="K66" s="367"/>
      <c r="L66" s="367"/>
      <c r="M66" s="271"/>
      <c r="N66" s="434"/>
      <c r="O66" s="434"/>
      <c r="P66" s="427"/>
      <c r="Q66" s="422"/>
      <c r="R66" s="338"/>
      <c r="S66" s="338"/>
      <c r="T66" s="338"/>
      <c r="U66" s="338"/>
      <c r="V66" s="338"/>
      <c r="W66" s="338"/>
      <c r="X66" s="338"/>
      <c r="Y66" s="338"/>
      <c r="Z66" s="338"/>
      <c r="AA66" s="338"/>
      <c r="AB66" s="338"/>
      <c r="AC66" s="338"/>
    </row>
    <row r="67" ht="15.75" spans="1:29">
      <c r="A67" s="266"/>
      <c r="B67" s="363" t="s">
        <v>2356</v>
      </c>
      <c r="C67" s="376" t="s">
        <v>246</v>
      </c>
      <c r="D67" s="376" t="s">
        <v>258</v>
      </c>
      <c r="E67" s="376" t="s">
        <v>269</v>
      </c>
      <c r="F67" s="376" t="s">
        <v>279</v>
      </c>
      <c r="G67" s="376" t="s">
        <v>287</v>
      </c>
      <c r="H67" s="364"/>
      <c r="I67" s="364"/>
      <c r="J67" s="364"/>
      <c r="K67" s="435"/>
      <c r="L67" s="436"/>
      <c r="M67" s="437"/>
      <c r="N67" s="432"/>
      <c r="O67" s="432"/>
      <c r="P67" s="427"/>
      <c r="Q67" s="422"/>
      <c r="R67" s="338"/>
      <c r="S67" s="338"/>
      <c r="T67" s="338"/>
      <c r="U67" s="338"/>
      <c r="V67" s="338"/>
      <c r="W67" s="338"/>
      <c r="X67" s="338"/>
      <c r="Y67" s="338"/>
      <c r="Z67" s="338"/>
      <c r="AA67" s="338"/>
      <c r="AB67" s="338"/>
      <c r="AC67" s="338"/>
    </row>
    <row r="68" ht="15.75" spans="1:29">
      <c r="A68" s="266"/>
      <c r="B68" s="365"/>
      <c r="C68" s="366">
        <v>100</v>
      </c>
      <c r="D68" s="366">
        <f>C68-$K20</f>
        <v>100</v>
      </c>
      <c r="E68" s="366">
        <f>D68-$K20</f>
        <v>100</v>
      </c>
      <c r="F68" s="366">
        <f>E68-$K20</f>
        <v>100</v>
      </c>
      <c r="G68" s="366">
        <f>F68-$K20</f>
        <v>100</v>
      </c>
      <c r="H68" s="366"/>
      <c r="I68" s="366"/>
      <c r="J68" s="366"/>
      <c r="K68" s="366"/>
      <c r="L68" s="366"/>
      <c r="M68" s="438"/>
      <c r="N68" s="434"/>
      <c r="O68" s="434"/>
      <c r="P68" s="427"/>
      <c r="Q68" s="422"/>
      <c r="R68" s="338"/>
      <c r="S68" s="338"/>
      <c r="T68" s="338"/>
      <c r="U68" s="338"/>
      <c r="V68" s="338"/>
      <c r="W68" s="338"/>
      <c r="X68" s="338"/>
      <c r="Y68" s="338"/>
      <c r="Z68" s="338"/>
      <c r="AA68" s="338"/>
      <c r="AB68" s="338"/>
      <c r="AC68" s="338"/>
    </row>
    <row r="69" ht="15.75" spans="1:29">
      <c r="A69" s="266"/>
      <c r="B69" s="363" t="s">
        <v>2460</v>
      </c>
      <c r="C69" s="371"/>
      <c r="D69" s="371"/>
      <c r="E69" s="371"/>
      <c r="F69" s="371"/>
      <c r="G69" s="371"/>
      <c r="H69" s="487"/>
      <c r="I69" s="487"/>
      <c r="J69" s="487"/>
      <c r="K69" s="493"/>
      <c r="L69" s="494"/>
      <c r="M69" s="495"/>
      <c r="N69" s="432"/>
      <c r="O69" s="432"/>
      <c r="P69" s="427"/>
      <c r="Q69" s="422"/>
      <c r="R69" s="338"/>
      <c r="S69" s="338"/>
      <c r="T69" s="338"/>
      <c r="U69" s="338"/>
      <c r="V69" s="338"/>
      <c r="W69" s="338"/>
      <c r="X69" s="338"/>
      <c r="Y69" s="338"/>
      <c r="Z69" s="338"/>
      <c r="AA69" s="338"/>
      <c r="AB69" s="338"/>
      <c r="AC69" s="338"/>
    </row>
    <row r="70" ht="15.75" spans="1:29">
      <c r="A70" s="266"/>
      <c r="B70" s="365"/>
      <c r="C70" s="366">
        <v>100</v>
      </c>
      <c r="D70" s="366">
        <f>C70-$K22</f>
        <v>100</v>
      </c>
      <c r="E70" s="366"/>
      <c r="F70" s="366"/>
      <c r="G70" s="366"/>
      <c r="H70" s="366"/>
      <c r="I70" s="366"/>
      <c r="J70" s="366"/>
      <c r="K70" s="366"/>
      <c r="L70" s="366"/>
      <c r="M70" s="438"/>
      <c r="N70" s="434"/>
      <c r="O70" s="434"/>
      <c r="P70" s="427"/>
      <c r="Q70" s="422"/>
      <c r="R70" s="338"/>
      <c r="S70" s="338"/>
      <c r="T70" s="338"/>
      <c r="U70" s="338"/>
      <c r="V70" s="338"/>
      <c r="W70" s="338"/>
      <c r="X70" s="338"/>
      <c r="Y70" s="338"/>
      <c r="Z70" s="338"/>
      <c r="AA70" s="338"/>
      <c r="AB70" s="338"/>
      <c r="AC70" s="338"/>
    </row>
    <row r="71" s="189" customFormat="1" ht="15.75" spans="1:29">
      <c r="A71" s="290"/>
      <c r="B71" s="363">
        <f>B23</f>
        <v>111</v>
      </c>
      <c r="C71" s="368"/>
      <c r="D71" s="368"/>
      <c r="E71" s="368"/>
      <c r="F71" s="368"/>
      <c r="G71" s="371"/>
      <c r="H71" s="371"/>
      <c r="I71" s="371"/>
      <c r="J71" s="371"/>
      <c r="K71" s="371"/>
      <c r="L71" s="496"/>
      <c r="M71" s="497"/>
      <c r="N71" s="427"/>
      <c r="O71" s="427"/>
      <c r="P71" s="427"/>
      <c r="Q71" s="422"/>
      <c r="R71" s="387"/>
      <c r="S71" s="387"/>
      <c r="T71" s="387"/>
      <c r="U71" s="387"/>
      <c r="V71" s="387"/>
      <c r="W71" s="387"/>
      <c r="X71" s="387"/>
      <c r="Y71" s="387"/>
      <c r="Z71" s="387"/>
      <c r="AA71" s="387"/>
      <c r="AB71" s="387"/>
      <c r="AC71" s="387"/>
    </row>
    <row r="72" s="189" customFormat="1" ht="15.75" spans="1:29">
      <c r="A72" s="290"/>
      <c r="B72" s="365"/>
      <c r="C72" s="369"/>
      <c r="D72" s="362"/>
      <c r="E72" s="362"/>
      <c r="F72" s="362"/>
      <c r="G72" s="362"/>
      <c r="H72" s="362"/>
      <c r="I72" s="362"/>
      <c r="J72" s="362"/>
      <c r="K72" s="362"/>
      <c r="L72" s="362"/>
      <c r="M72" s="433"/>
      <c r="N72" s="434"/>
      <c r="O72" s="434"/>
      <c r="P72" s="427"/>
      <c r="Q72" s="422"/>
      <c r="R72" s="387"/>
      <c r="S72" s="387"/>
      <c r="T72" s="387"/>
      <c r="U72" s="387"/>
      <c r="V72" s="387"/>
      <c r="W72" s="387"/>
      <c r="X72" s="387"/>
      <c r="Y72" s="387"/>
      <c r="Z72" s="387"/>
      <c r="AA72" s="387"/>
      <c r="AB72" s="387"/>
      <c r="AC72" s="387"/>
    </row>
    <row r="73" s="189" customFormat="1" ht="15.75" spans="1:29">
      <c r="A73" s="290"/>
      <c r="B73" s="363">
        <f>B24</f>
        <v>111</v>
      </c>
      <c r="C73" s="368"/>
      <c r="D73" s="368"/>
      <c r="E73" s="368"/>
      <c r="F73" s="368"/>
      <c r="G73" s="371"/>
      <c r="H73" s="371"/>
      <c r="I73" s="371"/>
      <c r="J73" s="371"/>
      <c r="K73" s="371"/>
      <c r="L73" s="371"/>
      <c r="M73" s="497"/>
      <c r="N73" s="427"/>
      <c r="O73" s="427"/>
      <c r="P73" s="427"/>
      <c r="Q73" s="422"/>
      <c r="R73" s="387"/>
      <c r="S73" s="387"/>
      <c r="T73" s="387"/>
      <c r="U73" s="387"/>
      <c r="V73" s="387"/>
      <c r="W73" s="387"/>
      <c r="X73" s="387"/>
      <c r="Y73" s="387"/>
      <c r="Z73" s="387"/>
      <c r="AA73" s="387"/>
      <c r="AB73" s="387"/>
      <c r="AC73" s="387"/>
    </row>
    <row r="74" s="189" customFormat="1" ht="15.75" spans="1:29">
      <c r="A74" s="290"/>
      <c r="B74" s="365"/>
      <c r="C74" s="369"/>
      <c r="D74" s="362"/>
      <c r="E74" s="362"/>
      <c r="F74" s="362"/>
      <c r="G74" s="362"/>
      <c r="H74" s="362"/>
      <c r="I74" s="362"/>
      <c r="J74" s="362"/>
      <c r="K74" s="362"/>
      <c r="L74" s="362"/>
      <c r="M74" s="433"/>
      <c r="N74" s="434"/>
      <c r="O74" s="434"/>
      <c r="P74" s="427"/>
      <c r="Q74" s="422"/>
      <c r="R74" s="387"/>
      <c r="S74" s="387"/>
      <c r="T74" s="387"/>
      <c r="U74" s="387"/>
      <c r="V74" s="387"/>
      <c r="W74" s="387"/>
      <c r="X74" s="387"/>
      <c r="Y74" s="387"/>
      <c r="Z74" s="387"/>
      <c r="AA74" s="387"/>
      <c r="AB74" s="387"/>
      <c r="AC74" s="387"/>
    </row>
    <row r="75" s="191" customFormat="1" ht="15.75" spans="1:29">
      <c r="A75" s="370"/>
      <c r="B75" s="363">
        <f>B25</f>
        <v>111</v>
      </c>
      <c r="C75" s="368"/>
      <c r="D75" s="368"/>
      <c r="E75" s="368"/>
      <c r="F75" s="368"/>
      <c r="G75" s="371"/>
      <c r="H75" s="372"/>
      <c r="I75" s="372"/>
      <c r="J75" s="372"/>
      <c r="K75" s="372"/>
      <c r="L75" s="442"/>
      <c r="M75" s="443"/>
      <c r="N75" s="444"/>
      <c r="O75" s="444"/>
      <c r="P75" s="444"/>
      <c r="Q75" s="475"/>
      <c r="R75" s="404"/>
      <c r="S75" s="404"/>
      <c r="T75" s="404"/>
      <c r="U75" s="404"/>
      <c r="V75" s="404"/>
      <c r="W75" s="404"/>
      <c r="X75" s="404"/>
      <c r="Y75" s="404"/>
      <c r="Z75" s="404"/>
      <c r="AA75" s="404"/>
      <c r="AB75" s="404"/>
      <c r="AC75" s="404"/>
    </row>
    <row r="76" s="191" customFormat="1" ht="15.75" spans="1:29">
      <c r="A76" s="370"/>
      <c r="B76" s="365"/>
      <c r="C76" s="369"/>
      <c r="D76" s="369"/>
      <c r="E76" s="369"/>
      <c r="F76" s="369"/>
      <c r="G76" s="362"/>
      <c r="H76" s="362"/>
      <c r="I76" s="362"/>
      <c r="J76" s="362"/>
      <c r="K76" s="362"/>
      <c r="L76" s="362"/>
      <c r="M76" s="433"/>
      <c r="N76" s="444"/>
      <c r="O76" s="444"/>
      <c r="P76" s="444"/>
      <c r="Q76" s="475"/>
      <c r="R76" s="404"/>
      <c r="S76" s="404"/>
      <c r="T76" s="404"/>
      <c r="U76" s="404"/>
      <c r="V76" s="404"/>
      <c r="W76" s="404"/>
      <c r="X76" s="404"/>
      <c r="Y76" s="404"/>
      <c r="Z76" s="404"/>
      <c r="AA76" s="404"/>
      <c r="AB76" s="404"/>
      <c r="AC76" s="404"/>
    </row>
    <row r="77" ht="15" spans="1:29">
      <c r="A77" s="357" t="s">
        <v>1002</v>
      </c>
      <c r="B77" s="358" t="s">
        <v>2365</v>
      </c>
      <c r="C77" s="371"/>
      <c r="D77" s="371"/>
      <c r="E77" s="360"/>
      <c r="F77" s="360"/>
      <c r="G77" s="360"/>
      <c r="H77" s="360"/>
      <c r="I77" s="360"/>
      <c r="J77" s="360"/>
      <c r="K77" s="429"/>
      <c r="L77" s="430"/>
      <c r="M77" s="431"/>
      <c r="N77" s="432"/>
      <c r="O77" s="432"/>
      <c r="P77" s="427"/>
      <c r="Q77" s="422"/>
      <c r="R77" s="338"/>
      <c r="S77" s="338"/>
      <c r="T77" s="338"/>
      <c r="U77" s="338"/>
      <c r="V77" s="338"/>
      <c r="W77" s="338"/>
      <c r="X77" s="338"/>
      <c r="Y77" s="338"/>
      <c r="Z77" s="338"/>
      <c r="AA77" s="338"/>
      <c r="AB77" s="338"/>
      <c r="AC77" s="338"/>
    </row>
    <row r="78" ht="15.75" spans="1:29">
      <c r="A78" s="266"/>
      <c r="B78" s="365"/>
      <c r="C78" s="366">
        <v>100</v>
      </c>
      <c r="D78" s="366">
        <f t="shared" ref="D78:M78" si="17">C78-$K26</f>
        <v>100</v>
      </c>
      <c r="E78" s="366">
        <f t="shared" si="17"/>
        <v>100</v>
      </c>
      <c r="F78" s="366">
        <f t="shared" si="17"/>
        <v>100</v>
      </c>
      <c r="G78" s="366">
        <f t="shared" si="17"/>
        <v>100</v>
      </c>
      <c r="H78" s="366">
        <f t="shared" si="17"/>
        <v>100</v>
      </c>
      <c r="I78" s="366">
        <f t="shared" si="17"/>
        <v>100</v>
      </c>
      <c r="J78" s="366">
        <f t="shared" si="17"/>
        <v>100</v>
      </c>
      <c r="K78" s="366">
        <f t="shared" si="17"/>
        <v>100</v>
      </c>
      <c r="L78" s="366">
        <f t="shared" si="17"/>
        <v>100</v>
      </c>
      <c r="M78" s="438">
        <f t="shared" si="17"/>
        <v>100</v>
      </c>
      <c r="N78" s="434"/>
      <c r="O78" s="434"/>
      <c r="P78" s="427"/>
      <c r="Q78" s="422"/>
      <c r="R78" s="338"/>
      <c r="S78" s="338"/>
      <c r="T78" s="338"/>
      <c r="U78" s="338"/>
      <c r="V78" s="338"/>
      <c r="W78" s="338"/>
      <c r="X78" s="338"/>
      <c r="Y78" s="338"/>
      <c r="Z78" s="338"/>
      <c r="AA78" s="338"/>
      <c r="AB78" s="338"/>
      <c r="AC78" s="338"/>
    </row>
    <row r="79" ht="15.75" spans="1:29">
      <c r="A79" s="266"/>
      <c r="B79" s="363" t="s">
        <v>2590</v>
      </c>
      <c r="C79" s="376" t="str">
        <f>C80&amp;"(含)"&amp;"-"&amp;D80</f>
        <v>0.5(含)-0.6</v>
      </c>
      <c r="D79" s="376" t="str">
        <f>D80&amp;"(含)"&amp;"-"&amp;E80</f>
        <v>0.6(含)-0.7</v>
      </c>
      <c r="E79" s="376" t="str">
        <f>E80&amp;"(含)"&amp;"-"&amp;F80</f>
        <v>0.7(含)-0.8</v>
      </c>
      <c r="F79" s="376" t="str">
        <f>F80&amp;"(含)"&amp;"-"&amp;G80</f>
        <v>0.8(含)-0.9</v>
      </c>
      <c r="G79" s="376" t="str">
        <f>G80&amp;"(含)"&amp;"-"&amp;ROUND(H80,0)</f>
        <v>0.9(含)-1</v>
      </c>
      <c r="H79" s="376"/>
      <c r="I79" s="364"/>
      <c r="J79" s="364"/>
      <c r="K79" s="435"/>
      <c r="L79" s="436"/>
      <c r="M79" s="437"/>
      <c r="N79" s="427"/>
      <c r="O79" s="427"/>
      <c r="P79" s="427"/>
      <c r="Q79" s="422"/>
      <c r="R79" s="338"/>
      <c r="S79" s="338"/>
      <c r="T79" s="338"/>
      <c r="U79" s="338"/>
      <c r="V79" s="338"/>
      <c r="W79" s="338"/>
      <c r="X79" s="338"/>
      <c r="Y79" s="338"/>
      <c r="Z79" s="338"/>
      <c r="AA79" s="338"/>
      <c r="AB79" s="338"/>
      <c r="AC79" s="338"/>
    </row>
    <row r="80" ht="15" spans="1:29">
      <c r="A80" s="266"/>
      <c r="B80" s="486"/>
      <c r="C80" s="466">
        <v>0.5</v>
      </c>
      <c r="D80" s="466">
        <v>0.6</v>
      </c>
      <c r="E80" s="466">
        <v>0.7</v>
      </c>
      <c r="F80" s="466">
        <v>0.8</v>
      </c>
      <c r="G80" s="466">
        <v>0.9</v>
      </c>
      <c r="H80" s="466">
        <v>1.0001</v>
      </c>
      <c r="I80" s="367"/>
      <c r="J80" s="367"/>
      <c r="K80" s="498"/>
      <c r="L80" s="499"/>
      <c r="M80" s="500"/>
      <c r="N80" s="427"/>
      <c r="O80" s="427"/>
      <c r="P80" s="427"/>
      <c r="Q80" s="422"/>
      <c r="R80" s="338"/>
      <c r="S80" s="338"/>
      <c r="T80" s="338"/>
      <c r="U80" s="338"/>
      <c r="V80" s="338"/>
      <c r="W80" s="338"/>
      <c r="X80" s="338"/>
      <c r="Y80" s="338"/>
      <c r="Z80" s="338"/>
      <c r="AA80" s="338"/>
      <c r="AB80" s="338"/>
      <c r="AC80" s="338"/>
    </row>
    <row r="81" s="191" customFormat="1" ht="15.75" spans="1:29">
      <c r="A81" s="370"/>
      <c r="B81" s="365"/>
      <c r="C81" s="488">
        <v>100</v>
      </c>
      <c r="D81" s="366">
        <f t="shared" ref="D81:M81" si="18">C81+$K27</f>
        <v>100</v>
      </c>
      <c r="E81" s="366">
        <f t="shared" si="18"/>
        <v>100</v>
      </c>
      <c r="F81" s="366">
        <f t="shared" si="18"/>
        <v>100</v>
      </c>
      <c r="G81" s="366">
        <f t="shared" si="18"/>
        <v>100</v>
      </c>
      <c r="H81" s="366">
        <f t="shared" si="18"/>
        <v>100</v>
      </c>
      <c r="I81" s="366">
        <f t="shared" si="18"/>
        <v>100</v>
      </c>
      <c r="J81" s="366">
        <f t="shared" si="18"/>
        <v>100</v>
      </c>
      <c r="K81" s="366">
        <f t="shared" si="18"/>
        <v>100</v>
      </c>
      <c r="L81" s="366">
        <f t="shared" si="18"/>
        <v>100</v>
      </c>
      <c r="M81" s="366">
        <f t="shared" si="18"/>
        <v>100</v>
      </c>
      <c r="N81" s="434"/>
      <c r="O81" s="434"/>
      <c r="P81" s="444"/>
      <c r="Q81" s="475"/>
      <c r="R81" s="404"/>
      <c r="S81" s="404"/>
      <c r="T81" s="404"/>
      <c r="U81" s="404"/>
      <c r="V81" s="404"/>
      <c r="W81" s="404"/>
      <c r="X81" s="404"/>
      <c r="Y81" s="404"/>
      <c r="Z81" s="404"/>
      <c r="AA81" s="404"/>
      <c r="AB81" s="404"/>
      <c r="AC81" s="404"/>
    </row>
    <row r="82" ht="15.75" spans="1:29">
      <c r="A82" s="301"/>
      <c r="B82" s="486" t="s">
        <v>2591</v>
      </c>
      <c r="C82" s="371"/>
      <c r="D82" s="371"/>
      <c r="E82" s="487"/>
      <c r="F82" s="487"/>
      <c r="G82" s="487"/>
      <c r="H82" s="487"/>
      <c r="I82" s="487"/>
      <c r="J82" s="487"/>
      <c r="K82" s="493"/>
      <c r="L82" s="494"/>
      <c r="M82" s="495"/>
      <c r="N82" s="432"/>
      <c r="O82" s="432"/>
      <c r="P82" s="427"/>
      <c r="Q82" s="422"/>
      <c r="R82" s="338"/>
      <c r="S82" s="338"/>
      <c r="T82" s="338"/>
      <c r="U82" s="338"/>
      <c r="V82" s="338"/>
      <c r="W82" s="338"/>
      <c r="X82" s="338"/>
      <c r="Y82" s="338"/>
      <c r="Z82" s="338"/>
      <c r="AA82" s="338"/>
      <c r="AB82" s="338"/>
      <c r="AC82" s="338"/>
    </row>
    <row r="83" ht="15.75" spans="1:29">
      <c r="A83" s="266"/>
      <c r="B83" s="365"/>
      <c r="C83" s="366">
        <v>100</v>
      </c>
      <c r="D83" s="366">
        <f t="shared" ref="D83:M83" si="19">C83-$K28</f>
        <v>100</v>
      </c>
      <c r="E83" s="366">
        <f t="shared" si="19"/>
        <v>100</v>
      </c>
      <c r="F83" s="366">
        <f t="shared" si="19"/>
        <v>100</v>
      </c>
      <c r="G83" s="366">
        <f t="shared" si="19"/>
        <v>100</v>
      </c>
      <c r="H83" s="366">
        <f t="shared" si="19"/>
        <v>100</v>
      </c>
      <c r="I83" s="366">
        <f t="shared" si="19"/>
        <v>100</v>
      </c>
      <c r="J83" s="366">
        <f t="shared" si="19"/>
        <v>100</v>
      </c>
      <c r="K83" s="366">
        <f t="shared" si="19"/>
        <v>100</v>
      </c>
      <c r="L83" s="366">
        <f t="shared" si="19"/>
        <v>100</v>
      </c>
      <c r="M83" s="438">
        <f t="shared" si="19"/>
        <v>100</v>
      </c>
      <c r="N83" s="434"/>
      <c r="O83" s="434"/>
      <c r="P83" s="427"/>
      <c r="Q83" s="422"/>
      <c r="R83" s="338"/>
      <c r="S83" s="338"/>
      <c r="T83" s="338"/>
      <c r="U83" s="338"/>
      <c r="V83" s="338"/>
      <c r="W83" s="338"/>
      <c r="X83" s="338"/>
      <c r="Y83" s="338"/>
      <c r="Z83" s="338"/>
      <c r="AA83" s="338"/>
      <c r="AB83" s="338"/>
      <c r="AC83" s="338"/>
    </row>
    <row r="84" ht="15.75" spans="1:29">
      <c r="A84" s="301"/>
      <c r="B84" s="363" t="s">
        <v>2597</v>
      </c>
      <c r="C84" s="371"/>
      <c r="D84" s="371"/>
      <c r="E84" s="371"/>
      <c r="F84" s="371"/>
      <c r="G84" s="371"/>
      <c r="H84" s="371"/>
      <c r="I84" s="487"/>
      <c r="J84" s="487"/>
      <c r="K84" s="493"/>
      <c r="L84" s="494"/>
      <c r="M84" s="495"/>
      <c r="N84" s="432"/>
      <c r="O84" s="432"/>
      <c r="P84" s="427"/>
      <c r="Q84" s="422"/>
      <c r="R84" s="338"/>
      <c r="S84" s="338"/>
      <c r="T84" s="338"/>
      <c r="U84" s="338"/>
      <c r="V84" s="338"/>
      <c r="W84" s="338"/>
      <c r="X84" s="338"/>
      <c r="Y84" s="338"/>
      <c r="Z84" s="338"/>
      <c r="AA84" s="338"/>
      <c r="AB84" s="338"/>
      <c r="AC84" s="338"/>
    </row>
    <row r="85" ht="15.75" spans="1:29">
      <c r="A85" s="266"/>
      <c r="B85" s="365"/>
      <c r="C85" s="488">
        <v>100</v>
      </c>
      <c r="D85" s="366">
        <f t="shared" ref="D85:M85" si="20">C85+$K29</f>
        <v>100</v>
      </c>
      <c r="E85" s="366">
        <f t="shared" si="20"/>
        <v>100</v>
      </c>
      <c r="F85" s="366">
        <f t="shared" si="20"/>
        <v>100</v>
      </c>
      <c r="G85" s="366">
        <f t="shared" si="20"/>
        <v>100</v>
      </c>
      <c r="H85" s="366">
        <f t="shared" si="20"/>
        <v>100</v>
      </c>
      <c r="I85" s="366">
        <f t="shared" si="20"/>
        <v>100</v>
      </c>
      <c r="J85" s="366">
        <f t="shared" si="20"/>
        <v>100</v>
      </c>
      <c r="K85" s="366">
        <f t="shared" si="20"/>
        <v>100</v>
      </c>
      <c r="L85" s="366">
        <f t="shared" si="20"/>
        <v>100</v>
      </c>
      <c r="M85" s="366">
        <f t="shared" si="20"/>
        <v>100</v>
      </c>
      <c r="N85" s="434"/>
      <c r="O85" s="434"/>
      <c r="P85" s="427"/>
      <c r="Q85" s="422"/>
      <c r="R85" s="338"/>
      <c r="S85" s="338"/>
      <c r="T85" s="338"/>
      <c r="U85" s="338"/>
      <c r="V85" s="338"/>
      <c r="W85" s="338"/>
      <c r="X85" s="338"/>
      <c r="Y85" s="338"/>
      <c r="Z85" s="338"/>
      <c r="AA85" s="338"/>
      <c r="AB85" s="338"/>
      <c r="AC85" s="338"/>
    </row>
    <row r="86" ht="15.75" spans="1:29">
      <c r="A86" s="301"/>
      <c r="B86" s="486" t="s">
        <v>544</v>
      </c>
      <c r="C86" s="376" t="str">
        <f t="shared" ref="C86:L86" si="21">C87&amp;"(含)"&amp;"-"&amp;D87</f>
        <v>(含)-</v>
      </c>
      <c r="D86" s="376" t="str">
        <f t="shared" si="21"/>
        <v>(含)-</v>
      </c>
      <c r="E86" s="376" t="str">
        <f t="shared" si="21"/>
        <v>(含)-</v>
      </c>
      <c r="F86" s="376" t="str">
        <f t="shared" si="21"/>
        <v>(含)-</v>
      </c>
      <c r="G86" s="376" t="str">
        <f t="shared" si="21"/>
        <v>(含)-</v>
      </c>
      <c r="H86" s="376" t="str">
        <f t="shared" si="21"/>
        <v>(含)-</v>
      </c>
      <c r="I86" s="376" t="str">
        <f t="shared" si="21"/>
        <v>(含)-</v>
      </c>
      <c r="J86" s="376" t="str">
        <f t="shared" si="21"/>
        <v>(含)-</v>
      </c>
      <c r="K86" s="376" t="str">
        <f t="shared" si="21"/>
        <v>(含)-</v>
      </c>
      <c r="L86" s="376" t="str">
        <f t="shared" si="21"/>
        <v>(含)-</v>
      </c>
      <c r="M86" s="501" t="str">
        <f>M87&amp;"(含)"&amp;"-"&amp;P87</f>
        <v>(含)-</v>
      </c>
      <c r="N86" s="432"/>
      <c r="O86" s="432"/>
      <c r="P86" s="427"/>
      <c r="Q86" s="422"/>
      <c r="R86" s="338"/>
      <c r="S86" s="338"/>
      <c r="T86" s="338"/>
      <c r="U86" s="338"/>
      <c r="V86" s="338"/>
      <c r="W86" s="338"/>
      <c r="X86" s="338"/>
      <c r="Y86" s="338"/>
      <c r="Z86" s="338"/>
      <c r="AA86" s="338"/>
      <c r="AB86" s="338"/>
      <c r="AC86" s="338"/>
    </row>
    <row r="87" ht="15" spans="1:29">
      <c r="A87" s="301"/>
      <c r="B87" s="486"/>
      <c r="C87" s="489"/>
      <c r="D87" s="489"/>
      <c r="E87" s="489"/>
      <c r="F87" s="489"/>
      <c r="G87" s="489"/>
      <c r="H87" s="489"/>
      <c r="I87" s="489"/>
      <c r="J87" s="502"/>
      <c r="K87" s="502"/>
      <c r="L87" s="503"/>
      <c r="M87" s="504"/>
      <c r="N87" s="432"/>
      <c r="O87" s="432"/>
      <c r="P87" s="427"/>
      <c r="Q87" s="422"/>
      <c r="R87" s="338"/>
      <c r="S87" s="338"/>
      <c r="T87" s="338"/>
      <c r="U87" s="338"/>
      <c r="V87" s="338"/>
      <c r="W87" s="338"/>
      <c r="X87" s="338"/>
      <c r="Y87" s="338"/>
      <c r="Z87" s="338"/>
      <c r="AA87" s="338"/>
      <c r="AB87" s="338"/>
      <c r="AC87" s="338"/>
    </row>
    <row r="88" ht="15.75" spans="1:29">
      <c r="A88" s="266"/>
      <c r="B88" s="365"/>
      <c r="C88" s="369"/>
      <c r="D88" s="362"/>
      <c r="E88" s="362"/>
      <c r="F88" s="362"/>
      <c r="G88" s="362"/>
      <c r="H88" s="362"/>
      <c r="I88" s="362"/>
      <c r="J88" s="362"/>
      <c r="K88" s="362"/>
      <c r="L88" s="362"/>
      <c r="M88" s="362"/>
      <c r="N88" s="434"/>
      <c r="O88" s="434"/>
      <c r="P88" s="427"/>
      <c r="Q88" s="422"/>
      <c r="R88" s="338"/>
      <c r="S88" s="338"/>
      <c r="T88" s="338"/>
      <c r="U88" s="338"/>
      <c r="V88" s="338"/>
      <c r="W88" s="338"/>
      <c r="X88" s="338"/>
      <c r="Y88" s="338"/>
      <c r="Z88" s="338"/>
      <c r="AA88" s="338"/>
      <c r="AB88" s="338"/>
      <c r="AC88" s="338"/>
    </row>
    <row r="89" s="191" customFormat="1" ht="15.75" spans="1:29">
      <c r="A89" s="296"/>
      <c r="B89" s="363" t="s">
        <v>2598</v>
      </c>
      <c r="C89" s="371"/>
      <c r="D89" s="371"/>
      <c r="E89" s="371"/>
      <c r="F89" s="371"/>
      <c r="G89" s="371"/>
      <c r="H89" s="371"/>
      <c r="I89" s="371"/>
      <c r="J89" s="371"/>
      <c r="K89" s="371"/>
      <c r="L89" s="371"/>
      <c r="M89" s="497"/>
      <c r="N89" s="444"/>
      <c r="O89" s="444"/>
      <c r="P89" s="444"/>
      <c r="Q89" s="475"/>
      <c r="R89" s="404"/>
      <c r="S89" s="404"/>
      <c r="T89" s="404"/>
      <c r="U89" s="404"/>
      <c r="V89" s="404"/>
      <c r="W89" s="404"/>
      <c r="X89" s="404"/>
      <c r="Y89" s="404"/>
      <c r="Z89" s="404"/>
      <c r="AA89" s="404"/>
      <c r="AB89" s="404"/>
      <c r="AC89" s="404"/>
    </row>
    <row r="90" s="191" customFormat="1" ht="15.75" spans="1:29">
      <c r="A90" s="370"/>
      <c r="B90" s="365"/>
      <c r="C90" s="369"/>
      <c r="D90" s="362"/>
      <c r="E90" s="362"/>
      <c r="F90" s="362"/>
      <c r="G90" s="362"/>
      <c r="H90" s="362"/>
      <c r="I90" s="362"/>
      <c r="J90" s="362"/>
      <c r="K90" s="362"/>
      <c r="L90" s="362"/>
      <c r="M90" s="433"/>
      <c r="N90" s="444"/>
      <c r="O90" s="444"/>
      <c r="P90" s="444"/>
      <c r="Q90" s="475"/>
      <c r="R90" s="404"/>
      <c r="S90" s="404"/>
      <c r="T90" s="404"/>
      <c r="U90" s="404"/>
      <c r="V90" s="404"/>
      <c r="W90" s="404"/>
      <c r="X90" s="404"/>
      <c r="Y90" s="404"/>
      <c r="Z90" s="404"/>
      <c r="AA90" s="404"/>
      <c r="AB90" s="404"/>
      <c r="AC90" s="404"/>
    </row>
    <row r="91" ht="15.75" spans="1:29">
      <c r="A91" s="301"/>
      <c r="B91" s="363">
        <f>B32</f>
        <v>111</v>
      </c>
      <c r="C91" s="368"/>
      <c r="D91" s="368"/>
      <c r="E91" s="368"/>
      <c r="F91" s="368"/>
      <c r="G91" s="371"/>
      <c r="H91" s="372"/>
      <c r="I91" s="372"/>
      <c r="J91" s="372"/>
      <c r="K91" s="372"/>
      <c r="L91" s="442"/>
      <c r="M91" s="443"/>
      <c r="N91" s="432"/>
      <c r="O91" s="432"/>
      <c r="P91" s="427"/>
      <c r="Q91" s="422"/>
      <c r="R91" s="338"/>
      <c r="S91" s="338"/>
      <c r="T91" s="338"/>
      <c r="U91" s="338"/>
      <c r="V91" s="338"/>
      <c r="W91" s="338"/>
      <c r="X91" s="338"/>
      <c r="Y91" s="338"/>
      <c r="Z91" s="338"/>
      <c r="AA91" s="338"/>
      <c r="AB91" s="338"/>
      <c r="AC91" s="338"/>
    </row>
    <row r="92" ht="15.75" spans="1:29">
      <c r="A92" s="266"/>
      <c r="B92" s="365"/>
      <c r="C92" s="369"/>
      <c r="D92" s="362"/>
      <c r="E92" s="362"/>
      <c r="F92" s="362"/>
      <c r="G92" s="369"/>
      <c r="H92" s="373"/>
      <c r="I92" s="373"/>
      <c r="J92" s="373"/>
      <c r="K92" s="373"/>
      <c r="L92" s="373"/>
      <c r="M92" s="445"/>
      <c r="N92" s="434"/>
      <c r="O92" s="434"/>
      <c r="P92" s="427"/>
      <c r="Q92" s="422"/>
      <c r="R92" s="338"/>
      <c r="S92" s="338"/>
      <c r="T92" s="338"/>
      <c r="U92" s="338"/>
      <c r="V92" s="338"/>
      <c r="W92" s="338"/>
      <c r="X92" s="338"/>
      <c r="Y92" s="338"/>
      <c r="Z92" s="338"/>
      <c r="AA92" s="338"/>
      <c r="AB92" s="338"/>
      <c r="AC92" s="338"/>
    </row>
    <row r="93" ht="15.75" spans="1:29">
      <c r="A93" s="301"/>
      <c r="B93" s="363">
        <f>B33</f>
        <v>111</v>
      </c>
      <c r="C93" s="368"/>
      <c r="D93" s="368"/>
      <c r="E93" s="368"/>
      <c r="F93" s="368"/>
      <c r="G93" s="371"/>
      <c r="H93" s="372"/>
      <c r="I93" s="372"/>
      <c r="J93" s="372"/>
      <c r="K93" s="372"/>
      <c r="L93" s="442"/>
      <c r="M93" s="443"/>
      <c r="N93" s="432"/>
      <c r="O93" s="432"/>
      <c r="P93" s="427"/>
      <c r="Q93" s="422"/>
      <c r="R93" s="338"/>
      <c r="S93" s="338"/>
      <c r="T93" s="338"/>
      <c r="U93" s="338"/>
      <c r="V93" s="338"/>
      <c r="W93" s="338"/>
      <c r="X93" s="338"/>
      <c r="Y93" s="338"/>
      <c r="Z93" s="338"/>
      <c r="AA93" s="338"/>
      <c r="AB93" s="338"/>
      <c r="AC93" s="338"/>
    </row>
    <row r="94" ht="15.75" spans="1:29">
      <c r="A94" s="266"/>
      <c r="B94" s="365"/>
      <c r="C94" s="369"/>
      <c r="D94" s="362"/>
      <c r="E94" s="362"/>
      <c r="F94" s="362"/>
      <c r="G94" s="369"/>
      <c r="H94" s="373"/>
      <c r="I94" s="373"/>
      <c r="J94" s="373"/>
      <c r="K94" s="373"/>
      <c r="L94" s="373"/>
      <c r="M94" s="445"/>
      <c r="N94" s="434"/>
      <c r="O94" s="434"/>
      <c r="P94" s="427"/>
      <c r="Q94" s="422"/>
      <c r="R94" s="338"/>
      <c r="S94" s="338"/>
      <c r="T94" s="338"/>
      <c r="U94" s="338"/>
      <c r="V94" s="338"/>
      <c r="W94" s="338"/>
      <c r="X94" s="338"/>
      <c r="Y94" s="338"/>
      <c r="Z94" s="338"/>
      <c r="AA94" s="338"/>
      <c r="AB94" s="338"/>
      <c r="AC94" s="338"/>
    </row>
    <row r="95" ht="15.75" spans="1:29">
      <c r="A95" s="301"/>
      <c r="B95" s="490">
        <f>B34</f>
        <v>111</v>
      </c>
      <c r="C95" s="368"/>
      <c r="D95" s="368"/>
      <c r="E95" s="368"/>
      <c r="F95" s="368"/>
      <c r="G95" s="371"/>
      <c r="H95" s="372"/>
      <c r="I95" s="372"/>
      <c r="J95" s="372"/>
      <c r="K95" s="372"/>
      <c r="L95" s="442"/>
      <c r="M95" s="443"/>
      <c r="N95" s="434"/>
      <c r="O95" s="434"/>
      <c r="P95" s="434"/>
      <c r="Q95" s="507"/>
      <c r="R95" s="338"/>
      <c r="S95" s="338"/>
      <c r="T95" s="338"/>
      <c r="U95" s="338"/>
      <c r="V95" s="338"/>
      <c r="W95" s="338"/>
      <c r="X95" s="338"/>
      <c r="Y95" s="338"/>
      <c r="Z95" s="338"/>
      <c r="AA95" s="338"/>
      <c r="AB95" s="338"/>
      <c r="AC95" s="338"/>
    </row>
    <row r="96" ht="15.75" spans="1:29">
      <c r="A96" s="266"/>
      <c r="B96" s="365"/>
      <c r="C96" s="369"/>
      <c r="D96" s="369"/>
      <c r="E96" s="369"/>
      <c r="F96" s="369"/>
      <c r="G96" s="369"/>
      <c r="H96" s="373"/>
      <c r="I96" s="373"/>
      <c r="J96" s="373"/>
      <c r="K96" s="373"/>
      <c r="L96" s="373"/>
      <c r="M96" s="445"/>
      <c r="N96" s="434"/>
      <c r="O96" s="434"/>
      <c r="P96" s="427"/>
      <c r="Q96" s="422"/>
      <c r="R96" s="338"/>
      <c r="S96" s="338"/>
      <c r="T96" s="338"/>
      <c r="U96" s="338"/>
      <c r="V96" s="338"/>
      <c r="W96" s="338"/>
      <c r="X96" s="338"/>
      <c r="Y96" s="338"/>
      <c r="Z96" s="338"/>
      <c r="AA96" s="338"/>
      <c r="AB96" s="338"/>
      <c r="AC96" s="338"/>
    </row>
    <row r="97" ht="15" spans="1:29">
      <c r="A97" s="491"/>
      <c r="B97" s="491"/>
      <c r="C97" s="491"/>
      <c r="D97" s="491"/>
      <c r="E97" s="491"/>
      <c r="F97" s="491"/>
      <c r="G97" s="491"/>
      <c r="H97" s="491"/>
      <c r="I97" s="491"/>
      <c r="J97" s="491"/>
      <c r="K97" s="505"/>
      <c r="L97" s="506"/>
      <c r="M97" s="491"/>
      <c r="N97" s="491"/>
      <c r="O97" s="491"/>
      <c r="P97" s="491"/>
      <c r="Q97" s="491"/>
      <c r="R97" s="491"/>
      <c r="S97" s="491"/>
      <c r="T97" s="491"/>
      <c r="U97" s="491"/>
      <c r="V97" s="491"/>
      <c r="W97" s="491"/>
      <c r="X97" s="491"/>
      <c r="Y97" s="491"/>
      <c r="Z97" s="491"/>
      <c r="AA97" s="491"/>
      <c r="AB97" s="491"/>
      <c r="AC97" s="491"/>
    </row>
    <row r="98" spans="1:29">
      <c r="A98" s="491"/>
      <c r="B98" s="491"/>
      <c r="C98" s="491"/>
      <c r="D98" s="491"/>
      <c r="E98" s="491"/>
      <c r="F98" s="491"/>
      <c r="G98" s="491"/>
      <c r="H98" s="491"/>
      <c r="I98" s="491"/>
      <c r="J98" s="491"/>
      <c r="K98" s="505"/>
      <c r="L98" s="506"/>
      <c r="M98" s="491"/>
      <c r="N98" s="491"/>
      <c r="O98" s="491"/>
      <c r="P98" s="491"/>
      <c r="Q98" s="491"/>
      <c r="R98" s="491"/>
      <c r="S98" s="491"/>
      <c r="T98" s="491"/>
      <c r="U98" s="491"/>
      <c r="V98" s="491"/>
      <c r="W98" s="491"/>
      <c r="X98" s="491"/>
      <c r="Y98" s="491"/>
      <c r="Z98" s="491"/>
      <c r="AA98" s="491"/>
      <c r="AB98" s="491"/>
      <c r="AC98" s="491"/>
    </row>
    <row r="99" spans="1:29">
      <c r="A99" s="491"/>
      <c r="B99" s="491"/>
      <c r="C99" s="491"/>
      <c r="D99" s="491"/>
      <c r="E99" s="491"/>
      <c r="F99" s="491"/>
      <c r="G99" s="491"/>
      <c r="H99" s="491"/>
      <c r="I99" s="491"/>
      <c r="J99" s="491"/>
      <c r="K99" s="505"/>
      <c r="L99" s="506"/>
      <c r="M99" s="491"/>
      <c r="N99" s="491"/>
      <c r="O99" s="491"/>
      <c r="P99" s="491"/>
      <c r="Q99" s="491"/>
      <c r="R99" s="491"/>
      <c r="S99" s="491"/>
      <c r="T99" s="491"/>
      <c r="U99" s="491"/>
      <c r="V99" s="491"/>
      <c r="W99" s="491"/>
      <c r="X99" s="491"/>
      <c r="Y99" s="491"/>
      <c r="Z99" s="491"/>
      <c r="AA99" s="491"/>
      <c r="AB99" s="491"/>
      <c r="AC99" s="491"/>
    </row>
    <row r="100" spans="1:29">
      <c r="A100" s="491"/>
      <c r="B100" s="491"/>
      <c r="C100" s="491"/>
      <c r="D100" s="491"/>
      <c r="E100" s="491"/>
      <c r="F100" s="491"/>
      <c r="G100" s="491"/>
      <c r="H100" s="491"/>
      <c r="I100" s="491"/>
      <c r="J100" s="491"/>
      <c r="K100" s="505"/>
      <c r="L100" s="506"/>
      <c r="M100" s="491"/>
      <c r="N100" s="491"/>
      <c r="O100" s="491"/>
      <c r="P100" s="491"/>
      <c r="Q100" s="491"/>
      <c r="R100" s="491"/>
      <c r="S100" s="491"/>
      <c r="T100" s="491"/>
      <c r="U100" s="491"/>
      <c r="V100" s="491"/>
      <c r="W100" s="491"/>
      <c r="X100" s="491"/>
      <c r="Y100" s="491"/>
      <c r="Z100" s="491"/>
      <c r="AA100" s="491"/>
      <c r="AB100" s="491"/>
      <c r="AC100" s="491"/>
    </row>
    <row r="101" spans="1:29">
      <c r="A101" s="491"/>
      <c r="B101" s="491"/>
      <c r="C101" s="491"/>
      <c r="D101" s="491"/>
      <c r="E101" s="491"/>
      <c r="F101" s="491"/>
      <c r="G101" s="491"/>
      <c r="H101" s="491"/>
      <c r="I101" s="491"/>
      <c r="J101" s="491"/>
      <c r="K101" s="505"/>
      <c r="L101" s="506"/>
      <c r="M101" s="491"/>
      <c r="N101" s="491"/>
      <c r="O101" s="491"/>
      <c r="P101" s="491"/>
      <c r="Q101" s="491"/>
      <c r="R101" s="491"/>
      <c r="S101" s="491"/>
      <c r="T101" s="491"/>
      <c r="U101" s="491"/>
      <c r="V101" s="491"/>
      <c r="W101" s="491"/>
      <c r="X101" s="491"/>
      <c r="Y101" s="491"/>
      <c r="Z101" s="491"/>
      <c r="AA101" s="491"/>
      <c r="AB101" s="491"/>
      <c r="AC101" s="491"/>
    </row>
    <row r="102" spans="1:29">
      <c r="A102" s="491"/>
      <c r="B102" s="491"/>
      <c r="C102" s="491"/>
      <c r="D102" s="491"/>
      <c r="E102" s="491"/>
      <c r="F102" s="491"/>
      <c r="G102" s="491"/>
      <c r="H102" s="491"/>
      <c r="I102" s="491"/>
      <c r="J102" s="491"/>
      <c r="K102" s="505"/>
      <c r="L102" s="506"/>
      <c r="M102" s="491"/>
      <c r="N102" s="491"/>
      <c r="O102" s="491"/>
      <c r="P102" s="491"/>
      <c r="Q102" s="491"/>
      <c r="R102" s="491"/>
      <c r="S102" s="491"/>
      <c r="T102" s="491"/>
      <c r="U102" s="491"/>
      <c r="V102" s="491"/>
      <c r="W102" s="491"/>
      <c r="X102" s="491"/>
      <c r="Y102" s="491"/>
      <c r="Z102" s="491"/>
      <c r="AA102" s="491"/>
      <c r="AB102" s="491"/>
      <c r="AC102" s="491"/>
    </row>
    <row r="103" spans="1:29">
      <c r="A103" s="491"/>
      <c r="B103" s="491"/>
      <c r="C103" s="491"/>
      <c r="D103" s="491"/>
      <c r="E103" s="491"/>
      <c r="F103" s="491"/>
      <c r="G103" s="491"/>
      <c r="H103" s="491"/>
      <c r="I103" s="491"/>
      <c r="J103" s="491"/>
      <c r="K103" s="505"/>
      <c r="L103" s="506"/>
      <c r="M103" s="491"/>
      <c r="N103" s="491"/>
      <c r="O103" s="491"/>
      <c r="P103" s="491"/>
      <c r="Q103" s="491"/>
      <c r="R103" s="491"/>
      <c r="S103" s="491"/>
      <c r="T103" s="491"/>
      <c r="U103" s="491"/>
      <c r="V103" s="491"/>
      <c r="W103" s="491"/>
      <c r="X103" s="491"/>
      <c r="Y103" s="491"/>
      <c r="Z103" s="491"/>
      <c r="AA103" s="491"/>
      <c r="AB103" s="491"/>
      <c r="AC103" s="491"/>
    </row>
    <row r="104" spans="1:29">
      <c r="A104" s="491"/>
      <c r="B104" s="491"/>
      <c r="C104" s="491"/>
      <c r="D104" s="491"/>
      <c r="E104" s="491"/>
      <c r="F104" s="491"/>
      <c r="G104" s="491"/>
      <c r="H104" s="491"/>
      <c r="I104" s="491"/>
      <c r="J104" s="491"/>
      <c r="K104" s="505"/>
      <c r="L104" s="506"/>
      <c r="M104" s="491"/>
      <c r="N104" s="491"/>
      <c r="O104" s="491"/>
      <c r="P104" s="491"/>
      <c r="Q104" s="491"/>
      <c r="R104" s="491"/>
      <c r="S104" s="491"/>
      <c r="T104" s="491"/>
      <c r="U104" s="491"/>
      <c r="V104" s="491"/>
      <c r="W104" s="491"/>
      <c r="X104" s="491"/>
      <c r="Y104" s="491"/>
      <c r="Z104" s="491"/>
      <c r="AA104" s="491"/>
      <c r="AB104" s="491"/>
      <c r="AC104" s="491"/>
    </row>
    <row r="105" spans="1:29">
      <c r="A105" s="491"/>
      <c r="B105" s="491"/>
      <c r="C105" s="491"/>
      <c r="D105" s="491"/>
      <c r="E105" s="491"/>
      <c r="F105" s="491"/>
      <c r="G105" s="491"/>
      <c r="H105" s="491"/>
      <c r="I105" s="491"/>
      <c r="J105" s="491"/>
      <c r="K105" s="505"/>
      <c r="L105" s="506"/>
      <c r="M105" s="491"/>
      <c r="N105" s="491"/>
      <c r="O105" s="491"/>
      <c r="P105" s="491"/>
      <c r="Q105" s="491"/>
      <c r="R105" s="491"/>
      <c r="S105" s="491"/>
      <c r="T105" s="491"/>
      <c r="U105" s="491"/>
      <c r="V105" s="491"/>
      <c r="W105" s="491"/>
      <c r="X105" s="491"/>
      <c r="Y105" s="491"/>
      <c r="Z105" s="491"/>
      <c r="AA105" s="491"/>
      <c r="AB105" s="491"/>
      <c r="AC105" s="491"/>
    </row>
    <row r="106" spans="1:29">
      <c r="A106" s="491"/>
      <c r="B106" s="491"/>
      <c r="C106" s="491"/>
      <c r="D106" s="491"/>
      <c r="E106" s="491"/>
      <c r="F106" s="491"/>
      <c r="G106" s="491"/>
      <c r="H106" s="491"/>
      <c r="I106" s="491"/>
      <c r="J106" s="491"/>
      <c r="K106" s="505"/>
      <c r="L106" s="506"/>
      <c r="M106" s="491"/>
      <c r="N106" s="491"/>
      <c r="O106" s="491"/>
      <c r="P106" s="491"/>
      <c r="Q106" s="491"/>
      <c r="R106" s="491"/>
      <c r="S106" s="491"/>
      <c r="T106" s="491"/>
      <c r="U106" s="491"/>
      <c r="V106" s="491"/>
      <c r="W106" s="491"/>
      <c r="X106" s="491"/>
      <c r="Y106" s="491"/>
      <c r="Z106" s="491"/>
      <c r="AA106" s="491"/>
      <c r="AB106" s="491"/>
      <c r="AC106" s="491"/>
    </row>
    <row r="107" spans="1:29">
      <c r="A107" s="491"/>
      <c r="B107" s="491"/>
      <c r="C107" s="491"/>
      <c r="D107" s="491"/>
      <c r="E107" s="491"/>
      <c r="F107" s="491"/>
      <c r="G107" s="491"/>
      <c r="H107" s="491"/>
      <c r="I107" s="491"/>
      <c r="J107" s="491"/>
      <c r="K107" s="505"/>
      <c r="L107" s="506"/>
      <c r="M107" s="491"/>
      <c r="N107" s="491"/>
      <c r="O107" s="491"/>
      <c r="P107" s="491"/>
      <c r="Q107" s="491"/>
      <c r="R107" s="491"/>
      <c r="S107" s="491"/>
      <c r="T107" s="491"/>
      <c r="U107" s="491"/>
      <c r="V107" s="491"/>
      <c r="W107" s="491"/>
      <c r="X107" s="491"/>
      <c r="Y107" s="491"/>
      <c r="Z107" s="491"/>
      <c r="AA107" s="491"/>
      <c r="AB107" s="491"/>
      <c r="AC107" s="491"/>
    </row>
    <row r="108" spans="1:29">
      <c r="A108" s="491"/>
      <c r="B108" s="491"/>
      <c r="C108" s="491"/>
      <c r="D108" s="491"/>
      <c r="E108" s="491"/>
      <c r="F108" s="491"/>
      <c r="G108" s="491"/>
      <c r="H108" s="491"/>
      <c r="I108" s="491"/>
      <c r="J108" s="491"/>
      <c r="K108" s="505"/>
      <c r="L108" s="506"/>
      <c r="M108" s="491"/>
      <c r="N108" s="491"/>
      <c r="O108" s="491"/>
      <c r="P108" s="491"/>
      <c r="Q108" s="491"/>
      <c r="R108" s="491"/>
      <c r="S108" s="491"/>
      <c r="T108" s="491"/>
      <c r="U108" s="491"/>
      <c r="V108" s="491"/>
      <c r="W108" s="491"/>
      <c r="X108" s="491"/>
      <c r="Y108" s="491"/>
      <c r="Z108" s="491"/>
      <c r="AA108" s="491"/>
      <c r="AB108" s="491"/>
      <c r="AC108" s="491"/>
    </row>
    <row r="109" spans="1:29">
      <c r="A109" s="491"/>
      <c r="B109" s="491"/>
      <c r="C109" s="491"/>
      <c r="D109" s="491"/>
      <c r="E109" s="491"/>
      <c r="F109" s="491"/>
      <c r="G109" s="491"/>
      <c r="H109" s="491"/>
      <c r="I109" s="491"/>
      <c r="J109" s="491"/>
      <c r="K109" s="505"/>
      <c r="L109" s="506"/>
      <c r="M109" s="491"/>
      <c r="N109" s="491"/>
      <c r="O109" s="491"/>
      <c r="P109" s="491"/>
      <c r="Q109" s="491"/>
      <c r="R109" s="491"/>
      <c r="S109" s="491"/>
      <c r="T109" s="491"/>
      <c r="U109" s="491"/>
      <c r="V109" s="491"/>
      <c r="W109" s="491"/>
      <c r="X109" s="491"/>
      <c r="Y109" s="491"/>
      <c r="Z109" s="491"/>
      <c r="AA109" s="491"/>
      <c r="AB109" s="491"/>
      <c r="AC109" s="491"/>
    </row>
    <row r="110" spans="1:29">
      <c r="A110" s="491"/>
      <c r="B110" s="491"/>
      <c r="C110" s="491"/>
      <c r="D110" s="491"/>
      <c r="E110" s="491"/>
      <c r="F110" s="491"/>
      <c r="G110" s="491"/>
      <c r="H110" s="491"/>
      <c r="I110" s="491"/>
      <c r="J110" s="491"/>
      <c r="K110" s="505"/>
      <c r="L110" s="506"/>
      <c r="M110" s="491"/>
      <c r="N110" s="491"/>
      <c r="O110" s="491"/>
      <c r="P110" s="491"/>
      <c r="Q110" s="491"/>
      <c r="R110" s="491"/>
      <c r="S110" s="491"/>
      <c r="T110" s="491"/>
      <c r="U110" s="491"/>
      <c r="V110" s="491"/>
      <c r="W110" s="491"/>
      <c r="X110" s="491"/>
      <c r="Y110" s="491"/>
      <c r="Z110" s="491"/>
      <c r="AA110" s="491"/>
      <c r="AB110" s="491"/>
      <c r="AC110" s="491"/>
    </row>
    <row r="111" spans="1:29">
      <c r="A111" s="491"/>
      <c r="B111" s="491"/>
      <c r="C111" s="491"/>
      <c r="D111" s="491"/>
      <c r="E111" s="491"/>
      <c r="F111" s="491"/>
      <c r="G111" s="491"/>
      <c r="H111" s="491"/>
      <c r="I111" s="491"/>
      <c r="J111" s="491"/>
      <c r="K111" s="505"/>
      <c r="L111" s="506"/>
      <c r="M111" s="491"/>
      <c r="N111" s="491"/>
      <c r="O111" s="491"/>
      <c r="P111" s="491"/>
      <c r="Q111" s="491"/>
      <c r="R111" s="491"/>
      <c r="S111" s="491"/>
      <c r="T111" s="491"/>
      <c r="U111" s="491"/>
      <c r="V111" s="491"/>
      <c r="W111" s="491"/>
      <c r="X111" s="491"/>
      <c r="Y111" s="491"/>
      <c r="Z111" s="491"/>
      <c r="AA111" s="491"/>
      <c r="AB111" s="491"/>
      <c r="AC111" s="491"/>
    </row>
    <row r="112" spans="1:29">
      <c r="A112" s="491"/>
      <c r="B112" s="491"/>
      <c r="C112" s="491"/>
      <c r="D112" s="491"/>
      <c r="E112" s="491"/>
      <c r="F112" s="491"/>
      <c r="G112" s="491"/>
      <c r="H112" s="491"/>
      <c r="I112" s="491"/>
      <c r="J112" s="491"/>
      <c r="K112" s="505"/>
      <c r="L112" s="506"/>
      <c r="M112" s="491"/>
      <c r="N112" s="491"/>
      <c r="O112" s="491"/>
      <c r="P112" s="491"/>
      <c r="Q112" s="491"/>
      <c r="R112" s="491"/>
      <c r="S112" s="491"/>
      <c r="T112" s="491"/>
      <c r="U112" s="491"/>
      <c r="V112" s="491"/>
      <c r="W112" s="491"/>
      <c r="X112" s="491"/>
      <c r="Y112" s="491"/>
      <c r="Z112" s="491"/>
      <c r="AA112" s="491"/>
      <c r="AB112" s="491"/>
      <c r="AC112" s="491"/>
    </row>
    <row r="113" spans="1:29">
      <c r="A113" s="491"/>
      <c r="B113" s="491"/>
      <c r="C113" s="491"/>
      <c r="D113" s="491"/>
      <c r="E113" s="491"/>
      <c r="F113" s="491"/>
      <c r="G113" s="491"/>
      <c r="H113" s="491"/>
      <c r="I113" s="491"/>
      <c r="J113" s="491"/>
      <c r="K113" s="505"/>
      <c r="L113" s="506"/>
      <c r="M113" s="491"/>
      <c r="N113" s="491"/>
      <c r="O113" s="491"/>
      <c r="P113" s="491"/>
      <c r="Q113" s="491"/>
      <c r="R113" s="491"/>
      <c r="S113" s="491"/>
      <c r="T113" s="491"/>
      <c r="U113" s="491"/>
      <c r="V113" s="491"/>
      <c r="W113" s="491"/>
      <c r="X113" s="491"/>
      <c r="Y113" s="491"/>
      <c r="Z113" s="491"/>
      <c r="AA113" s="491"/>
      <c r="AB113" s="491"/>
      <c r="AC113" s="491"/>
    </row>
    <row r="114" spans="1:29">
      <c r="A114" s="491"/>
      <c r="B114" s="491"/>
      <c r="C114" s="491"/>
      <c r="D114" s="491"/>
      <c r="E114" s="491"/>
      <c r="F114" s="491"/>
      <c r="G114" s="491"/>
      <c r="H114" s="491"/>
      <c r="I114" s="491"/>
      <c r="J114" s="491"/>
      <c r="K114" s="505"/>
      <c r="L114" s="506"/>
      <c r="M114" s="491"/>
      <c r="N114" s="491"/>
      <c r="O114" s="491"/>
      <c r="P114" s="491"/>
      <c r="Q114" s="491"/>
      <c r="R114" s="491"/>
      <c r="S114" s="491"/>
      <c r="T114" s="491"/>
      <c r="U114" s="491"/>
      <c r="V114" s="491"/>
      <c r="W114" s="491"/>
      <c r="X114" s="491"/>
      <c r="Y114" s="491"/>
      <c r="Z114" s="491"/>
      <c r="AA114" s="491"/>
      <c r="AB114" s="491"/>
      <c r="AC114" s="491"/>
    </row>
    <row r="115" spans="1:29">
      <c r="A115" s="491"/>
      <c r="B115" s="491"/>
      <c r="C115" s="491"/>
      <c r="D115" s="491"/>
      <c r="E115" s="491"/>
      <c r="F115" s="491"/>
      <c r="G115" s="491"/>
      <c r="H115" s="491"/>
      <c r="I115" s="491"/>
      <c r="J115" s="491"/>
      <c r="K115" s="505"/>
      <c r="L115" s="506"/>
      <c r="M115" s="491"/>
      <c r="N115" s="491"/>
      <c r="O115" s="491"/>
      <c r="P115" s="491"/>
      <c r="Q115" s="491"/>
      <c r="R115" s="491"/>
      <c r="S115" s="491"/>
      <c r="T115" s="491"/>
      <c r="U115" s="491"/>
      <c r="V115" s="491"/>
      <c r="W115" s="491"/>
      <c r="X115" s="491"/>
      <c r="Y115" s="491"/>
      <c r="Z115" s="491"/>
      <c r="AA115" s="491"/>
      <c r="AB115" s="491"/>
      <c r="AC115" s="491"/>
    </row>
    <row r="116" spans="1:29">
      <c r="A116" s="491"/>
      <c r="B116" s="491"/>
      <c r="C116" s="491"/>
      <c r="D116" s="491"/>
      <c r="E116" s="491"/>
      <c r="F116" s="491"/>
      <c r="G116" s="491"/>
      <c r="H116" s="491"/>
      <c r="I116" s="491"/>
      <c r="J116" s="491"/>
      <c r="K116" s="505"/>
      <c r="L116" s="506"/>
      <c r="M116" s="491"/>
      <c r="N116" s="491"/>
      <c r="O116" s="491"/>
      <c r="P116" s="491"/>
      <c r="Q116" s="491"/>
      <c r="R116" s="491"/>
      <c r="S116" s="491"/>
      <c r="T116" s="491"/>
      <c r="U116" s="491"/>
      <c r="V116" s="491"/>
      <c r="W116" s="491"/>
      <c r="X116" s="491"/>
      <c r="Y116" s="491"/>
      <c r="Z116" s="491"/>
      <c r="AA116" s="491"/>
      <c r="AB116" s="491"/>
      <c r="AC116" s="491"/>
    </row>
    <row r="117" spans="1:29">
      <c r="A117" s="491"/>
      <c r="B117" s="491"/>
      <c r="C117" s="491"/>
      <c r="D117" s="491"/>
      <c r="E117" s="491"/>
      <c r="F117" s="491"/>
      <c r="G117" s="491"/>
      <c r="H117" s="491"/>
      <c r="I117" s="491"/>
      <c r="J117" s="491"/>
      <c r="K117" s="505"/>
      <c r="L117" s="506"/>
      <c r="M117" s="491"/>
      <c r="N117" s="491"/>
      <c r="O117" s="491"/>
      <c r="P117" s="491"/>
      <c r="Q117" s="491"/>
      <c r="R117" s="491"/>
      <c r="S117" s="491"/>
      <c r="T117" s="491"/>
      <c r="U117" s="491"/>
      <c r="V117" s="491"/>
      <c r="W117" s="491"/>
      <c r="X117" s="491"/>
      <c r="Y117" s="491"/>
      <c r="Z117" s="491"/>
      <c r="AA117" s="491"/>
      <c r="AB117" s="491"/>
      <c r="AC117" s="491"/>
    </row>
    <row r="118" spans="1:29">
      <c r="A118" s="491"/>
      <c r="B118" s="491"/>
      <c r="C118" s="491"/>
      <c r="D118" s="491"/>
      <c r="E118" s="491"/>
      <c r="F118" s="491"/>
      <c r="G118" s="491"/>
      <c r="H118" s="491"/>
      <c r="I118" s="491"/>
      <c r="J118" s="491"/>
      <c r="K118" s="505"/>
      <c r="L118" s="506"/>
      <c r="M118" s="491"/>
      <c r="N118" s="491"/>
      <c r="O118" s="491"/>
      <c r="P118" s="491"/>
      <c r="Q118" s="491"/>
      <c r="R118" s="491"/>
      <c r="S118" s="491"/>
      <c r="T118" s="491"/>
      <c r="U118" s="491"/>
      <c r="V118" s="491"/>
      <c r="W118" s="491"/>
      <c r="X118" s="491"/>
      <c r="Y118" s="491"/>
      <c r="Z118" s="491"/>
      <c r="AA118" s="491"/>
      <c r="AB118" s="491"/>
      <c r="AC118" s="491"/>
    </row>
    <row r="119" spans="1:29">
      <c r="A119" s="491"/>
      <c r="B119" s="491"/>
      <c r="C119" s="491"/>
      <c r="D119" s="491"/>
      <c r="E119" s="491"/>
      <c r="F119" s="491"/>
      <c r="G119" s="491"/>
      <c r="H119" s="491"/>
      <c r="I119" s="491"/>
      <c r="J119" s="491"/>
      <c r="K119" s="505"/>
      <c r="L119" s="506"/>
      <c r="M119" s="491"/>
      <c r="N119" s="491"/>
      <c r="O119" s="491"/>
      <c r="P119" s="491"/>
      <c r="Q119" s="491"/>
      <c r="R119" s="491"/>
      <c r="S119" s="491"/>
      <c r="T119" s="491"/>
      <c r="U119" s="491"/>
      <c r="V119" s="491"/>
      <c r="W119" s="491"/>
      <c r="X119" s="491"/>
      <c r="Y119" s="491"/>
      <c r="Z119" s="491"/>
      <c r="AA119" s="491"/>
      <c r="AB119" s="491"/>
      <c r="AC119" s="491"/>
    </row>
    <row r="120" spans="1:29">
      <c r="A120" s="491"/>
      <c r="B120" s="491"/>
      <c r="C120" s="491"/>
      <c r="D120" s="491"/>
      <c r="E120" s="491"/>
      <c r="F120" s="491"/>
      <c r="G120" s="491"/>
      <c r="H120" s="491"/>
      <c r="I120" s="491"/>
      <c r="J120" s="491"/>
      <c r="K120" s="505"/>
      <c r="L120" s="506"/>
      <c r="M120" s="491"/>
      <c r="N120" s="491"/>
      <c r="O120" s="491"/>
      <c r="P120" s="491"/>
      <c r="Q120" s="491"/>
      <c r="R120" s="491"/>
      <c r="S120" s="491"/>
      <c r="T120" s="491"/>
      <c r="U120" s="491"/>
      <c r="V120" s="491"/>
      <c r="W120" s="491"/>
      <c r="X120" s="491"/>
      <c r="Y120" s="491"/>
      <c r="Z120" s="491"/>
      <c r="AA120" s="491"/>
      <c r="AB120" s="491"/>
      <c r="AC120" s="491"/>
    </row>
    <row r="121" spans="1:29">
      <c r="A121" s="491"/>
      <c r="B121" s="491"/>
      <c r="C121" s="491"/>
      <c r="D121" s="491"/>
      <c r="E121" s="491"/>
      <c r="F121" s="491"/>
      <c r="G121" s="491"/>
      <c r="H121" s="491"/>
      <c r="I121" s="491"/>
      <c r="J121" s="491"/>
      <c r="K121" s="505"/>
      <c r="L121" s="506"/>
      <c r="M121" s="491"/>
      <c r="N121" s="491"/>
      <c r="O121" s="491"/>
      <c r="P121" s="491"/>
      <c r="Q121" s="491"/>
      <c r="R121" s="491"/>
      <c r="S121" s="491"/>
      <c r="T121" s="491"/>
      <c r="U121" s="491"/>
      <c r="V121" s="491"/>
      <c r="W121" s="491"/>
      <c r="X121" s="491"/>
      <c r="Y121" s="491"/>
      <c r="Z121" s="491"/>
      <c r="AA121" s="491"/>
      <c r="AB121" s="491"/>
      <c r="AC121" s="491"/>
    </row>
    <row r="122" spans="1:29">
      <c r="A122" s="491"/>
      <c r="B122" s="491"/>
      <c r="C122" s="491"/>
      <c r="D122" s="491"/>
      <c r="E122" s="491"/>
      <c r="F122" s="491"/>
      <c r="G122" s="491"/>
      <c r="H122" s="491"/>
      <c r="I122" s="491"/>
      <c r="J122" s="491"/>
      <c r="K122" s="505"/>
      <c r="L122" s="506"/>
      <c r="M122" s="491"/>
      <c r="N122" s="491"/>
      <c r="O122" s="491"/>
      <c r="P122" s="491"/>
      <c r="Q122" s="491"/>
      <c r="R122" s="491"/>
      <c r="S122" s="491"/>
      <c r="T122" s="491"/>
      <c r="U122" s="491"/>
      <c r="V122" s="491"/>
      <c r="W122" s="491"/>
      <c r="X122" s="491"/>
      <c r="Y122" s="491"/>
      <c r="Z122" s="491"/>
      <c r="AA122" s="491"/>
      <c r="AB122" s="491"/>
      <c r="AC122" s="491"/>
    </row>
    <row r="123" spans="1:29">
      <c r="A123" s="491"/>
      <c r="B123" s="491"/>
      <c r="C123" s="491"/>
      <c r="D123" s="491"/>
      <c r="E123" s="491"/>
      <c r="F123" s="491"/>
      <c r="G123" s="491"/>
      <c r="H123" s="491"/>
      <c r="I123" s="491"/>
      <c r="J123" s="491"/>
      <c r="K123" s="505"/>
      <c r="L123" s="506"/>
      <c r="M123" s="491"/>
      <c r="N123" s="491"/>
      <c r="O123" s="491"/>
      <c r="P123" s="491"/>
      <c r="Q123" s="491"/>
      <c r="R123" s="491"/>
      <c r="S123" s="491"/>
      <c r="T123" s="491"/>
      <c r="U123" s="491"/>
      <c r="V123" s="491"/>
      <c r="W123" s="491"/>
      <c r="X123" s="491"/>
      <c r="Y123" s="491"/>
      <c r="Z123" s="491"/>
      <c r="AA123" s="491"/>
      <c r="AB123" s="491"/>
      <c r="AC123" s="491"/>
    </row>
    <row r="124" spans="1:29">
      <c r="A124" s="491"/>
      <c r="B124" s="491"/>
      <c r="C124" s="491"/>
      <c r="D124" s="491"/>
      <c r="E124" s="491"/>
      <c r="F124" s="491"/>
      <c r="G124" s="491"/>
      <c r="H124" s="491"/>
      <c r="I124" s="491"/>
      <c r="J124" s="491"/>
      <c r="K124" s="505"/>
      <c r="L124" s="506"/>
      <c r="M124" s="491"/>
      <c r="N124" s="491"/>
      <c r="O124" s="491"/>
      <c r="P124" s="491"/>
      <c r="Q124" s="491"/>
      <c r="R124" s="491"/>
      <c r="S124" s="491"/>
      <c r="T124" s="491"/>
      <c r="U124" s="491"/>
      <c r="V124" s="491"/>
      <c r="W124" s="491"/>
      <c r="X124" s="491"/>
      <c r="Y124" s="491"/>
      <c r="Z124" s="491"/>
      <c r="AA124" s="491"/>
      <c r="AB124" s="491"/>
      <c r="AC124" s="491"/>
    </row>
    <row r="125" spans="1:29">
      <c r="A125" s="491"/>
      <c r="B125" s="491"/>
      <c r="C125" s="491"/>
      <c r="D125" s="491"/>
      <c r="E125" s="491"/>
      <c r="F125" s="491"/>
      <c r="G125" s="491"/>
      <c r="H125" s="491"/>
      <c r="I125" s="491"/>
      <c r="J125" s="491"/>
      <c r="K125" s="505"/>
      <c r="L125" s="506"/>
      <c r="M125" s="491"/>
      <c r="N125" s="491"/>
      <c r="O125" s="491"/>
      <c r="P125" s="491"/>
      <c r="Q125" s="491"/>
      <c r="R125" s="491"/>
      <c r="S125" s="491"/>
      <c r="T125" s="491"/>
      <c r="U125" s="491"/>
      <c r="V125" s="491"/>
      <c r="W125" s="491"/>
      <c r="X125" s="491"/>
      <c r="Y125" s="491"/>
      <c r="Z125" s="491"/>
      <c r="AA125" s="491"/>
      <c r="AB125" s="491"/>
      <c r="AC125" s="491"/>
    </row>
    <row r="126" spans="1:29">
      <c r="A126" s="491"/>
      <c r="B126" s="491"/>
      <c r="C126" s="491"/>
      <c r="D126" s="491"/>
      <c r="E126" s="491"/>
      <c r="F126" s="491"/>
      <c r="G126" s="491"/>
      <c r="H126" s="491"/>
      <c r="I126" s="491"/>
      <c r="J126" s="491"/>
      <c r="K126" s="505"/>
      <c r="L126" s="506"/>
      <c r="M126" s="491"/>
      <c r="N126" s="491"/>
      <c r="O126" s="491"/>
      <c r="P126" s="491"/>
      <c r="Q126" s="491"/>
      <c r="R126" s="491"/>
      <c r="S126" s="491"/>
      <c r="T126" s="491"/>
      <c r="U126" s="491"/>
      <c r="V126" s="491"/>
      <c r="W126" s="491"/>
      <c r="X126" s="491"/>
      <c r="Y126" s="491"/>
      <c r="Z126" s="491"/>
      <c r="AA126" s="491"/>
      <c r="AB126" s="491"/>
      <c r="AC126" s="491"/>
    </row>
    <row r="127" spans="1:29">
      <c r="A127" s="491"/>
      <c r="B127" s="491"/>
      <c r="C127" s="491"/>
      <c r="D127" s="491"/>
      <c r="E127" s="491"/>
      <c r="F127" s="491"/>
      <c r="G127" s="491"/>
      <c r="H127" s="491"/>
      <c r="I127" s="491"/>
      <c r="J127" s="491"/>
      <c r="K127" s="505"/>
      <c r="L127" s="506"/>
      <c r="M127" s="491"/>
      <c r="N127" s="491"/>
      <c r="O127" s="491"/>
      <c r="P127" s="491"/>
      <c r="Q127" s="491"/>
      <c r="R127" s="491"/>
      <c r="S127" s="491"/>
      <c r="T127" s="491"/>
      <c r="U127" s="491"/>
      <c r="V127" s="491"/>
      <c r="W127" s="491"/>
      <c r="X127" s="491"/>
      <c r="Y127" s="491"/>
      <c r="Z127" s="491"/>
      <c r="AA127" s="491"/>
      <c r="AB127" s="491"/>
      <c r="AC127" s="491"/>
    </row>
    <row r="128" spans="1:29">
      <c r="A128" s="491"/>
      <c r="B128" s="491"/>
      <c r="C128" s="491"/>
      <c r="D128" s="491"/>
      <c r="E128" s="491"/>
      <c r="F128" s="491"/>
      <c r="G128" s="491"/>
      <c r="H128" s="491"/>
      <c r="I128" s="491"/>
      <c r="J128" s="491"/>
      <c r="K128" s="505"/>
      <c r="L128" s="506"/>
      <c r="M128" s="491"/>
      <c r="N128" s="491"/>
      <c r="O128" s="491"/>
      <c r="P128" s="491"/>
      <c r="Q128" s="491"/>
      <c r="R128" s="491"/>
      <c r="S128" s="491"/>
      <c r="T128" s="491"/>
      <c r="U128" s="491"/>
      <c r="V128" s="491"/>
      <c r="W128" s="491"/>
      <c r="X128" s="491"/>
      <c r="Y128" s="491"/>
      <c r="Z128" s="491"/>
      <c r="AA128" s="491"/>
      <c r="AB128" s="491"/>
      <c r="AC128" s="491"/>
    </row>
    <row r="129" spans="1:29">
      <c r="A129" s="491"/>
      <c r="B129" s="491"/>
      <c r="C129" s="491"/>
      <c r="D129" s="491"/>
      <c r="E129" s="491"/>
      <c r="F129" s="491"/>
      <c r="G129" s="491"/>
      <c r="H129" s="491"/>
      <c r="I129" s="491"/>
      <c r="J129" s="491"/>
      <c r="K129" s="505"/>
      <c r="L129" s="506"/>
      <c r="M129" s="491"/>
      <c r="N129" s="491"/>
      <c r="O129" s="491"/>
      <c r="P129" s="491"/>
      <c r="Q129" s="491"/>
      <c r="R129" s="491"/>
      <c r="S129" s="491"/>
      <c r="T129" s="491"/>
      <c r="U129" s="491"/>
      <c r="V129" s="491"/>
      <c r="W129" s="491"/>
      <c r="X129" s="491"/>
      <c r="Y129" s="491"/>
      <c r="Z129" s="491"/>
      <c r="AA129" s="491"/>
      <c r="AB129" s="491"/>
      <c r="AC129" s="491"/>
    </row>
    <row r="130" spans="1:29">
      <c r="A130" s="491"/>
      <c r="B130" s="491"/>
      <c r="C130" s="491"/>
      <c r="D130" s="491"/>
      <c r="E130" s="491"/>
      <c r="F130" s="491"/>
      <c r="G130" s="491"/>
      <c r="H130" s="491"/>
      <c r="I130" s="491"/>
      <c r="J130" s="491"/>
      <c r="K130" s="505"/>
      <c r="L130" s="506"/>
      <c r="M130" s="491"/>
      <c r="N130" s="491"/>
      <c r="O130" s="491"/>
      <c r="P130" s="491"/>
      <c r="Q130" s="491"/>
      <c r="R130" s="491"/>
      <c r="S130" s="491"/>
      <c r="T130" s="491"/>
      <c r="U130" s="491"/>
      <c r="V130" s="491"/>
      <c r="W130" s="491"/>
      <c r="X130" s="491"/>
      <c r="Y130" s="491"/>
      <c r="Z130" s="491"/>
      <c r="AA130" s="491"/>
      <c r="AB130" s="491"/>
      <c r="AC130" s="491"/>
    </row>
    <row r="131" spans="1:29">
      <c r="A131" s="491"/>
      <c r="B131" s="491"/>
      <c r="C131" s="491"/>
      <c r="D131" s="491"/>
      <c r="E131" s="491"/>
      <c r="F131" s="491"/>
      <c r="G131" s="491"/>
      <c r="H131" s="491"/>
      <c r="I131" s="491"/>
      <c r="J131" s="491"/>
      <c r="K131" s="505"/>
      <c r="L131" s="506"/>
      <c r="M131" s="491"/>
      <c r="N131" s="491"/>
      <c r="O131" s="491"/>
      <c r="P131" s="491"/>
      <c r="Q131" s="491"/>
      <c r="R131" s="491"/>
      <c r="S131" s="491"/>
      <c r="T131" s="491"/>
      <c r="U131" s="491"/>
      <c r="V131" s="491"/>
      <c r="W131" s="491"/>
      <c r="X131" s="491"/>
      <c r="Y131" s="491"/>
      <c r="Z131" s="491"/>
      <c r="AA131" s="491"/>
      <c r="AB131" s="491"/>
      <c r="AC131" s="491"/>
    </row>
    <row r="132" spans="1:29">
      <c r="A132" s="491"/>
      <c r="B132" s="491"/>
      <c r="C132" s="491"/>
      <c r="D132" s="491"/>
      <c r="E132" s="491"/>
      <c r="F132" s="491"/>
      <c r="G132" s="491"/>
      <c r="H132" s="491"/>
      <c r="I132" s="491"/>
      <c r="J132" s="491"/>
      <c r="K132" s="505"/>
      <c r="L132" s="506"/>
      <c r="M132" s="491"/>
      <c r="N132" s="491"/>
      <c r="O132" s="491"/>
      <c r="P132" s="491"/>
      <c r="Q132" s="491"/>
      <c r="R132" s="491"/>
      <c r="S132" s="491"/>
      <c r="T132" s="491"/>
      <c r="U132" s="491"/>
      <c r="V132" s="491"/>
      <c r="W132" s="491"/>
      <c r="X132" s="491"/>
      <c r="Y132" s="491"/>
      <c r="Z132" s="491"/>
      <c r="AA132" s="491"/>
      <c r="AB132" s="491"/>
      <c r="AC132" s="491"/>
    </row>
    <row r="133" spans="1:29">
      <c r="A133" s="491"/>
      <c r="B133" s="491"/>
      <c r="C133" s="491"/>
      <c r="D133" s="491"/>
      <c r="E133" s="491"/>
      <c r="F133" s="491"/>
      <c r="G133" s="491"/>
      <c r="H133" s="491"/>
      <c r="I133" s="491"/>
      <c r="J133" s="491"/>
      <c r="K133" s="505"/>
      <c r="L133" s="506"/>
      <c r="M133" s="491"/>
      <c r="N133" s="491"/>
      <c r="O133" s="491"/>
      <c r="P133" s="491"/>
      <c r="Q133" s="491"/>
      <c r="R133" s="491"/>
      <c r="S133" s="491"/>
      <c r="T133" s="491"/>
      <c r="U133" s="491"/>
      <c r="V133" s="491"/>
      <c r="W133" s="491"/>
      <c r="X133" s="491"/>
      <c r="Y133" s="491"/>
      <c r="Z133" s="491"/>
      <c r="AA133" s="491"/>
      <c r="AB133" s="491"/>
      <c r="AC133" s="491"/>
    </row>
    <row r="134" spans="1:29">
      <c r="A134" s="491"/>
      <c r="B134" s="491"/>
      <c r="C134" s="491"/>
      <c r="D134" s="491"/>
      <c r="E134" s="491"/>
      <c r="F134" s="491"/>
      <c r="G134" s="491"/>
      <c r="H134" s="491"/>
      <c r="I134" s="491"/>
      <c r="J134" s="491"/>
      <c r="K134" s="505"/>
      <c r="L134" s="506"/>
      <c r="M134" s="491"/>
      <c r="N134" s="491"/>
      <c r="O134" s="491"/>
      <c r="P134" s="491"/>
      <c r="Q134" s="491"/>
      <c r="R134" s="491"/>
      <c r="S134" s="491"/>
      <c r="T134" s="491"/>
      <c r="U134" s="491"/>
      <c r="V134" s="491"/>
      <c r="W134" s="491"/>
      <c r="X134" s="491"/>
      <c r="Y134" s="491"/>
      <c r="Z134" s="491"/>
      <c r="AA134" s="491"/>
      <c r="AB134" s="491"/>
      <c r="AC134" s="491"/>
    </row>
    <row r="135" spans="1:29">
      <c r="A135" s="491"/>
      <c r="B135" s="491"/>
      <c r="C135" s="491"/>
      <c r="D135" s="491"/>
      <c r="E135" s="491"/>
      <c r="F135" s="491"/>
      <c r="G135" s="491"/>
      <c r="H135" s="491"/>
      <c r="I135" s="491"/>
      <c r="J135" s="491"/>
      <c r="K135" s="505"/>
      <c r="L135" s="506"/>
      <c r="M135" s="491"/>
      <c r="N135" s="491"/>
      <c r="O135" s="491"/>
      <c r="P135" s="491"/>
      <c r="Q135" s="491"/>
      <c r="R135" s="491"/>
      <c r="S135" s="491"/>
      <c r="T135" s="491"/>
      <c r="U135" s="491"/>
      <c r="V135" s="491"/>
      <c r="W135" s="491"/>
      <c r="X135" s="491"/>
      <c r="Y135" s="491"/>
      <c r="Z135" s="491"/>
      <c r="AA135" s="491"/>
      <c r="AB135" s="491"/>
      <c r="AC135" s="491"/>
    </row>
    <row r="136" spans="1:29">
      <c r="A136" s="491"/>
      <c r="B136" s="491"/>
      <c r="C136" s="491"/>
      <c r="D136" s="491"/>
      <c r="E136" s="491"/>
      <c r="F136" s="491"/>
      <c r="G136" s="491"/>
      <c r="H136" s="491"/>
      <c r="I136" s="491"/>
      <c r="J136" s="491"/>
      <c r="K136" s="505"/>
      <c r="L136" s="506"/>
      <c r="M136" s="491"/>
      <c r="N136" s="491"/>
      <c r="O136" s="491"/>
      <c r="P136" s="491"/>
      <c r="Q136" s="491"/>
      <c r="R136" s="491"/>
      <c r="S136" s="491"/>
      <c r="T136" s="491"/>
      <c r="U136" s="491"/>
      <c r="V136" s="491"/>
      <c r="W136" s="491"/>
      <c r="X136" s="491"/>
      <c r="Y136" s="491"/>
      <c r="Z136" s="491"/>
      <c r="AA136" s="491"/>
      <c r="AB136" s="491"/>
      <c r="AC136" s="491"/>
    </row>
    <row r="137" spans="1:29">
      <c r="A137" s="491"/>
      <c r="B137" s="491"/>
      <c r="C137" s="491"/>
      <c r="D137" s="491"/>
      <c r="E137" s="491"/>
      <c r="F137" s="491"/>
      <c r="G137" s="491"/>
      <c r="H137" s="491"/>
      <c r="I137" s="491"/>
      <c r="J137" s="491"/>
      <c r="K137" s="505"/>
      <c r="L137" s="506"/>
      <c r="M137" s="491"/>
      <c r="N137" s="491"/>
      <c r="O137" s="491"/>
      <c r="P137" s="491"/>
      <c r="Q137" s="491"/>
      <c r="R137" s="491"/>
      <c r="S137" s="491"/>
      <c r="T137" s="491"/>
      <c r="U137" s="491"/>
      <c r="V137" s="491"/>
      <c r="W137" s="491"/>
      <c r="X137" s="491"/>
      <c r="Y137" s="491"/>
      <c r="Z137" s="491"/>
      <c r="AA137" s="491"/>
      <c r="AB137" s="491"/>
      <c r="AC137" s="491"/>
    </row>
    <row r="138" spans="1:29">
      <c r="A138" s="491"/>
      <c r="B138" s="491"/>
      <c r="C138" s="491"/>
      <c r="D138" s="491"/>
      <c r="E138" s="491"/>
      <c r="F138" s="491"/>
      <c r="G138" s="491"/>
      <c r="H138" s="491"/>
      <c r="I138" s="491"/>
      <c r="J138" s="491"/>
      <c r="K138" s="505"/>
      <c r="L138" s="506"/>
      <c r="M138" s="491"/>
      <c r="N138" s="491"/>
      <c r="O138" s="491"/>
      <c r="P138" s="491"/>
      <c r="Q138" s="491"/>
      <c r="R138" s="491"/>
      <c r="S138" s="491"/>
      <c r="T138" s="491"/>
      <c r="U138" s="491"/>
      <c r="V138" s="491"/>
      <c r="W138" s="491"/>
      <c r="X138" s="491"/>
      <c r="Y138" s="491"/>
      <c r="Z138" s="491"/>
      <c r="AA138" s="491"/>
      <c r="AB138" s="491"/>
      <c r="AC138" s="491"/>
    </row>
    <row r="139" spans="1:29">
      <c r="A139" s="491"/>
      <c r="B139" s="491"/>
      <c r="C139" s="491"/>
      <c r="D139" s="491"/>
      <c r="E139" s="491"/>
      <c r="F139" s="491"/>
      <c r="G139" s="491"/>
      <c r="H139" s="491"/>
      <c r="I139" s="491"/>
      <c r="J139" s="491"/>
      <c r="K139" s="505"/>
      <c r="L139" s="506"/>
      <c r="M139" s="491"/>
      <c r="N139" s="491"/>
      <c r="O139" s="491"/>
      <c r="P139" s="491"/>
      <c r="Q139" s="491"/>
      <c r="R139" s="491"/>
      <c r="S139" s="491"/>
      <c r="T139" s="491"/>
      <c r="U139" s="491"/>
      <c r="V139" s="491"/>
      <c r="W139" s="491"/>
      <c r="X139" s="491"/>
      <c r="Y139" s="491"/>
      <c r="Z139" s="491"/>
      <c r="AA139" s="491"/>
      <c r="AB139" s="491"/>
      <c r="AC139" s="491"/>
    </row>
    <row r="140" spans="1:29">
      <c r="A140" s="491"/>
      <c r="B140" s="491"/>
      <c r="C140" s="491"/>
      <c r="D140" s="491"/>
      <c r="E140" s="491"/>
      <c r="F140" s="491"/>
      <c r="G140" s="491"/>
      <c r="H140" s="491"/>
      <c r="I140" s="491"/>
      <c r="J140" s="491"/>
      <c r="K140" s="505"/>
      <c r="L140" s="506"/>
      <c r="M140" s="491"/>
      <c r="N140" s="491"/>
      <c r="O140" s="491"/>
      <c r="P140" s="491"/>
      <c r="Q140" s="491"/>
      <c r="R140" s="491"/>
      <c r="S140" s="491"/>
      <c r="T140" s="491"/>
      <c r="U140" s="491"/>
      <c r="V140" s="491"/>
      <c r="W140" s="491"/>
      <c r="X140" s="491"/>
      <c r="Y140" s="491"/>
      <c r="Z140" s="491"/>
      <c r="AA140" s="491"/>
      <c r="AB140" s="491"/>
      <c r="AC140" s="491"/>
    </row>
    <row r="141" spans="1:29">
      <c r="A141" s="491"/>
      <c r="B141" s="491"/>
      <c r="C141" s="491"/>
      <c r="D141" s="491"/>
      <c r="E141" s="491"/>
      <c r="F141" s="491"/>
      <c r="G141" s="491"/>
      <c r="H141" s="491"/>
      <c r="I141" s="491"/>
      <c r="J141" s="491"/>
      <c r="K141" s="505"/>
      <c r="L141" s="506"/>
      <c r="M141" s="491"/>
      <c r="N141" s="491"/>
      <c r="O141" s="491"/>
      <c r="P141" s="491"/>
      <c r="Q141" s="491"/>
      <c r="R141" s="491"/>
      <c r="S141" s="491"/>
      <c r="T141" s="491"/>
      <c r="U141" s="491"/>
      <c r="V141" s="491"/>
      <c r="W141" s="491"/>
      <c r="X141" s="491"/>
      <c r="Y141" s="491"/>
      <c r="Z141" s="491"/>
      <c r="AA141" s="491"/>
      <c r="AB141" s="491"/>
      <c r="AC141" s="491"/>
    </row>
    <row r="142" spans="1:29">
      <c r="A142" s="491"/>
      <c r="B142" s="491"/>
      <c r="C142" s="491"/>
      <c r="D142" s="491"/>
      <c r="E142" s="491"/>
      <c r="F142" s="491"/>
      <c r="G142" s="491"/>
      <c r="H142" s="491"/>
      <c r="I142" s="491"/>
      <c r="J142" s="491"/>
      <c r="K142" s="505"/>
      <c r="L142" s="506"/>
      <c r="M142" s="491"/>
      <c r="N142" s="491"/>
      <c r="O142" s="491"/>
      <c r="P142" s="491"/>
      <c r="Q142" s="491"/>
      <c r="R142" s="491"/>
      <c r="S142" s="491"/>
      <c r="T142" s="491"/>
      <c r="U142" s="491"/>
      <c r="V142" s="491"/>
      <c r="W142" s="491"/>
      <c r="X142" s="491"/>
      <c r="Y142" s="491"/>
      <c r="Z142" s="491"/>
      <c r="AA142" s="491"/>
      <c r="AB142" s="491"/>
      <c r="AC142" s="491"/>
    </row>
    <row r="143" spans="1:29">
      <c r="A143" s="491"/>
      <c r="B143" s="491"/>
      <c r="C143" s="491"/>
      <c r="D143" s="491"/>
      <c r="E143" s="491"/>
      <c r="F143" s="491"/>
      <c r="G143" s="491"/>
      <c r="H143" s="491"/>
      <c r="I143" s="491"/>
      <c r="J143" s="491"/>
      <c r="K143" s="505"/>
      <c r="L143" s="506"/>
      <c r="M143" s="491"/>
      <c r="N143" s="491"/>
      <c r="O143" s="491"/>
      <c r="P143" s="491"/>
      <c r="Q143" s="491"/>
      <c r="R143" s="491"/>
      <c r="S143" s="491"/>
      <c r="T143" s="491"/>
      <c r="U143" s="491"/>
      <c r="V143" s="491"/>
      <c r="W143" s="491"/>
      <c r="X143" s="491"/>
      <c r="Y143" s="491"/>
      <c r="Z143" s="491"/>
      <c r="AA143" s="491"/>
      <c r="AB143" s="491"/>
      <c r="AC143" s="491"/>
    </row>
    <row r="144" spans="1:29">
      <c r="A144" s="491"/>
      <c r="B144" s="491"/>
      <c r="C144" s="491"/>
      <c r="D144" s="491"/>
      <c r="E144" s="491"/>
      <c r="F144" s="491"/>
      <c r="G144" s="491"/>
      <c r="H144" s="491"/>
      <c r="I144" s="491"/>
      <c r="J144" s="491"/>
      <c r="K144" s="505"/>
      <c r="L144" s="506"/>
      <c r="M144" s="491"/>
      <c r="N144" s="491"/>
      <c r="O144" s="491"/>
      <c r="P144" s="491"/>
      <c r="Q144" s="491"/>
      <c r="R144" s="491"/>
      <c r="S144" s="491"/>
      <c r="T144" s="491"/>
      <c r="U144" s="491"/>
      <c r="V144" s="491"/>
      <c r="W144" s="491"/>
      <c r="X144" s="491"/>
      <c r="Y144" s="491"/>
      <c r="Z144" s="491"/>
      <c r="AA144" s="491"/>
      <c r="AB144" s="491"/>
      <c r="AC144" s="491"/>
    </row>
    <row r="145" spans="1:29">
      <c r="A145" s="491"/>
      <c r="B145" s="491"/>
      <c r="C145" s="491"/>
      <c r="D145" s="491"/>
      <c r="E145" s="491"/>
      <c r="F145" s="491"/>
      <c r="G145" s="491"/>
      <c r="H145" s="491"/>
      <c r="I145" s="491"/>
      <c r="J145" s="491"/>
      <c r="K145" s="505"/>
      <c r="L145" s="506"/>
      <c r="M145" s="491"/>
      <c r="N145" s="491"/>
      <c r="O145" s="491"/>
      <c r="P145" s="491"/>
      <c r="Q145" s="491"/>
      <c r="R145" s="491"/>
      <c r="S145" s="491"/>
      <c r="T145" s="491"/>
      <c r="U145" s="491"/>
      <c r="V145" s="491"/>
      <c r="W145" s="491"/>
      <c r="X145" s="491"/>
      <c r="Y145" s="491"/>
      <c r="Z145" s="491"/>
      <c r="AA145" s="491"/>
      <c r="AB145" s="491"/>
      <c r="AC145" s="491"/>
    </row>
    <row r="146" spans="1:29">
      <c r="A146" s="491"/>
      <c r="B146" s="491"/>
      <c r="C146" s="491"/>
      <c r="D146" s="491"/>
      <c r="E146" s="491"/>
      <c r="F146" s="491"/>
      <c r="G146" s="491"/>
      <c r="H146" s="491"/>
      <c r="I146" s="491"/>
      <c r="J146" s="491"/>
      <c r="K146" s="505"/>
      <c r="L146" s="506"/>
      <c r="M146" s="491"/>
      <c r="N146" s="491"/>
      <c r="O146" s="491"/>
      <c r="P146" s="491"/>
      <c r="Q146" s="491"/>
      <c r="R146" s="491"/>
      <c r="S146" s="491"/>
      <c r="T146" s="491"/>
      <c r="U146" s="491"/>
      <c r="V146" s="491"/>
      <c r="W146" s="491"/>
      <c r="X146" s="491"/>
      <c r="Y146" s="491"/>
      <c r="Z146" s="491"/>
      <c r="AA146" s="491"/>
      <c r="AB146" s="491"/>
      <c r="AC146" s="491"/>
    </row>
    <row r="147" spans="1:29">
      <c r="A147" s="491"/>
      <c r="B147" s="491"/>
      <c r="C147" s="491"/>
      <c r="D147" s="491"/>
      <c r="E147" s="491"/>
      <c r="F147" s="491"/>
      <c r="G147" s="491"/>
      <c r="H147" s="491"/>
      <c r="I147" s="491"/>
      <c r="J147" s="491"/>
      <c r="K147" s="505"/>
      <c r="L147" s="506"/>
      <c r="M147" s="491"/>
      <c r="N147" s="491"/>
      <c r="O147" s="491"/>
      <c r="P147" s="491"/>
      <c r="Q147" s="491"/>
      <c r="R147" s="491"/>
      <c r="S147" s="491"/>
      <c r="T147" s="491"/>
      <c r="U147" s="491"/>
      <c r="V147" s="491"/>
      <c r="W147" s="491"/>
      <c r="X147" s="491"/>
      <c r="Y147" s="491"/>
      <c r="Z147" s="491"/>
      <c r="AA147" s="491"/>
      <c r="AB147" s="491"/>
      <c r="AC147" s="491"/>
    </row>
    <row r="148" spans="1:29">
      <c r="A148" s="491"/>
      <c r="B148" s="491"/>
      <c r="C148" s="491"/>
      <c r="D148" s="491"/>
      <c r="E148" s="491"/>
      <c r="F148" s="491"/>
      <c r="G148" s="491"/>
      <c r="H148" s="491"/>
      <c r="I148" s="491"/>
      <c r="J148" s="491"/>
      <c r="K148" s="505"/>
      <c r="L148" s="506"/>
      <c r="M148" s="491"/>
      <c r="N148" s="491"/>
      <c r="O148" s="491"/>
      <c r="P148" s="491"/>
      <c r="Q148" s="491"/>
      <c r="R148" s="491"/>
      <c r="S148" s="491"/>
      <c r="T148" s="491"/>
      <c r="U148" s="491"/>
      <c r="V148" s="491"/>
      <c r="W148" s="491"/>
      <c r="X148" s="491"/>
      <c r="Y148" s="491"/>
      <c r="Z148" s="491"/>
      <c r="AA148" s="491"/>
      <c r="AB148" s="491"/>
      <c r="AC148" s="491"/>
    </row>
    <row r="149" spans="1:29">
      <c r="A149" s="491"/>
      <c r="B149" s="491"/>
      <c r="C149" s="491"/>
      <c r="D149" s="491"/>
      <c r="E149" s="491"/>
      <c r="F149" s="491"/>
      <c r="G149" s="491"/>
      <c r="H149" s="491"/>
      <c r="I149" s="491"/>
      <c r="J149" s="491"/>
      <c r="K149" s="505"/>
      <c r="L149" s="506"/>
      <c r="M149" s="491"/>
      <c r="N149" s="491"/>
      <c r="O149" s="491"/>
      <c r="P149" s="491"/>
      <c r="Q149" s="491"/>
      <c r="R149" s="491"/>
      <c r="S149" s="491"/>
      <c r="T149" s="491"/>
      <c r="U149" s="491"/>
      <c r="V149" s="491"/>
      <c r="W149" s="491"/>
      <c r="X149" s="491"/>
      <c r="Y149" s="491"/>
      <c r="Z149" s="491"/>
      <c r="AA149" s="491"/>
      <c r="AB149" s="491"/>
      <c r="AC149" s="491"/>
    </row>
    <row r="150" spans="1:29">
      <c r="A150" s="491"/>
      <c r="B150" s="491"/>
      <c r="C150" s="491"/>
      <c r="D150" s="491"/>
      <c r="E150" s="491"/>
      <c r="F150" s="491"/>
      <c r="G150" s="491"/>
      <c r="H150" s="491"/>
      <c r="I150" s="491"/>
      <c r="J150" s="491"/>
      <c r="K150" s="505"/>
      <c r="L150" s="506"/>
      <c r="M150" s="491"/>
      <c r="N150" s="491"/>
      <c r="O150" s="491"/>
      <c r="P150" s="491"/>
      <c r="Q150" s="491"/>
      <c r="R150" s="491"/>
      <c r="S150" s="491"/>
      <c r="T150" s="491"/>
      <c r="U150" s="491"/>
      <c r="V150" s="491"/>
      <c r="W150" s="491"/>
      <c r="X150" s="491"/>
      <c r="Y150" s="491"/>
      <c r="Z150" s="491"/>
      <c r="AA150" s="491"/>
      <c r="AB150" s="491"/>
      <c r="AC150" s="491"/>
    </row>
    <row r="151" spans="1:29">
      <c r="A151" s="491"/>
      <c r="B151" s="491"/>
      <c r="C151" s="491"/>
      <c r="D151" s="491"/>
      <c r="E151" s="491"/>
      <c r="F151" s="491"/>
      <c r="G151" s="491"/>
      <c r="H151" s="491"/>
      <c r="I151" s="491"/>
      <c r="J151" s="491"/>
      <c r="K151" s="505"/>
      <c r="L151" s="506"/>
      <c r="M151" s="491"/>
      <c r="N151" s="491"/>
      <c r="O151" s="491"/>
      <c r="P151" s="491"/>
      <c r="Q151" s="491"/>
      <c r="R151" s="491"/>
      <c r="S151" s="491"/>
      <c r="T151" s="491"/>
      <c r="U151" s="491"/>
      <c r="V151" s="491"/>
      <c r="W151" s="491"/>
      <c r="X151" s="491"/>
      <c r="Y151" s="491"/>
      <c r="Z151" s="491"/>
      <c r="AA151" s="491"/>
      <c r="AB151" s="491"/>
      <c r="AC151" s="491"/>
    </row>
    <row r="152" spans="1:29">
      <c r="A152" s="491"/>
      <c r="B152" s="491"/>
      <c r="C152" s="491"/>
      <c r="D152" s="491"/>
      <c r="E152" s="491"/>
      <c r="F152" s="491"/>
      <c r="G152" s="491"/>
      <c r="H152" s="491"/>
      <c r="I152" s="491"/>
      <c r="J152" s="491"/>
      <c r="K152" s="505"/>
      <c r="L152" s="506"/>
      <c r="M152" s="491"/>
      <c r="N152" s="491"/>
      <c r="O152" s="491"/>
      <c r="P152" s="491"/>
      <c r="Q152" s="491"/>
      <c r="R152" s="491"/>
      <c r="S152" s="491"/>
      <c r="T152" s="491"/>
      <c r="U152" s="491"/>
      <c r="V152" s="491"/>
      <c r="W152" s="491"/>
      <c r="X152" s="491"/>
      <c r="Y152" s="491"/>
      <c r="Z152" s="491"/>
      <c r="AA152" s="491"/>
      <c r="AB152" s="491"/>
      <c r="AC152" s="491"/>
    </row>
    <row r="153" spans="1:29">
      <c r="A153" s="491"/>
      <c r="B153" s="491"/>
      <c r="C153" s="491"/>
      <c r="D153" s="491"/>
      <c r="E153" s="491"/>
      <c r="F153" s="491"/>
      <c r="G153" s="491"/>
      <c r="H153" s="491"/>
      <c r="I153" s="491"/>
      <c r="J153" s="491"/>
      <c r="K153" s="505"/>
      <c r="L153" s="506"/>
      <c r="M153" s="491"/>
      <c r="N153" s="491"/>
      <c r="O153" s="491"/>
      <c r="P153" s="491"/>
      <c r="Q153" s="491"/>
      <c r="R153" s="491"/>
      <c r="S153" s="491"/>
      <c r="T153" s="491"/>
      <c r="U153" s="491"/>
      <c r="V153" s="491"/>
      <c r="W153" s="491"/>
      <c r="X153" s="491"/>
      <c r="Y153" s="491"/>
      <c r="Z153" s="491"/>
      <c r="AA153" s="491"/>
      <c r="AB153" s="491"/>
      <c r="AC153" s="491"/>
    </row>
    <row r="154" spans="1:29">
      <c r="A154" s="491"/>
      <c r="B154" s="491"/>
      <c r="C154" s="491"/>
      <c r="D154" s="491"/>
      <c r="E154" s="491"/>
      <c r="F154" s="491"/>
      <c r="G154" s="491"/>
      <c r="H154" s="491"/>
      <c r="I154" s="491"/>
      <c r="J154" s="491"/>
      <c r="K154" s="505"/>
      <c r="L154" s="506"/>
      <c r="M154" s="491"/>
      <c r="N154" s="491"/>
      <c r="O154" s="491"/>
      <c r="P154" s="491"/>
      <c r="Q154" s="491"/>
      <c r="R154" s="491"/>
      <c r="S154" s="491"/>
      <c r="T154" s="491"/>
      <c r="U154" s="491"/>
      <c r="V154" s="491"/>
      <c r="W154" s="491"/>
      <c r="X154" s="491"/>
      <c r="Y154" s="491"/>
      <c r="Z154" s="491"/>
      <c r="AA154" s="491"/>
      <c r="AB154" s="491"/>
      <c r="AC154" s="491"/>
    </row>
    <row r="155" spans="1:29">
      <c r="A155" s="491"/>
      <c r="B155" s="491"/>
      <c r="C155" s="491"/>
      <c r="D155" s="491"/>
      <c r="E155" s="491"/>
      <c r="F155" s="491"/>
      <c r="G155" s="491"/>
      <c r="H155" s="491"/>
      <c r="I155" s="491"/>
      <c r="J155" s="491"/>
      <c r="K155" s="505"/>
      <c r="L155" s="506"/>
      <c r="M155" s="491"/>
      <c r="N155" s="491"/>
      <c r="O155" s="491"/>
      <c r="P155" s="491"/>
      <c r="Q155" s="491"/>
      <c r="R155" s="491"/>
      <c r="S155" s="491"/>
      <c r="T155" s="491"/>
      <c r="U155" s="491"/>
      <c r="V155" s="491"/>
      <c r="W155" s="491"/>
      <c r="X155" s="491"/>
      <c r="Y155" s="491"/>
      <c r="Z155" s="491"/>
      <c r="AA155" s="491"/>
      <c r="AB155" s="491"/>
      <c r="AC155" s="491"/>
    </row>
    <row r="156" spans="1:29">
      <c r="A156" s="491"/>
      <c r="B156" s="491"/>
      <c r="C156" s="491"/>
      <c r="D156" s="491"/>
      <c r="E156" s="491"/>
      <c r="F156" s="491"/>
      <c r="G156" s="491"/>
      <c r="H156" s="491"/>
      <c r="I156" s="491"/>
      <c r="J156" s="491"/>
      <c r="K156" s="505"/>
      <c r="L156" s="506"/>
      <c r="M156" s="491"/>
      <c r="N156" s="491"/>
      <c r="O156" s="491"/>
      <c r="P156" s="491"/>
      <c r="Q156" s="491"/>
      <c r="R156" s="491"/>
      <c r="S156" s="491"/>
      <c r="T156" s="491"/>
      <c r="U156" s="491"/>
      <c r="V156" s="491"/>
      <c r="W156" s="491"/>
      <c r="X156" s="491"/>
      <c r="Y156" s="491"/>
      <c r="Z156" s="491"/>
      <c r="AA156" s="491"/>
      <c r="AB156" s="491"/>
      <c r="AC156" s="491"/>
    </row>
    <row r="157" spans="1:29">
      <c r="A157" s="491"/>
      <c r="B157" s="491"/>
      <c r="C157" s="491"/>
      <c r="D157" s="491"/>
      <c r="E157" s="491"/>
      <c r="F157" s="491"/>
      <c r="G157" s="491"/>
      <c r="H157" s="491"/>
      <c r="I157" s="491"/>
      <c r="J157" s="491"/>
      <c r="K157" s="505"/>
      <c r="L157" s="506"/>
      <c r="M157" s="491"/>
      <c r="N157" s="491"/>
      <c r="O157" s="491"/>
      <c r="P157" s="491"/>
      <c r="Q157" s="491"/>
      <c r="R157" s="491"/>
      <c r="S157" s="491"/>
      <c r="T157" s="491"/>
      <c r="U157" s="491"/>
      <c r="V157" s="491"/>
      <c r="W157" s="491"/>
      <c r="X157" s="491"/>
      <c r="Y157" s="491"/>
      <c r="Z157" s="491"/>
      <c r="AA157" s="491"/>
      <c r="AB157" s="491"/>
      <c r="AC157" s="491"/>
    </row>
    <row r="158" spans="1:29">
      <c r="A158" s="491"/>
      <c r="B158" s="491"/>
      <c r="C158" s="491"/>
      <c r="D158" s="491"/>
      <c r="E158" s="491"/>
      <c r="F158" s="491"/>
      <c r="G158" s="491"/>
      <c r="H158" s="491"/>
      <c r="I158" s="491"/>
      <c r="J158" s="491"/>
      <c r="K158" s="505"/>
      <c r="L158" s="506"/>
      <c r="M158" s="491"/>
      <c r="N158" s="491"/>
      <c r="O158" s="491"/>
      <c r="P158" s="491"/>
      <c r="Q158" s="491"/>
      <c r="R158" s="491"/>
      <c r="S158" s="491"/>
      <c r="T158" s="491"/>
      <c r="U158" s="491"/>
      <c r="V158" s="491"/>
      <c r="W158" s="491"/>
      <c r="X158" s="491"/>
      <c r="Y158" s="491"/>
      <c r="Z158" s="491"/>
      <c r="AA158" s="491"/>
      <c r="AB158" s="491"/>
      <c r="AC158" s="491"/>
    </row>
    <row r="159" spans="1:29">
      <c r="A159" s="491"/>
      <c r="B159" s="491"/>
      <c r="C159" s="491"/>
      <c r="D159" s="491"/>
      <c r="E159" s="491"/>
      <c r="F159" s="491"/>
      <c r="G159" s="491"/>
      <c r="H159" s="491"/>
      <c r="I159" s="491"/>
      <c r="J159" s="491"/>
      <c r="K159" s="505"/>
      <c r="L159" s="506"/>
      <c r="M159" s="491"/>
      <c r="N159" s="491"/>
      <c r="O159" s="491"/>
      <c r="P159" s="491"/>
      <c r="Q159" s="491"/>
      <c r="R159" s="491"/>
      <c r="S159" s="491"/>
      <c r="T159" s="491"/>
      <c r="U159" s="491"/>
      <c r="V159" s="491"/>
      <c r="W159" s="491"/>
      <c r="X159" s="491"/>
      <c r="Y159" s="491"/>
      <c r="Z159" s="491"/>
      <c r="AA159" s="491"/>
      <c r="AB159" s="491"/>
      <c r="AC159" s="491"/>
    </row>
    <row r="160" spans="1:29">
      <c r="A160" s="491"/>
      <c r="B160" s="491"/>
      <c r="C160" s="491"/>
      <c r="D160" s="491"/>
      <c r="E160" s="491"/>
      <c r="F160" s="491"/>
      <c r="G160" s="491"/>
      <c r="H160" s="491"/>
      <c r="I160" s="491"/>
      <c r="J160" s="491"/>
      <c r="K160" s="505"/>
      <c r="L160" s="506"/>
      <c r="M160" s="491"/>
      <c r="N160" s="491"/>
      <c r="O160" s="491"/>
      <c r="P160" s="491"/>
      <c r="Q160" s="491"/>
      <c r="R160" s="491"/>
      <c r="S160" s="491"/>
      <c r="T160" s="491"/>
      <c r="U160" s="491"/>
      <c r="V160" s="491"/>
      <c r="W160" s="491"/>
      <c r="X160" s="491"/>
      <c r="Y160" s="491"/>
      <c r="Z160" s="491"/>
      <c r="AA160" s="491"/>
      <c r="AB160" s="491"/>
      <c r="AC160" s="491"/>
    </row>
    <row r="161" spans="1:29">
      <c r="A161" s="491"/>
      <c r="B161" s="491"/>
      <c r="C161" s="491"/>
      <c r="D161" s="491"/>
      <c r="E161" s="491"/>
      <c r="F161" s="491"/>
      <c r="G161" s="491"/>
      <c r="H161" s="491"/>
      <c r="I161" s="491"/>
      <c r="J161" s="491"/>
      <c r="K161" s="505"/>
      <c r="L161" s="506"/>
      <c r="M161" s="491"/>
      <c r="N161" s="491"/>
      <c r="O161" s="491"/>
      <c r="P161" s="491"/>
      <c r="Q161" s="491"/>
      <c r="R161" s="491"/>
      <c r="S161" s="491"/>
      <c r="T161" s="491"/>
      <c r="U161" s="491"/>
      <c r="V161" s="491"/>
      <c r="W161" s="491"/>
      <c r="X161" s="491"/>
      <c r="Y161" s="491"/>
      <c r="Z161" s="491"/>
      <c r="AA161" s="491"/>
      <c r="AB161" s="491"/>
      <c r="AC161" s="491"/>
    </row>
    <row r="162" spans="1:29">
      <c r="A162" s="491"/>
      <c r="B162" s="491"/>
      <c r="C162" s="491"/>
      <c r="D162" s="491"/>
      <c r="E162" s="491"/>
      <c r="F162" s="491"/>
      <c r="G162" s="491"/>
      <c r="H162" s="491"/>
      <c r="I162" s="491"/>
      <c r="J162" s="491"/>
      <c r="K162" s="505"/>
      <c r="L162" s="506"/>
      <c r="M162" s="491"/>
      <c r="N162" s="491"/>
      <c r="O162" s="491"/>
      <c r="P162" s="491"/>
      <c r="Q162" s="491"/>
      <c r="R162" s="491"/>
      <c r="S162" s="491"/>
      <c r="T162" s="491"/>
      <c r="U162" s="491"/>
      <c r="V162" s="491"/>
      <c r="W162" s="491"/>
      <c r="X162" s="491"/>
      <c r="Y162" s="491"/>
      <c r="Z162" s="491"/>
      <c r="AA162" s="491"/>
      <c r="AB162" s="491"/>
      <c r="AC162" s="491"/>
    </row>
    <row r="163" spans="1:29">
      <c r="A163" s="491"/>
      <c r="B163" s="491"/>
      <c r="C163" s="491"/>
      <c r="D163" s="491"/>
      <c r="E163" s="491"/>
      <c r="F163" s="491"/>
      <c r="G163" s="491"/>
      <c r="H163" s="491"/>
      <c r="I163" s="491"/>
      <c r="J163" s="491"/>
      <c r="K163" s="505"/>
      <c r="L163" s="506"/>
      <c r="M163" s="491"/>
      <c r="N163" s="491"/>
      <c r="O163" s="491"/>
      <c r="P163" s="491"/>
      <c r="Q163" s="491"/>
      <c r="R163" s="491"/>
      <c r="S163" s="491"/>
      <c r="T163" s="491"/>
      <c r="U163" s="491"/>
      <c r="V163" s="491"/>
      <c r="W163" s="491"/>
      <c r="X163" s="491"/>
      <c r="Y163" s="491"/>
      <c r="Z163" s="491"/>
      <c r="AA163" s="491"/>
      <c r="AB163" s="491"/>
      <c r="AC163" s="491"/>
    </row>
    <row r="164" spans="1:29">
      <c r="A164" s="491"/>
      <c r="B164" s="491"/>
      <c r="C164" s="491"/>
      <c r="D164" s="491"/>
      <c r="E164" s="491"/>
      <c r="F164" s="491"/>
      <c r="G164" s="491"/>
      <c r="H164" s="491"/>
      <c r="I164" s="491"/>
      <c r="J164" s="491"/>
      <c r="K164" s="505"/>
      <c r="L164" s="506"/>
      <c r="M164" s="491"/>
      <c r="N164" s="491"/>
      <c r="O164" s="491"/>
      <c r="P164" s="491"/>
      <c r="Q164" s="491"/>
      <c r="R164" s="491"/>
      <c r="S164" s="491"/>
      <c r="T164" s="491"/>
      <c r="U164" s="491"/>
      <c r="V164" s="491"/>
      <c r="W164" s="491"/>
      <c r="X164" s="491"/>
      <c r="Y164" s="491"/>
      <c r="Z164" s="491"/>
      <c r="AA164" s="491"/>
      <c r="AB164" s="491"/>
      <c r="AC164" s="491"/>
    </row>
    <row r="165" spans="1:29">
      <c r="A165" s="491"/>
      <c r="B165" s="491"/>
      <c r="C165" s="491"/>
      <c r="D165" s="491"/>
      <c r="E165" s="491"/>
      <c r="F165" s="491"/>
      <c r="G165" s="491"/>
      <c r="H165" s="491"/>
      <c r="I165" s="491"/>
      <c r="J165" s="491"/>
      <c r="K165" s="505"/>
      <c r="L165" s="506"/>
      <c r="M165" s="491"/>
      <c r="N165" s="491"/>
      <c r="O165" s="491"/>
      <c r="P165" s="491"/>
      <c r="Q165" s="491"/>
      <c r="R165" s="491"/>
      <c r="S165" s="491"/>
      <c r="T165" s="491"/>
      <c r="U165" s="491"/>
      <c r="V165" s="491"/>
      <c r="W165" s="491"/>
      <c r="X165" s="491"/>
      <c r="Y165" s="491"/>
      <c r="Z165" s="491"/>
      <c r="AA165" s="491"/>
      <c r="AB165" s="491"/>
      <c r="AC165" s="491"/>
    </row>
    <row r="166" spans="1:29">
      <c r="A166" s="491"/>
      <c r="B166" s="491"/>
      <c r="C166" s="491"/>
      <c r="D166" s="491"/>
      <c r="E166" s="491"/>
      <c r="F166" s="491"/>
      <c r="G166" s="491"/>
      <c r="H166" s="491"/>
      <c r="I166" s="491"/>
      <c r="J166" s="491"/>
      <c r="K166" s="505"/>
      <c r="L166" s="506"/>
      <c r="M166" s="491"/>
      <c r="N166" s="491"/>
      <c r="O166" s="491"/>
      <c r="P166" s="491"/>
      <c r="Q166" s="491"/>
      <c r="R166" s="491"/>
      <c r="S166" s="491"/>
      <c r="T166" s="491"/>
      <c r="U166" s="491"/>
      <c r="V166" s="491"/>
      <c r="W166" s="491"/>
      <c r="X166" s="491"/>
      <c r="Y166" s="491"/>
      <c r="Z166" s="491"/>
      <c r="AA166" s="491"/>
      <c r="AB166" s="491"/>
      <c r="AC166" s="491"/>
    </row>
    <row r="167" spans="1:29">
      <c r="A167" s="491"/>
      <c r="B167" s="491"/>
      <c r="C167" s="491"/>
      <c r="D167" s="491"/>
      <c r="E167" s="491"/>
      <c r="F167" s="491"/>
      <c r="G167" s="491"/>
      <c r="H167" s="491"/>
      <c r="I167" s="491"/>
      <c r="J167" s="491"/>
      <c r="K167" s="505"/>
      <c r="L167" s="506"/>
      <c r="M167" s="491"/>
      <c r="N167" s="491"/>
      <c r="O167" s="491"/>
      <c r="P167" s="491"/>
      <c r="Q167" s="491"/>
      <c r="R167" s="491"/>
      <c r="S167" s="491"/>
      <c r="T167" s="491"/>
      <c r="U167" s="491"/>
      <c r="V167" s="491"/>
      <c r="W167" s="491"/>
      <c r="X167" s="491"/>
      <c r="Y167" s="491"/>
      <c r="Z167" s="491"/>
      <c r="AA167" s="491"/>
      <c r="AB167" s="491"/>
      <c r="AC167" s="491"/>
    </row>
    <row r="168" spans="1:29">
      <c r="A168" s="491"/>
      <c r="B168" s="491"/>
      <c r="C168" s="491"/>
      <c r="D168" s="491"/>
      <c r="E168" s="491"/>
      <c r="F168" s="491"/>
      <c r="G168" s="491"/>
      <c r="H168" s="491"/>
      <c r="I168" s="491"/>
      <c r="J168" s="491"/>
      <c r="K168" s="505"/>
      <c r="L168" s="506"/>
      <c r="M168" s="491"/>
      <c r="N168" s="491"/>
      <c r="O168" s="491"/>
      <c r="P168" s="491"/>
      <c r="Q168" s="491"/>
      <c r="R168" s="491"/>
      <c r="S168" s="491"/>
      <c r="T168" s="491"/>
      <c r="U168" s="491"/>
      <c r="V168" s="491"/>
      <c r="W168" s="491"/>
      <c r="X168" s="491"/>
      <c r="Y168" s="491"/>
      <c r="Z168" s="491"/>
      <c r="AA168" s="491"/>
      <c r="AB168" s="491"/>
      <c r="AC168" s="491"/>
    </row>
    <row r="169" spans="1:29">
      <c r="A169" s="491"/>
      <c r="B169" s="491"/>
      <c r="C169" s="491"/>
      <c r="D169" s="491"/>
      <c r="E169" s="491"/>
      <c r="F169" s="491"/>
      <c r="G169" s="491"/>
      <c r="H169" s="491"/>
      <c r="I169" s="491"/>
      <c r="J169" s="491"/>
      <c r="K169" s="505"/>
      <c r="L169" s="506"/>
      <c r="M169" s="491"/>
      <c r="N169" s="491"/>
      <c r="O169" s="491"/>
      <c r="P169" s="491"/>
      <c r="Q169" s="491"/>
      <c r="R169" s="491"/>
      <c r="S169" s="491"/>
      <c r="T169" s="491"/>
      <c r="U169" s="491"/>
      <c r="V169" s="491"/>
      <c r="W169" s="491"/>
      <c r="X169" s="491"/>
      <c r="Y169" s="491"/>
      <c r="Z169" s="491"/>
      <c r="AA169" s="491"/>
      <c r="AB169" s="491"/>
      <c r="AC169" s="491"/>
    </row>
    <row r="170" spans="1:29">
      <c r="A170" s="491"/>
      <c r="B170" s="491"/>
      <c r="C170" s="491"/>
      <c r="D170" s="491"/>
      <c r="E170" s="491"/>
      <c r="F170" s="491"/>
      <c r="G170" s="491"/>
      <c r="H170" s="491"/>
      <c r="I170" s="491"/>
      <c r="J170" s="491"/>
      <c r="K170" s="505"/>
      <c r="L170" s="506"/>
      <c r="M170" s="491"/>
      <c r="N170" s="491"/>
      <c r="O170" s="491"/>
      <c r="P170" s="491"/>
      <c r="Q170" s="491"/>
      <c r="R170" s="491"/>
      <c r="S170" s="491"/>
      <c r="T170" s="491"/>
      <c r="U170" s="491"/>
      <c r="V170" s="491"/>
      <c r="W170" s="491"/>
      <c r="X170" s="491"/>
      <c r="Y170" s="491"/>
      <c r="Z170" s="491"/>
      <c r="AA170" s="491"/>
      <c r="AB170" s="491"/>
      <c r="AC170" s="491"/>
    </row>
    <row r="171" spans="1:29">
      <c r="A171" s="491"/>
      <c r="B171" s="491"/>
      <c r="C171" s="491"/>
      <c r="D171" s="491"/>
      <c r="E171" s="491"/>
      <c r="F171" s="491"/>
      <c r="G171" s="491"/>
      <c r="H171" s="491"/>
      <c r="I171" s="491"/>
      <c r="J171" s="491"/>
      <c r="K171" s="505"/>
      <c r="L171" s="506"/>
      <c r="M171" s="491"/>
      <c r="N171" s="491"/>
      <c r="O171" s="491"/>
      <c r="P171" s="491"/>
      <c r="Q171" s="491"/>
      <c r="R171" s="491"/>
      <c r="S171" s="491"/>
      <c r="T171" s="491"/>
      <c r="U171" s="491"/>
      <c r="V171" s="491"/>
      <c r="W171" s="491"/>
      <c r="X171" s="491"/>
      <c r="Y171" s="491"/>
      <c r="Z171" s="491"/>
      <c r="AA171" s="491"/>
      <c r="AB171" s="491"/>
      <c r="AC171" s="491"/>
    </row>
    <row r="172" spans="1:29">
      <c r="A172" s="491"/>
      <c r="B172" s="491"/>
      <c r="C172" s="491"/>
      <c r="D172" s="491"/>
      <c r="E172" s="491"/>
      <c r="F172" s="491"/>
      <c r="G172" s="491"/>
      <c r="H172" s="491"/>
      <c r="I172" s="491"/>
      <c r="J172" s="491"/>
      <c r="K172" s="505"/>
      <c r="L172" s="506"/>
      <c r="M172" s="491"/>
      <c r="N172" s="491"/>
      <c r="O172" s="491"/>
      <c r="P172" s="491"/>
      <c r="Q172" s="491"/>
      <c r="R172" s="491"/>
      <c r="S172" s="491"/>
      <c r="T172" s="491"/>
      <c r="U172" s="491"/>
      <c r="V172" s="491"/>
      <c r="W172" s="491"/>
      <c r="X172" s="491"/>
      <c r="Y172" s="491"/>
      <c r="Z172" s="491"/>
      <c r="AA172" s="491"/>
      <c r="AB172" s="491"/>
      <c r="AC172" s="491"/>
    </row>
    <row r="173" spans="1:29">
      <c r="A173" s="491"/>
      <c r="B173" s="491"/>
      <c r="C173" s="491"/>
      <c r="D173" s="491"/>
      <c r="E173" s="491"/>
      <c r="F173" s="491"/>
      <c r="G173" s="491"/>
      <c r="H173" s="491"/>
      <c r="I173" s="491"/>
      <c r="J173" s="491"/>
      <c r="K173" s="505"/>
      <c r="L173" s="506"/>
      <c r="M173" s="491"/>
      <c r="N173" s="491"/>
      <c r="O173" s="491"/>
      <c r="P173" s="491"/>
      <c r="Q173" s="491"/>
      <c r="R173" s="491"/>
      <c r="S173" s="491"/>
      <c r="T173" s="491"/>
      <c r="U173" s="491"/>
      <c r="V173" s="491"/>
      <c r="W173" s="491"/>
      <c r="X173" s="491"/>
      <c r="Y173" s="491"/>
      <c r="Z173" s="491"/>
      <c r="AA173" s="491"/>
      <c r="AB173" s="491"/>
      <c r="AC173" s="491"/>
    </row>
    <row r="174" spans="1:29">
      <c r="A174" s="491"/>
      <c r="B174" s="491"/>
      <c r="C174" s="491"/>
      <c r="D174" s="491"/>
      <c r="E174" s="491"/>
      <c r="F174" s="491"/>
      <c r="G174" s="491"/>
      <c r="H174" s="491"/>
      <c r="I174" s="491"/>
      <c r="J174" s="491"/>
      <c r="K174" s="505"/>
      <c r="L174" s="506"/>
      <c r="M174" s="491"/>
      <c r="N174" s="491"/>
      <c r="O174" s="491"/>
      <c r="P174" s="491"/>
      <c r="Q174" s="491"/>
      <c r="R174" s="491"/>
      <c r="S174" s="491"/>
      <c r="T174" s="491"/>
      <c r="U174" s="491"/>
      <c r="V174" s="491"/>
      <c r="W174" s="491"/>
      <c r="X174" s="491"/>
      <c r="Y174" s="491"/>
      <c r="Z174" s="491"/>
      <c r="AA174" s="491"/>
      <c r="AB174" s="491"/>
      <c r="AC174" s="491"/>
    </row>
    <row r="175" spans="1:29">
      <c r="A175" s="491"/>
      <c r="B175" s="491"/>
      <c r="C175" s="491"/>
      <c r="D175" s="491"/>
      <c r="E175" s="491"/>
      <c r="F175" s="491"/>
      <c r="G175" s="491"/>
      <c r="H175" s="491"/>
      <c r="I175" s="491"/>
      <c r="J175" s="491"/>
      <c r="K175" s="505"/>
      <c r="L175" s="506"/>
      <c r="M175" s="491"/>
      <c r="N175" s="491"/>
      <c r="O175" s="491"/>
      <c r="P175" s="491"/>
      <c r="Q175" s="491"/>
      <c r="R175" s="491"/>
      <c r="S175" s="491"/>
      <c r="T175" s="491"/>
      <c r="U175" s="491"/>
      <c r="V175" s="491"/>
      <c r="W175" s="491"/>
      <c r="X175" s="491"/>
      <c r="Y175" s="491"/>
      <c r="Z175" s="491"/>
      <c r="AA175" s="491"/>
      <c r="AB175" s="491"/>
      <c r="AC175" s="491"/>
    </row>
    <row r="176" spans="1:29">
      <c r="A176" s="491"/>
      <c r="B176" s="491"/>
      <c r="C176" s="491"/>
      <c r="D176" s="491"/>
      <c r="E176" s="491"/>
      <c r="F176" s="491"/>
      <c r="G176" s="491"/>
      <c r="H176" s="491"/>
      <c r="I176" s="491"/>
      <c r="J176" s="491"/>
      <c r="K176" s="505"/>
      <c r="L176" s="506"/>
      <c r="M176" s="491"/>
      <c r="N176" s="491"/>
      <c r="O176" s="491"/>
      <c r="P176" s="491"/>
      <c r="Q176" s="491"/>
      <c r="R176" s="491"/>
      <c r="S176" s="491"/>
      <c r="T176" s="491"/>
      <c r="U176" s="491"/>
      <c r="V176" s="491"/>
      <c r="W176" s="491"/>
      <c r="X176" s="491"/>
      <c r="Y176" s="491"/>
      <c r="Z176" s="491"/>
      <c r="AA176" s="491"/>
      <c r="AB176" s="491"/>
      <c r="AC176" s="491"/>
    </row>
    <row r="177" spans="1:29">
      <c r="A177" s="491"/>
      <c r="B177" s="491"/>
      <c r="C177" s="491"/>
      <c r="D177" s="491"/>
      <c r="E177" s="491"/>
      <c r="F177" s="491"/>
      <c r="G177" s="491"/>
      <c r="H177" s="491"/>
      <c r="I177" s="491"/>
      <c r="J177" s="491"/>
      <c r="K177" s="505"/>
      <c r="L177" s="506"/>
      <c r="M177" s="491"/>
      <c r="N177" s="491"/>
      <c r="O177" s="491"/>
      <c r="P177" s="491"/>
      <c r="Q177" s="491"/>
      <c r="R177" s="491"/>
      <c r="S177" s="491"/>
      <c r="T177" s="491"/>
      <c r="U177" s="491"/>
      <c r="V177" s="491"/>
      <c r="W177" s="491"/>
      <c r="X177" s="491"/>
      <c r="Y177" s="491"/>
      <c r="Z177" s="491"/>
      <c r="AA177" s="491"/>
      <c r="AB177" s="491"/>
      <c r="AC177" s="491"/>
    </row>
    <row r="178" spans="1:29">
      <c r="A178" s="491"/>
      <c r="B178" s="491"/>
      <c r="C178" s="491"/>
      <c r="D178" s="491"/>
      <c r="E178" s="491"/>
      <c r="F178" s="491"/>
      <c r="G178" s="491"/>
      <c r="H178" s="491"/>
      <c r="I178" s="491"/>
      <c r="J178" s="491"/>
      <c r="K178" s="505"/>
      <c r="L178" s="506"/>
      <c r="M178" s="491"/>
      <c r="N178" s="491"/>
      <c r="O178" s="491"/>
      <c r="P178" s="491"/>
      <c r="Q178" s="491"/>
      <c r="R178" s="491"/>
      <c r="S178" s="491"/>
      <c r="T178" s="491"/>
      <c r="U178" s="491"/>
      <c r="V178" s="491"/>
      <c r="W178" s="491"/>
      <c r="X178" s="491"/>
      <c r="Y178" s="491"/>
      <c r="Z178" s="491"/>
      <c r="AA178" s="491"/>
      <c r="AB178" s="491"/>
      <c r="AC178" s="491"/>
    </row>
    <row r="179" spans="1:29">
      <c r="A179" s="491"/>
      <c r="B179" s="491"/>
      <c r="C179" s="491"/>
      <c r="D179" s="491"/>
      <c r="E179" s="491"/>
      <c r="F179" s="491"/>
      <c r="G179" s="491"/>
      <c r="H179" s="491"/>
      <c r="I179" s="491"/>
      <c r="J179" s="491"/>
      <c r="K179" s="505"/>
      <c r="L179" s="506"/>
      <c r="M179" s="491"/>
      <c r="N179" s="491"/>
      <c r="O179" s="491"/>
      <c r="P179" s="491"/>
      <c r="Q179" s="491"/>
      <c r="R179" s="491"/>
      <c r="S179" s="491"/>
      <c r="T179" s="491"/>
      <c r="U179" s="491"/>
      <c r="V179" s="491"/>
      <c r="W179" s="491"/>
      <c r="X179" s="491"/>
      <c r="Y179" s="491"/>
      <c r="Z179" s="491"/>
      <c r="AA179" s="491"/>
      <c r="AB179" s="491"/>
      <c r="AC179" s="491"/>
    </row>
    <row r="180" spans="1:29">
      <c r="A180" s="491"/>
      <c r="B180" s="491"/>
      <c r="C180" s="491"/>
      <c r="D180" s="491"/>
      <c r="E180" s="491"/>
      <c r="F180" s="491"/>
      <c r="G180" s="491"/>
      <c r="H180" s="491"/>
      <c r="I180" s="491"/>
      <c r="J180" s="491"/>
      <c r="K180" s="505"/>
      <c r="L180" s="506"/>
      <c r="M180" s="491"/>
      <c r="N180" s="491"/>
      <c r="O180" s="491"/>
      <c r="P180" s="491"/>
      <c r="Q180" s="491"/>
      <c r="R180" s="491"/>
      <c r="S180" s="491"/>
      <c r="T180" s="491"/>
      <c r="U180" s="491"/>
      <c r="V180" s="491"/>
      <c r="W180" s="491"/>
      <c r="X180" s="491"/>
      <c r="Y180" s="491"/>
      <c r="Z180" s="491"/>
      <c r="AA180" s="491"/>
      <c r="AB180" s="491"/>
      <c r="AC180" s="491"/>
    </row>
    <row r="181" spans="1:29">
      <c r="A181" s="491"/>
      <c r="B181" s="491"/>
      <c r="C181" s="491"/>
      <c r="D181" s="491"/>
      <c r="E181" s="491"/>
      <c r="F181" s="491"/>
      <c r="G181" s="491"/>
      <c r="H181" s="491"/>
      <c r="I181" s="491"/>
      <c r="J181" s="491"/>
      <c r="K181" s="505"/>
      <c r="L181" s="506"/>
      <c r="M181" s="491"/>
      <c r="N181" s="491"/>
      <c r="O181" s="491"/>
      <c r="P181" s="491"/>
      <c r="Q181" s="491"/>
      <c r="R181" s="491"/>
      <c r="S181" s="491"/>
      <c r="T181" s="491"/>
      <c r="U181" s="491"/>
      <c r="V181" s="491"/>
      <c r="W181" s="491"/>
      <c r="X181" s="491"/>
      <c r="Y181" s="491"/>
      <c r="Z181" s="491"/>
      <c r="AA181" s="491"/>
      <c r="AB181" s="491"/>
      <c r="AC181" s="491"/>
    </row>
    <row r="182" spans="1:29">
      <c r="A182" s="491"/>
      <c r="B182" s="491"/>
      <c r="C182" s="491"/>
      <c r="D182" s="491"/>
      <c r="E182" s="491"/>
      <c r="F182" s="491"/>
      <c r="G182" s="491"/>
      <c r="H182" s="491"/>
      <c r="I182" s="491"/>
      <c r="J182" s="491"/>
      <c r="K182" s="505"/>
      <c r="L182" s="506"/>
      <c r="M182" s="491"/>
      <c r="N182" s="491"/>
      <c r="O182" s="491"/>
      <c r="P182" s="491"/>
      <c r="Q182" s="491"/>
      <c r="R182" s="491"/>
      <c r="S182" s="491"/>
      <c r="T182" s="491"/>
      <c r="U182" s="491"/>
      <c r="V182" s="491"/>
      <c r="W182" s="491"/>
      <c r="X182" s="491"/>
      <c r="Y182" s="491"/>
      <c r="Z182" s="491"/>
      <c r="AA182" s="491"/>
      <c r="AB182" s="491"/>
      <c r="AC182" s="491"/>
    </row>
    <row r="183" spans="1:29">
      <c r="A183" s="491"/>
      <c r="B183" s="491"/>
      <c r="C183" s="491"/>
      <c r="D183" s="491"/>
      <c r="E183" s="491"/>
      <c r="F183" s="491"/>
      <c r="G183" s="491"/>
      <c r="H183" s="491"/>
      <c r="I183" s="491"/>
      <c r="J183" s="491"/>
      <c r="K183" s="505"/>
      <c r="L183" s="506"/>
      <c r="M183" s="491"/>
      <c r="N183" s="491"/>
      <c r="O183" s="491"/>
      <c r="P183" s="491"/>
      <c r="Q183" s="491"/>
      <c r="R183" s="491"/>
      <c r="S183" s="491"/>
      <c r="T183" s="491"/>
      <c r="U183" s="491"/>
      <c r="V183" s="491"/>
      <c r="W183" s="491"/>
      <c r="X183" s="491"/>
      <c r="Y183" s="491"/>
      <c r="Z183" s="491"/>
      <c r="AA183" s="491"/>
      <c r="AB183" s="491"/>
      <c r="AC183" s="491"/>
    </row>
    <row r="184" spans="1:29">
      <c r="A184" s="491"/>
      <c r="B184" s="491"/>
      <c r="C184" s="491"/>
      <c r="D184" s="491"/>
      <c r="E184" s="491"/>
      <c r="F184" s="491"/>
      <c r="G184" s="491"/>
      <c r="H184" s="491"/>
      <c r="I184" s="491"/>
      <c r="J184" s="491"/>
      <c r="K184" s="505"/>
      <c r="L184" s="506"/>
      <c r="M184" s="491"/>
      <c r="N184" s="491"/>
      <c r="O184" s="491"/>
      <c r="P184" s="491"/>
      <c r="Q184" s="491"/>
      <c r="R184" s="491"/>
      <c r="S184" s="491"/>
      <c r="T184" s="491"/>
      <c r="U184" s="491"/>
      <c r="V184" s="491"/>
      <c r="W184" s="491"/>
      <c r="X184" s="491"/>
      <c r="Y184" s="491"/>
      <c r="Z184" s="491"/>
      <c r="AA184" s="491"/>
      <c r="AB184" s="491"/>
      <c r="AC184" s="491"/>
    </row>
    <row r="185" spans="1:29">
      <c r="A185" s="491"/>
      <c r="B185" s="491"/>
      <c r="C185" s="491"/>
      <c r="D185" s="491"/>
      <c r="E185" s="491"/>
      <c r="F185" s="491"/>
      <c r="G185" s="491"/>
      <c r="H185" s="491"/>
      <c r="I185" s="491"/>
      <c r="J185" s="491"/>
      <c r="K185" s="505"/>
      <c r="L185" s="506"/>
      <c r="M185" s="491"/>
      <c r="N185" s="491"/>
      <c r="O185" s="491"/>
      <c r="P185" s="491"/>
      <c r="Q185" s="491"/>
      <c r="R185" s="491"/>
      <c r="S185" s="491"/>
      <c r="T185" s="491"/>
      <c r="U185" s="491"/>
      <c r="V185" s="491"/>
      <c r="W185" s="491"/>
      <c r="X185" s="491"/>
      <c r="Y185" s="491"/>
      <c r="Z185" s="491"/>
      <c r="AA185" s="491"/>
      <c r="AB185" s="491"/>
      <c r="AC185" s="491"/>
    </row>
    <row r="186" spans="1:29">
      <c r="A186" s="491"/>
      <c r="B186" s="491"/>
      <c r="C186" s="491"/>
      <c r="D186" s="491"/>
      <c r="E186" s="491"/>
      <c r="F186" s="491"/>
      <c r="G186" s="491"/>
      <c r="H186" s="491"/>
      <c r="I186" s="491"/>
      <c r="J186" s="491"/>
      <c r="K186" s="505"/>
      <c r="L186" s="506"/>
      <c r="M186" s="491"/>
      <c r="N186" s="491"/>
      <c r="O186" s="491"/>
      <c r="P186" s="491"/>
      <c r="Q186" s="491"/>
      <c r="R186" s="491"/>
      <c r="S186" s="491"/>
      <c r="T186" s="491"/>
      <c r="U186" s="491"/>
      <c r="V186" s="491"/>
      <c r="W186" s="491"/>
      <c r="X186" s="491"/>
      <c r="Y186" s="491"/>
      <c r="Z186" s="491"/>
      <c r="AA186" s="491"/>
      <c r="AB186" s="491"/>
      <c r="AC186" s="491"/>
    </row>
    <row r="187" spans="1:29">
      <c r="A187" s="491"/>
      <c r="B187" s="491"/>
      <c r="C187" s="491"/>
      <c r="D187" s="491"/>
      <c r="E187" s="491"/>
      <c r="F187" s="491"/>
      <c r="G187" s="491"/>
      <c r="H187" s="491"/>
      <c r="I187" s="491"/>
      <c r="J187" s="491"/>
      <c r="K187" s="505"/>
      <c r="L187" s="506"/>
      <c r="M187" s="491"/>
      <c r="N187" s="491"/>
      <c r="O187" s="491"/>
      <c r="P187" s="491"/>
      <c r="Q187" s="491"/>
      <c r="R187" s="491"/>
      <c r="S187" s="491"/>
      <c r="T187" s="491"/>
      <c r="U187" s="491"/>
      <c r="V187" s="491"/>
      <c r="W187" s="491"/>
      <c r="X187" s="491"/>
      <c r="Y187" s="491"/>
      <c r="Z187" s="491"/>
      <c r="AA187" s="491"/>
      <c r="AB187" s="491"/>
      <c r="AC187" s="491"/>
    </row>
    <row r="188" spans="1:29">
      <c r="A188" s="491"/>
      <c r="B188" s="491"/>
      <c r="C188" s="491"/>
      <c r="D188" s="491"/>
      <c r="E188" s="491"/>
      <c r="F188" s="491"/>
      <c r="G188" s="491"/>
      <c r="H188" s="491"/>
      <c r="I188" s="491"/>
      <c r="J188" s="491"/>
      <c r="K188" s="505"/>
      <c r="L188" s="506"/>
      <c r="M188" s="491"/>
      <c r="N188" s="491"/>
      <c r="O188" s="491"/>
      <c r="P188" s="491"/>
      <c r="Q188" s="491"/>
      <c r="R188" s="491"/>
      <c r="S188" s="491"/>
      <c r="T188" s="491"/>
      <c r="U188" s="491"/>
      <c r="V188" s="491"/>
      <c r="W188" s="491"/>
      <c r="X188" s="491"/>
      <c r="Y188" s="491"/>
      <c r="Z188" s="491"/>
      <c r="AA188" s="491"/>
      <c r="AB188" s="491"/>
      <c r="AC188" s="491"/>
    </row>
    <row r="189" spans="1:29">
      <c r="A189" s="491"/>
      <c r="B189" s="491"/>
      <c r="C189" s="491"/>
      <c r="D189" s="491"/>
      <c r="E189" s="491"/>
      <c r="F189" s="491"/>
      <c r="G189" s="491"/>
      <c r="H189" s="491"/>
      <c r="I189" s="491"/>
      <c r="J189" s="491"/>
      <c r="K189" s="505"/>
      <c r="L189" s="506"/>
      <c r="M189" s="491"/>
      <c r="N189" s="491"/>
      <c r="O189" s="491"/>
      <c r="P189" s="491"/>
      <c r="Q189" s="491"/>
      <c r="R189" s="491"/>
      <c r="S189" s="491"/>
      <c r="T189" s="491"/>
      <c r="U189" s="491"/>
      <c r="V189" s="491"/>
      <c r="W189" s="491"/>
      <c r="X189" s="491"/>
      <c r="Y189" s="491"/>
      <c r="Z189" s="491"/>
      <c r="AA189" s="491"/>
      <c r="AB189" s="491"/>
      <c r="AC189" s="491"/>
    </row>
    <row r="190" spans="1:29">
      <c r="A190" s="491"/>
      <c r="B190" s="491"/>
      <c r="C190" s="491"/>
      <c r="D190" s="491"/>
      <c r="E190" s="491"/>
      <c r="F190" s="491"/>
      <c r="G190" s="491"/>
      <c r="H190" s="491"/>
      <c r="I190" s="491"/>
      <c r="J190" s="491"/>
      <c r="K190" s="505"/>
      <c r="L190" s="506"/>
      <c r="M190" s="491"/>
      <c r="N190" s="491"/>
      <c r="O190" s="491"/>
      <c r="P190" s="491"/>
      <c r="Q190" s="491"/>
      <c r="R190" s="491"/>
      <c r="S190" s="491"/>
      <c r="T190" s="491"/>
      <c r="U190" s="491"/>
      <c r="V190" s="491"/>
      <c r="W190" s="491"/>
      <c r="X190" s="491"/>
      <c r="Y190" s="491"/>
      <c r="Z190" s="491"/>
      <c r="AA190" s="491"/>
      <c r="AB190" s="491"/>
      <c r="AC190" s="491"/>
    </row>
    <row r="191" spans="1:29">
      <c r="A191" s="491"/>
      <c r="B191" s="491"/>
      <c r="C191" s="491"/>
      <c r="D191" s="491"/>
      <c r="E191" s="491"/>
      <c r="F191" s="491"/>
      <c r="G191" s="491"/>
      <c r="H191" s="491"/>
      <c r="I191" s="491"/>
      <c r="J191" s="491"/>
      <c r="K191" s="505"/>
      <c r="L191" s="506"/>
      <c r="M191" s="491"/>
      <c r="N191" s="491"/>
      <c r="O191" s="491"/>
      <c r="P191" s="491"/>
      <c r="Q191" s="491"/>
      <c r="R191" s="491"/>
      <c r="S191" s="491"/>
      <c r="T191" s="491"/>
      <c r="U191" s="491"/>
      <c r="V191" s="491"/>
      <c r="W191" s="491"/>
      <c r="X191" s="491"/>
      <c r="Y191" s="491"/>
      <c r="Z191" s="491"/>
      <c r="AA191" s="491"/>
      <c r="AB191" s="491"/>
      <c r="AC191" s="491"/>
    </row>
    <row r="192" spans="1:29">
      <c r="A192" s="491"/>
      <c r="B192" s="491"/>
      <c r="C192" s="491"/>
      <c r="D192" s="491"/>
      <c r="E192" s="491"/>
      <c r="F192" s="491"/>
      <c r="G192" s="491"/>
      <c r="H192" s="491"/>
      <c r="I192" s="491"/>
      <c r="J192" s="491"/>
      <c r="K192" s="505"/>
      <c r="L192" s="506"/>
      <c r="M192" s="491"/>
      <c r="N192" s="491"/>
      <c r="O192" s="491"/>
      <c r="P192" s="491"/>
      <c r="Q192" s="491"/>
      <c r="R192" s="491"/>
      <c r="S192" s="491"/>
      <c r="T192" s="491"/>
      <c r="U192" s="491"/>
      <c r="V192" s="491"/>
      <c r="W192" s="491"/>
      <c r="X192" s="491"/>
      <c r="Y192" s="491"/>
      <c r="Z192" s="491"/>
      <c r="AA192" s="491"/>
      <c r="AB192" s="491"/>
      <c r="AC192" s="491"/>
    </row>
    <row r="193" spans="1:29">
      <c r="A193" s="491"/>
      <c r="B193" s="491"/>
      <c r="C193" s="491"/>
      <c r="D193" s="491"/>
      <c r="E193" s="491"/>
      <c r="F193" s="491"/>
      <c r="G193" s="491"/>
      <c r="H193" s="491"/>
      <c r="I193" s="491"/>
      <c r="J193" s="491"/>
      <c r="K193" s="505"/>
      <c r="L193" s="506"/>
      <c r="M193" s="491"/>
      <c r="N193" s="491"/>
      <c r="O193" s="491"/>
      <c r="P193" s="491"/>
      <c r="Q193" s="491"/>
      <c r="R193" s="491"/>
      <c r="S193" s="491"/>
      <c r="T193" s="491"/>
      <c r="U193" s="491"/>
      <c r="V193" s="491"/>
      <c r="W193" s="491"/>
      <c r="X193" s="491"/>
      <c r="Y193" s="491"/>
      <c r="Z193" s="491"/>
      <c r="AA193" s="491"/>
      <c r="AB193" s="491"/>
      <c r="AC193" s="491"/>
    </row>
    <row r="194" spans="1:29">
      <c r="A194" s="491"/>
      <c r="B194" s="491"/>
      <c r="C194" s="491"/>
      <c r="D194" s="491"/>
      <c r="E194" s="491"/>
      <c r="F194" s="491"/>
      <c r="G194" s="491"/>
      <c r="H194" s="491"/>
      <c r="I194" s="491"/>
      <c r="J194" s="491"/>
      <c r="K194" s="505"/>
      <c r="L194" s="506"/>
      <c r="M194" s="491"/>
      <c r="N194" s="491"/>
      <c r="O194" s="491"/>
      <c r="P194" s="491"/>
      <c r="Q194" s="491"/>
      <c r="R194" s="491"/>
      <c r="S194" s="491"/>
      <c r="T194" s="491"/>
      <c r="U194" s="491"/>
      <c r="V194" s="491"/>
      <c r="W194" s="491"/>
      <c r="X194" s="491"/>
      <c r="Y194" s="491"/>
      <c r="Z194" s="491"/>
      <c r="AA194" s="491"/>
      <c r="AB194" s="491"/>
      <c r="AC194" s="491"/>
    </row>
    <row r="195" spans="1:29">
      <c r="A195" s="491"/>
      <c r="B195" s="491"/>
      <c r="C195" s="491"/>
      <c r="D195" s="491"/>
      <c r="E195" s="491"/>
      <c r="F195" s="491"/>
      <c r="G195" s="491"/>
      <c r="H195" s="491"/>
      <c r="I195" s="491"/>
      <c r="J195" s="491"/>
      <c r="K195" s="505"/>
      <c r="L195" s="506"/>
      <c r="M195" s="491"/>
      <c r="N195" s="491"/>
      <c r="O195" s="491"/>
      <c r="P195" s="491"/>
      <c r="Q195" s="491"/>
      <c r="R195" s="491"/>
      <c r="S195" s="491"/>
      <c r="T195" s="491"/>
      <c r="U195" s="491"/>
      <c r="V195" s="491"/>
      <c r="W195" s="491"/>
      <c r="X195" s="491"/>
      <c r="Y195" s="491"/>
      <c r="Z195" s="491"/>
      <c r="AA195" s="491"/>
      <c r="AB195" s="491"/>
      <c r="AC195" s="491"/>
    </row>
    <row r="196" spans="1:29">
      <c r="A196" s="491"/>
      <c r="B196" s="491"/>
      <c r="C196" s="491"/>
      <c r="D196" s="491"/>
      <c r="E196" s="491"/>
      <c r="F196" s="491"/>
      <c r="G196" s="491"/>
      <c r="H196" s="491"/>
      <c r="I196" s="491"/>
      <c r="J196" s="491"/>
      <c r="K196" s="505"/>
      <c r="L196" s="506"/>
      <c r="M196" s="491"/>
      <c r="N196" s="491"/>
      <c r="O196" s="491"/>
      <c r="P196" s="491"/>
      <c r="Q196" s="491"/>
      <c r="R196" s="491"/>
      <c r="S196" s="491"/>
      <c r="T196" s="491"/>
      <c r="U196" s="491"/>
      <c r="V196" s="491"/>
      <c r="W196" s="491"/>
      <c r="X196" s="491"/>
      <c r="Y196" s="491"/>
      <c r="Z196" s="491"/>
      <c r="AA196" s="491"/>
      <c r="AB196" s="491"/>
      <c r="AC196" s="491"/>
    </row>
    <row r="197" spans="1:29">
      <c r="A197" s="491"/>
      <c r="B197" s="491"/>
      <c r="C197" s="491"/>
      <c r="D197" s="491"/>
      <c r="E197" s="491"/>
      <c r="F197" s="491"/>
      <c r="G197" s="491"/>
      <c r="H197" s="491"/>
      <c r="I197" s="491"/>
      <c r="J197" s="491"/>
      <c r="K197" s="505"/>
      <c r="L197" s="506"/>
      <c r="M197" s="491"/>
      <c r="N197" s="491"/>
      <c r="O197" s="491"/>
      <c r="P197" s="491"/>
      <c r="Q197" s="491"/>
      <c r="R197" s="491"/>
      <c r="S197" s="491"/>
      <c r="T197" s="491"/>
      <c r="U197" s="491"/>
      <c r="V197" s="491"/>
      <c r="W197" s="491"/>
      <c r="X197" s="491"/>
      <c r="Y197" s="491"/>
      <c r="Z197" s="491"/>
      <c r="AA197" s="491"/>
      <c r="AB197" s="491"/>
      <c r="AC197" s="491"/>
    </row>
    <row r="198" spans="1:29">
      <c r="A198" s="491"/>
      <c r="B198" s="491"/>
      <c r="C198" s="491"/>
      <c r="D198" s="491"/>
      <c r="E198" s="491"/>
      <c r="F198" s="491"/>
      <c r="G198" s="491"/>
      <c r="H198" s="491"/>
      <c r="I198" s="491"/>
      <c r="J198" s="491"/>
      <c r="K198" s="505"/>
      <c r="L198" s="506"/>
      <c r="M198" s="491"/>
      <c r="N198" s="491"/>
      <c r="O198" s="491"/>
      <c r="P198" s="491"/>
      <c r="Q198" s="491"/>
      <c r="R198" s="491"/>
      <c r="S198" s="491"/>
      <c r="T198" s="491"/>
      <c r="U198" s="491"/>
      <c r="V198" s="491"/>
      <c r="W198" s="491"/>
      <c r="X198" s="491"/>
      <c r="Y198" s="491"/>
      <c r="Z198" s="491"/>
      <c r="AA198" s="491"/>
      <c r="AB198" s="491"/>
      <c r="AC198" s="491"/>
    </row>
    <row r="199" spans="1:29">
      <c r="A199" s="491"/>
      <c r="B199" s="491"/>
      <c r="C199" s="491"/>
      <c r="D199" s="491"/>
      <c r="E199" s="491"/>
      <c r="F199" s="491"/>
      <c r="G199" s="491"/>
      <c r="H199" s="491"/>
      <c r="I199" s="491"/>
      <c r="J199" s="491"/>
      <c r="K199" s="505"/>
      <c r="L199" s="506"/>
      <c r="M199" s="491"/>
      <c r="N199" s="491"/>
      <c r="O199" s="491"/>
      <c r="P199" s="491"/>
      <c r="Q199" s="491"/>
      <c r="R199" s="491"/>
      <c r="S199" s="491"/>
      <c r="T199" s="491"/>
      <c r="U199" s="491"/>
      <c r="V199" s="491"/>
      <c r="W199" s="491"/>
      <c r="X199" s="491"/>
      <c r="Y199" s="491"/>
      <c r="Z199" s="491"/>
      <c r="AA199" s="491"/>
      <c r="AB199" s="491"/>
      <c r="AC199" s="491"/>
    </row>
    <row r="200" spans="1:29">
      <c r="A200" s="491"/>
      <c r="B200" s="491"/>
      <c r="C200" s="491"/>
      <c r="D200" s="491"/>
      <c r="E200" s="491"/>
      <c r="F200" s="491"/>
      <c r="G200" s="491"/>
      <c r="H200" s="491"/>
      <c r="I200" s="491"/>
      <c r="J200" s="491"/>
      <c r="K200" s="505"/>
      <c r="L200" s="506"/>
      <c r="M200" s="491"/>
      <c r="N200" s="491"/>
      <c r="O200" s="491"/>
      <c r="P200" s="491"/>
      <c r="Q200" s="491"/>
      <c r="R200" s="491"/>
      <c r="S200" s="491"/>
      <c r="T200" s="491"/>
      <c r="U200" s="491"/>
      <c r="V200" s="491"/>
      <c r="W200" s="491"/>
      <c r="X200" s="491"/>
      <c r="Y200" s="491"/>
      <c r="Z200" s="491"/>
      <c r="AA200" s="491"/>
      <c r="AB200" s="491"/>
      <c r="AC200" s="491"/>
    </row>
    <row r="201" spans="1:29">
      <c r="A201" s="491"/>
      <c r="B201" s="491"/>
      <c r="C201" s="491"/>
      <c r="D201" s="491"/>
      <c r="E201" s="491"/>
      <c r="F201" s="491"/>
      <c r="G201" s="491"/>
      <c r="H201" s="491"/>
      <c r="I201" s="491"/>
      <c r="J201" s="491"/>
      <c r="K201" s="505"/>
      <c r="L201" s="506"/>
      <c r="M201" s="491"/>
      <c r="N201" s="491"/>
      <c r="O201" s="491"/>
      <c r="P201" s="491"/>
      <c r="Q201" s="491"/>
      <c r="R201" s="491"/>
      <c r="S201" s="491"/>
      <c r="T201" s="491"/>
      <c r="U201" s="491"/>
      <c r="V201" s="491"/>
      <c r="W201" s="491"/>
      <c r="X201" s="491"/>
      <c r="Y201" s="491"/>
      <c r="Z201" s="491"/>
      <c r="AA201" s="491"/>
      <c r="AB201" s="491"/>
      <c r="AC201" s="491"/>
    </row>
    <row r="202" spans="1:29">
      <c r="A202" s="491"/>
      <c r="B202" s="491"/>
      <c r="C202" s="491"/>
      <c r="D202" s="491"/>
      <c r="E202" s="491"/>
      <c r="F202" s="491"/>
      <c r="G202" s="491"/>
      <c r="H202" s="491"/>
      <c r="I202" s="491"/>
      <c r="J202" s="491"/>
      <c r="K202" s="505"/>
      <c r="L202" s="506"/>
      <c r="M202" s="491"/>
      <c r="N202" s="491"/>
      <c r="O202" s="491"/>
      <c r="P202" s="491"/>
      <c r="Q202" s="491"/>
      <c r="R202" s="491"/>
      <c r="S202" s="491"/>
      <c r="T202" s="491"/>
      <c r="U202" s="491"/>
      <c r="V202" s="491"/>
      <c r="W202" s="491"/>
      <c r="X202" s="491"/>
      <c r="Y202" s="491"/>
      <c r="Z202" s="491"/>
      <c r="AA202" s="491"/>
      <c r="AB202" s="491"/>
      <c r="AC202" s="491"/>
    </row>
    <row r="203" spans="1:29">
      <c r="A203" s="491"/>
      <c r="B203" s="491"/>
      <c r="C203" s="491"/>
      <c r="D203" s="491"/>
      <c r="E203" s="491"/>
      <c r="F203" s="491"/>
      <c r="G203" s="491"/>
      <c r="H203" s="491"/>
      <c r="I203" s="491"/>
      <c r="J203" s="491"/>
      <c r="K203" s="505"/>
      <c r="L203" s="506"/>
      <c r="M203" s="491"/>
      <c r="N203" s="491"/>
      <c r="O203" s="491"/>
      <c r="P203" s="491"/>
      <c r="Q203" s="491"/>
      <c r="R203" s="491"/>
      <c r="S203" s="491"/>
      <c r="T203" s="491"/>
      <c r="U203" s="491"/>
      <c r="V203" s="491"/>
      <c r="W203" s="491"/>
      <c r="X203" s="491"/>
      <c r="Y203" s="491"/>
      <c r="Z203" s="491"/>
      <c r="AA203" s="491"/>
      <c r="AB203" s="491"/>
      <c r="AC203" s="491"/>
    </row>
    <row r="204" spans="1:29">
      <c r="A204" s="491"/>
      <c r="B204" s="491"/>
      <c r="C204" s="491"/>
      <c r="D204" s="491"/>
      <c r="E204" s="491"/>
      <c r="F204" s="491"/>
      <c r="G204" s="491"/>
      <c r="H204" s="491"/>
      <c r="I204" s="491"/>
      <c r="J204" s="491"/>
      <c r="K204" s="505"/>
      <c r="L204" s="506"/>
      <c r="M204" s="491"/>
      <c r="N204" s="491"/>
      <c r="O204" s="491"/>
      <c r="P204" s="491"/>
      <c r="Q204" s="491"/>
      <c r="R204" s="491"/>
      <c r="S204" s="491"/>
      <c r="T204" s="491"/>
      <c r="U204" s="491"/>
      <c r="V204" s="491"/>
      <c r="W204" s="491"/>
      <c r="X204" s="491"/>
      <c r="Y204" s="491"/>
      <c r="Z204" s="491"/>
      <c r="AA204" s="491"/>
      <c r="AB204" s="491"/>
      <c r="AC204" s="491"/>
    </row>
    <row r="205" spans="1:29">
      <c r="A205" s="491"/>
      <c r="B205" s="491"/>
      <c r="C205" s="491"/>
      <c r="D205" s="491"/>
      <c r="E205" s="491"/>
      <c r="F205" s="491"/>
      <c r="G205" s="491"/>
      <c r="H205" s="491"/>
      <c r="I205" s="491"/>
      <c r="J205" s="491"/>
      <c r="K205" s="505"/>
      <c r="L205" s="506"/>
      <c r="M205" s="491"/>
      <c r="N205" s="491"/>
      <c r="O205" s="491"/>
      <c r="P205" s="491"/>
      <c r="Q205" s="491"/>
      <c r="R205" s="491"/>
      <c r="S205" s="491"/>
      <c r="T205" s="491"/>
      <c r="U205" s="491"/>
      <c r="V205" s="491"/>
      <c r="W205" s="491"/>
      <c r="X205" s="491"/>
      <c r="Y205" s="491"/>
      <c r="Z205" s="491"/>
      <c r="AA205" s="491"/>
      <c r="AB205" s="491"/>
      <c r="AC205" s="491"/>
    </row>
    <row r="206" spans="1:29">
      <c r="A206" s="491"/>
      <c r="B206" s="491"/>
      <c r="C206" s="491"/>
      <c r="D206" s="491"/>
      <c r="E206" s="491"/>
      <c r="F206" s="491"/>
      <c r="G206" s="491"/>
      <c r="H206" s="491"/>
      <c r="I206" s="491"/>
      <c r="J206" s="491"/>
      <c r="K206" s="505"/>
      <c r="L206" s="506"/>
      <c r="M206" s="491"/>
      <c r="N206" s="491"/>
      <c r="O206" s="491"/>
      <c r="P206" s="491"/>
      <c r="Q206" s="491"/>
      <c r="R206" s="491"/>
      <c r="S206" s="491"/>
      <c r="T206" s="491"/>
      <c r="U206" s="491"/>
      <c r="V206" s="491"/>
      <c r="W206" s="491"/>
      <c r="X206" s="491"/>
      <c r="Y206" s="491"/>
      <c r="Z206" s="491"/>
      <c r="AA206" s="491"/>
      <c r="AB206" s="491"/>
      <c r="AC206" s="491"/>
    </row>
    <row r="207" spans="1:29">
      <c r="A207" s="491"/>
      <c r="B207" s="491"/>
      <c r="C207" s="491"/>
      <c r="D207" s="491"/>
      <c r="E207" s="491"/>
      <c r="F207" s="491"/>
      <c r="G207" s="491"/>
      <c r="H207" s="491"/>
      <c r="I207" s="491"/>
      <c r="J207" s="491"/>
      <c r="K207" s="505"/>
      <c r="L207" s="506"/>
      <c r="M207" s="491"/>
      <c r="N207" s="491"/>
      <c r="O207" s="491"/>
      <c r="P207" s="491"/>
      <c r="Q207" s="491"/>
      <c r="R207" s="491"/>
      <c r="S207" s="491"/>
      <c r="T207" s="491"/>
      <c r="U207" s="491"/>
      <c r="V207" s="491"/>
      <c r="W207" s="491"/>
      <c r="X207" s="491"/>
      <c r="Y207" s="491"/>
      <c r="Z207" s="491"/>
      <c r="AA207" s="491"/>
      <c r="AB207" s="491"/>
      <c r="AC207" s="491"/>
    </row>
    <row r="208" spans="1:29">
      <c r="A208" s="491"/>
      <c r="B208" s="491"/>
      <c r="C208" s="491"/>
      <c r="D208" s="491"/>
      <c r="E208" s="491"/>
      <c r="F208" s="491"/>
      <c r="G208" s="491"/>
      <c r="H208" s="491"/>
      <c r="I208" s="491"/>
      <c r="J208" s="491"/>
      <c r="K208" s="505"/>
      <c r="L208" s="506"/>
      <c r="M208" s="491"/>
      <c r="N208" s="491"/>
      <c r="O208" s="491"/>
      <c r="P208" s="491"/>
      <c r="Q208" s="491"/>
      <c r="R208" s="491"/>
      <c r="S208" s="491"/>
      <c r="T208" s="491"/>
      <c r="U208" s="491"/>
      <c r="V208" s="491"/>
      <c r="W208" s="491"/>
      <c r="X208" s="491"/>
      <c r="Y208" s="491"/>
      <c r="Z208" s="491"/>
      <c r="AA208" s="491"/>
      <c r="AB208" s="491"/>
      <c r="AC208" s="491"/>
    </row>
    <row r="209" spans="1:29">
      <c r="A209" s="491"/>
      <c r="B209" s="491"/>
      <c r="C209" s="491"/>
      <c r="D209" s="491"/>
      <c r="E209" s="491"/>
      <c r="F209" s="491"/>
      <c r="G209" s="491"/>
      <c r="H209" s="491"/>
      <c r="I209" s="491"/>
      <c r="J209" s="491"/>
      <c r="K209" s="505"/>
      <c r="L209" s="506"/>
      <c r="M209" s="491"/>
      <c r="N209" s="491"/>
      <c r="O209" s="491"/>
      <c r="P209" s="491"/>
      <c r="Q209" s="491"/>
      <c r="R209" s="491"/>
      <c r="S209" s="491"/>
      <c r="T209" s="491"/>
      <c r="U209" s="491"/>
      <c r="V209" s="491"/>
      <c r="W209" s="491"/>
      <c r="X209" s="491"/>
      <c r="Y209" s="491"/>
      <c r="Z209" s="491"/>
      <c r="AA209" s="491"/>
      <c r="AB209" s="491"/>
      <c r="AC209" s="49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7" priority="4">
      <formula>$D$36="简单平均"</formula>
    </cfRule>
  </conditionalFormatting>
  <conditionalFormatting sqref="H36">
    <cfRule type="expression" dxfId="7" priority="3">
      <formula>$D$36="简单平均"</formula>
    </cfRule>
  </conditionalFormatting>
  <conditionalFormatting sqref="J36">
    <cfRule type="expression" dxfId="7" priority="2">
      <formula>$D$36="简单平均"</formula>
    </cfRule>
  </conditionalFormatting>
  <conditionalFormatting sqref="E40">
    <cfRule type="expression" dxfId="10" priority="13" stopIfTrue="1">
      <formula>$F$40="超过30%"</formula>
    </cfRule>
  </conditionalFormatting>
  <conditionalFormatting sqref="G40">
    <cfRule type="expression" dxfId="10" priority="9" stopIfTrue="1">
      <formula>$H$52+$H$40="超过30%"</formula>
    </cfRule>
  </conditionalFormatting>
  <conditionalFormatting sqref="I40">
    <cfRule type="expression" dxfId="10" priority="7" stopIfTrue="1">
      <formula>$J$40="超过30%"</formula>
    </cfRule>
  </conditionalFormatting>
  <conditionalFormatting sqref="E41">
    <cfRule type="expression" dxfId="10" priority="11" stopIfTrue="1">
      <formula>$F$41="超过20%"</formula>
    </cfRule>
  </conditionalFormatting>
  <conditionalFormatting sqref="G41">
    <cfRule type="expression" dxfId="10" priority="8" stopIfTrue="1">
      <formula>$H$53+$H$41="超过20%"</formula>
    </cfRule>
  </conditionalFormatting>
  <conditionalFormatting sqref="I41">
    <cfRule type="expression" dxfId="10" priority="6" stopIfTrue="1">
      <formula>$J$41="超过20%"</formula>
    </cfRule>
  </conditionalFormatting>
  <conditionalFormatting sqref="E42">
    <cfRule type="expression" dxfId="10" priority="10" stopIfTrue="1">
      <formula>$F$42="超过30%"</formula>
    </cfRule>
  </conditionalFormatting>
  <conditionalFormatting sqref="G42">
    <cfRule type="expression" dxfId="10" priority="12" stopIfTrue="1">
      <formula>$H$54+$H$42="超过30%"</formula>
    </cfRule>
  </conditionalFormatting>
  <conditionalFormatting sqref="I42">
    <cfRule type="expression" dxfId="10" priority="5" stopIfTrue="1">
      <formula>$J$42="超过30%"</formula>
    </cfRule>
  </conditionalFormatting>
  <conditionalFormatting sqref="F7:F34 H7:H34 J7:J34">
    <cfRule type="cellIs" dxfId="11" priority="1" operator="notEqual">
      <formula>100</formula>
    </cfRule>
  </conditionalFormatting>
  <conditionalFormatting sqref="F40:F42 H40:H42 J40:J42">
    <cfRule type="containsText" dxfId="12" priority="14" stopIfTrue="1" operator="between" text="超过">
      <formula>NOT(ISERROR(SEARCH("超过",F40)))</formula>
    </cfRule>
  </conditionalFormatting>
  <dataValidations count="16">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682"/>
  <sheetViews>
    <sheetView zoomScale="70" zoomScaleNormal="70" workbookViewId="0">
      <pane ySplit="24" topLeftCell="A495" activePane="bottomLeft" state="frozen"/>
      <selection/>
      <selection pane="bottomLeft" activeCell="F7" sqref="C7:Q40"/>
    </sheetView>
  </sheetViews>
  <sheetFormatPr defaultColWidth="9" defaultRowHeight="12.75"/>
  <cols>
    <col min="1" max="1" width="11.45" style="78" customWidth="1"/>
    <col min="2" max="2" width="9.26666666666667" style="79" customWidth="1"/>
    <col min="3" max="3" width="5" style="79" customWidth="1"/>
    <col min="4" max="4" width="9" style="79"/>
    <col min="5" max="5" width="5" style="79" customWidth="1"/>
    <col min="6" max="6" width="9" style="79"/>
    <col min="7" max="7" width="5" style="79" customWidth="1"/>
    <col min="8" max="8" width="9" style="79"/>
    <col min="9" max="9" width="5" style="79" customWidth="1"/>
    <col min="10" max="10" width="9" style="79"/>
    <col min="11" max="11" width="5" style="79" customWidth="1"/>
    <col min="12" max="12" width="9" style="79"/>
    <col min="13" max="13" width="5" style="79" customWidth="1"/>
    <col min="14" max="14" width="9" style="79"/>
    <col min="15" max="15" width="5" style="79" customWidth="1"/>
    <col min="16" max="16" width="9" style="79"/>
    <col min="17" max="17" width="5" style="79" customWidth="1"/>
    <col min="18" max="18" width="9" style="79"/>
    <col min="19" max="19" width="9" style="78"/>
    <col min="20" max="35" width="9" style="72"/>
    <col min="36" max="16384" width="9" style="78"/>
  </cols>
  <sheetData>
    <row r="1" s="72" customFormat="1" ht="14.25" customHeight="1" spans="1:45">
      <c r="A1" s="80"/>
      <c r="B1" s="81" t="s">
        <v>2600</v>
      </c>
      <c r="C1" s="82" t="s">
        <v>2601</v>
      </c>
      <c r="D1" s="83"/>
      <c r="E1" s="83"/>
      <c r="F1" s="83"/>
      <c r="G1" s="83"/>
      <c r="H1" s="83"/>
      <c r="I1" s="83"/>
      <c r="J1" s="83"/>
      <c r="K1" s="83"/>
      <c r="L1" s="83"/>
      <c r="M1" s="83"/>
      <c r="N1" s="83"/>
      <c r="O1" s="83"/>
      <c r="P1" s="83"/>
      <c r="Q1" s="83"/>
      <c r="R1" s="83"/>
      <c r="S1" s="156"/>
      <c r="T1" s="81" t="s">
        <v>2602</v>
      </c>
      <c r="U1" s="157"/>
      <c r="V1" s="157"/>
      <c r="W1" s="157"/>
      <c r="X1" s="157"/>
      <c r="Y1" s="157"/>
      <c r="Z1" s="157"/>
      <c r="AA1" s="157"/>
      <c r="AB1" s="157"/>
      <c r="AC1" s="157"/>
      <c r="AD1" s="157"/>
      <c r="AE1" s="157"/>
      <c r="AF1" s="157"/>
      <c r="AG1" s="157"/>
      <c r="AH1" s="157"/>
      <c r="AI1" s="157"/>
      <c r="AJ1" s="157"/>
      <c r="AK1" s="157"/>
      <c r="AL1" s="157"/>
      <c r="AM1" s="157"/>
      <c r="AN1" s="157"/>
      <c r="AO1" s="157"/>
      <c r="AP1" s="157"/>
      <c r="AQ1" s="157"/>
      <c r="AR1" s="157"/>
      <c r="AS1" s="157"/>
    </row>
    <row r="2" s="73" customFormat="1" spans="1:45">
      <c r="A2" s="84"/>
      <c r="B2" s="85" t="s">
        <v>2603</v>
      </c>
      <c r="C2" s="86" t="str">
        <f t="shared" ref="C2:L2" si="0">C3&amp;"(含)"&amp;"-"&amp;D3</f>
        <v>(含)-</v>
      </c>
      <c r="D2" s="87" t="str">
        <f t="shared" si="0"/>
        <v>(含)-</v>
      </c>
      <c r="E2" s="87" t="str">
        <f t="shared" si="0"/>
        <v>(含)-</v>
      </c>
      <c r="F2" s="87" t="str">
        <f t="shared" si="0"/>
        <v>(含)-</v>
      </c>
      <c r="G2" s="87" t="str">
        <f t="shared" si="0"/>
        <v>(含)-</v>
      </c>
      <c r="H2" s="87" t="str">
        <f t="shared" si="0"/>
        <v>(含)-</v>
      </c>
      <c r="I2" s="87" t="str">
        <f t="shared" si="0"/>
        <v>(含)-</v>
      </c>
      <c r="J2" s="87" t="str">
        <f t="shared" si="0"/>
        <v>(含)-</v>
      </c>
      <c r="K2" s="87" t="str">
        <f t="shared" si="0"/>
        <v>(含)-</v>
      </c>
      <c r="L2" s="87" t="str">
        <f t="shared" si="0"/>
        <v>(含)-</v>
      </c>
      <c r="M2" s="87" t="str">
        <f t="shared" ref="M2" si="1">M3&amp;"(含)"&amp;"-"&amp;N3</f>
        <v>(含)-</v>
      </c>
      <c r="N2" s="87" t="str">
        <f t="shared" ref="N2" si="2">N3&amp;"(含)"&amp;"-"&amp;O3</f>
        <v>(含)-</v>
      </c>
      <c r="O2" s="87" t="str">
        <f t="shared" ref="O2" si="3">O3&amp;"(含)"&amp;"-"&amp;P3</f>
        <v>(含)-</v>
      </c>
      <c r="P2" s="87" t="str">
        <f t="shared" ref="P2" si="4">P3&amp;"(含)"&amp;"-"&amp;Q3</f>
        <v>(含)-</v>
      </c>
      <c r="Q2" s="87" t="str">
        <f t="shared" ref="Q2" si="5">Q3&amp;"(含)"&amp;"-"&amp;R3</f>
        <v>(含)-</v>
      </c>
      <c r="R2" s="87" t="str">
        <f t="shared" ref="R2" si="6">R3&amp;"(含)"&amp;"-"&amp;S3</f>
        <v>(含)-</v>
      </c>
      <c r="S2" s="158" t="str">
        <f>S3&amp;"(含)"&amp;"-"</f>
        <v>(含)-</v>
      </c>
      <c r="T2" s="159"/>
      <c r="U2" s="160"/>
      <c r="V2" s="160"/>
      <c r="W2" s="160"/>
      <c r="X2" s="160"/>
      <c r="Y2" s="160"/>
      <c r="Z2" s="160"/>
      <c r="AA2" s="160"/>
      <c r="AB2" s="160"/>
      <c r="AC2" s="160"/>
      <c r="AD2" s="160"/>
      <c r="AE2" s="160"/>
      <c r="AF2" s="160"/>
      <c r="AG2" s="160"/>
      <c r="AH2" s="160"/>
      <c r="AI2" s="160"/>
      <c r="AJ2" s="160"/>
      <c r="AK2" s="160"/>
      <c r="AL2" s="160"/>
      <c r="AM2" s="160"/>
      <c r="AN2" s="160"/>
      <c r="AO2" s="160"/>
      <c r="AP2" s="160"/>
      <c r="AQ2" s="160"/>
      <c r="AR2" s="160"/>
      <c r="AS2" s="160"/>
    </row>
    <row r="3" s="74" customFormat="1" spans="1:45">
      <c r="A3" s="88"/>
      <c r="B3" s="89"/>
      <c r="C3" s="90"/>
      <c r="D3" s="91"/>
      <c r="E3" s="91"/>
      <c r="F3" s="91"/>
      <c r="G3" s="91"/>
      <c r="H3" s="91"/>
      <c r="I3" s="91"/>
      <c r="J3" s="136"/>
      <c r="K3" s="136"/>
      <c r="L3" s="137"/>
      <c r="M3" s="138"/>
      <c r="N3" s="139"/>
      <c r="O3" s="91"/>
      <c r="P3" s="91"/>
      <c r="Q3" s="91"/>
      <c r="R3" s="91"/>
      <c r="S3" s="161"/>
      <c r="T3" s="162"/>
      <c r="U3" s="163"/>
      <c r="V3" s="163"/>
      <c r="W3" s="163"/>
      <c r="X3" s="163"/>
      <c r="Y3" s="163"/>
      <c r="Z3" s="163"/>
      <c r="AA3" s="163"/>
      <c r="AB3" s="163"/>
      <c r="AC3" s="163"/>
      <c r="AD3" s="163"/>
      <c r="AE3" s="163"/>
      <c r="AF3" s="163"/>
      <c r="AG3" s="163"/>
      <c r="AH3" s="163"/>
      <c r="AI3" s="163"/>
      <c r="AJ3" s="163"/>
      <c r="AK3" s="163"/>
      <c r="AL3" s="163"/>
      <c r="AM3" s="163"/>
      <c r="AN3" s="163"/>
      <c r="AO3" s="163"/>
      <c r="AP3" s="163"/>
      <c r="AQ3" s="163"/>
      <c r="AR3" s="163"/>
      <c r="AS3" s="163"/>
    </row>
    <row r="4" s="74" customFormat="1" ht="13.5" spans="1:45">
      <c r="A4" s="92"/>
      <c r="B4" s="93"/>
      <c r="C4" s="94"/>
      <c r="D4" s="95"/>
      <c r="E4" s="95"/>
      <c r="F4" s="95"/>
      <c r="G4" s="95"/>
      <c r="H4" s="95"/>
      <c r="I4" s="95"/>
      <c r="J4" s="95"/>
      <c r="K4" s="95"/>
      <c r="L4" s="95"/>
      <c r="M4" s="140"/>
      <c r="N4" s="141"/>
      <c r="O4" s="95"/>
      <c r="P4" s="95"/>
      <c r="Q4" s="95"/>
      <c r="R4" s="95"/>
      <c r="S4" s="164"/>
      <c r="T4" s="165"/>
      <c r="U4" s="163"/>
      <c r="V4" s="163"/>
      <c r="W4" s="163"/>
      <c r="X4" s="163"/>
      <c r="Y4" s="163"/>
      <c r="Z4" s="163"/>
      <c r="AA4" s="163"/>
      <c r="AB4" s="163"/>
      <c r="AC4" s="163"/>
      <c r="AD4" s="163"/>
      <c r="AE4" s="163"/>
      <c r="AF4" s="163"/>
      <c r="AG4" s="163"/>
      <c r="AH4" s="163"/>
      <c r="AI4" s="163"/>
      <c r="AJ4" s="163"/>
      <c r="AK4" s="163"/>
      <c r="AL4" s="163"/>
      <c r="AM4" s="163"/>
      <c r="AN4" s="163"/>
      <c r="AO4" s="163"/>
      <c r="AP4" s="163"/>
      <c r="AQ4" s="163"/>
      <c r="AR4" s="163"/>
      <c r="AS4" s="163"/>
    </row>
    <row r="5" s="75" customFormat="1" spans="1:45">
      <c r="A5" s="96"/>
      <c r="B5" s="97" t="s">
        <v>2604</v>
      </c>
      <c r="C5" s="98"/>
      <c r="D5" s="99"/>
      <c r="E5" s="99"/>
      <c r="F5" s="99"/>
      <c r="G5" s="99"/>
      <c r="H5" s="99"/>
      <c r="I5" s="99"/>
      <c r="J5" s="99"/>
      <c r="K5" s="99"/>
      <c r="L5" s="142"/>
      <c r="M5" s="143"/>
      <c r="N5" s="143"/>
      <c r="O5" s="99"/>
      <c r="P5" s="99"/>
      <c r="Q5" s="99"/>
      <c r="R5" s="99"/>
      <c r="S5" s="166"/>
      <c r="T5" s="167"/>
      <c r="U5" s="168"/>
      <c r="V5" s="168"/>
      <c r="W5" s="168"/>
      <c r="X5" s="168"/>
      <c r="Y5" s="168"/>
      <c r="Z5" s="168"/>
      <c r="AA5" s="168"/>
      <c r="AB5" s="168"/>
      <c r="AC5" s="168"/>
      <c r="AD5" s="168"/>
      <c r="AE5" s="168"/>
      <c r="AF5" s="168"/>
      <c r="AG5" s="168"/>
      <c r="AH5" s="168"/>
      <c r="AI5" s="168"/>
      <c r="AJ5" s="168"/>
      <c r="AK5" s="168"/>
      <c r="AL5" s="168"/>
      <c r="AM5" s="168"/>
      <c r="AN5" s="168"/>
      <c r="AO5" s="168"/>
      <c r="AP5" s="168"/>
      <c r="AQ5" s="168"/>
      <c r="AR5" s="168"/>
      <c r="AS5" s="168"/>
    </row>
    <row r="6" s="75" customFormat="1" ht="13.5" spans="1:45">
      <c r="A6" s="96"/>
      <c r="B6" s="100"/>
      <c r="C6" s="101">
        <v>100</v>
      </c>
      <c r="D6" s="102">
        <f>C6-$T5</f>
        <v>100</v>
      </c>
      <c r="E6" s="102">
        <f t="shared" ref="E6:S6" si="7">D6-$T5</f>
        <v>100</v>
      </c>
      <c r="F6" s="102">
        <f t="shared" si="7"/>
        <v>100</v>
      </c>
      <c r="G6" s="102">
        <f t="shared" si="7"/>
        <v>100</v>
      </c>
      <c r="H6" s="102">
        <f t="shared" si="7"/>
        <v>100</v>
      </c>
      <c r="I6" s="102">
        <f t="shared" si="7"/>
        <v>100</v>
      </c>
      <c r="J6" s="102">
        <f t="shared" si="7"/>
        <v>100</v>
      </c>
      <c r="K6" s="102">
        <f t="shared" si="7"/>
        <v>100</v>
      </c>
      <c r="L6" s="102">
        <f t="shared" si="7"/>
        <v>100</v>
      </c>
      <c r="M6" s="102">
        <f t="shared" si="7"/>
        <v>100</v>
      </c>
      <c r="N6" s="102">
        <f t="shared" si="7"/>
        <v>100</v>
      </c>
      <c r="O6" s="102">
        <f t="shared" si="7"/>
        <v>100</v>
      </c>
      <c r="P6" s="102">
        <f t="shared" si="7"/>
        <v>100</v>
      </c>
      <c r="Q6" s="102">
        <f t="shared" si="7"/>
        <v>100</v>
      </c>
      <c r="R6" s="102">
        <f t="shared" si="7"/>
        <v>100</v>
      </c>
      <c r="S6" s="102">
        <f t="shared" si="7"/>
        <v>100</v>
      </c>
      <c r="T6" s="169"/>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row>
    <row r="7" s="75" customFormat="1" spans="1:45">
      <c r="A7" s="96"/>
      <c r="B7" s="103" t="s">
        <v>2605</v>
      </c>
      <c r="C7" s="104"/>
      <c r="D7" s="105"/>
      <c r="E7" s="105"/>
      <c r="F7" s="105"/>
      <c r="G7" s="105"/>
      <c r="H7" s="105"/>
      <c r="I7" s="105"/>
      <c r="J7" s="105"/>
      <c r="K7" s="105"/>
      <c r="L7" s="105"/>
      <c r="M7" s="144"/>
      <c r="N7" s="145"/>
      <c r="O7" s="146"/>
      <c r="P7" s="146"/>
      <c r="Q7" s="170"/>
      <c r="R7" s="171"/>
      <c r="S7" s="172"/>
      <c r="T7" s="173"/>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row>
    <row r="8" s="75" customFormat="1" ht="13.5" spans="1:45">
      <c r="A8" s="96"/>
      <c r="B8" s="100"/>
      <c r="C8" s="101">
        <v>100</v>
      </c>
      <c r="D8" s="102">
        <f>C8-$T7</f>
        <v>100</v>
      </c>
      <c r="E8" s="102">
        <f t="shared" ref="E8:S8" si="8">D8-$T7</f>
        <v>100</v>
      </c>
      <c r="F8" s="102">
        <f t="shared" si="8"/>
        <v>100</v>
      </c>
      <c r="G8" s="102">
        <f t="shared" si="8"/>
        <v>100</v>
      </c>
      <c r="H8" s="102">
        <f t="shared" si="8"/>
        <v>100</v>
      </c>
      <c r="I8" s="102">
        <f t="shared" si="8"/>
        <v>100</v>
      </c>
      <c r="J8" s="102">
        <f t="shared" si="8"/>
        <v>100</v>
      </c>
      <c r="K8" s="102">
        <f t="shared" si="8"/>
        <v>100</v>
      </c>
      <c r="L8" s="102">
        <f t="shared" si="8"/>
        <v>100</v>
      </c>
      <c r="M8" s="102">
        <f t="shared" si="8"/>
        <v>100</v>
      </c>
      <c r="N8" s="102">
        <f t="shared" si="8"/>
        <v>100</v>
      </c>
      <c r="O8" s="102">
        <f t="shared" si="8"/>
        <v>100</v>
      </c>
      <c r="P8" s="102">
        <f t="shared" si="8"/>
        <v>100</v>
      </c>
      <c r="Q8" s="102">
        <f t="shared" si="8"/>
        <v>100</v>
      </c>
      <c r="R8" s="102">
        <f t="shared" si="8"/>
        <v>100</v>
      </c>
      <c r="S8" s="102">
        <f t="shared" si="8"/>
        <v>100</v>
      </c>
      <c r="T8" s="169"/>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row>
    <row r="9" s="75" customFormat="1" spans="1:45">
      <c r="A9" s="96"/>
      <c r="B9" s="103" t="s">
        <v>2606</v>
      </c>
      <c r="C9" s="104"/>
      <c r="D9" s="105"/>
      <c r="E9" s="105"/>
      <c r="F9" s="105"/>
      <c r="G9" s="105"/>
      <c r="H9" s="105"/>
      <c r="I9" s="105"/>
      <c r="J9" s="105"/>
      <c r="K9" s="105"/>
      <c r="L9" s="147"/>
      <c r="M9" s="144"/>
      <c r="N9" s="145"/>
      <c r="O9" s="146"/>
      <c r="P9" s="146"/>
      <c r="Q9" s="170"/>
      <c r="R9" s="171"/>
      <c r="S9" s="172"/>
      <c r="T9" s="173"/>
      <c r="U9" s="168"/>
      <c r="V9" s="168"/>
      <c r="W9" s="168"/>
      <c r="X9" s="168"/>
      <c r="Y9" s="168"/>
      <c r="Z9" s="168"/>
      <c r="AA9" s="168"/>
      <c r="AB9" s="168"/>
      <c r="AC9" s="168"/>
      <c r="AD9" s="168"/>
      <c r="AE9" s="168"/>
      <c r="AF9" s="168"/>
      <c r="AG9" s="168"/>
      <c r="AH9" s="168"/>
      <c r="AI9" s="168"/>
      <c r="AJ9" s="168"/>
      <c r="AK9" s="168"/>
      <c r="AL9" s="168"/>
      <c r="AM9" s="168"/>
      <c r="AN9" s="168"/>
      <c r="AO9" s="168"/>
      <c r="AP9" s="168"/>
      <c r="AQ9" s="168"/>
      <c r="AR9" s="168"/>
      <c r="AS9" s="168"/>
    </row>
    <row r="10" s="75" customFormat="1" ht="13.5" spans="1:45">
      <c r="A10" s="96"/>
      <c r="B10" s="106"/>
      <c r="C10" s="107">
        <v>100</v>
      </c>
      <c r="D10" s="108">
        <f>C10-$T9</f>
        <v>100</v>
      </c>
      <c r="E10" s="108">
        <f t="shared" ref="E10:S10" si="9">D10-$T9</f>
        <v>100</v>
      </c>
      <c r="F10" s="108">
        <f t="shared" si="9"/>
        <v>100</v>
      </c>
      <c r="G10" s="108">
        <f t="shared" si="9"/>
        <v>100</v>
      </c>
      <c r="H10" s="108">
        <f t="shared" si="9"/>
        <v>100</v>
      </c>
      <c r="I10" s="108">
        <f t="shared" si="9"/>
        <v>100</v>
      </c>
      <c r="J10" s="108">
        <f t="shared" si="9"/>
        <v>100</v>
      </c>
      <c r="K10" s="108">
        <f t="shared" si="9"/>
        <v>100</v>
      </c>
      <c r="L10" s="108">
        <f t="shared" si="9"/>
        <v>100</v>
      </c>
      <c r="M10" s="108">
        <f t="shared" si="9"/>
        <v>100</v>
      </c>
      <c r="N10" s="108">
        <f t="shared" si="9"/>
        <v>100</v>
      </c>
      <c r="O10" s="108">
        <f t="shared" si="9"/>
        <v>100</v>
      </c>
      <c r="P10" s="108">
        <f t="shared" si="9"/>
        <v>100</v>
      </c>
      <c r="Q10" s="108">
        <f t="shared" si="9"/>
        <v>100</v>
      </c>
      <c r="R10" s="108">
        <f t="shared" si="9"/>
        <v>100</v>
      </c>
      <c r="S10" s="108">
        <f t="shared" si="9"/>
        <v>100</v>
      </c>
      <c r="T10" s="165"/>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row>
    <row r="11" s="75" customFormat="1" spans="1:45">
      <c r="A11" s="96"/>
      <c r="B11" s="97" t="s">
        <v>2607</v>
      </c>
      <c r="C11" s="98"/>
      <c r="D11" s="99"/>
      <c r="E11" s="99"/>
      <c r="F11" s="99"/>
      <c r="G11" s="99"/>
      <c r="H11" s="99"/>
      <c r="I11" s="99"/>
      <c r="J11" s="99"/>
      <c r="K11" s="99"/>
      <c r="L11" s="99"/>
      <c r="M11" s="143"/>
      <c r="N11" s="148"/>
      <c r="O11" s="149"/>
      <c r="P11" s="149"/>
      <c r="Q11" s="174"/>
      <c r="R11" s="175"/>
      <c r="S11" s="176"/>
      <c r="T11" s="167"/>
      <c r="U11" s="168"/>
      <c r="V11" s="168"/>
      <c r="W11" s="168"/>
      <c r="X11" s="168"/>
      <c r="Y11" s="168"/>
      <c r="Z11" s="168"/>
      <c r="AA11" s="168"/>
      <c r="AB11" s="168"/>
      <c r="AC11" s="168"/>
      <c r="AD11" s="168"/>
      <c r="AE11" s="168"/>
      <c r="AF11" s="168"/>
      <c r="AG11" s="168"/>
      <c r="AH11" s="168"/>
      <c r="AI11" s="168"/>
      <c r="AJ11" s="168"/>
      <c r="AK11" s="168"/>
      <c r="AL11" s="168"/>
      <c r="AM11" s="168"/>
      <c r="AN11" s="168"/>
      <c r="AO11" s="168"/>
      <c r="AP11" s="168"/>
      <c r="AQ11" s="168"/>
      <c r="AR11" s="168"/>
      <c r="AS11" s="168"/>
    </row>
    <row r="12" s="75" customFormat="1" ht="13.5" spans="1:45">
      <c r="A12" s="96"/>
      <c r="B12" s="100"/>
      <c r="C12" s="101">
        <v>100</v>
      </c>
      <c r="D12" s="102">
        <f>C12-$T11</f>
        <v>100</v>
      </c>
      <c r="E12" s="102">
        <f t="shared" ref="E12:S12" si="10">D12-$T11</f>
        <v>100</v>
      </c>
      <c r="F12" s="102">
        <f t="shared" si="10"/>
        <v>100</v>
      </c>
      <c r="G12" s="102">
        <f t="shared" si="10"/>
        <v>100</v>
      </c>
      <c r="H12" s="102">
        <f t="shared" si="10"/>
        <v>100</v>
      </c>
      <c r="I12" s="102">
        <f t="shared" si="10"/>
        <v>100</v>
      </c>
      <c r="J12" s="102">
        <f t="shared" si="10"/>
        <v>100</v>
      </c>
      <c r="K12" s="102">
        <f t="shared" si="10"/>
        <v>100</v>
      </c>
      <c r="L12" s="102">
        <f t="shared" si="10"/>
        <v>100</v>
      </c>
      <c r="M12" s="102">
        <f t="shared" si="10"/>
        <v>100</v>
      </c>
      <c r="N12" s="102">
        <f t="shared" si="10"/>
        <v>100</v>
      </c>
      <c r="O12" s="102">
        <f t="shared" si="10"/>
        <v>100</v>
      </c>
      <c r="P12" s="102">
        <f t="shared" si="10"/>
        <v>100</v>
      </c>
      <c r="Q12" s="102">
        <f t="shared" si="10"/>
        <v>100</v>
      </c>
      <c r="R12" s="102">
        <f t="shared" si="10"/>
        <v>100</v>
      </c>
      <c r="S12" s="102">
        <f t="shared" si="10"/>
        <v>100</v>
      </c>
      <c r="T12" s="169"/>
      <c r="U12" s="168"/>
      <c r="V12" s="168"/>
      <c r="W12" s="168"/>
      <c r="X12" s="168"/>
      <c r="Y12" s="168"/>
      <c r="Z12" s="168"/>
      <c r="AA12" s="168"/>
      <c r="AB12" s="168"/>
      <c r="AC12" s="168"/>
      <c r="AD12" s="168"/>
      <c r="AE12" s="168"/>
      <c r="AF12" s="168"/>
      <c r="AG12" s="168"/>
      <c r="AH12" s="168"/>
      <c r="AI12" s="168"/>
      <c r="AJ12" s="168"/>
      <c r="AK12" s="168"/>
      <c r="AL12" s="168"/>
      <c r="AM12" s="168"/>
      <c r="AN12" s="168"/>
      <c r="AO12" s="168"/>
      <c r="AP12" s="168"/>
      <c r="AQ12" s="168"/>
      <c r="AR12" s="168"/>
      <c r="AS12" s="168"/>
    </row>
    <row r="13" s="75" customFormat="1" spans="1:45">
      <c r="A13" s="96"/>
      <c r="B13" s="97" t="s">
        <v>2608</v>
      </c>
      <c r="C13" s="98"/>
      <c r="D13" s="99"/>
      <c r="E13" s="99"/>
      <c r="F13" s="99"/>
      <c r="G13" s="99"/>
      <c r="H13" s="99"/>
      <c r="I13" s="99"/>
      <c r="J13" s="99"/>
      <c r="K13" s="99"/>
      <c r="L13" s="99"/>
      <c r="M13" s="143"/>
      <c r="N13" s="148"/>
      <c r="O13" s="149"/>
      <c r="P13" s="149"/>
      <c r="Q13" s="174"/>
      <c r="R13" s="175"/>
      <c r="S13" s="176"/>
      <c r="T13" s="177"/>
      <c r="U13" s="168"/>
      <c r="V13" s="168"/>
      <c r="W13" s="168"/>
      <c r="X13" s="168"/>
      <c r="Y13" s="168"/>
      <c r="Z13" s="168"/>
      <c r="AA13" s="168"/>
      <c r="AB13" s="168"/>
      <c r="AC13" s="168"/>
      <c r="AD13" s="168"/>
      <c r="AE13" s="168"/>
      <c r="AF13" s="168"/>
      <c r="AG13" s="168"/>
      <c r="AH13" s="168"/>
      <c r="AI13" s="168"/>
      <c r="AJ13" s="168"/>
      <c r="AK13" s="168"/>
      <c r="AL13" s="168"/>
      <c r="AM13" s="168"/>
      <c r="AN13" s="168"/>
      <c r="AO13" s="168"/>
      <c r="AP13" s="168"/>
      <c r="AQ13" s="168"/>
      <c r="AR13" s="168"/>
      <c r="AS13" s="168"/>
    </row>
    <row r="14" s="75" customFormat="1" ht="13.5" spans="1:45">
      <c r="A14" s="96"/>
      <c r="B14" s="100"/>
      <c r="C14" s="109"/>
      <c r="D14" s="110"/>
      <c r="E14" s="110"/>
      <c r="F14" s="110"/>
      <c r="G14" s="110"/>
      <c r="H14" s="110"/>
      <c r="I14" s="110"/>
      <c r="J14" s="110"/>
      <c r="K14" s="110"/>
      <c r="L14" s="110"/>
      <c r="M14" s="150"/>
      <c r="N14" s="150"/>
      <c r="O14" s="110"/>
      <c r="P14" s="110"/>
      <c r="Q14" s="110"/>
      <c r="R14" s="110"/>
      <c r="S14" s="178"/>
      <c r="T14" s="169"/>
      <c r="U14" s="168"/>
      <c r="V14" s="168"/>
      <c r="W14" s="168"/>
      <c r="X14" s="168"/>
      <c r="Y14" s="168"/>
      <c r="Z14" s="168"/>
      <c r="AA14" s="168"/>
      <c r="AB14" s="168"/>
      <c r="AC14" s="168"/>
      <c r="AD14" s="168"/>
      <c r="AE14" s="168"/>
      <c r="AF14" s="168"/>
      <c r="AG14" s="168"/>
      <c r="AH14" s="168"/>
      <c r="AI14" s="168"/>
      <c r="AJ14" s="168"/>
      <c r="AK14" s="168"/>
      <c r="AL14" s="168"/>
      <c r="AM14" s="168"/>
      <c r="AN14" s="168"/>
      <c r="AO14" s="168"/>
      <c r="AP14" s="168"/>
      <c r="AQ14" s="168"/>
      <c r="AR14" s="168"/>
      <c r="AS14" s="168"/>
    </row>
    <row r="15" s="75" customFormat="1" spans="1:45">
      <c r="A15" s="96"/>
      <c r="B15" s="97" t="s">
        <v>2609</v>
      </c>
      <c r="C15" s="98"/>
      <c r="D15" s="99"/>
      <c r="E15" s="99"/>
      <c r="F15" s="99"/>
      <c r="G15" s="99"/>
      <c r="H15" s="99"/>
      <c r="I15" s="99"/>
      <c r="J15" s="99"/>
      <c r="K15" s="99"/>
      <c r="L15" s="99"/>
      <c r="M15" s="143"/>
      <c r="N15" s="148"/>
      <c r="O15" s="149"/>
      <c r="P15" s="149"/>
      <c r="Q15" s="174"/>
      <c r="R15" s="175"/>
      <c r="S15" s="176"/>
      <c r="T15" s="177"/>
      <c r="U15" s="168"/>
      <c r="V15" s="168"/>
      <c r="W15" s="168"/>
      <c r="X15" s="168"/>
      <c r="Y15" s="168"/>
      <c r="Z15" s="168"/>
      <c r="AA15" s="168"/>
      <c r="AB15" s="168"/>
      <c r="AC15" s="168"/>
      <c r="AD15" s="168"/>
      <c r="AE15" s="168"/>
      <c r="AF15" s="168"/>
      <c r="AG15" s="168"/>
      <c r="AH15" s="168"/>
      <c r="AI15" s="168"/>
      <c r="AJ15" s="168"/>
      <c r="AK15" s="168"/>
      <c r="AL15" s="168"/>
      <c r="AM15" s="168"/>
      <c r="AN15" s="168"/>
      <c r="AO15" s="168"/>
      <c r="AP15" s="168"/>
      <c r="AQ15" s="168"/>
      <c r="AR15" s="168"/>
      <c r="AS15" s="168"/>
    </row>
    <row r="16" s="75" customFormat="1" ht="13.5" spans="1:45">
      <c r="A16" s="96"/>
      <c r="B16" s="93"/>
      <c r="C16" s="94"/>
      <c r="D16" s="95"/>
      <c r="E16" s="95"/>
      <c r="F16" s="95"/>
      <c r="G16" s="95"/>
      <c r="H16" s="95"/>
      <c r="I16" s="95"/>
      <c r="J16" s="95"/>
      <c r="K16" s="95"/>
      <c r="L16" s="95"/>
      <c r="M16" s="140"/>
      <c r="N16" s="140"/>
      <c r="O16" s="95"/>
      <c r="P16" s="95"/>
      <c r="Q16" s="95"/>
      <c r="R16" s="95"/>
      <c r="S16" s="164"/>
      <c r="T16" s="165"/>
      <c r="U16" s="168"/>
      <c r="V16" s="168"/>
      <c r="W16" s="168"/>
      <c r="X16" s="168"/>
      <c r="Y16" s="168"/>
      <c r="Z16" s="168"/>
      <c r="AA16" s="168"/>
      <c r="AB16" s="168"/>
      <c r="AC16" s="168"/>
      <c r="AD16" s="168"/>
      <c r="AE16" s="168"/>
      <c r="AF16" s="168"/>
      <c r="AG16" s="168"/>
      <c r="AH16" s="168"/>
      <c r="AI16" s="168"/>
      <c r="AJ16" s="168"/>
      <c r="AK16" s="168"/>
      <c r="AL16" s="168"/>
      <c r="AM16" s="168"/>
      <c r="AN16" s="168"/>
      <c r="AO16" s="168"/>
      <c r="AP16" s="168"/>
      <c r="AQ16" s="168"/>
      <c r="AR16" s="168"/>
      <c r="AS16" s="168"/>
    </row>
    <row r="17" s="73" customFormat="1" spans="1:45">
      <c r="A17" s="111" t="s">
        <v>2610</v>
      </c>
      <c r="B17" s="112" t="s">
        <v>1116</v>
      </c>
      <c r="C17" s="113"/>
      <c r="D17" s="114"/>
      <c r="E17" s="114"/>
      <c r="F17" s="114"/>
      <c r="G17" s="114"/>
      <c r="H17" s="114"/>
      <c r="I17" s="114"/>
      <c r="J17" s="114"/>
      <c r="K17" s="114"/>
      <c r="L17" s="151"/>
      <c r="M17" s="152"/>
      <c r="N17" s="153"/>
      <c r="O17" s="154"/>
      <c r="P17" s="154"/>
      <c r="Q17" s="179"/>
      <c r="R17" s="180"/>
      <c r="S17" s="181"/>
      <c r="T17" s="181"/>
      <c r="U17" s="181"/>
      <c r="V17" s="181"/>
      <c r="W17" s="181"/>
      <c r="X17" s="181"/>
      <c r="Y17" s="181"/>
      <c r="Z17" s="181"/>
      <c r="AA17" s="181"/>
      <c r="AB17" s="181"/>
      <c r="AC17" s="181"/>
      <c r="AD17" s="181"/>
      <c r="AE17" s="181"/>
      <c r="AF17" s="181"/>
      <c r="AG17" s="181"/>
      <c r="AH17" s="181"/>
      <c r="AI17" s="181"/>
      <c r="AJ17" s="181"/>
      <c r="AK17" s="181"/>
      <c r="AL17" s="181"/>
      <c r="AM17" s="181"/>
      <c r="AN17" s="181"/>
      <c r="AO17" s="181"/>
      <c r="AP17" s="181"/>
      <c r="AQ17" s="181"/>
      <c r="AR17" s="160"/>
      <c r="AS17" s="160"/>
    </row>
    <row r="18" s="73" customFormat="1" ht="13.5" spans="1:45">
      <c r="A18" s="115"/>
      <c r="B18" s="116"/>
      <c r="C18" s="117"/>
      <c r="D18" s="118"/>
      <c r="E18" s="118"/>
      <c r="F18" s="118"/>
      <c r="G18" s="118"/>
      <c r="H18" s="118"/>
      <c r="I18" s="118"/>
      <c r="J18" s="118"/>
      <c r="K18" s="118"/>
      <c r="L18" s="118"/>
      <c r="M18" s="155"/>
      <c r="N18" s="155"/>
      <c r="O18" s="118"/>
      <c r="P18" s="118"/>
      <c r="Q18" s="118"/>
      <c r="R18" s="118"/>
      <c r="S18" s="182"/>
      <c r="T18" s="182"/>
      <c r="U18" s="182"/>
      <c r="V18" s="182"/>
      <c r="W18" s="182"/>
      <c r="X18" s="182"/>
      <c r="Y18" s="182"/>
      <c r="Z18" s="182"/>
      <c r="AA18" s="182"/>
      <c r="AB18" s="182"/>
      <c r="AC18" s="182"/>
      <c r="AD18" s="182"/>
      <c r="AE18" s="182"/>
      <c r="AF18" s="182"/>
      <c r="AG18" s="182"/>
      <c r="AH18" s="182"/>
      <c r="AI18" s="182"/>
      <c r="AJ18" s="182"/>
      <c r="AK18" s="182"/>
      <c r="AL18" s="182"/>
      <c r="AM18" s="182"/>
      <c r="AN18" s="182"/>
      <c r="AO18" s="182"/>
      <c r="AP18" s="182"/>
      <c r="AQ18" s="182"/>
      <c r="AR18" s="160"/>
      <c r="AS18" s="160"/>
    </row>
    <row r="19" spans="1:19">
      <c r="A19" s="119"/>
      <c r="B19" s="120"/>
      <c r="C19" s="121"/>
      <c r="D19" s="121"/>
      <c r="E19" s="121"/>
      <c r="F19" s="121"/>
      <c r="G19" s="121"/>
      <c r="H19" s="121"/>
      <c r="I19" s="121"/>
      <c r="J19" s="121"/>
      <c r="K19" s="121"/>
      <c r="L19" s="121"/>
      <c r="M19" s="121"/>
      <c r="N19" s="121"/>
      <c r="O19" s="121"/>
      <c r="P19" s="121"/>
      <c r="Q19" s="121"/>
      <c r="R19" s="121"/>
      <c r="S19" s="183"/>
    </row>
    <row r="20" ht="15.75" spans="1:19">
      <c r="A20" s="122" t="s">
        <v>2611</v>
      </c>
      <c r="B20" s="123">
        <f>S22</f>
        <v>0</v>
      </c>
      <c r="C20" s="121"/>
      <c r="D20" s="121"/>
      <c r="E20" s="121"/>
      <c r="F20" s="121"/>
      <c r="G20" s="121"/>
      <c r="H20" s="121"/>
      <c r="I20" s="121"/>
      <c r="J20" s="121"/>
      <c r="K20" s="121"/>
      <c r="L20" s="121"/>
      <c r="M20" s="121"/>
      <c r="N20" s="121"/>
      <c r="O20" s="121"/>
      <c r="P20" s="121"/>
      <c r="Q20" s="121"/>
      <c r="R20" s="121"/>
      <c r="S20" s="183"/>
    </row>
    <row r="21" ht="15.75" spans="1:19">
      <c r="A21" s="122" t="str">
        <f>IF(B23="土地面积","地面单价","楼面单价")</f>
        <v>楼面单价</v>
      </c>
      <c r="B21" s="123" t="e">
        <f>R22</f>
        <v>#DIV/0!</v>
      </c>
      <c r="C21" s="121"/>
      <c r="D21" s="121"/>
      <c r="E21" s="121"/>
      <c r="F21" s="121"/>
      <c r="G21" s="121"/>
      <c r="H21" s="121"/>
      <c r="I21" s="121"/>
      <c r="J21" s="121"/>
      <c r="K21" s="121"/>
      <c r="L21" s="121"/>
      <c r="M21" s="121"/>
      <c r="N21" s="121"/>
      <c r="O21" s="121"/>
      <c r="P21" s="121"/>
      <c r="Q21" s="121"/>
      <c r="R21" s="121"/>
      <c r="S21" s="183"/>
    </row>
    <row r="22" spans="1:19">
      <c r="A22" s="124" t="s">
        <v>2612</v>
      </c>
      <c r="B22" s="125">
        <f>SUM(B24:B10000)</f>
        <v>0</v>
      </c>
      <c r="C22" s="126" t="s">
        <v>138</v>
      </c>
      <c r="D22" s="127"/>
      <c r="E22" s="127"/>
      <c r="F22" s="127"/>
      <c r="G22" s="127"/>
      <c r="H22" s="127"/>
      <c r="I22" s="127"/>
      <c r="J22" s="127"/>
      <c r="K22" s="127"/>
      <c r="L22" s="127"/>
      <c r="M22" s="127"/>
      <c r="N22" s="127"/>
      <c r="O22" s="127"/>
      <c r="P22" s="127"/>
      <c r="Q22" s="184"/>
      <c r="R22" s="125" t="e">
        <f>ROUND(S22*10000/B22,0)</f>
        <v>#DIV/0!</v>
      </c>
      <c r="S22" s="125">
        <f>SUM(S24:S10000)</f>
        <v>0</v>
      </c>
    </row>
    <row r="23" s="76" customFormat="1" ht="24" spans="1:35">
      <c r="A23" s="128" t="s">
        <v>2613</v>
      </c>
      <c r="B23" s="129" t="s">
        <v>389</v>
      </c>
      <c r="C23" s="128" t="s">
        <v>1176</v>
      </c>
      <c r="D23" s="128" t="str">
        <f>B5</f>
        <v>修正项2</v>
      </c>
      <c r="E23" s="128" t="s">
        <v>1176</v>
      </c>
      <c r="F23" s="128" t="str">
        <f>B7</f>
        <v>修正项3</v>
      </c>
      <c r="G23" s="128" t="s">
        <v>1176</v>
      </c>
      <c r="H23" s="128" t="str">
        <f>B9</f>
        <v>修正项4</v>
      </c>
      <c r="I23" s="128" t="s">
        <v>1176</v>
      </c>
      <c r="J23" s="128" t="str">
        <f>B11</f>
        <v>修正项5</v>
      </c>
      <c r="K23" s="128" t="s">
        <v>1176</v>
      </c>
      <c r="L23" s="128" t="str">
        <f>B13</f>
        <v>修正项6</v>
      </c>
      <c r="M23" s="128" t="s">
        <v>1176</v>
      </c>
      <c r="N23" s="128" t="str">
        <f>B15</f>
        <v>修正项7</v>
      </c>
      <c r="O23" s="128" t="s">
        <v>1176</v>
      </c>
      <c r="P23" s="128" t="str">
        <f>B17</f>
        <v>楼层</v>
      </c>
      <c r="Q23" s="128" t="s">
        <v>1176</v>
      </c>
      <c r="R23" s="128" t="s">
        <v>2614</v>
      </c>
      <c r="S23" s="128" t="s">
        <v>2615</v>
      </c>
      <c r="T23" s="185"/>
      <c r="U23" s="185"/>
      <c r="V23" s="185"/>
      <c r="W23" s="185"/>
      <c r="X23" s="185"/>
      <c r="Y23" s="185"/>
      <c r="Z23" s="185"/>
      <c r="AA23" s="185"/>
      <c r="AB23" s="185"/>
      <c r="AC23" s="185"/>
      <c r="AD23" s="185"/>
      <c r="AE23" s="185"/>
      <c r="AF23" s="185"/>
      <c r="AG23" s="185"/>
      <c r="AH23" s="185"/>
      <c r="AI23" s="185"/>
    </row>
    <row r="24" s="77" customFormat="1" spans="1:35">
      <c r="A24" s="130" t="s">
        <v>2616</v>
      </c>
      <c r="B24" s="130"/>
      <c r="C24" s="131">
        <v>1</v>
      </c>
      <c r="D24" s="132"/>
      <c r="E24" s="131">
        <v>1</v>
      </c>
      <c r="F24" s="132"/>
      <c r="G24" s="131">
        <v>1</v>
      </c>
      <c r="H24" s="132"/>
      <c r="I24" s="131">
        <v>1</v>
      </c>
      <c r="J24" s="132"/>
      <c r="K24" s="131">
        <v>1</v>
      </c>
      <c r="L24" s="132"/>
      <c r="M24" s="131">
        <v>1</v>
      </c>
      <c r="N24" s="132"/>
      <c r="O24" s="131">
        <v>1</v>
      </c>
      <c r="P24" s="132"/>
      <c r="Q24" s="131">
        <v>1</v>
      </c>
      <c r="R24" s="130"/>
      <c r="S24" s="186">
        <f t="shared" ref="S24:S54" si="11">ROUND(R24*B24/10000,0)</f>
        <v>0</v>
      </c>
      <c r="T24" s="187"/>
      <c r="U24" s="187"/>
      <c r="V24" s="187"/>
      <c r="W24" s="187"/>
      <c r="X24" s="187"/>
      <c r="Y24" s="187"/>
      <c r="Z24" s="187"/>
      <c r="AA24" s="187"/>
      <c r="AB24" s="187"/>
      <c r="AC24" s="187"/>
      <c r="AD24" s="187"/>
      <c r="AE24" s="187"/>
      <c r="AF24" s="187"/>
      <c r="AG24" s="187"/>
      <c r="AH24" s="187"/>
      <c r="AI24" s="187"/>
    </row>
    <row r="25" spans="1:19">
      <c r="A25" s="133"/>
      <c r="B25" s="134"/>
      <c r="C25" s="125">
        <f>IF(B25="",1,(LOOKUP(B25,$3:$3,$4:$4)-LOOKUP($B$24,$3:$3,$4:$4)+100)/100)</f>
        <v>1</v>
      </c>
      <c r="D25" s="135"/>
      <c r="E25" s="125">
        <f>(SUMIF($5:$5,D25,$6:$6)-SUMIF($5:$5,$D$24,$6:$6)+100)/100</f>
        <v>1</v>
      </c>
      <c r="F25" s="135"/>
      <c r="G25" s="125">
        <f>(SUMIF($7:$7,F25,$8:$8)-SUMIF($7:$7,$F$24,$8:$8)+100)/100</f>
        <v>1</v>
      </c>
      <c r="H25" s="135"/>
      <c r="I25" s="125">
        <f>(SUMIF($9:$9,H25,$10:$10)-SUMIF($9:$9,$H$24,$10:$10)+100)/100</f>
        <v>1</v>
      </c>
      <c r="J25" s="135"/>
      <c r="K25" s="125">
        <f>(SUMIF($11:$11,J25,$12:$12)-SUMIF($11:$11,$J$24,$12:$12)+100)/100</f>
        <v>1</v>
      </c>
      <c r="L25" s="135"/>
      <c r="M25" s="125">
        <f>(SUMIF($13:$13,L25,$14:$14)-SUMIF($13:$13,$L$24,$14:$14)+100)/100</f>
        <v>1</v>
      </c>
      <c r="N25" s="135"/>
      <c r="O25" s="125">
        <f>(SUMIF($15:$15,N25,$16:$16)-SUMIF($15:$15,$N$24,$16:$16)+100)/100</f>
        <v>1</v>
      </c>
      <c r="P25" s="135"/>
      <c r="Q25" s="125">
        <f>(SUMIF($17:$17,P25,$18:$18)-SUMIF($17:$17,$P$24,$18:$18)+100)/100</f>
        <v>1</v>
      </c>
      <c r="R25" s="125">
        <f>IF(B25="",0,ROUND($R$24*C25*E25*G25*I25*K25*M25*O25*Q25,0))</f>
        <v>0</v>
      </c>
      <c r="S25" s="124">
        <f t="shared" si="11"/>
        <v>0</v>
      </c>
    </row>
    <row r="26" spans="1:19">
      <c r="A26" s="133"/>
      <c r="B26" s="134"/>
      <c r="C26" s="125">
        <f t="shared" ref="C26:C89" si="12">IF(B26="",1,(LOOKUP(B26,$3:$3,$4:$4)-LOOKUP($B$24,$3:$3,$4:$4)+100)/100)</f>
        <v>1</v>
      </c>
      <c r="D26" s="135"/>
      <c r="E26" s="125">
        <f t="shared" ref="E26:E89" si="13">(SUMIF($5:$5,D26,$6:$6)-SUMIF($5:$5,$D$24,$6:$6)+100)/100</f>
        <v>1</v>
      </c>
      <c r="F26" s="135"/>
      <c r="G26" s="125">
        <f t="shared" ref="G26:G89" si="14">(SUMIF($7:$7,F26,$8:$8)-SUMIF($7:$7,$F$24,$8:$8)+100)/100</f>
        <v>1</v>
      </c>
      <c r="H26" s="135"/>
      <c r="I26" s="125">
        <f t="shared" ref="I26:I89" si="15">(SUMIF($9:$9,H26,$10:$10)-SUMIF($9:$9,$H$24,$10:$10)+100)/100</f>
        <v>1</v>
      </c>
      <c r="J26" s="135"/>
      <c r="K26" s="125">
        <f t="shared" ref="K26:K89" si="16">(SUMIF($11:$11,J26,$12:$12)-SUMIF($11:$11,$J$24,$12:$12)+100)/100</f>
        <v>1</v>
      </c>
      <c r="L26" s="135"/>
      <c r="M26" s="125">
        <f t="shared" ref="M26:M89" si="17">(SUMIF($13:$13,L26,$14:$14)-SUMIF($13:$13,$L$24,$14:$14)+100)/100</f>
        <v>1</v>
      </c>
      <c r="N26" s="135"/>
      <c r="O26" s="125">
        <f t="shared" ref="O26:O89" si="18">(SUMIF($15:$15,N26,$16:$16)-SUMIF($15:$15,$N$24,$16:$16)+100)/100</f>
        <v>1</v>
      </c>
      <c r="P26" s="135"/>
      <c r="Q26" s="125">
        <f t="shared" ref="Q26:Q89" si="19">(SUMIF($17:$17,P26,$18:$18)-SUMIF($17:$17,$P$24,$18:$18)+100)/100</f>
        <v>1</v>
      </c>
      <c r="R26" s="125">
        <f t="shared" ref="R26:R89" si="20">IF(B26="",0,ROUND($R$24*C26*E26*G26*I26*K26*M26*O26*Q26,0))</f>
        <v>0</v>
      </c>
      <c r="S26" s="124">
        <f t="shared" si="11"/>
        <v>0</v>
      </c>
    </row>
    <row r="27" spans="1:19">
      <c r="A27" s="133"/>
      <c r="B27" s="134"/>
      <c r="C27" s="125">
        <f t="shared" si="12"/>
        <v>1</v>
      </c>
      <c r="D27" s="135"/>
      <c r="E27" s="125">
        <f t="shared" si="13"/>
        <v>1</v>
      </c>
      <c r="F27" s="135"/>
      <c r="G27" s="125">
        <f t="shared" si="14"/>
        <v>1</v>
      </c>
      <c r="H27" s="135"/>
      <c r="I27" s="125">
        <f t="shared" si="15"/>
        <v>1</v>
      </c>
      <c r="J27" s="135"/>
      <c r="K27" s="125">
        <f t="shared" si="16"/>
        <v>1</v>
      </c>
      <c r="L27" s="135"/>
      <c r="M27" s="125">
        <f t="shared" si="17"/>
        <v>1</v>
      </c>
      <c r="N27" s="135"/>
      <c r="O27" s="125">
        <f t="shared" si="18"/>
        <v>1</v>
      </c>
      <c r="P27" s="135"/>
      <c r="Q27" s="125">
        <f t="shared" si="19"/>
        <v>1</v>
      </c>
      <c r="R27" s="125">
        <f t="shared" si="20"/>
        <v>0</v>
      </c>
      <c r="S27" s="124">
        <f t="shared" si="11"/>
        <v>0</v>
      </c>
    </row>
    <row r="28" spans="1:19">
      <c r="A28" s="133"/>
      <c r="B28" s="134"/>
      <c r="C28" s="125">
        <f t="shared" si="12"/>
        <v>1</v>
      </c>
      <c r="D28" s="135"/>
      <c r="E28" s="125">
        <f t="shared" si="13"/>
        <v>1</v>
      </c>
      <c r="F28" s="135"/>
      <c r="G28" s="125">
        <f t="shared" si="14"/>
        <v>1</v>
      </c>
      <c r="H28" s="135"/>
      <c r="I28" s="125">
        <f t="shared" si="15"/>
        <v>1</v>
      </c>
      <c r="J28" s="135"/>
      <c r="K28" s="125">
        <f t="shared" si="16"/>
        <v>1</v>
      </c>
      <c r="L28" s="135"/>
      <c r="M28" s="125">
        <f t="shared" si="17"/>
        <v>1</v>
      </c>
      <c r="N28" s="135"/>
      <c r="O28" s="125">
        <f t="shared" si="18"/>
        <v>1</v>
      </c>
      <c r="P28" s="135"/>
      <c r="Q28" s="125">
        <f t="shared" si="19"/>
        <v>1</v>
      </c>
      <c r="R28" s="125">
        <f t="shared" si="20"/>
        <v>0</v>
      </c>
      <c r="S28" s="124">
        <f t="shared" si="11"/>
        <v>0</v>
      </c>
    </row>
    <row r="29" spans="1:19">
      <c r="A29" s="133"/>
      <c r="B29" s="134"/>
      <c r="C29" s="125">
        <f t="shared" si="12"/>
        <v>1</v>
      </c>
      <c r="D29" s="135"/>
      <c r="E29" s="125">
        <f t="shared" si="13"/>
        <v>1</v>
      </c>
      <c r="F29" s="135"/>
      <c r="G29" s="125">
        <f t="shared" si="14"/>
        <v>1</v>
      </c>
      <c r="H29" s="135"/>
      <c r="I29" s="125">
        <f t="shared" si="15"/>
        <v>1</v>
      </c>
      <c r="J29" s="135"/>
      <c r="K29" s="125">
        <f t="shared" si="16"/>
        <v>1</v>
      </c>
      <c r="L29" s="135"/>
      <c r="M29" s="125">
        <f t="shared" si="17"/>
        <v>1</v>
      </c>
      <c r="N29" s="135"/>
      <c r="O29" s="125">
        <f t="shared" si="18"/>
        <v>1</v>
      </c>
      <c r="P29" s="135"/>
      <c r="Q29" s="125">
        <f t="shared" si="19"/>
        <v>1</v>
      </c>
      <c r="R29" s="125">
        <f t="shared" si="20"/>
        <v>0</v>
      </c>
      <c r="S29" s="124">
        <f t="shared" si="11"/>
        <v>0</v>
      </c>
    </row>
    <row r="30" spans="1:19">
      <c r="A30" s="133"/>
      <c r="B30" s="134"/>
      <c r="C30" s="125">
        <f t="shared" si="12"/>
        <v>1</v>
      </c>
      <c r="D30" s="135"/>
      <c r="E30" s="125">
        <f t="shared" si="13"/>
        <v>1</v>
      </c>
      <c r="F30" s="135"/>
      <c r="G30" s="125">
        <f t="shared" si="14"/>
        <v>1</v>
      </c>
      <c r="H30" s="135"/>
      <c r="I30" s="125">
        <f t="shared" si="15"/>
        <v>1</v>
      </c>
      <c r="J30" s="135"/>
      <c r="K30" s="125">
        <f t="shared" si="16"/>
        <v>1</v>
      </c>
      <c r="L30" s="135"/>
      <c r="M30" s="125">
        <f t="shared" si="17"/>
        <v>1</v>
      </c>
      <c r="N30" s="135"/>
      <c r="O30" s="125">
        <f t="shared" si="18"/>
        <v>1</v>
      </c>
      <c r="P30" s="135"/>
      <c r="Q30" s="125">
        <f t="shared" si="19"/>
        <v>1</v>
      </c>
      <c r="R30" s="125">
        <f t="shared" si="20"/>
        <v>0</v>
      </c>
      <c r="S30" s="124">
        <f t="shared" si="11"/>
        <v>0</v>
      </c>
    </row>
    <row r="31" spans="1:19">
      <c r="A31" s="133"/>
      <c r="B31" s="134"/>
      <c r="C31" s="125">
        <f t="shared" si="12"/>
        <v>1</v>
      </c>
      <c r="D31" s="135"/>
      <c r="E31" s="125">
        <f t="shared" si="13"/>
        <v>1</v>
      </c>
      <c r="F31" s="135"/>
      <c r="G31" s="125">
        <f t="shared" si="14"/>
        <v>1</v>
      </c>
      <c r="H31" s="135"/>
      <c r="I31" s="125">
        <f t="shared" si="15"/>
        <v>1</v>
      </c>
      <c r="J31" s="135"/>
      <c r="K31" s="125">
        <f t="shared" si="16"/>
        <v>1</v>
      </c>
      <c r="L31" s="135"/>
      <c r="M31" s="125">
        <f t="shared" si="17"/>
        <v>1</v>
      </c>
      <c r="N31" s="135"/>
      <c r="O31" s="125">
        <f t="shared" si="18"/>
        <v>1</v>
      </c>
      <c r="P31" s="135"/>
      <c r="Q31" s="125">
        <f t="shared" si="19"/>
        <v>1</v>
      </c>
      <c r="R31" s="125">
        <f t="shared" si="20"/>
        <v>0</v>
      </c>
      <c r="S31" s="124">
        <f t="shared" si="11"/>
        <v>0</v>
      </c>
    </row>
    <row r="32" spans="1:19">
      <c r="A32" s="133"/>
      <c r="B32" s="134"/>
      <c r="C32" s="125">
        <f t="shared" si="12"/>
        <v>1</v>
      </c>
      <c r="D32" s="135"/>
      <c r="E32" s="125">
        <f t="shared" si="13"/>
        <v>1</v>
      </c>
      <c r="F32" s="135"/>
      <c r="G32" s="125">
        <f t="shared" si="14"/>
        <v>1</v>
      </c>
      <c r="H32" s="135"/>
      <c r="I32" s="125">
        <f t="shared" si="15"/>
        <v>1</v>
      </c>
      <c r="J32" s="135"/>
      <c r="K32" s="125">
        <f t="shared" si="16"/>
        <v>1</v>
      </c>
      <c r="L32" s="135"/>
      <c r="M32" s="125">
        <f t="shared" si="17"/>
        <v>1</v>
      </c>
      <c r="N32" s="135"/>
      <c r="O32" s="125">
        <f t="shared" si="18"/>
        <v>1</v>
      </c>
      <c r="P32" s="135"/>
      <c r="Q32" s="125">
        <f t="shared" si="19"/>
        <v>1</v>
      </c>
      <c r="R32" s="125">
        <f t="shared" si="20"/>
        <v>0</v>
      </c>
      <c r="S32" s="124">
        <f t="shared" si="11"/>
        <v>0</v>
      </c>
    </row>
    <row r="33" spans="1:19">
      <c r="A33" s="133"/>
      <c r="B33" s="134"/>
      <c r="C33" s="125">
        <f t="shared" si="12"/>
        <v>1</v>
      </c>
      <c r="D33" s="135"/>
      <c r="E33" s="125">
        <f t="shared" si="13"/>
        <v>1</v>
      </c>
      <c r="F33" s="135"/>
      <c r="G33" s="125">
        <f t="shared" si="14"/>
        <v>1</v>
      </c>
      <c r="H33" s="135"/>
      <c r="I33" s="125">
        <f t="shared" si="15"/>
        <v>1</v>
      </c>
      <c r="J33" s="135"/>
      <c r="K33" s="125">
        <f t="shared" si="16"/>
        <v>1</v>
      </c>
      <c r="L33" s="135"/>
      <c r="M33" s="125">
        <f t="shared" si="17"/>
        <v>1</v>
      </c>
      <c r="N33" s="135"/>
      <c r="O33" s="125">
        <f t="shared" si="18"/>
        <v>1</v>
      </c>
      <c r="P33" s="135"/>
      <c r="Q33" s="125">
        <f t="shared" si="19"/>
        <v>1</v>
      </c>
      <c r="R33" s="125">
        <f t="shared" si="20"/>
        <v>0</v>
      </c>
      <c r="S33" s="124">
        <f t="shared" si="11"/>
        <v>0</v>
      </c>
    </row>
    <row r="34" spans="1:19">
      <c r="A34" s="133"/>
      <c r="B34" s="134"/>
      <c r="C34" s="125">
        <f t="shared" si="12"/>
        <v>1</v>
      </c>
      <c r="D34" s="135"/>
      <c r="E34" s="125">
        <f t="shared" si="13"/>
        <v>1</v>
      </c>
      <c r="F34" s="135"/>
      <c r="G34" s="125">
        <f t="shared" si="14"/>
        <v>1</v>
      </c>
      <c r="H34" s="135"/>
      <c r="I34" s="125">
        <f t="shared" si="15"/>
        <v>1</v>
      </c>
      <c r="J34" s="135"/>
      <c r="K34" s="125">
        <f t="shared" si="16"/>
        <v>1</v>
      </c>
      <c r="L34" s="135"/>
      <c r="M34" s="125">
        <f t="shared" si="17"/>
        <v>1</v>
      </c>
      <c r="N34" s="135"/>
      <c r="O34" s="125">
        <f t="shared" si="18"/>
        <v>1</v>
      </c>
      <c r="P34" s="135"/>
      <c r="Q34" s="125">
        <f t="shared" si="19"/>
        <v>1</v>
      </c>
      <c r="R34" s="125">
        <f t="shared" si="20"/>
        <v>0</v>
      </c>
      <c r="S34" s="124">
        <f t="shared" si="11"/>
        <v>0</v>
      </c>
    </row>
    <row r="35" spans="1:19">
      <c r="A35" s="133"/>
      <c r="B35" s="134"/>
      <c r="C35" s="125">
        <f t="shared" si="12"/>
        <v>1</v>
      </c>
      <c r="D35" s="135"/>
      <c r="E35" s="125">
        <f t="shared" si="13"/>
        <v>1</v>
      </c>
      <c r="F35" s="135"/>
      <c r="G35" s="125">
        <f t="shared" si="14"/>
        <v>1</v>
      </c>
      <c r="H35" s="135"/>
      <c r="I35" s="125">
        <f t="shared" si="15"/>
        <v>1</v>
      </c>
      <c r="J35" s="135"/>
      <c r="K35" s="125">
        <f t="shared" si="16"/>
        <v>1</v>
      </c>
      <c r="L35" s="135"/>
      <c r="M35" s="125">
        <f t="shared" si="17"/>
        <v>1</v>
      </c>
      <c r="N35" s="135"/>
      <c r="O35" s="125">
        <f t="shared" si="18"/>
        <v>1</v>
      </c>
      <c r="P35" s="135"/>
      <c r="Q35" s="125">
        <f t="shared" si="19"/>
        <v>1</v>
      </c>
      <c r="R35" s="125">
        <f t="shared" si="20"/>
        <v>0</v>
      </c>
      <c r="S35" s="124">
        <f t="shared" si="11"/>
        <v>0</v>
      </c>
    </row>
    <row r="36" spans="1:19">
      <c r="A36" s="133"/>
      <c r="B36" s="134"/>
      <c r="C36" s="125">
        <f t="shared" si="12"/>
        <v>1</v>
      </c>
      <c r="D36" s="135"/>
      <c r="E36" s="125">
        <f t="shared" si="13"/>
        <v>1</v>
      </c>
      <c r="F36" s="135"/>
      <c r="G36" s="125">
        <f t="shared" si="14"/>
        <v>1</v>
      </c>
      <c r="H36" s="135"/>
      <c r="I36" s="125">
        <f t="shared" si="15"/>
        <v>1</v>
      </c>
      <c r="J36" s="135"/>
      <c r="K36" s="125">
        <f t="shared" si="16"/>
        <v>1</v>
      </c>
      <c r="L36" s="135"/>
      <c r="M36" s="125">
        <f t="shared" si="17"/>
        <v>1</v>
      </c>
      <c r="N36" s="135"/>
      <c r="O36" s="125">
        <f t="shared" si="18"/>
        <v>1</v>
      </c>
      <c r="P36" s="135"/>
      <c r="Q36" s="125">
        <f t="shared" si="19"/>
        <v>1</v>
      </c>
      <c r="R36" s="125">
        <f t="shared" si="20"/>
        <v>0</v>
      </c>
      <c r="S36" s="124">
        <f t="shared" si="11"/>
        <v>0</v>
      </c>
    </row>
    <row r="37" spans="1:19">
      <c r="A37" s="133"/>
      <c r="B37" s="134"/>
      <c r="C37" s="125">
        <f t="shared" si="12"/>
        <v>1</v>
      </c>
      <c r="D37" s="135"/>
      <c r="E37" s="125">
        <f t="shared" si="13"/>
        <v>1</v>
      </c>
      <c r="F37" s="135"/>
      <c r="G37" s="125">
        <f t="shared" si="14"/>
        <v>1</v>
      </c>
      <c r="H37" s="135"/>
      <c r="I37" s="125">
        <f t="shared" si="15"/>
        <v>1</v>
      </c>
      <c r="J37" s="135"/>
      <c r="K37" s="125">
        <f t="shared" si="16"/>
        <v>1</v>
      </c>
      <c r="L37" s="135"/>
      <c r="M37" s="125">
        <f t="shared" si="17"/>
        <v>1</v>
      </c>
      <c r="N37" s="135"/>
      <c r="O37" s="125">
        <f t="shared" si="18"/>
        <v>1</v>
      </c>
      <c r="P37" s="135"/>
      <c r="Q37" s="125">
        <f t="shared" si="19"/>
        <v>1</v>
      </c>
      <c r="R37" s="125">
        <f t="shared" si="20"/>
        <v>0</v>
      </c>
      <c r="S37" s="124">
        <f t="shared" si="11"/>
        <v>0</v>
      </c>
    </row>
    <row r="38" spans="1:19">
      <c r="A38" s="133"/>
      <c r="B38" s="134"/>
      <c r="C38" s="125">
        <f t="shared" si="12"/>
        <v>1</v>
      </c>
      <c r="D38" s="135"/>
      <c r="E38" s="125">
        <f t="shared" si="13"/>
        <v>1</v>
      </c>
      <c r="F38" s="135"/>
      <c r="G38" s="125">
        <f t="shared" si="14"/>
        <v>1</v>
      </c>
      <c r="H38" s="135"/>
      <c r="I38" s="125">
        <f t="shared" si="15"/>
        <v>1</v>
      </c>
      <c r="J38" s="135"/>
      <c r="K38" s="125">
        <f t="shared" si="16"/>
        <v>1</v>
      </c>
      <c r="L38" s="135"/>
      <c r="M38" s="125">
        <f t="shared" si="17"/>
        <v>1</v>
      </c>
      <c r="N38" s="135"/>
      <c r="O38" s="125">
        <f t="shared" si="18"/>
        <v>1</v>
      </c>
      <c r="P38" s="135"/>
      <c r="Q38" s="125">
        <f t="shared" si="19"/>
        <v>1</v>
      </c>
      <c r="R38" s="125">
        <f t="shared" si="20"/>
        <v>0</v>
      </c>
      <c r="S38" s="124">
        <f t="shared" si="11"/>
        <v>0</v>
      </c>
    </row>
    <row r="39" spans="1:19">
      <c r="A39" s="133"/>
      <c r="B39" s="134"/>
      <c r="C39" s="125">
        <f t="shared" si="12"/>
        <v>1</v>
      </c>
      <c r="D39" s="135"/>
      <c r="E39" s="125">
        <f t="shared" si="13"/>
        <v>1</v>
      </c>
      <c r="F39" s="135"/>
      <c r="G39" s="125">
        <f t="shared" si="14"/>
        <v>1</v>
      </c>
      <c r="H39" s="135"/>
      <c r="I39" s="125">
        <f t="shared" si="15"/>
        <v>1</v>
      </c>
      <c r="J39" s="135"/>
      <c r="K39" s="125">
        <f t="shared" si="16"/>
        <v>1</v>
      </c>
      <c r="L39" s="135"/>
      <c r="M39" s="125">
        <f t="shared" si="17"/>
        <v>1</v>
      </c>
      <c r="N39" s="135"/>
      <c r="O39" s="125">
        <f t="shared" si="18"/>
        <v>1</v>
      </c>
      <c r="P39" s="135"/>
      <c r="Q39" s="125">
        <f t="shared" si="19"/>
        <v>1</v>
      </c>
      <c r="R39" s="125">
        <f t="shared" si="20"/>
        <v>0</v>
      </c>
      <c r="S39" s="124">
        <f t="shared" si="11"/>
        <v>0</v>
      </c>
    </row>
    <row r="40" spans="1:19">
      <c r="A40" s="133"/>
      <c r="B40" s="134"/>
      <c r="C40" s="125">
        <f t="shared" si="12"/>
        <v>1</v>
      </c>
      <c r="D40" s="135"/>
      <c r="E40" s="125">
        <f t="shared" si="13"/>
        <v>1</v>
      </c>
      <c r="F40" s="135"/>
      <c r="G40" s="125">
        <f t="shared" si="14"/>
        <v>1</v>
      </c>
      <c r="H40" s="135"/>
      <c r="I40" s="125">
        <f t="shared" si="15"/>
        <v>1</v>
      </c>
      <c r="J40" s="135"/>
      <c r="K40" s="125">
        <f t="shared" si="16"/>
        <v>1</v>
      </c>
      <c r="L40" s="135"/>
      <c r="M40" s="125">
        <f t="shared" si="17"/>
        <v>1</v>
      </c>
      <c r="N40" s="135"/>
      <c r="O40" s="125">
        <f t="shared" si="18"/>
        <v>1</v>
      </c>
      <c r="P40" s="135"/>
      <c r="Q40" s="125">
        <f t="shared" si="19"/>
        <v>1</v>
      </c>
      <c r="R40" s="125">
        <f t="shared" si="20"/>
        <v>0</v>
      </c>
      <c r="S40" s="124">
        <f t="shared" si="11"/>
        <v>0</v>
      </c>
    </row>
    <row r="41" spans="1:19">
      <c r="A41" s="133"/>
      <c r="B41" s="134"/>
      <c r="C41" s="125">
        <f t="shared" si="12"/>
        <v>1</v>
      </c>
      <c r="D41" s="135"/>
      <c r="E41" s="125">
        <f t="shared" si="13"/>
        <v>1</v>
      </c>
      <c r="F41" s="135"/>
      <c r="G41" s="125">
        <f t="shared" si="14"/>
        <v>1</v>
      </c>
      <c r="H41" s="135"/>
      <c r="I41" s="125">
        <f t="shared" si="15"/>
        <v>1</v>
      </c>
      <c r="J41" s="135"/>
      <c r="K41" s="125">
        <f t="shared" si="16"/>
        <v>1</v>
      </c>
      <c r="L41" s="135"/>
      <c r="M41" s="125">
        <f t="shared" si="17"/>
        <v>1</v>
      </c>
      <c r="N41" s="135"/>
      <c r="O41" s="125">
        <f t="shared" si="18"/>
        <v>1</v>
      </c>
      <c r="P41" s="135"/>
      <c r="Q41" s="125">
        <f t="shared" si="19"/>
        <v>1</v>
      </c>
      <c r="R41" s="125">
        <f t="shared" si="20"/>
        <v>0</v>
      </c>
      <c r="S41" s="124">
        <f t="shared" si="11"/>
        <v>0</v>
      </c>
    </row>
    <row r="42" spans="1:19">
      <c r="A42" s="133"/>
      <c r="B42" s="134"/>
      <c r="C42" s="125">
        <f t="shared" si="12"/>
        <v>1</v>
      </c>
      <c r="D42" s="135"/>
      <c r="E42" s="125">
        <f t="shared" si="13"/>
        <v>1</v>
      </c>
      <c r="F42" s="135"/>
      <c r="G42" s="125">
        <f t="shared" si="14"/>
        <v>1</v>
      </c>
      <c r="H42" s="135"/>
      <c r="I42" s="125">
        <f t="shared" si="15"/>
        <v>1</v>
      </c>
      <c r="J42" s="135"/>
      <c r="K42" s="125">
        <f t="shared" si="16"/>
        <v>1</v>
      </c>
      <c r="L42" s="135"/>
      <c r="M42" s="125">
        <f t="shared" si="17"/>
        <v>1</v>
      </c>
      <c r="N42" s="135"/>
      <c r="O42" s="125">
        <f t="shared" si="18"/>
        <v>1</v>
      </c>
      <c r="P42" s="135"/>
      <c r="Q42" s="125">
        <f t="shared" si="19"/>
        <v>1</v>
      </c>
      <c r="R42" s="125">
        <f t="shared" si="20"/>
        <v>0</v>
      </c>
      <c r="S42" s="124">
        <f t="shared" si="11"/>
        <v>0</v>
      </c>
    </row>
    <row r="43" spans="1:19">
      <c r="A43" s="133"/>
      <c r="B43" s="134"/>
      <c r="C43" s="125">
        <f t="shared" si="12"/>
        <v>1</v>
      </c>
      <c r="D43" s="135"/>
      <c r="E43" s="125">
        <f t="shared" si="13"/>
        <v>1</v>
      </c>
      <c r="F43" s="135"/>
      <c r="G43" s="125">
        <f t="shared" si="14"/>
        <v>1</v>
      </c>
      <c r="H43" s="135"/>
      <c r="I43" s="125">
        <f t="shared" si="15"/>
        <v>1</v>
      </c>
      <c r="J43" s="135"/>
      <c r="K43" s="125">
        <f t="shared" si="16"/>
        <v>1</v>
      </c>
      <c r="L43" s="135"/>
      <c r="M43" s="125">
        <f t="shared" si="17"/>
        <v>1</v>
      </c>
      <c r="N43" s="135"/>
      <c r="O43" s="125">
        <f t="shared" si="18"/>
        <v>1</v>
      </c>
      <c r="P43" s="135"/>
      <c r="Q43" s="125">
        <f t="shared" si="19"/>
        <v>1</v>
      </c>
      <c r="R43" s="125">
        <f t="shared" si="20"/>
        <v>0</v>
      </c>
      <c r="S43" s="124">
        <f t="shared" si="11"/>
        <v>0</v>
      </c>
    </row>
    <row r="44" spans="1:19">
      <c r="A44" s="133"/>
      <c r="B44" s="134"/>
      <c r="C44" s="125">
        <f t="shared" si="12"/>
        <v>1</v>
      </c>
      <c r="D44" s="135"/>
      <c r="E44" s="125">
        <f t="shared" si="13"/>
        <v>1</v>
      </c>
      <c r="F44" s="135"/>
      <c r="G44" s="125">
        <f t="shared" si="14"/>
        <v>1</v>
      </c>
      <c r="H44" s="135"/>
      <c r="I44" s="125">
        <f t="shared" si="15"/>
        <v>1</v>
      </c>
      <c r="J44" s="135"/>
      <c r="K44" s="125">
        <f t="shared" si="16"/>
        <v>1</v>
      </c>
      <c r="L44" s="135"/>
      <c r="M44" s="125">
        <f t="shared" si="17"/>
        <v>1</v>
      </c>
      <c r="N44" s="135"/>
      <c r="O44" s="125">
        <f t="shared" si="18"/>
        <v>1</v>
      </c>
      <c r="P44" s="135"/>
      <c r="Q44" s="125">
        <f t="shared" si="19"/>
        <v>1</v>
      </c>
      <c r="R44" s="125">
        <f t="shared" si="20"/>
        <v>0</v>
      </c>
      <c r="S44" s="124">
        <f t="shared" si="11"/>
        <v>0</v>
      </c>
    </row>
    <row r="45" spans="1:19">
      <c r="A45" s="133"/>
      <c r="B45" s="134"/>
      <c r="C45" s="125">
        <f t="shared" si="12"/>
        <v>1</v>
      </c>
      <c r="D45" s="135"/>
      <c r="E45" s="125">
        <f t="shared" si="13"/>
        <v>1</v>
      </c>
      <c r="F45" s="135"/>
      <c r="G45" s="125">
        <f t="shared" si="14"/>
        <v>1</v>
      </c>
      <c r="H45" s="135"/>
      <c r="I45" s="125">
        <f t="shared" si="15"/>
        <v>1</v>
      </c>
      <c r="J45" s="135"/>
      <c r="K45" s="125">
        <f t="shared" si="16"/>
        <v>1</v>
      </c>
      <c r="L45" s="135"/>
      <c r="M45" s="125">
        <f t="shared" si="17"/>
        <v>1</v>
      </c>
      <c r="N45" s="135"/>
      <c r="O45" s="125">
        <f t="shared" si="18"/>
        <v>1</v>
      </c>
      <c r="P45" s="135"/>
      <c r="Q45" s="125">
        <f t="shared" si="19"/>
        <v>1</v>
      </c>
      <c r="R45" s="125">
        <f t="shared" si="20"/>
        <v>0</v>
      </c>
      <c r="S45" s="124">
        <f t="shared" si="11"/>
        <v>0</v>
      </c>
    </row>
    <row r="46" spans="1:19">
      <c r="A46" s="133"/>
      <c r="B46" s="134"/>
      <c r="C46" s="125">
        <f t="shared" si="12"/>
        <v>1</v>
      </c>
      <c r="D46" s="135"/>
      <c r="E46" s="125">
        <f t="shared" si="13"/>
        <v>1</v>
      </c>
      <c r="F46" s="135"/>
      <c r="G46" s="125">
        <f t="shared" si="14"/>
        <v>1</v>
      </c>
      <c r="H46" s="135"/>
      <c r="I46" s="125">
        <f t="shared" si="15"/>
        <v>1</v>
      </c>
      <c r="J46" s="135"/>
      <c r="K46" s="125">
        <f t="shared" si="16"/>
        <v>1</v>
      </c>
      <c r="L46" s="135"/>
      <c r="M46" s="125">
        <f t="shared" si="17"/>
        <v>1</v>
      </c>
      <c r="N46" s="135"/>
      <c r="O46" s="125">
        <f t="shared" si="18"/>
        <v>1</v>
      </c>
      <c r="P46" s="135"/>
      <c r="Q46" s="125">
        <f t="shared" si="19"/>
        <v>1</v>
      </c>
      <c r="R46" s="125">
        <f t="shared" si="20"/>
        <v>0</v>
      </c>
      <c r="S46" s="124">
        <f t="shared" si="11"/>
        <v>0</v>
      </c>
    </row>
    <row r="47" spans="1:19">
      <c r="A47" s="133"/>
      <c r="B47" s="134"/>
      <c r="C47" s="125">
        <f t="shared" si="12"/>
        <v>1</v>
      </c>
      <c r="D47" s="135"/>
      <c r="E47" s="125">
        <f t="shared" si="13"/>
        <v>1</v>
      </c>
      <c r="F47" s="135"/>
      <c r="G47" s="125">
        <f t="shared" si="14"/>
        <v>1</v>
      </c>
      <c r="H47" s="135"/>
      <c r="I47" s="125">
        <f t="shared" si="15"/>
        <v>1</v>
      </c>
      <c r="J47" s="135"/>
      <c r="K47" s="125">
        <f t="shared" si="16"/>
        <v>1</v>
      </c>
      <c r="L47" s="135"/>
      <c r="M47" s="125">
        <f t="shared" si="17"/>
        <v>1</v>
      </c>
      <c r="N47" s="135"/>
      <c r="O47" s="125">
        <f t="shared" si="18"/>
        <v>1</v>
      </c>
      <c r="P47" s="135"/>
      <c r="Q47" s="125">
        <f t="shared" si="19"/>
        <v>1</v>
      </c>
      <c r="R47" s="125">
        <f t="shared" si="20"/>
        <v>0</v>
      </c>
      <c r="S47" s="124">
        <f t="shared" si="11"/>
        <v>0</v>
      </c>
    </row>
    <row r="48" spans="1:19">
      <c r="A48" s="133"/>
      <c r="B48" s="134"/>
      <c r="C48" s="125">
        <f t="shared" si="12"/>
        <v>1</v>
      </c>
      <c r="D48" s="135"/>
      <c r="E48" s="125">
        <f t="shared" si="13"/>
        <v>1</v>
      </c>
      <c r="F48" s="135"/>
      <c r="G48" s="125">
        <f t="shared" si="14"/>
        <v>1</v>
      </c>
      <c r="H48" s="135"/>
      <c r="I48" s="125">
        <f t="shared" si="15"/>
        <v>1</v>
      </c>
      <c r="J48" s="135"/>
      <c r="K48" s="125">
        <f t="shared" si="16"/>
        <v>1</v>
      </c>
      <c r="L48" s="135"/>
      <c r="M48" s="125">
        <f t="shared" si="17"/>
        <v>1</v>
      </c>
      <c r="N48" s="135"/>
      <c r="O48" s="125">
        <f t="shared" si="18"/>
        <v>1</v>
      </c>
      <c r="P48" s="135"/>
      <c r="Q48" s="125">
        <f t="shared" si="19"/>
        <v>1</v>
      </c>
      <c r="R48" s="125">
        <f t="shared" si="20"/>
        <v>0</v>
      </c>
      <c r="S48" s="124">
        <f t="shared" si="11"/>
        <v>0</v>
      </c>
    </row>
    <row r="49" spans="1:19">
      <c r="A49" s="133"/>
      <c r="B49" s="134"/>
      <c r="C49" s="125">
        <f t="shared" si="12"/>
        <v>1</v>
      </c>
      <c r="D49" s="135"/>
      <c r="E49" s="125">
        <f t="shared" si="13"/>
        <v>1</v>
      </c>
      <c r="F49" s="135"/>
      <c r="G49" s="125">
        <f t="shared" si="14"/>
        <v>1</v>
      </c>
      <c r="H49" s="135"/>
      <c r="I49" s="125">
        <f t="shared" si="15"/>
        <v>1</v>
      </c>
      <c r="J49" s="135"/>
      <c r="K49" s="125">
        <f t="shared" si="16"/>
        <v>1</v>
      </c>
      <c r="L49" s="135"/>
      <c r="M49" s="125">
        <f t="shared" si="17"/>
        <v>1</v>
      </c>
      <c r="N49" s="135"/>
      <c r="O49" s="125">
        <f t="shared" si="18"/>
        <v>1</v>
      </c>
      <c r="P49" s="135"/>
      <c r="Q49" s="125">
        <f t="shared" si="19"/>
        <v>1</v>
      </c>
      <c r="R49" s="125">
        <f t="shared" si="20"/>
        <v>0</v>
      </c>
      <c r="S49" s="124">
        <f t="shared" si="11"/>
        <v>0</v>
      </c>
    </row>
    <row r="50" spans="1:19">
      <c r="A50" s="133"/>
      <c r="B50" s="134"/>
      <c r="C50" s="125">
        <f t="shared" si="12"/>
        <v>1</v>
      </c>
      <c r="D50" s="135"/>
      <c r="E50" s="125">
        <f t="shared" si="13"/>
        <v>1</v>
      </c>
      <c r="F50" s="135"/>
      <c r="G50" s="125">
        <f t="shared" si="14"/>
        <v>1</v>
      </c>
      <c r="H50" s="135"/>
      <c r="I50" s="125">
        <f t="shared" si="15"/>
        <v>1</v>
      </c>
      <c r="J50" s="135"/>
      <c r="K50" s="125">
        <f t="shared" si="16"/>
        <v>1</v>
      </c>
      <c r="L50" s="135"/>
      <c r="M50" s="125">
        <f t="shared" si="17"/>
        <v>1</v>
      </c>
      <c r="N50" s="135"/>
      <c r="O50" s="125">
        <f t="shared" si="18"/>
        <v>1</v>
      </c>
      <c r="P50" s="135"/>
      <c r="Q50" s="125">
        <f t="shared" si="19"/>
        <v>1</v>
      </c>
      <c r="R50" s="125">
        <f t="shared" si="20"/>
        <v>0</v>
      </c>
      <c r="S50" s="124">
        <f t="shared" si="11"/>
        <v>0</v>
      </c>
    </row>
    <row r="51" spans="1:19">
      <c r="A51" s="133"/>
      <c r="B51" s="134"/>
      <c r="C51" s="125">
        <f t="shared" si="12"/>
        <v>1</v>
      </c>
      <c r="D51" s="135"/>
      <c r="E51" s="125">
        <f t="shared" si="13"/>
        <v>1</v>
      </c>
      <c r="F51" s="135"/>
      <c r="G51" s="125">
        <f t="shared" si="14"/>
        <v>1</v>
      </c>
      <c r="H51" s="135"/>
      <c r="I51" s="125">
        <f t="shared" si="15"/>
        <v>1</v>
      </c>
      <c r="J51" s="135"/>
      <c r="K51" s="125">
        <f t="shared" si="16"/>
        <v>1</v>
      </c>
      <c r="L51" s="135"/>
      <c r="M51" s="125">
        <f t="shared" si="17"/>
        <v>1</v>
      </c>
      <c r="N51" s="135"/>
      <c r="O51" s="125">
        <f t="shared" si="18"/>
        <v>1</v>
      </c>
      <c r="P51" s="135"/>
      <c r="Q51" s="125">
        <f t="shared" si="19"/>
        <v>1</v>
      </c>
      <c r="R51" s="125">
        <f t="shared" si="20"/>
        <v>0</v>
      </c>
      <c r="S51" s="124">
        <f t="shared" si="11"/>
        <v>0</v>
      </c>
    </row>
    <row r="52" spans="1:19">
      <c r="A52" s="133"/>
      <c r="B52" s="134"/>
      <c r="C52" s="125">
        <f t="shared" si="12"/>
        <v>1</v>
      </c>
      <c r="D52" s="135"/>
      <c r="E52" s="125">
        <f t="shared" si="13"/>
        <v>1</v>
      </c>
      <c r="F52" s="135"/>
      <c r="G52" s="125">
        <f t="shared" si="14"/>
        <v>1</v>
      </c>
      <c r="H52" s="135"/>
      <c r="I52" s="125">
        <f t="shared" si="15"/>
        <v>1</v>
      </c>
      <c r="J52" s="135"/>
      <c r="K52" s="125">
        <f t="shared" si="16"/>
        <v>1</v>
      </c>
      <c r="L52" s="135"/>
      <c r="M52" s="125">
        <f t="shared" si="17"/>
        <v>1</v>
      </c>
      <c r="N52" s="135"/>
      <c r="O52" s="125">
        <f t="shared" si="18"/>
        <v>1</v>
      </c>
      <c r="P52" s="135"/>
      <c r="Q52" s="125">
        <f t="shared" si="19"/>
        <v>1</v>
      </c>
      <c r="R52" s="125">
        <f t="shared" si="20"/>
        <v>0</v>
      </c>
      <c r="S52" s="124">
        <f t="shared" si="11"/>
        <v>0</v>
      </c>
    </row>
    <row r="53" spans="1:19">
      <c r="A53" s="133"/>
      <c r="B53" s="134"/>
      <c r="C53" s="125">
        <f t="shared" si="12"/>
        <v>1</v>
      </c>
      <c r="D53" s="135"/>
      <c r="E53" s="125">
        <f t="shared" si="13"/>
        <v>1</v>
      </c>
      <c r="F53" s="135"/>
      <c r="G53" s="125">
        <f t="shared" si="14"/>
        <v>1</v>
      </c>
      <c r="H53" s="135"/>
      <c r="I53" s="125">
        <f t="shared" si="15"/>
        <v>1</v>
      </c>
      <c r="J53" s="135"/>
      <c r="K53" s="125">
        <f t="shared" si="16"/>
        <v>1</v>
      </c>
      <c r="L53" s="135"/>
      <c r="M53" s="125">
        <f t="shared" si="17"/>
        <v>1</v>
      </c>
      <c r="N53" s="135"/>
      <c r="O53" s="125">
        <f t="shared" si="18"/>
        <v>1</v>
      </c>
      <c r="P53" s="135"/>
      <c r="Q53" s="125">
        <f t="shared" si="19"/>
        <v>1</v>
      </c>
      <c r="R53" s="125">
        <f t="shared" si="20"/>
        <v>0</v>
      </c>
      <c r="S53" s="124">
        <f t="shared" si="11"/>
        <v>0</v>
      </c>
    </row>
    <row r="54" spans="1:19">
      <c r="A54" s="133"/>
      <c r="B54" s="134"/>
      <c r="C54" s="125">
        <f t="shared" si="12"/>
        <v>1</v>
      </c>
      <c r="D54" s="135"/>
      <c r="E54" s="125">
        <f t="shared" si="13"/>
        <v>1</v>
      </c>
      <c r="F54" s="135"/>
      <c r="G54" s="125">
        <f t="shared" si="14"/>
        <v>1</v>
      </c>
      <c r="H54" s="135"/>
      <c r="I54" s="125">
        <f t="shared" si="15"/>
        <v>1</v>
      </c>
      <c r="J54" s="135"/>
      <c r="K54" s="125">
        <f t="shared" si="16"/>
        <v>1</v>
      </c>
      <c r="L54" s="135"/>
      <c r="M54" s="125">
        <f t="shared" si="17"/>
        <v>1</v>
      </c>
      <c r="N54" s="135"/>
      <c r="O54" s="125">
        <f t="shared" si="18"/>
        <v>1</v>
      </c>
      <c r="P54" s="135"/>
      <c r="Q54" s="125">
        <f t="shared" si="19"/>
        <v>1</v>
      </c>
      <c r="R54" s="125">
        <f t="shared" si="20"/>
        <v>0</v>
      </c>
      <c r="S54" s="124">
        <f t="shared" si="11"/>
        <v>0</v>
      </c>
    </row>
    <row r="55" spans="1:19">
      <c r="A55" s="133"/>
      <c r="B55" s="134"/>
      <c r="C55" s="125">
        <f t="shared" si="12"/>
        <v>1</v>
      </c>
      <c r="D55" s="135"/>
      <c r="E55" s="125">
        <f t="shared" si="13"/>
        <v>1</v>
      </c>
      <c r="F55" s="135"/>
      <c r="G55" s="125">
        <f t="shared" si="14"/>
        <v>1</v>
      </c>
      <c r="H55" s="135"/>
      <c r="I55" s="125">
        <f t="shared" si="15"/>
        <v>1</v>
      </c>
      <c r="J55" s="135"/>
      <c r="K55" s="125">
        <f t="shared" si="16"/>
        <v>1</v>
      </c>
      <c r="L55" s="135"/>
      <c r="M55" s="125">
        <f t="shared" si="17"/>
        <v>1</v>
      </c>
      <c r="N55" s="135"/>
      <c r="O55" s="125">
        <f t="shared" si="18"/>
        <v>1</v>
      </c>
      <c r="P55" s="135"/>
      <c r="Q55" s="125">
        <f t="shared" si="19"/>
        <v>1</v>
      </c>
      <c r="R55" s="125">
        <f t="shared" si="20"/>
        <v>0</v>
      </c>
      <c r="S55" s="124">
        <f t="shared" ref="S55:S77" si="21">ROUND(R55*B55/10000,0)</f>
        <v>0</v>
      </c>
    </row>
    <row r="56" spans="1:19">
      <c r="A56" s="133"/>
      <c r="B56" s="134"/>
      <c r="C56" s="125">
        <f t="shared" si="12"/>
        <v>1</v>
      </c>
      <c r="D56" s="135"/>
      <c r="E56" s="125">
        <f t="shared" si="13"/>
        <v>1</v>
      </c>
      <c r="F56" s="135"/>
      <c r="G56" s="125">
        <f t="shared" si="14"/>
        <v>1</v>
      </c>
      <c r="H56" s="135"/>
      <c r="I56" s="125">
        <f t="shared" si="15"/>
        <v>1</v>
      </c>
      <c r="J56" s="135"/>
      <c r="K56" s="125">
        <f t="shared" si="16"/>
        <v>1</v>
      </c>
      <c r="L56" s="135"/>
      <c r="M56" s="125">
        <f t="shared" si="17"/>
        <v>1</v>
      </c>
      <c r="N56" s="135"/>
      <c r="O56" s="125">
        <f t="shared" si="18"/>
        <v>1</v>
      </c>
      <c r="P56" s="135"/>
      <c r="Q56" s="125">
        <f t="shared" si="19"/>
        <v>1</v>
      </c>
      <c r="R56" s="125">
        <f t="shared" si="20"/>
        <v>0</v>
      </c>
      <c r="S56" s="124">
        <f t="shared" si="21"/>
        <v>0</v>
      </c>
    </row>
    <row r="57" spans="1:19">
      <c r="A57" s="133"/>
      <c r="B57" s="134"/>
      <c r="C57" s="125">
        <f t="shared" si="12"/>
        <v>1</v>
      </c>
      <c r="D57" s="135"/>
      <c r="E57" s="125">
        <f t="shared" si="13"/>
        <v>1</v>
      </c>
      <c r="F57" s="135"/>
      <c r="G57" s="125">
        <f t="shared" si="14"/>
        <v>1</v>
      </c>
      <c r="H57" s="135"/>
      <c r="I57" s="125">
        <f t="shared" si="15"/>
        <v>1</v>
      </c>
      <c r="J57" s="135"/>
      <c r="K57" s="125">
        <f t="shared" si="16"/>
        <v>1</v>
      </c>
      <c r="L57" s="135"/>
      <c r="M57" s="125">
        <f t="shared" si="17"/>
        <v>1</v>
      </c>
      <c r="N57" s="135"/>
      <c r="O57" s="125">
        <f t="shared" si="18"/>
        <v>1</v>
      </c>
      <c r="P57" s="135"/>
      <c r="Q57" s="125">
        <f t="shared" si="19"/>
        <v>1</v>
      </c>
      <c r="R57" s="125">
        <f t="shared" si="20"/>
        <v>0</v>
      </c>
      <c r="S57" s="124">
        <f t="shared" si="21"/>
        <v>0</v>
      </c>
    </row>
    <row r="58" spans="1:19">
      <c r="A58" s="133"/>
      <c r="B58" s="134"/>
      <c r="C58" s="125">
        <f t="shared" si="12"/>
        <v>1</v>
      </c>
      <c r="D58" s="135"/>
      <c r="E58" s="125">
        <f t="shared" si="13"/>
        <v>1</v>
      </c>
      <c r="F58" s="135"/>
      <c r="G58" s="125">
        <f t="shared" si="14"/>
        <v>1</v>
      </c>
      <c r="H58" s="135"/>
      <c r="I58" s="125">
        <f t="shared" si="15"/>
        <v>1</v>
      </c>
      <c r="J58" s="135"/>
      <c r="K58" s="125">
        <f t="shared" si="16"/>
        <v>1</v>
      </c>
      <c r="L58" s="135"/>
      <c r="M58" s="125">
        <f t="shared" si="17"/>
        <v>1</v>
      </c>
      <c r="N58" s="135"/>
      <c r="O58" s="125">
        <f t="shared" si="18"/>
        <v>1</v>
      </c>
      <c r="P58" s="135"/>
      <c r="Q58" s="125">
        <f t="shared" si="19"/>
        <v>1</v>
      </c>
      <c r="R58" s="125">
        <f t="shared" si="20"/>
        <v>0</v>
      </c>
      <c r="S58" s="124">
        <f t="shared" si="21"/>
        <v>0</v>
      </c>
    </row>
    <row r="59" spans="1:19">
      <c r="A59" s="133"/>
      <c r="B59" s="134"/>
      <c r="C59" s="125">
        <f t="shared" si="12"/>
        <v>1</v>
      </c>
      <c r="D59" s="135"/>
      <c r="E59" s="125">
        <f t="shared" si="13"/>
        <v>1</v>
      </c>
      <c r="F59" s="135"/>
      <c r="G59" s="125">
        <f t="shared" si="14"/>
        <v>1</v>
      </c>
      <c r="H59" s="135"/>
      <c r="I59" s="125">
        <f t="shared" si="15"/>
        <v>1</v>
      </c>
      <c r="J59" s="135"/>
      <c r="K59" s="125">
        <f t="shared" si="16"/>
        <v>1</v>
      </c>
      <c r="L59" s="135"/>
      <c r="M59" s="125">
        <f t="shared" si="17"/>
        <v>1</v>
      </c>
      <c r="N59" s="135"/>
      <c r="O59" s="125">
        <f t="shared" si="18"/>
        <v>1</v>
      </c>
      <c r="P59" s="135"/>
      <c r="Q59" s="125">
        <f t="shared" si="19"/>
        <v>1</v>
      </c>
      <c r="R59" s="125">
        <f t="shared" si="20"/>
        <v>0</v>
      </c>
      <c r="S59" s="124">
        <f t="shared" si="21"/>
        <v>0</v>
      </c>
    </row>
    <row r="60" spans="1:19">
      <c r="A60" s="133"/>
      <c r="B60" s="134"/>
      <c r="C60" s="125">
        <f t="shared" si="12"/>
        <v>1</v>
      </c>
      <c r="D60" s="135"/>
      <c r="E60" s="125">
        <f t="shared" si="13"/>
        <v>1</v>
      </c>
      <c r="F60" s="135"/>
      <c r="G60" s="125">
        <f t="shared" si="14"/>
        <v>1</v>
      </c>
      <c r="H60" s="135"/>
      <c r="I60" s="125">
        <f t="shared" si="15"/>
        <v>1</v>
      </c>
      <c r="J60" s="135"/>
      <c r="K60" s="125">
        <f t="shared" si="16"/>
        <v>1</v>
      </c>
      <c r="L60" s="135"/>
      <c r="M60" s="125">
        <f t="shared" si="17"/>
        <v>1</v>
      </c>
      <c r="N60" s="135"/>
      <c r="O60" s="125">
        <f t="shared" si="18"/>
        <v>1</v>
      </c>
      <c r="P60" s="135"/>
      <c r="Q60" s="125">
        <f t="shared" si="19"/>
        <v>1</v>
      </c>
      <c r="R60" s="125">
        <f t="shared" si="20"/>
        <v>0</v>
      </c>
      <c r="S60" s="124">
        <f t="shared" si="21"/>
        <v>0</v>
      </c>
    </row>
    <row r="61" spans="1:19">
      <c r="A61" s="133"/>
      <c r="B61" s="134"/>
      <c r="C61" s="125">
        <f t="shared" si="12"/>
        <v>1</v>
      </c>
      <c r="D61" s="135"/>
      <c r="E61" s="125">
        <f t="shared" si="13"/>
        <v>1</v>
      </c>
      <c r="F61" s="135"/>
      <c r="G61" s="125">
        <f t="shared" si="14"/>
        <v>1</v>
      </c>
      <c r="H61" s="135"/>
      <c r="I61" s="125">
        <f t="shared" si="15"/>
        <v>1</v>
      </c>
      <c r="J61" s="135"/>
      <c r="K61" s="125">
        <f t="shared" si="16"/>
        <v>1</v>
      </c>
      <c r="L61" s="135"/>
      <c r="M61" s="125">
        <f t="shared" si="17"/>
        <v>1</v>
      </c>
      <c r="N61" s="135"/>
      <c r="O61" s="125">
        <f t="shared" si="18"/>
        <v>1</v>
      </c>
      <c r="P61" s="135"/>
      <c r="Q61" s="125">
        <f t="shared" si="19"/>
        <v>1</v>
      </c>
      <c r="R61" s="125">
        <f t="shared" si="20"/>
        <v>0</v>
      </c>
      <c r="S61" s="124">
        <f t="shared" si="21"/>
        <v>0</v>
      </c>
    </row>
    <row r="62" spans="1:19">
      <c r="A62" s="133"/>
      <c r="B62" s="134"/>
      <c r="C62" s="125">
        <f t="shared" si="12"/>
        <v>1</v>
      </c>
      <c r="D62" s="135"/>
      <c r="E62" s="125">
        <f t="shared" si="13"/>
        <v>1</v>
      </c>
      <c r="F62" s="135"/>
      <c r="G62" s="125">
        <f t="shared" si="14"/>
        <v>1</v>
      </c>
      <c r="H62" s="135"/>
      <c r="I62" s="125">
        <f t="shared" si="15"/>
        <v>1</v>
      </c>
      <c r="J62" s="135"/>
      <c r="K62" s="125">
        <f t="shared" si="16"/>
        <v>1</v>
      </c>
      <c r="L62" s="135"/>
      <c r="M62" s="125">
        <f t="shared" si="17"/>
        <v>1</v>
      </c>
      <c r="N62" s="135"/>
      <c r="O62" s="125">
        <f t="shared" si="18"/>
        <v>1</v>
      </c>
      <c r="P62" s="135"/>
      <c r="Q62" s="125">
        <f t="shared" si="19"/>
        <v>1</v>
      </c>
      <c r="R62" s="125">
        <f t="shared" si="20"/>
        <v>0</v>
      </c>
      <c r="S62" s="124">
        <f t="shared" si="21"/>
        <v>0</v>
      </c>
    </row>
    <row r="63" spans="1:19">
      <c r="A63" s="133"/>
      <c r="B63" s="134"/>
      <c r="C63" s="125">
        <f t="shared" si="12"/>
        <v>1</v>
      </c>
      <c r="D63" s="135"/>
      <c r="E63" s="125">
        <f t="shared" si="13"/>
        <v>1</v>
      </c>
      <c r="F63" s="135"/>
      <c r="G63" s="125">
        <f t="shared" si="14"/>
        <v>1</v>
      </c>
      <c r="H63" s="135"/>
      <c r="I63" s="125">
        <f t="shared" si="15"/>
        <v>1</v>
      </c>
      <c r="J63" s="135"/>
      <c r="K63" s="125">
        <f t="shared" si="16"/>
        <v>1</v>
      </c>
      <c r="L63" s="135"/>
      <c r="M63" s="125">
        <f t="shared" si="17"/>
        <v>1</v>
      </c>
      <c r="N63" s="135"/>
      <c r="O63" s="125">
        <f t="shared" si="18"/>
        <v>1</v>
      </c>
      <c r="P63" s="135"/>
      <c r="Q63" s="125">
        <f t="shared" si="19"/>
        <v>1</v>
      </c>
      <c r="R63" s="125">
        <f t="shared" si="20"/>
        <v>0</v>
      </c>
      <c r="S63" s="124">
        <f t="shared" si="21"/>
        <v>0</v>
      </c>
    </row>
    <row r="64" spans="1:19">
      <c r="A64" s="133"/>
      <c r="B64" s="134"/>
      <c r="C64" s="125">
        <f t="shared" si="12"/>
        <v>1</v>
      </c>
      <c r="D64" s="135"/>
      <c r="E64" s="125">
        <f t="shared" si="13"/>
        <v>1</v>
      </c>
      <c r="F64" s="135"/>
      <c r="G64" s="125">
        <f t="shared" si="14"/>
        <v>1</v>
      </c>
      <c r="H64" s="135"/>
      <c r="I64" s="125">
        <f t="shared" si="15"/>
        <v>1</v>
      </c>
      <c r="J64" s="135"/>
      <c r="K64" s="125">
        <f t="shared" si="16"/>
        <v>1</v>
      </c>
      <c r="L64" s="135"/>
      <c r="M64" s="125">
        <f t="shared" si="17"/>
        <v>1</v>
      </c>
      <c r="N64" s="135"/>
      <c r="O64" s="125">
        <f t="shared" si="18"/>
        <v>1</v>
      </c>
      <c r="P64" s="135"/>
      <c r="Q64" s="125">
        <f t="shared" si="19"/>
        <v>1</v>
      </c>
      <c r="R64" s="125">
        <f t="shared" si="20"/>
        <v>0</v>
      </c>
      <c r="S64" s="124">
        <f t="shared" si="21"/>
        <v>0</v>
      </c>
    </row>
    <row r="65" spans="1:19">
      <c r="A65" s="133"/>
      <c r="B65" s="134"/>
      <c r="C65" s="125">
        <f t="shared" si="12"/>
        <v>1</v>
      </c>
      <c r="D65" s="135"/>
      <c r="E65" s="125">
        <f t="shared" si="13"/>
        <v>1</v>
      </c>
      <c r="F65" s="135"/>
      <c r="G65" s="125">
        <f t="shared" si="14"/>
        <v>1</v>
      </c>
      <c r="H65" s="135"/>
      <c r="I65" s="125">
        <f t="shared" si="15"/>
        <v>1</v>
      </c>
      <c r="J65" s="135"/>
      <c r="K65" s="125">
        <f t="shared" si="16"/>
        <v>1</v>
      </c>
      <c r="L65" s="135"/>
      <c r="M65" s="125">
        <f t="shared" si="17"/>
        <v>1</v>
      </c>
      <c r="N65" s="135"/>
      <c r="O65" s="125">
        <f t="shared" si="18"/>
        <v>1</v>
      </c>
      <c r="P65" s="135"/>
      <c r="Q65" s="125">
        <f t="shared" si="19"/>
        <v>1</v>
      </c>
      <c r="R65" s="125">
        <f t="shared" si="20"/>
        <v>0</v>
      </c>
      <c r="S65" s="124">
        <f t="shared" si="21"/>
        <v>0</v>
      </c>
    </row>
    <row r="66" spans="1:19">
      <c r="A66" s="133"/>
      <c r="B66" s="134"/>
      <c r="C66" s="125">
        <f t="shared" si="12"/>
        <v>1</v>
      </c>
      <c r="D66" s="135"/>
      <c r="E66" s="125">
        <f t="shared" si="13"/>
        <v>1</v>
      </c>
      <c r="F66" s="135"/>
      <c r="G66" s="125">
        <f t="shared" si="14"/>
        <v>1</v>
      </c>
      <c r="H66" s="135"/>
      <c r="I66" s="125">
        <f t="shared" si="15"/>
        <v>1</v>
      </c>
      <c r="J66" s="135"/>
      <c r="K66" s="125">
        <f t="shared" si="16"/>
        <v>1</v>
      </c>
      <c r="L66" s="135"/>
      <c r="M66" s="125">
        <f t="shared" si="17"/>
        <v>1</v>
      </c>
      <c r="N66" s="135"/>
      <c r="O66" s="125">
        <f t="shared" si="18"/>
        <v>1</v>
      </c>
      <c r="P66" s="135"/>
      <c r="Q66" s="125">
        <f t="shared" si="19"/>
        <v>1</v>
      </c>
      <c r="R66" s="125">
        <f t="shared" si="20"/>
        <v>0</v>
      </c>
      <c r="S66" s="124">
        <f t="shared" si="21"/>
        <v>0</v>
      </c>
    </row>
    <row r="67" spans="1:19">
      <c r="A67" s="133"/>
      <c r="B67" s="134"/>
      <c r="C67" s="125">
        <f t="shared" si="12"/>
        <v>1</v>
      </c>
      <c r="D67" s="135"/>
      <c r="E67" s="125">
        <f t="shared" si="13"/>
        <v>1</v>
      </c>
      <c r="F67" s="135"/>
      <c r="G67" s="125">
        <f t="shared" si="14"/>
        <v>1</v>
      </c>
      <c r="H67" s="135"/>
      <c r="I67" s="125">
        <f t="shared" si="15"/>
        <v>1</v>
      </c>
      <c r="J67" s="135"/>
      <c r="K67" s="125">
        <f t="shared" si="16"/>
        <v>1</v>
      </c>
      <c r="L67" s="135"/>
      <c r="M67" s="125">
        <f t="shared" si="17"/>
        <v>1</v>
      </c>
      <c r="N67" s="135"/>
      <c r="O67" s="125">
        <f t="shared" si="18"/>
        <v>1</v>
      </c>
      <c r="P67" s="135"/>
      <c r="Q67" s="125">
        <f t="shared" si="19"/>
        <v>1</v>
      </c>
      <c r="R67" s="125">
        <f t="shared" si="20"/>
        <v>0</v>
      </c>
      <c r="S67" s="124">
        <f t="shared" si="21"/>
        <v>0</v>
      </c>
    </row>
    <row r="68" spans="1:19">
      <c r="A68" s="133"/>
      <c r="B68" s="134"/>
      <c r="C68" s="125">
        <f t="shared" si="12"/>
        <v>1</v>
      </c>
      <c r="D68" s="135"/>
      <c r="E68" s="125">
        <f t="shared" si="13"/>
        <v>1</v>
      </c>
      <c r="F68" s="135"/>
      <c r="G68" s="125">
        <f t="shared" si="14"/>
        <v>1</v>
      </c>
      <c r="H68" s="135"/>
      <c r="I68" s="125">
        <f t="shared" si="15"/>
        <v>1</v>
      </c>
      <c r="J68" s="135"/>
      <c r="K68" s="125">
        <f t="shared" si="16"/>
        <v>1</v>
      </c>
      <c r="L68" s="135"/>
      <c r="M68" s="125">
        <f t="shared" si="17"/>
        <v>1</v>
      </c>
      <c r="N68" s="135"/>
      <c r="O68" s="125">
        <f t="shared" si="18"/>
        <v>1</v>
      </c>
      <c r="P68" s="135"/>
      <c r="Q68" s="125">
        <f t="shared" si="19"/>
        <v>1</v>
      </c>
      <c r="R68" s="125">
        <f t="shared" si="20"/>
        <v>0</v>
      </c>
      <c r="S68" s="124">
        <f t="shared" si="21"/>
        <v>0</v>
      </c>
    </row>
    <row r="69" spans="1:19">
      <c r="A69" s="133"/>
      <c r="B69" s="134"/>
      <c r="C69" s="125">
        <f t="shared" si="12"/>
        <v>1</v>
      </c>
      <c r="D69" s="135"/>
      <c r="E69" s="125">
        <f t="shared" si="13"/>
        <v>1</v>
      </c>
      <c r="F69" s="135"/>
      <c r="G69" s="125">
        <f t="shared" si="14"/>
        <v>1</v>
      </c>
      <c r="H69" s="135"/>
      <c r="I69" s="125">
        <f t="shared" si="15"/>
        <v>1</v>
      </c>
      <c r="J69" s="135"/>
      <c r="K69" s="125">
        <f t="shared" si="16"/>
        <v>1</v>
      </c>
      <c r="L69" s="135"/>
      <c r="M69" s="125">
        <f t="shared" si="17"/>
        <v>1</v>
      </c>
      <c r="N69" s="135"/>
      <c r="O69" s="125">
        <f t="shared" si="18"/>
        <v>1</v>
      </c>
      <c r="P69" s="135"/>
      <c r="Q69" s="125">
        <f t="shared" si="19"/>
        <v>1</v>
      </c>
      <c r="R69" s="125">
        <f t="shared" si="20"/>
        <v>0</v>
      </c>
      <c r="S69" s="124">
        <f t="shared" si="21"/>
        <v>0</v>
      </c>
    </row>
    <row r="70" spans="1:19">
      <c r="A70" s="133"/>
      <c r="B70" s="134"/>
      <c r="C70" s="125">
        <f t="shared" si="12"/>
        <v>1</v>
      </c>
      <c r="D70" s="135"/>
      <c r="E70" s="125">
        <f t="shared" si="13"/>
        <v>1</v>
      </c>
      <c r="F70" s="135"/>
      <c r="G70" s="125">
        <f t="shared" si="14"/>
        <v>1</v>
      </c>
      <c r="H70" s="135"/>
      <c r="I70" s="125">
        <f t="shared" si="15"/>
        <v>1</v>
      </c>
      <c r="J70" s="135"/>
      <c r="K70" s="125">
        <f t="shared" si="16"/>
        <v>1</v>
      </c>
      <c r="L70" s="135"/>
      <c r="M70" s="125">
        <f t="shared" si="17"/>
        <v>1</v>
      </c>
      <c r="N70" s="135"/>
      <c r="O70" s="125">
        <f t="shared" si="18"/>
        <v>1</v>
      </c>
      <c r="P70" s="135"/>
      <c r="Q70" s="125">
        <f t="shared" si="19"/>
        <v>1</v>
      </c>
      <c r="R70" s="125">
        <f t="shared" si="20"/>
        <v>0</v>
      </c>
      <c r="S70" s="124">
        <f t="shared" si="21"/>
        <v>0</v>
      </c>
    </row>
    <row r="71" spans="1:19">
      <c r="A71" s="133"/>
      <c r="B71" s="134"/>
      <c r="C71" s="125">
        <f t="shared" si="12"/>
        <v>1</v>
      </c>
      <c r="D71" s="135"/>
      <c r="E71" s="125">
        <f t="shared" si="13"/>
        <v>1</v>
      </c>
      <c r="F71" s="135"/>
      <c r="G71" s="125">
        <f t="shared" si="14"/>
        <v>1</v>
      </c>
      <c r="H71" s="135"/>
      <c r="I71" s="125">
        <f t="shared" si="15"/>
        <v>1</v>
      </c>
      <c r="J71" s="135"/>
      <c r="K71" s="125">
        <f t="shared" si="16"/>
        <v>1</v>
      </c>
      <c r="L71" s="135"/>
      <c r="M71" s="125">
        <f t="shared" si="17"/>
        <v>1</v>
      </c>
      <c r="N71" s="135"/>
      <c r="O71" s="125">
        <f t="shared" si="18"/>
        <v>1</v>
      </c>
      <c r="P71" s="135"/>
      <c r="Q71" s="125">
        <f t="shared" si="19"/>
        <v>1</v>
      </c>
      <c r="R71" s="125">
        <f t="shared" si="20"/>
        <v>0</v>
      </c>
      <c r="S71" s="124">
        <f t="shared" si="21"/>
        <v>0</v>
      </c>
    </row>
    <row r="72" spans="1:19">
      <c r="A72" s="133"/>
      <c r="B72" s="134"/>
      <c r="C72" s="125">
        <f t="shared" si="12"/>
        <v>1</v>
      </c>
      <c r="D72" s="135"/>
      <c r="E72" s="125">
        <f t="shared" si="13"/>
        <v>1</v>
      </c>
      <c r="F72" s="135"/>
      <c r="G72" s="125">
        <f t="shared" si="14"/>
        <v>1</v>
      </c>
      <c r="H72" s="135"/>
      <c r="I72" s="125">
        <f t="shared" si="15"/>
        <v>1</v>
      </c>
      <c r="J72" s="135"/>
      <c r="K72" s="125">
        <f t="shared" si="16"/>
        <v>1</v>
      </c>
      <c r="L72" s="135"/>
      <c r="M72" s="125">
        <f t="shared" si="17"/>
        <v>1</v>
      </c>
      <c r="N72" s="135"/>
      <c r="O72" s="125">
        <f t="shared" si="18"/>
        <v>1</v>
      </c>
      <c r="P72" s="135"/>
      <c r="Q72" s="125">
        <f t="shared" si="19"/>
        <v>1</v>
      </c>
      <c r="R72" s="125">
        <f t="shared" si="20"/>
        <v>0</v>
      </c>
      <c r="S72" s="124">
        <f t="shared" si="21"/>
        <v>0</v>
      </c>
    </row>
    <row r="73" spans="1:19">
      <c r="A73" s="133"/>
      <c r="B73" s="134"/>
      <c r="C73" s="125">
        <f t="shared" si="12"/>
        <v>1</v>
      </c>
      <c r="D73" s="135"/>
      <c r="E73" s="125">
        <f t="shared" si="13"/>
        <v>1</v>
      </c>
      <c r="F73" s="135"/>
      <c r="G73" s="125">
        <f t="shared" si="14"/>
        <v>1</v>
      </c>
      <c r="H73" s="135"/>
      <c r="I73" s="125">
        <f t="shared" si="15"/>
        <v>1</v>
      </c>
      <c r="J73" s="135"/>
      <c r="K73" s="125">
        <f t="shared" si="16"/>
        <v>1</v>
      </c>
      <c r="L73" s="135"/>
      <c r="M73" s="125">
        <f t="shared" si="17"/>
        <v>1</v>
      </c>
      <c r="N73" s="135"/>
      <c r="O73" s="125">
        <f t="shared" si="18"/>
        <v>1</v>
      </c>
      <c r="P73" s="135"/>
      <c r="Q73" s="125">
        <f t="shared" si="19"/>
        <v>1</v>
      </c>
      <c r="R73" s="125">
        <f t="shared" si="20"/>
        <v>0</v>
      </c>
      <c r="S73" s="124">
        <f t="shared" si="21"/>
        <v>0</v>
      </c>
    </row>
    <row r="74" spans="1:19">
      <c r="A74" s="133"/>
      <c r="B74" s="134"/>
      <c r="C74" s="125">
        <f t="shared" si="12"/>
        <v>1</v>
      </c>
      <c r="D74" s="135"/>
      <c r="E74" s="125">
        <f t="shared" si="13"/>
        <v>1</v>
      </c>
      <c r="F74" s="135"/>
      <c r="G74" s="125">
        <f t="shared" si="14"/>
        <v>1</v>
      </c>
      <c r="H74" s="135"/>
      <c r="I74" s="125">
        <f t="shared" si="15"/>
        <v>1</v>
      </c>
      <c r="J74" s="135"/>
      <c r="K74" s="125">
        <f t="shared" si="16"/>
        <v>1</v>
      </c>
      <c r="L74" s="135"/>
      <c r="M74" s="125">
        <f t="shared" si="17"/>
        <v>1</v>
      </c>
      <c r="N74" s="135"/>
      <c r="O74" s="125">
        <f t="shared" si="18"/>
        <v>1</v>
      </c>
      <c r="P74" s="135"/>
      <c r="Q74" s="125">
        <f t="shared" si="19"/>
        <v>1</v>
      </c>
      <c r="R74" s="125">
        <f t="shared" si="20"/>
        <v>0</v>
      </c>
      <c r="S74" s="124">
        <f t="shared" si="21"/>
        <v>0</v>
      </c>
    </row>
    <row r="75" spans="1:19">
      <c r="A75" s="133"/>
      <c r="B75" s="134"/>
      <c r="C75" s="125">
        <f t="shared" si="12"/>
        <v>1</v>
      </c>
      <c r="D75" s="135"/>
      <c r="E75" s="125">
        <f t="shared" si="13"/>
        <v>1</v>
      </c>
      <c r="F75" s="135"/>
      <c r="G75" s="125">
        <f t="shared" si="14"/>
        <v>1</v>
      </c>
      <c r="H75" s="135"/>
      <c r="I75" s="125">
        <f t="shared" si="15"/>
        <v>1</v>
      </c>
      <c r="J75" s="135"/>
      <c r="K75" s="125">
        <f t="shared" si="16"/>
        <v>1</v>
      </c>
      <c r="L75" s="135"/>
      <c r="M75" s="125">
        <f t="shared" si="17"/>
        <v>1</v>
      </c>
      <c r="N75" s="135"/>
      <c r="O75" s="125">
        <f t="shared" si="18"/>
        <v>1</v>
      </c>
      <c r="P75" s="135"/>
      <c r="Q75" s="125">
        <f t="shared" si="19"/>
        <v>1</v>
      </c>
      <c r="R75" s="125">
        <f t="shared" si="20"/>
        <v>0</v>
      </c>
      <c r="S75" s="124">
        <f t="shared" si="21"/>
        <v>0</v>
      </c>
    </row>
    <row r="76" spans="1:19">
      <c r="A76" s="133"/>
      <c r="B76" s="134"/>
      <c r="C76" s="125">
        <f t="shared" si="12"/>
        <v>1</v>
      </c>
      <c r="D76" s="135"/>
      <c r="E76" s="125">
        <f t="shared" si="13"/>
        <v>1</v>
      </c>
      <c r="F76" s="135"/>
      <c r="G76" s="125">
        <f t="shared" si="14"/>
        <v>1</v>
      </c>
      <c r="H76" s="135"/>
      <c r="I76" s="125">
        <f t="shared" si="15"/>
        <v>1</v>
      </c>
      <c r="J76" s="135"/>
      <c r="K76" s="125">
        <f t="shared" si="16"/>
        <v>1</v>
      </c>
      <c r="L76" s="135"/>
      <c r="M76" s="125">
        <f t="shared" si="17"/>
        <v>1</v>
      </c>
      <c r="N76" s="135"/>
      <c r="O76" s="125">
        <f t="shared" si="18"/>
        <v>1</v>
      </c>
      <c r="P76" s="135"/>
      <c r="Q76" s="125">
        <f t="shared" si="19"/>
        <v>1</v>
      </c>
      <c r="R76" s="125">
        <f t="shared" si="20"/>
        <v>0</v>
      </c>
      <c r="S76" s="124">
        <f t="shared" si="21"/>
        <v>0</v>
      </c>
    </row>
    <row r="77" spans="1:19">
      <c r="A77" s="133"/>
      <c r="B77" s="134"/>
      <c r="C77" s="125">
        <f t="shared" si="12"/>
        <v>1</v>
      </c>
      <c r="D77" s="135"/>
      <c r="E77" s="125">
        <f t="shared" si="13"/>
        <v>1</v>
      </c>
      <c r="F77" s="135"/>
      <c r="G77" s="125">
        <f t="shared" si="14"/>
        <v>1</v>
      </c>
      <c r="H77" s="135"/>
      <c r="I77" s="125">
        <f t="shared" si="15"/>
        <v>1</v>
      </c>
      <c r="J77" s="135"/>
      <c r="K77" s="125">
        <f t="shared" si="16"/>
        <v>1</v>
      </c>
      <c r="L77" s="135"/>
      <c r="M77" s="125">
        <f t="shared" si="17"/>
        <v>1</v>
      </c>
      <c r="N77" s="135"/>
      <c r="O77" s="125">
        <f t="shared" si="18"/>
        <v>1</v>
      </c>
      <c r="P77" s="135"/>
      <c r="Q77" s="125">
        <f t="shared" si="19"/>
        <v>1</v>
      </c>
      <c r="R77" s="125">
        <f t="shared" si="20"/>
        <v>0</v>
      </c>
      <c r="S77" s="124">
        <f t="shared" si="21"/>
        <v>0</v>
      </c>
    </row>
    <row r="78" spans="1:19">
      <c r="A78" s="133"/>
      <c r="B78" s="134"/>
      <c r="C78" s="125">
        <f t="shared" si="12"/>
        <v>1</v>
      </c>
      <c r="D78" s="135"/>
      <c r="E78" s="125">
        <f t="shared" si="13"/>
        <v>1</v>
      </c>
      <c r="F78" s="135"/>
      <c r="G78" s="125">
        <f t="shared" si="14"/>
        <v>1</v>
      </c>
      <c r="H78" s="135"/>
      <c r="I78" s="125">
        <f t="shared" si="15"/>
        <v>1</v>
      </c>
      <c r="J78" s="135"/>
      <c r="K78" s="125">
        <f t="shared" si="16"/>
        <v>1</v>
      </c>
      <c r="L78" s="135"/>
      <c r="M78" s="125">
        <f t="shared" si="17"/>
        <v>1</v>
      </c>
      <c r="N78" s="135"/>
      <c r="O78" s="125">
        <f t="shared" si="18"/>
        <v>1</v>
      </c>
      <c r="P78" s="135"/>
      <c r="Q78" s="125">
        <f t="shared" si="19"/>
        <v>1</v>
      </c>
      <c r="R78" s="125">
        <f t="shared" si="20"/>
        <v>0</v>
      </c>
      <c r="S78" s="124">
        <f t="shared" ref="S78:S122" si="22">ROUND(R78*B78/10000,0)</f>
        <v>0</v>
      </c>
    </row>
    <row r="79" spans="1:19">
      <c r="A79" s="133"/>
      <c r="B79" s="134"/>
      <c r="C79" s="125">
        <f t="shared" si="12"/>
        <v>1</v>
      </c>
      <c r="D79" s="135"/>
      <c r="E79" s="125">
        <f t="shared" si="13"/>
        <v>1</v>
      </c>
      <c r="F79" s="135"/>
      <c r="G79" s="125">
        <f t="shared" si="14"/>
        <v>1</v>
      </c>
      <c r="H79" s="135"/>
      <c r="I79" s="125">
        <f t="shared" si="15"/>
        <v>1</v>
      </c>
      <c r="J79" s="135"/>
      <c r="K79" s="125">
        <f t="shared" si="16"/>
        <v>1</v>
      </c>
      <c r="L79" s="135"/>
      <c r="M79" s="125">
        <f t="shared" si="17"/>
        <v>1</v>
      </c>
      <c r="N79" s="135"/>
      <c r="O79" s="125">
        <f t="shared" si="18"/>
        <v>1</v>
      </c>
      <c r="P79" s="135"/>
      <c r="Q79" s="125">
        <f t="shared" si="19"/>
        <v>1</v>
      </c>
      <c r="R79" s="125">
        <f t="shared" si="20"/>
        <v>0</v>
      </c>
      <c r="S79" s="124">
        <f t="shared" si="22"/>
        <v>0</v>
      </c>
    </row>
    <row r="80" spans="1:19">
      <c r="A80" s="133"/>
      <c r="B80" s="134"/>
      <c r="C80" s="125">
        <f t="shared" si="12"/>
        <v>1</v>
      </c>
      <c r="D80" s="135"/>
      <c r="E80" s="125">
        <f t="shared" si="13"/>
        <v>1</v>
      </c>
      <c r="F80" s="135"/>
      <c r="G80" s="125">
        <f t="shared" si="14"/>
        <v>1</v>
      </c>
      <c r="H80" s="135"/>
      <c r="I80" s="125">
        <f t="shared" si="15"/>
        <v>1</v>
      </c>
      <c r="J80" s="135"/>
      <c r="K80" s="125">
        <f t="shared" si="16"/>
        <v>1</v>
      </c>
      <c r="L80" s="135"/>
      <c r="M80" s="125">
        <f t="shared" si="17"/>
        <v>1</v>
      </c>
      <c r="N80" s="135"/>
      <c r="O80" s="125">
        <f t="shared" si="18"/>
        <v>1</v>
      </c>
      <c r="P80" s="135"/>
      <c r="Q80" s="125">
        <f t="shared" si="19"/>
        <v>1</v>
      </c>
      <c r="R80" s="125">
        <f t="shared" si="20"/>
        <v>0</v>
      </c>
      <c r="S80" s="124">
        <f t="shared" si="22"/>
        <v>0</v>
      </c>
    </row>
    <row r="81" spans="1:19">
      <c r="A81" s="133"/>
      <c r="B81" s="134"/>
      <c r="C81" s="125">
        <f t="shared" si="12"/>
        <v>1</v>
      </c>
      <c r="D81" s="135"/>
      <c r="E81" s="125">
        <f t="shared" si="13"/>
        <v>1</v>
      </c>
      <c r="F81" s="135"/>
      <c r="G81" s="125">
        <f t="shared" si="14"/>
        <v>1</v>
      </c>
      <c r="H81" s="135"/>
      <c r="I81" s="125">
        <f t="shared" si="15"/>
        <v>1</v>
      </c>
      <c r="J81" s="135"/>
      <c r="K81" s="125">
        <f t="shared" si="16"/>
        <v>1</v>
      </c>
      <c r="L81" s="135"/>
      <c r="M81" s="125">
        <f t="shared" si="17"/>
        <v>1</v>
      </c>
      <c r="N81" s="135"/>
      <c r="O81" s="125">
        <f t="shared" si="18"/>
        <v>1</v>
      </c>
      <c r="P81" s="135"/>
      <c r="Q81" s="125">
        <f t="shared" si="19"/>
        <v>1</v>
      </c>
      <c r="R81" s="125">
        <f t="shared" si="20"/>
        <v>0</v>
      </c>
      <c r="S81" s="124">
        <f t="shared" si="22"/>
        <v>0</v>
      </c>
    </row>
    <row r="82" spans="1:19">
      <c r="A82" s="133"/>
      <c r="B82" s="134"/>
      <c r="C82" s="125">
        <f t="shared" si="12"/>
        <v>1</v>
      </c>
      <c r="D82" s="135"/>
      <c r="E82" s="125">
        <f t="shared" si="13"/>
        <v>1</v>
      </c>
      <c r="F82" s="135"/>
      <c r="G82" s="125">
        <f t="shared" si="14"/>
        <v>1</v>
      </c>
      <c r="H82" s="135"/>
      <c r="I82" s="125">
        <f t="shared" si="15"/>
        <v>1</v>
      </c>
      <c r="J82" s="135"/>
      <c r="K82" s="125">
        <f t="shared" si="16"/>
        <v>1</v>
      </c>
      <c r="L82" s="135"/>
      <c r="M82" s="125">
        <f t="shared" si="17"/>
        <v>1</v>
      </c>
      <c r="N82" s="135"/>
      <c r="O82" s="125">
        <f t="shared" si="18"/>
        <v>1</v>
      </c>
      <c r="P82" s="135"/>
      <c r="Q82" s="125">
        <f t="shared" si="19"/>
        <v>1</v>
      </c>
      <c r="R82" s="125">
        <f t="shared" si="20"/>
        <v>0</v>
      </c>
      <c r="S82" s="124">
        <f t="shared" si="22"/>
        <v>0</v>
      </c>
    </row>
    <row r="83" spans="1:19">
      <c r="A83" s="133"/>
      <c r="B83" s="134"/>
      <c r="C83" s="125">
        <f t="shared" si="12"/>
        <v>1</v>
      </c>
      <c r="D83" s="135"/>
      <c r="E83" s="125">
        <f t="shared" si="13"/>
        <v>1</v>
      </c>
      <c r="F83" s="135"/>
      <c r="G83" s="125">
        <f t="shared" si="14"/>
        <v>1</v>
      </c>
      <c r="H83" s="135"/>
      <c r="I83" s="125">
        <f t="shared" si="15"/>
        <v>1</v>
      </c>
      <c r="J83" s="135"/>
      <c r="K83" s="125">
        <f t="shared" si="16"/>
        <v>1</v>
      </c>
      <c r="L83" s="135"/>
      <c r="M83" s="125">
        <f t="shared" si="17"/>
        <v>1</v>
      </c>
      <c r="N83" s="135"/>
      <c r="O83" s="125">
        <f t="shared" si="18"/>
        <v>1</v>
      </c>
      <c r="P83" s="135"/>
      <c r="Q83" s="125">
        <f t="shared" si="19"/>
        <v>1</v>
      </c>
      <c r="R83" s="125">
        <f t="shared" si="20"/>
        <v>0</v>
      </c>
      <c r="S83" s="124">
        <f t="shared" si="22"/>
        <v>0</v>
      </c>
    </row>
    <row r="84" spans="1:19">
      <c r="A84" s="133"/>
      <c r="B84" s="134"/>
      <c r="C84" s="125">
        <f t="shared" si="12"/>
        <v>1</v>
      </c>
      <c r="D84" s="135"/>
      <c r="E84" s="125">
        <f t="shared" si="13"/>
        <v>1</v>
      </c>
      <c r="F84" s="135"/>
      <c r="G84" s="125">
        <f t="shared" si="14"/>
        <v>1</v>
      </c>
      <c r="H84" s="135"/>
      <c r="I84" s="125">
        <f t="shared" si="15"/>
        <v>1</v>
      </c>
      <c r="J84" s="135"/>
      <c r="K84" s="125">
        <f t="shared" si="16"/>
        <v>1</v>
      </c>
      <c r="L84" s="135"/>
      <c r="M84" s="125">
        <f t="shared" si="17"/>
        <v>1</v>
      </c>
      <c r="N84" s="135"/>
      <c r="O84" s="125">
        <f t="shared" si="18"/>
        <v>1</v>
      </c>
      <c r="P84" s="135"/>
      <c r="Q84" s="125">
        <f t="shared" si="19"/>
        <v>1</v>
      </c>
      <c r="R84" s="125">
        <f t="shared" si="20"/>
        <v>0</v>
      </c>
      <c r="S84" s="124">
        <f t="shared" si="22"/>
        <v>0</v>
      </c>
    </row>
    <row r="85" spans="1:19">
      <c r="A85" s="133"/>
      <c r="B85" s="134"/>
      <c r="C85" s="125">
        <f t="shared" si="12"/>
        <v>1</v>
      </c>
      <c r="D85" s="135"/>
      <c r="E85" s="125">
        <f t="shared" si="13"/>
        <v>1</v>
      </c>
      <c r="F85" s="135"/>
      <c r="G85" s="125">
        <f t="shared" si="14"/>
        <v>1</v>
      </c>
      <c r="H85" s="135"/>
      <c r="I85" s="125">
        <f t="shared" si="15"/>
        <v>1</v>
      </c>
      <c r="J85" s="135"/>
      <c r="K85" s="125">
        <f t="shared" si="16"/>
        <v>1</v>
      </c>
      <c r="L85" s="135"/>
      <c r="M85" s="125">
        <f t="shared" si="17"/>
        <v>1</v>
      </c>
      <c r="N85" s="135"/>
      <c r="O85" s="125">
        <f t="shared" si="18"/>
        <v>1</v>
      </c>
      <c r="P85" s="135"/>
      <c r="Q85" s="125">
        <f t="shared" si="19"/>
        <v>1</v>
      </c>
      <c r="R85" s="125">
        <f t="shared" si="20"/>
        <v>0</v>
      </c>
      <c r="S85" s="124">
        <f t="shared" si="22"/>
        <v>0</v>
      </c>
    </row>
    <row r="86" spans="1:19">
      <c r="A86" s="133"/>
      <c r="B86" s="134"/>
      <c r="C86" s="125">
        <f t="shared" si="12"/>
        <v>1</v>
      </c>
      <c r="D86" s="135"/>
      <c r="E86" s="125">
        <f t="shared" si="13"/>
        <v>1</v>
      </c>
      <c r="F86" s="135"/>
      <c r="G86" s="125">
        <f t="shared" si="14"/>
        <v>1</v>
      </c>
      <c r="H86" s="135"/>
      <c r="I86" s="125">
        <f t="shared" si="15"/>
        <v>1</v>
      </c>
      <c r="J86" s="135"/>
      <c r="K86" s="125">
        <f t="shared" si="16"/>
        <v>1</v>
      </c>
      <c r="L86" s="135"/>
      <c r="M86" s="125">
        <f t="shared" si="17"/>
        <v>1</v>
      </c>
      <c r="N86" s="135"/>
      <c r="O86" s="125">
        <f t="shared" si="18"/>
        <v>1</v>
      </c>
      <c r="P86" s="135"/>
      <c r="Q86" s="125">
        <f t="shared" si="19"/>
        <v>1</v>
      </c>
      <c r="R86" s="125">
        <f t="shared" si="20"/>
        <v>0</v>
      </c>
      <c r="S86" s="124">
        <f t="shared" si="22"/>
        <v>0</v>
      </c>
    </row>
    <row r="87" spans="1:19">
      <c r="A87" s="133"/>
      <c r="B87" s="134"/>
      <c r="C87" s="125">
        <f t="shared" si="12"/>
        <v>1</v>
      </c>
      <c r="D87" s="135"/>
      <c r="E87" s="125">
        <f t="shared" si="13"/>
        <v>1</v>
      </c>
      <c r="F87" s="135"/>
      <c r="G87" s="125">
        <f t="shared" si="14"/>
        <v>1</v>
      </c>
      <c r="H87" s="135"/>
      <c r="I87" s="125">
        <f t="shared" si="15"/>
        <v>1</v>
      </c>
      <c r="J87" s="135"/>
      <c r="K87" s="125">
        <f t="shared" si="16"/>
        <v>1</v>
      </c>
      <c r="L87" s="135"/>
      <c r="M87" s="125">
        <f t="shared" si="17"/>
        <v>1</v>
      </c>
      <c r="N87" s="135"/>
      <c r="O87" s="125">
        <f t="shared" si="18"/>
        <v>1</v>
      </c>
      <c r="P87" s="135"/>
      <c r="Q87" s="125">
        <f t="shared" si="19"/>
        <v>1</v>
      </c>
      <c r="R87" s="125">
        <f t="shared" si="20"/>
        <v>0</v>
      </c>
      <c r="S87" s="124">
        <f t="shared" si="22"/>
        <v>0</v>
      </c>
    </row>
    <row r="88" spans="1:19">
      <c r="A88" s="133"/>
      <c r="B88" s="134"/>
      <c r="C88" s="125">
        <f t="shared" si="12"/>
        <v>1</v>
      </c>
      <c r="D88" s="135"/>
      <c r="E88" s="125">
        <f t="shared" si="13"/>
        <v>1</v>
      </c>
      <c r="F88" s="135"/>
      <c r="G88" s="125">
        <f t="shared" si="14"/>
        <v>1</v>
      </c>
      <c r="H88" s="135"/>
      <c r="I88" s="125">
        <f t="shared" si="15"/>
        <v>1</v>
      </c>
      <c r="J88" s="135"/>
      <c r="K88" s="125">
        <f t="shared" si="16"/>
        <v>1</v>
      </c>
      <c r="L88" s="135"/>
      <c r="M88" s="125">
        <f t="shared" si="17"/>
        <v>1</v>
      </c>
      <c r="N88" s="135"/>
      <c r="O88" s="125">
        <f t="shared" si="18"/>
        <v>1</v>
      </c>
      <c r="P88" s="135"/>
      <c r="Q88" s="125">
        <f t="shared" si="19"/>
        <v>1</v>
      </c>
      <c r="R88" s="125">
        <f t="shared" si="20"/>
        <v>0</v>
      </c>
      <c r="S88" s="124">
        <f t="shared" si="22"/>
        <v>0</v>
      </c>
    </row>
    <row r="89" spans="1:19">
      <c r="A89" s="133"/>
      <c r="B89" s="134"/>
      <c r="C89" s="125">
        <f t="shared" si="12"/>
        <v>1</v>
      </c>
      <c r="D89" s="135"/>
      <c r="E89" s="125">
        <f t="shared" si="13"/>
        <v>1</v>
      </c>
      <c r="F89" s="135"/>
      <c r="G89" s="125">
        <f t="shared" si="14"/>
        <v>1</v>
      </c>
      <c r="H89" s="135"/>
      <c r="I89" s="125">
        <f t="shared" si="15"/>
        <v>1</v>
      </c>
      <c r="J89" s="135"/>
      <c r="K89" s="125">
        <f t="shared" si="16"/>
        <v>1</v>
      </c>
      <c r="L89" s="135"/>
      <c r="M89" s="125">
        <f t="shared" si="17"/>
        <v>1</v>
      </c>
      <c r="N89" s="135"/>
      <c r="O89" s="125">
        <f t="shared" si="18"/>
        <v>1</v>
      </c>
      <c r="P89" s="135"/>
      <c r="Q89" s="125">
        <f t="shared" si="19"/>
        <v>1</v>
      </c>
      <c r="R89" s="125">
        <f t="shared" si="20"/>
        <v>0</v>
      </c>
      <c r="S89" s="124">
        <f t="shared" si="22"/>
        <v>0</v>
      </c>
    </row>
    <row r="90" spans="1:19">
      <c r="A90" s="133"/>
      <c r="B90" s="134"/>
      <c r="C90" s="125">
        <f t="shared" ref="C90:C153" si="23">IF(B90="",1,(LOOKUP(B90,$3:$3,$4:$4)-LOOKUP($B$24,$3:$3,$4:$4)+100)/100)</f>
        <v>1</v>
      </c>
      <c r="D90" s="135"/>
      <c r="E90" s="125">
        <f t="shared" ref="E90:E153" si="24">(SUMIF($5:$5,D90,$6:$6)-SUMIF($5:$5,$D$24,$6:$6)+100)/100</f>
        <v>1</v>
      </c>
      <c r="F90" s="135"/>
      <c r="G90" s="125">
        <f t="shared" ref="G90:G153" si="25">(SUMIF($7:$7,F90,$8:$8)-SUMIF($7:$7,$F$24,$8:$8)+100)/100</f>
        <v>1</v>
      </c>
      <c r="H90" s="135"/>
      <c r="I90" s="125">
        <f t="shared" ref="I90:I153" si="26">(SUMIF($9:$9,H90,$10:$10)-SUMIF($9:$9,$H$24,$10:$10)+100)/100</f>
        <v>1</v>
      </c>
      <c r="J90" s="135"/>
      <c r="K90" s="125">
        <f t="shared" ref="K90:K153" si="27">(SUMIF($11:$11,J90,$12:$12)-SUMIF($11:$11,$J$24,$12:$12)+100)/100</f>
        <v>1</v>
      </c>
      <c r="L90" s="135"/>
      <c r="M90" s="125">
        <f t="shared" ref="M90:M153" si="28">(SUMIF($13:$13,L90,$14:$14)-SUMIF($13:$13,$L$24,$14:$14)+100)/100</f>
        <v>1</v>
      </c>
      <c r="N90" s="135"/>
      <c r="O90" s="125">
        <f t="shared" ref="O90:O153" si="29">(SUMIF($15:$15,N90,$16:$16)-SUMIF($15:$15,$N$24,$16:$16)+100)/100</f>
        <v>1</v>
      </c>
      <c r="P90" s="135"/>
      <c r="Q90" s="125">
        <f t="shared" ref="Q90:Q153" si="30">(SUMIF($17:$17,P90,$18:$18)-SUMIF($17:$17,$P$24,$18:$18)+100)/100</f>
        <v>1</v>
      </c>
      <c r="R90" s="125">
        <f t="shared" ref="R90:R153" si="31">IF(B90="",0,ROUND($R$24*C90*E90*G90*I90*K90*M90*O90*Q90,0))</f>
        <v>0</v>
      </c>
      <c r="S90" s="124">
        <f t="shared" si="22"/>
        <v>0</v>
      </c>
    </row>
    <row r="91" spans="1:19">
      <c r="A91" s="133"/>
      <c r="B91" s="134"/>
      <c r="C91" s="125">
        <f t="shared" si="23"/>
        <v>1</v>
      </c>
      <c r="D91" s="135"/>
      <c r="E91" s="125">
        <f t="shared" si="24"/>
        <v>1</v>
      </c>
      <c r="F91" s="135"/>
      <c r="G91" s="125">
        <f t="shared" si="25"/>
        <v>1</v>
      </c>
      <c r="H91" s="135"/>
      <c r="I91" s="125">
        <f t="shared" si="26"/>
        <v>1</v>
      </c>
      <c r="J91" s="135"/>
      <c r="K91" s="125">
        <f t="shared" si="27"/>
        <v>1</v>
      </c>
      <c r="L91" s="135"/>
      <c r="M91" s="125">
        <f t="shared" si="28"/>
        <v>1</v>
      </c>
      <c r="N91" s="135"/>
      <c r="O91" s="125">
        <f t="shared" si="29"/>
        <v>1</v>
      </c>
      <c r="P91" s="135"/>
      <c r="Q91" s="125">
        <f t="shared" si="30"/>
        <v>1</v>
      </c>
      <c r="R91" s="125">
        <f t="shared" si="31"/>
        <v>0</v>
      </c>
      <c r="S91" s="124">
        <f t="shared" si="22"/>
        <v>0</v>
      </c>
    </row>
    <row r="92" spans="1:19">
      <c r="A92" s="133"/>
      <c r="B92" s="134"/>
      <c r="C92" s="125">
        <f t="shared" si="23"/>
        <v>1</v>
      </c>
      <c r="D92" s="135"/>
      <c r="E92" s="125">
        <f t="shared" si="24"/>
        <v>1</v>
      </c>
      <c r="F92" s="135"/>
      <c r="G92" s="125">
        <f t="shared" si="25"/>
        <v>1</v>
      </c>
      <c r="H92" s="135"/>
      <c r="I92" s="125">
        <f t="shared" si="26"/>
        <v>1</v>
      </c>
      <c r="J92" s="135"/>
      <c r="K92" s="125">
        <f t="shared" si="27"/>
        <v>1</v>
      </c>
      <c r="L92" s="135"/>
      <c r="M92" s="125">
        <f t="shared" si="28"/>
        <v>1</v>
      </c>
      <c r="N92" s="135"/>
      <c r="O92" s="125">
        <f t="shared" si="29"/>
        <v>1</v>
      </c>
      <c r="P92" s="135"/>
      <c r="Q92" s="125">
        <f t="shared" si="30"/>
        <v>1</v>
      </c>
      <c r="R92" s="125">
        <f t="shared" si="31"/>
        <v>0</v>
      </c>
      <c r="S92" s="124">
        <f t="shared" si="22"/>
        <v>0</v>
      </c>
    </row>
    <row r="93" spans="1:19">
      <c r="A93" s="133"/>
      <c r="B93" s="134"/>
      <c r="C93" s="125">
        <f t="shared" si="23"/>
        <v>1</v>
      </c>
      <c r="D93" s="135"/>
      <c r="E93" s="125">
        <f t="shared" si="24"/>
        <v>1</v>
      </c>
      <c r="F93" s="135"/>
      <c r="G93" s="125">
        <f t="shared" si="25"/>
        <v>1</v>
      </c>
      <c r="H93" s="135"/>
      <c r="I93" s="125">
        <f t="shared" si="26"/>
        <v>1</v>
      </c>
      <c r="J93" s="135"/>
      <c r="K93" s="125">
        <f t="shared" si="27"/>
        <v>1</v>
      </c>
      <c r="L93" s="135"/>
      <c r="M93" s="125">
        <f t="shared" si="28"/>
        <v>1</v>
      </c>
      <c r="N93" s="135"/>
      <c r="O93" s="125">
        <f t="shared" si="29"/>
        <v>1</v>
      </c>
      <c r="P93" s="135"/>
      <c r="Q93" s="125">
        <f t="shared" si="30"/>
        <v>1</v>
      </c>
      <c r="R93" s="125">
        <f t="shared" si="31"/>
        <v>0</v>
      </c>
      <c r="S93" s="124">
        <f t="shared" si="22"/>
        <v>0</v>
      </c>
    </row>
    <row r="94" spans="1:19">
      <c r="A94" s="133"/>
      <c r="B94" s="134"/>
      <c r="C94" s="125">
        <f t="shared" si="23"/>
        <v>1</v>
      </c>
      <c r="D94" s="135"/>
      <c r="E94" s="125">
        <f t="shared" si="24"/>
        <v>1</v>
      </c>
      <c r="F94" s="135"/>
      <c r="G94" s="125">
        <f t="shared" si="25"/>
        <v>1</v>
      </c>
      <c r="H94" s="135"/>
      <c r="I94" s="125">
        <f t="shared" si="26"/>
        <v>1</v>
      </c>
      <c r="J94" s="135"/>
      <c r="K94" s="125">
        <f t="shared" si="27"/>
        <v>1</v>
      </c>
      <c r="L94" s="135"/>
      <c r="M94" s="125">
        <f t="shared" si="28"/>
        <v>1</v>
      </c>
      <c r="N94" s="135"/>
      <c r="O94" s="125">
        <f t="shared" si="29"/>
        <v>1</v>
      </c>
      <c r="P94" s="135"/>
      <c r="Q94" s="125">
        <f t="shared" si="30"/>
        <v>1</v>
      </c>
      <c r="R94" s="125">
        <f t="shared" si="31"/>
        <v>0</v>
      </c>
      <c r="S94" s="124">
        <f t="shared" si="22"/>
        <v>0</v>
      </c>
    </row>
    <row r="95" spans="1:19">
      <c r="A95" s="133"/>
      <c r="B95" s="134"/>
      <c r="C95" s="125">
        <f t="shared" si="23"/>
        <v>1</v>
      </c>
      <c r="D95" s="135"/>
      <c r="E95" s="125">
        <f t="shared" si="24"/>
        <v>1</v>
      </c>
      <c r="F95" s="135"/>
      <c r="G95" s="125">
        <f t="shared" si="25"/>
        <v>1</v>
      </c>
      <c r="H95" s="135"/>
      <c r="I95" s="125">
        <f t="shared" si="26"/>
        <v>1</v>
      </c>
      <c r="J95" s="135"/>
      <c r="K95" s="125">
        <f t="shared" si="27"/>
        <v>1</v>
      </c>
      <c r="L95" s="135"/>
      <c r="M95" s="125">
        <f t="shared" si="28"/>
        <v>1</v>
      </c>
      <c r="N95" s="135"/>
      <c r="O95" s="125">
        <f t="shared" si="29"/>
        <v>1</v>
      </c>
      <c r="P95" s="135"/>
      <c r="Q95" s="125">
        <f t="shared" si="30"/>
        <v>1</v>
      </c>
      <c r="R95" s="125">
        <f t="shared" si="31"/>
        <v>0</v>
      </c>
      <c r="S95" s="124">
        <f t="shared" si="22"/>
        <v>0</v>
      </c>
    </row>
    <row r="96" spans="1:19">
      <c r="A96" s="133"/>
      <c r="B96" s="134"/>
      <c r="C96" s="125">
        <f t="shared" si="23"/>
        <v>1</v>
      </c>
      <c r="D96" s="135"/>
      <c r="E96" s="125">
        <f t="shared" si="24"/>
        <v>1</v>
      </c>
      <c r="F96" s="135"/>
      <c r="G96" s="125">
        <f t="shared" si="25"/>
        <v>1</v>
      </c>
      <c r="H96" s="135"/>
      <c r="I96" s="125">
        <f t="shared" si="26"/>
        <v>1</v>
      </c>
      <c r="J96" s="135"/>
      <c r="K96" s="125">
        <f t="shared" si="27"/>
        <v>1</v>
      </c>
      <c r="L96" s="135"/>
      <c r="M96" s="125">
        <f t="shared" si="28"/>
        <v>1</v>
      </c>
      <c r="N96" s="135"/>
      <c r="O96" s="125">
        <f t="shared" si="29"/>
        <v>1</v>
      </c>
      <c r="P96" s="135"/>
      <c r="Q96" s="125">
        <f t="shared" si="30"/>
        <v>1</v>
      </c>
      <c r="R96" s="125">
        <f t="shared" si="31"/>
        <v>0</v>
      </c>
      <c r="S96" s="124">
        <f t="shared" si="22"/>
        <v>0</v>
      </c>
    </row>
    <row r="97" spans="1:19">
      <c r="A97" s="133"/>
      <c r="B97" s="134"/>
      <c r="C97" s="125">
        <f t="shared" si="23"/>
        <v>1</v>
      </c>
      <c r="D97" s="135"/>
      <c r="E97" s="125">
        <f t="shared" si="24"/>
        <v>1</v>
      </c>
      <c r="F97" s="135"/>
      <c r="G97" s="125">
        <f t="shared" si="25"/>
        <v>1</v>
      </c>
      <c r="H97" s="135"/>
      <c r="I97" s="125">
        <f t="shared" si="26"/>
        <v>1</v>
      </c>
      <c r="J97" s="135"/>
      <c r="K97" s="125">
        <f t="shared" si="27"/>
        <v>1</v>
      </c>
      <c r="L97" s="135"/>
      <c r="M97" s="125">
        <f t="shared" si="28"/>
        <v>1</v>
      </c>
      <c r="N97" s="135"/>
      <c r="O97" s="125">
        <f t="shared" si="29"/>
        <v>1</v>
      </c>
      <c r="P97" s="135"/>
      <c r="Q97" s="125">
        <f t="shared" si="30"/>
        <v>1</v>
      </c>
      <c r="R97" s="125">
        <f t="shared" si="31"/>
        <v>0</v>
      </c>
      <c r="S97" s="124">
        <f t="shared" si="22"/>
        <v>0</v>
      </c>
    </row>
    <row r="98" spans="1:19">
      <c r="A98" s="133"/>
      <c r="B98" s="134"/>
      <c r="C98" s="125">
        <f t="shared" si="23"/>
        <v>1</v>
      </c>
      <c r="D98" s="135"/>
      <c r="E98" s="125">
        <f t="shared" si="24"/>
        <v>1</v>
      </c>
      <c r="F98" s="135"/>
      <c r="G98" s="125">
        <f t="shared" si="25"/>
        <v>1</v>
      </c>
      <c r="H98" s="135"/>
      <c r="I98" s="125">
        <f t="shared" si="26"/>
        <v>1</v>
      </c>
      <c r="J98" s="135"/>
      <c r="K98" s="125">
        <f t="shared" si="27"/>
        <v>1</v>
      </c>
      <c r="L98" s="135"/>
      <c r="M98" s="125">
        <f t="shared" si="28"/>
        <v>1</v>
      </c>
      <c r="N98" s="135"/>
      <c r="O98" s="125">
        <f t="shared" si="29"/>
        <v>1</v>
      </c>
      <c r="P98" s="135"/>
      <c r="Q98" s="125">
        <f t="shared" si="30"/>
        <v>1</v>
      </c>
      <c r="R98" s="125">
        <f t="shared" si="31"/>
        <v>0</v>
      </c>
      <c r="S98" s="124">
        <f t="shared" si="22"/>
        <v>0</v>
      </c>
    </row>
    <row r="99" spans="1:19">
      <c r="A99" s="133"/>
      <c r="B99" s="134"/>
      <c r="C99" s="125">
        <f t="shared" si="23"/>
        <v>1</v>
      </c>
      <c r="D99" s="135"/>
      <c r="E99" s="125">
        <f t="shared" si="24"/>
        <v>1</v>
      </c>
      <c r="F99" s="135"/>
      <c r="G99" s="125">
        <f t="shared" si="25"/>
        <v>1</v>
      </c>
      <c r="H99" s="135"/>
      <c r="I99" s="125">
        <f t="shared" si="26"/>
        <v>1</v>
      </c>
      <c r="J99" s="135"/>
      <c r="K99" s="125">
        <f t="shared" si="27"/>
        <v>1</v>
      </c>
      <c r="L99" s="135"/>
      <c r="M99" s="125">
        <f t="shared" si="28"/>
        <v>1</v>
      </c>
      <c r="N99" s="135"/>
      <c r="O99" s="125">
        <f t="shared" si="29"/>
        <v>1</v>
      </c>
      <c r="P99" s="135"/>
      <c r="Q99" s="125">
        <f t="shared" si="30"/>
        <v>1</v>
      </c>
      <c r="R99" s="125">
        <f t="shared" si="31"/>
        <v>0</v>
      </c>
      <c r="S99" s="124">
        <f t="shared" si="22"/>
        <v>0</v>
      </c>
    </row>
    <row r="100" spans="1:19">
      <c r="A100" s="133"/>
      <c r="B100" s="134"/>
      <c r="C100" s="125">
        <f t="shared" si="23"/>
        <v>1</v>
      </c>
      <c r="D100" s="135"/>
      <c r="E100" s="125">
        <f t="shared" si="24"/>
        <v>1</v>
      </c>
      <c r="F100" s="135"/>
      <c r="G100" s="125">
        <f t="shared" si="25"/>
        <v>1</v>
      </c>
      <c r="H100" s="135"/>
      <c r="I100" s="125">
        <f t="shared" si="26"/>
        <v>1</v>
      </c>
      <c r="J100" s="135"/>
      <c r="K100" s="125">
        <f t="shared" si="27"/>
        <v>1</v>
      </c>
      <c r="L100" s="135"/>
      <c r="M100" s="125">
        <f t="shared" si="28"/>
        <v>1</v>
      </c>
      <c r="N100" s="135"/>
      <c r="O100" s="125">
        <f t="shared" si="29"/>
        <v>1</v>
      </c>
      <c r="P100" s="135"/>
      <c r="Q100" s="125">
        <f t="shared" si="30"/>
        <v>1</v>
      </c>
      <c r="R100" s="125">
        <f t="shared" si="31"/>
        <v>0</v>
      </c>
      <c r="S100" s="124">
        <f t="shared" si="22"/>
        <v>0</v>
      </c>
    </row>
    <row r="101" spans="1:19">
      <c r="A101" s="133"/>
      <c r="B101" s="134"/>
      <c r="C101" s="125">
        <f t="shared" si="23"/>
        <v>1</v>
      </c>
      <c r="D101" s="135"/>
      <c r="E101" s="125">
        <f t="shared" si="24"/>
        <v>1</v>
      </c>
      <c r="F101" s="135"/>
      <c r="G101" s="125">
        <f t="shared" si="25"/>
        <v>1</v>
      </c>
      <c r="H101" s="135"/>
      <c r="I101" s="125">
        <f t="shared" si="26"/>
        <v>1</v>
      </c>
      <c r="J101" s="135"/>
      <c r="K101" s="125">
        <f t="shared" si="27"/>
        <v>1</v>
      </c>
      <c r="L101" s="135"/>
      <c r="M101" s="125">
        <f t="shared" si="28"/>
        <v>1</v>
      </c>
      <c r="N101" s="135"/>
      <c r="O101" s="125">
        <f t="shared" si="29"/>
        <v>1</v>
      </c>
      <c r="P101" s="135"/>
      <c r="Q101" s="125">
        <f t="shared" si="30"/>
        <v>1</v>
      </c>
      <c r="R101" s="125">
        <f t="shared" si="31"/>
        <v>0</v>
      </c>
      <c r="S101" s="124">
        <f t="shared" si="22"/>
        <v>0</v>
      </c>
    </row>
    <row r="102" spans="1:19">
      <c r="A102" s="133"/>
      <c r="B102" s="134"/>
      <c r="C102" s="125">
        <f t="shared" si="23"/>
        <v>1</v>
      </c>
      <c r="D102" s="135"/>
      <c r="E102" s="125">
        <f t="shared" si="24"/>
        <v>1</v>
      </c>
      <c r="F102" s="135"/>
      <c r="G102" s="125">
        <f t="shared" si="25"/>
        <v>1</v>
      </c>
      <c r="H102" s="135"/>
      <c r="I102" s="125">
        <f t="shared" si="26"/>
        <v>1</v>
      </c>
      <c r="J102" s="135"/>
      <c r="K102" s="125">
        <f t="shared" si="27"/>
        <v>1</v>
      </c>
      <c r="L102" s="135"/>
      <c r="M102" s="125">
        <f t="shared" si="28"/>
        <v>1</v>
      </c>
      <c r="N102" s="135"/>
      <c r="O102" s="125">
        <f t="shared" si="29"/>
        <v>1</v>
      </c>
      <c r="P102" s="135"/>
      <c r="Q102" s="125">
        <f t="shared" si="30"/>
        <v>1</v>
      </c>
      <c r="R102" s="125">
        <f t="shared" si="31"/>
        <v>0</v>
      </c>
      <c r="S102" s="124">
        <f t="shared" si="22"/>
        <v>0</v>
      </c>
    </row>
    <row r="103" spans="1:19">
      <c r="A103" s="133"/>
      <c r="B103" s="134"/>
      <c r="C103" s="125">
        <f t="shared" si="23"/>
        <v>1</v>
      </c>
      <c r="D103" s="135"/>
      <c r="E103" s="125">
        <f t="shared" si="24"/>
        <v>1</v>
      </c>
      <c r="F103" s="135"/>
      <c r="G103" s="125">
        <f t="shared" si="25"/>
        <v>1</v>
      </c>
      <c r="H103" s="135"/>
      <c r="I103" s="125">
        <f t="shared" si="26"/>
        <v>1</v>
      </c>
      <c r="J103" s="135"/>
      <c r="K103" s="125">
        <f t="shared" si="27"/>
        <v>1</v>
      </c>
      <c r="L103" s="135"/>
      <c r="M103" s="125">
        <f t="shared" si="28"/>
        <v>1</v>
      </c>
      <c r="N103" s="135"/>
      <c r="O103" s="125">
        <f t="shared" si="29"/>
        <v>1</v>
      </c>
      <c r="P103" s="135"/>
      <c r="Q103" s="125">
        <f t="shared" si="30"/>
        <v>1</v>
      </c>
      <c r="R103" s="125">
        <f t="shared" si="31"/>
        <v>0</v>
      </c>
      <c r="S103" s="124">
        <f t="shared" si="22"/>
        <v>0</v>
      </c>
    </row>
    <row r="104" spans="1:19">
      <c r="A104" s="133"/>
      <c r="B104" s="134"/>
      <c r="C104" s="125">
        <f t="shared" si="23"/>
        <v>1</v>
      </c>
      <c r="D104" s="135"/>
      <c r="E104" s="125">
        <f t="shared" si="24"/>
        <v>1</v>
      </c>
      <c r="F104" s="135"/>
      <c r="G104" s="125">
        <f t="shared" si="25"/>
        <v>1</v>
      </c>
      <c r="H104" s="135"/>
      <c r="I104" s="125">
        <f t="shared" si="26"/>
        <v>1</v>
      </c>
      <c r="J104" s="135"/>
      <c r="K104" s="125">
        <f t="shared" si="27"/>
        <v>1</v>
      </c>
      <c r="L104" s="135"/>
      <c r="M104" s="125">
        <f t="shared" si="28"/>
        <v>1</v>
      </c>
      <c r="N104" s="135"/>
      <c r="O104" s="125">
        <f t="shared" si="29"/>
        <v>1</v>
      </c>
      <c r="P104" s="135"/>
      <c r="Q104" s="125">
        <f t="shared" si="30"/>
        <v>1</v>
      </c>
      <c r="R104" s="125">
        <f t="shared" si="31"/>
        <v>0</v>
      </c>
      <c r="S104" s="124">
        <f t="shared" si="22"/>
        <v>0</v>
      </c>
    </row>
    <row r="105" spans="1:19">
      <c r="A105" s="133"/>
      <c r="B105" s="134"/>
      <c r="C105" s="125">
        <f t="shared" si="23"/>
        <v>1</v>
      </c>
      <c r="D105" s="135"/>
      <c r="E105" s="125">
        <f t="shared" si="24"/>
        <v>1</v>
      </c>
      <c r="F105" s="135"/>
      <c r="G105" s="125">
        <f t="shared" si="25"/>
        <v>1</v>
      </c>
      <c r="H105" s="135"/>
      <c r="I105" s="125">
        <f t="shared" si="26"/>
        <v>1</v>
      </c>
      <c r="J105" s="135"/>
      <c r="K105" s="125">
        <f t="shared" si="27"/>
        <v>1</v>
      </c>
      <c r="L105" s="135"/>
      <c r="M105" s="125">
        <f t="shared" si="28"/>
        <v>1</v>
      </c>
      <c r="N105" s="135"/>
      <c r="O105" s="125">
        <f t="shared" si="29"/>
        <v>1</v>
      </c>
      <c r="P105" s="135"/>
      <c r="Q105" s="125">
        <f t="shared" si="30"/>
        <v>1</v>
      </c>
      <c r="R105" s="125">
        <f t="shared" si="31"/>
        <v>0</v>
      </c>
      <c r="S105" s="124">
        <f t="shared" si="22"/>
        <v>0</v>
      </c>
    </row>
    <row r="106" spans="1:19">
      <c r="A106" s="133"/>
      <c r="B106" s="134"/>
      <c r="C106" s="125">
        <f t="shared" si="23"/>
        <v>1</v>
      </c>
      <c r="D106" s="135"/>
      <c r="E106" s="125">
        <f t="shared" si="24"/>
        <v>1</v>
      </c>
      <c r="F106" s="135"/>
      <c r="G106" s="125">
        <f t="shared" si="25"/>
        <v>1</v>
      </c>
      <c r="H106" s="135"/>
      <c r="I106" s="125">
        <f t="shared" si="26"/>
        <v>1</v>
      </c>
      <c r="J106" s="135"/>
      <c r="K106" s="125">
        <f t="shared" si="27"/>
        <v>1</v>
      </c>
      <c r="L106" s="135"/>
      <c r="M106" s="125">
        <f t="shared" si="28"/>
        <v>1</v>
      </c>
      <c r="N106" s="135"/>
      <c r="O106" s="125">
        <f t="shared" si="29"/>
        <v>1</v>
      </c>
      <c r="P106" s="135"/>
      <c r="Q106" s="125">
        <f t="shared" si="30"/>
        <v>1</v>
      </c>
      <c r="R106" s="125">
        <f t="shared" si="31"/>
        <v>0</v>
      </c>
      <c r="S106" s="124">
        <f t="shared" si="22"/>
        <v>0</v>
      </c>
    </row>
    <row r="107" spans="1:19">
      <c r="A107" s="133"/>
      <c r="B107" s="134"/>
      <c r="C107" s="125">
        <f t="shared" si="23"/>
        <v>1</v>
      </c>
      <c r="D107" s="135"/>
      <c r="E107" s="125">
        <f t="shared" si="24"/>
        <v>1</v>
      </c>
      <c r="F107" s="135"/>
      <c r="G107" s="125">
        <f t="shared" si="25"/>
        <v>1</v>
      </c>
      <c r="H107" s="135"/>
      <c r="I107" s="125">
        <f t="shared" si="26"/>
        <v>1</v>
      </c>
      <c r="J107" s="135"/>
      <c r="K107" s="125">
        <f t="shared" si="27"/>
        <v>1</v>
      </c>
      <c r="L107" s="135"/>
      <c r="M107" s="125">
        <f t="shared" si="28"/>
        <v>1</v>
      </c>
      <c r="N107" s="135"/>
      <c r="O107" s="125">
        <f t="shared" si="29"/>
        <v>1</v>
      </c>
      <c r="P107" s="135"/>
      <c r="Q107" s="125">
        <f t="shared" si="30"/>
        <v>1</v>
      </c>
      <c r="R107" s="125">
        <f t="shared" si="31"/>
        <v>0</v>
      </c>
      <c r="S107" s="124">
        <f t="shared" si="22"/>
        <v>0</v>
      </c>
    </row>
    <row r="108" spans="1:19">
      <c r="A108" s="133"/>
      <c r="B108" s="134"/>
      <c r="C108" s="125">
        <f t="shared" si="23"/>
        <v>1</v>
      </c>
      <c r="D108" s="135"/>
      <c r="E108" s="125">
        <f t="shared" si="24"/>
        <v>1</v>
      </c>
      <c r="F108" s="135"/>
      <c r="G108" s="125">
        <f t="shared" si="25"/>
        <v>1</v>
      </c>
      <c r="H108" s="135"/>
      <c r="I108" s="125">
        <f t="shared" si="26"/>
        <v>1</v>
      </c>
      <c r="J108" s="135"/>
      <c r="K108" s="125">
        <f t="shared" si="27"/>
        <v>1</v>
      </c>
      <c r="L108" s="135"/>
      <c r="M108" s="125">
        <f t="shared" si="28"/>
        <v>1</v>
      </c>
      <c r="N108" s="135"/>
      <c r="O108" s="125">
        <f t="shared" si="29"/>
        <v>1</v>
      </c>
      <c r="P108" s="135"/>
      <c r="Q108" s="125">
        <f t="shared" si="30"/>
        <v>1</v>
      </c>
      <c r="R108" s="125">
        <f t="shared" si="31"/>
        <v>0</v>
      </c>
      <c r="S108" s="124">
        <f t="shared" si="22"/>
        <v>0</v>
      </c>
    </row>
    <row r="109" spans="1:19">
      <c r="A109" s="133"/>
      <c r="B109" s="134"/>
      <c r="C109" s="125">
        <f t="shared" si="23"/>
        <v>1</v>
      </c>
      <c r="D109" s="135"/>
      <c r="E109" s="125">
        <f t="shared" si="24"/>
        <v>1</v>
      </c>
      <c r="F109" s="135"/>
      <c r="G109" s="125">
        <f t="shared" si="25"/>
        <v>1</v>
      </c>
      <c r="H109" s="135"/>
      <c r="I109" s="125">
        <f t="shared" si="26"/>
        <v>1</v>
      </c>
      <c r="J109" s="135"/>
      <c r="K109" s="125">
        <f t="shared" si="27"/>
        <v>1</v>
      </c>
      <c r="L109" s="135"/>
      <c r="M109" s="125">
        <f t="shared" si="28"/>
        <v>1</v>
      </c>
      <c r="N109" s="135"/>
      <c r="O109" s="125">
        <f t="shared" si="29"/>
        <v>1</v>
      </c>
      <c r="P109" s="135"/>
      <c r="Q109" s="125">
        <f t="shared" si="30"/>
        <v>1</v>
      </c>
      <c r="R109" s="125">
        <f t="shared" si="31"/>
        <v>0</v>
      </c>
      <c r="S109" s="124">
        <f t="shared" si="22"/>
        <v>0</v>
      </c>
    </row>
    <row r="110" spans="1:19">
      <c r="A110" s="133"/>
      <c r="B110" s="134"/>
      <c r="C110" s="125">
        <f t="shared" si="23"/>
        <v>1</v>
      </c>
      <c r="D110" s="135"/>
      <c r="E110" s="125">
        <f t="shared" si="24"/>
        <v>1</v>
      </c>
      <c r="F110" s="135"/>
      <c r="G110" s="125">
        <f t="shared" si="25"/>
        <v>1</v>
      </c>
      <c r="H110" s="135"/>
      <c r="I110" s="125">
        <f t="shared" si="26"/>
        <v>1</v>
      </c>
      <c r="J110" s="135"/>
      <c r="K110" s="125">
        <f t="shared" si="27"/>
        <v>1</v>
      </c>
      <c r="L110" s="135"/>
      <c r="M110" s="125">
        <f t="shared" si="28"/>
        <v>1</v>
      </c>
      <c r="N110" s="135"/>
      <c r="O110" s="125">
        <f t="shared" si="29"/>
        <v>1</v>
      </c>
      <c r="P110" s="135"/>
      <c r="Q110" s="125">
        <f t="shared" si="30"/>
        <v>1</v>
      </c>
      <c r="R110" s="125">
        <f t="shared" si="31"/>
        <v>0</v>
      </c>
      <c r="S110" s="124">
        <f t="shared" si="22"/>
        <v>0</v>
      </c>
    </row>
    <row r="111" spans="1:19">
      <c r="A111" s="133"/>
      <c r="B111" s="134"/>
      <c r="C111" s="125">
        <f t="shared" si="23"/>
        <v>1</v>
      </c>
      <c r="D111" s="135"/>
      <c r="E111" s="125">
        <f t="shared" si="24"/>
        <v>1</v>
      </c>
      <c r="F111" s="135"/>
      <c r="G111" s="125">
        <f t="shared" si="25"/>
        <v>1</v>
      </c>
      <c r="H111" s="135"/>
      <c r="I111" s="125">
        <f t="shared" si="26"/>
        <v>1</v>
      </c>
      <c r="J111" s="135"/>
      <c r="K111" s="125">
        <f t="shared" si="27"/>
        <v>1</v>
      </c>
      <c r="L111" s="135"/>
      <c r="M111" s="125">
        <f t="shared" si="28"/>
        <v>1</v>
      </c>
      <c r="N111" s="135"/>
      <c r="O111" s="125">
        <f t="shared" si="29"/>
        <v>1</v>
      </c>
      <c r="P111" s="135"/>
      <c r="Q111" s="125">
        <f t="shared" si="30"/>
        <v>1</v>
      </c>
      <c r="R111" s="125">
        <f t="shared" si="31"/>
        <v>0</v>
      </c>
      <c r="S111" s="124">
        <f t="shared" si="22"/>
        <v>0</v>
      </c>
    </row>
    <row r="112" spans="1:19">
      <c r="A112" s="133"/>
      <c r="B112" s="134"/>
      <c r="C112" s="125">
        <f t="shared" si="23"/>
        <v>1</v>
      </c>
      <c r="D112" s="135"/>
      <c r="E112" s="125">
        <f t="shared" si="24"/>
        <v>1</v>
      </c>
      <c r="F112" s="135"/>
      <c r="G112" s="125">
        <f t="shared" si="25"/>
        <v>1</v>
      </c>
      <c r="H112" s="135"/>
      <c r="I112" s="125">
        <f t="shared" si="26"/>
        <v>1</v>
      </c>
      <c r="J112" s="135"/>
      <c r="K112" s="125">
        <f t="shared" si="27"/>
        <v>1</v>
      </c>
      <c r="L112" s="135"/>
      <c r="M112" s="125">
        <f t="shared" si="28"/>
        <v>1</v>
      </c>
      <c r="N112" s="135"/>
      <c r="O112" s="125">
        <f t="shared" si="29"/>
        <v>1</v>
      </c>
      <c r="P112" s="135"/>
      <c r="Q112" s="125">
        <f t="shared" si="30"/>
        <v>1</v>
      </c>
      <c r="R112" s="125">
        <f t="shared" si="31"/>
        <v>0</v>
      </c>
      <c r="S112" s="124">
        <f t="shared" si="22"/>
        <v>0</v>
      </c>
    </row>
    <row r="113" spans="1:19">
      <c r="A113" s="133"/>
      <c r="B113" s="134"/>
      <c r="C113" s="125">
        <f t="shared" si="23"/>
        <v>1</v>
      </c>
      <c r="D113" s="135"/>
      <c r="E113" s="125">
        <f t="shared" si="24"/>
        <v>1</v>
      </c>
      <c r="F113" s="135"/>
      <c r="G113" s="125">
        <f t="shared" si="25"/>
        <v>1</v>
      </c>
      <c r="H113" s="135"/>
      <c r="I113" s="125">
        <f t="shared" si="26"/>
        <v>1</v>
      </c>
      <c r="J113" s="135"/>
      <c r="K113" s="125">
        <f t="shared" si="27"/>
        <v>1</v>
      </c>
      <c r="L113" s="135"/>
      <c r="M113" s="125">
        <f t="shared" si="28"/>
        <v>1</v>
      </c>
      <c r="N113" s="135"/>
      <c r="O113" s="125">
        <f t="shared" si="29"/>
        <v>1</v>
      </c>
      <c r="P113" s="135"/>
      <c r="Q113" s="125">
        <f t="shared" si="30"/>
        <v>1</v>
      </c>
      <c r="R113" s="125">
        <f t="shared" si="31"/>
        <v>0</v>
      </c>
      <c r="S113" s="124">
        <f t="shared" si="22"/>
        <v>0</v>
      </c>
    </row>
    <row r="114" spans="1:19">
      <c r="A114" s="133"/>
      <c r="B114" s="134"/>
      <c r="C114" s="125">
        <f t="shared" si="23"/>
        <v>1</v>
      </c>
      <c r="D114" s="135"/>
      <c r="E114" s="125">
        <f t="shared" si="24"/>
        <v>1</v>
      </c>
      <c r="F114" s="135"/>
      <c r="G114" s="125">
        <f t="shared" si="25"/>
        <v>1</v>
      </c>
      <c r="H114" s="135"/>
      <c r="I114" s="125">
        <f t="shared" si="26"/>
        <v>1</v>
      </c>
      <c r="J114" s="135"/>
      <c r="K114" s="125">
        <f t="shared" si="27"/>
        <v>1</v>
      </c>
      <c r="L114" s="135"/>
      <c r="M114" s="125">
        <f t="shared" si="28"/>
        <v>1</v>
      </c>
      <c r="N114" s="135"/>
      <c r="O114" s="125">
        <f t="shared" si="29"/>
        <v>1</v>
      </c>
      <c r="P114" s="135"/>
      <c r="Q114" s="125">
        <f t="shared" si="30"/>
        <v>1</v>
      </c>
      <c r="R114" s="125">
        <f t="shared" si="31"/>
        <v>0</v>
      </c>
      <c r="S114" s="124">
        <f t="shared" si="22"/>
        <v>0</v>
      </c>
    </row>
    <row r="115" spans="1:19">
      <c r="A115" s="133"/>
      <c r="B115" s="134"/>
      <c r="C115" s="125">
        <f t="shared" si="23"/>
        <v>1</v>
      </c>
      <c r="D115" s="135"/>
      <c r="E115" s="125">
        <f t="shared" si="24"/>
        <v>1</v>
      </c>
      <c r="F115" s="135"/>
      <c r="G115" s="125">
        <f t="shared" si="25"/>
        <v>1</v>
      </c>
      <c r="H115" s="135"/>
      <c r="I115" s="125">
        <f t="shared" si="26"/>
        <v>1</v>
      </c>
      <c r="J115" s="135"/>
      <c r="K115" s="125">
        <f t="shared" si="27"/>
        <v>1</v>
      </c>
      <c r="L115" s="135"/>
      <c r="M115" s="125">
        <f t="shared" si="28"/>
        <v>1</v>
      </c>
      <c r="N115" s="135"/>
      <c r="O115" s="125">
        <f t="shared" si="29"/>
        <v>1</v>
      </c>
      <c r="P115" s="135"/>
      <c r="Q115" s="125">
        <f t="shared" si="30"/>
        <v>1</v>
      </c>
      <c r="R115" s="125">
        <f t="shared" si="31"/>
        <v>0</v>
      </c>
      <c r="S115" s="124">
        <f t="shared" si="22"/>
        <v>0</v>
      </c>
    </row>
    <row r="116" spans="1:19">
      <c r="A116" s="133"/>
      <c r="B116" s="134"/>
      <c r="C116" s="125">
        <f t="shared" si="23"/>
        <v>1</v>
      </c>
      <c r="D116" s="135"/>
      <c r="E116" s="125">
        <f t="shared" si="24"/>
        <v>1</v>
      </c>
      <c r="F116" s="135"/>
      <c r="G116" s="125">
        <f t="shared" si="25"/>
        <v>1</v>
      </c>
      <c r="H116" s="135"/>
      <c r="I116" s="125">
        <f t="shared" si="26"/>
        <v>1</v>
      </c>
      <c r="J116" s="135"/>
      <c r="K116" s="125">
        <f t="shared" si="27"/>
        <v>1</v>
      </c>
      <c r="L116" s="135"/>
      <c r="M116" s="125">
        <f t="shared" si="28"/>
        <v>1</v>
      </c>
      <c r="N116" s="135"/>
      <c r="O116" s="125">
        <f t="shared" si="29"/>
        <v>1</v>
      </c>
      <c r="P116" s="135"/>
      <c r="Q116" s="125">
        <f t="shared" si="30"/>
        <v>1</v>
      </c>
      <c r="R116" s="125">
        <f t="shared" si="31"/>
        <v>0</v>
      </c>
      <c r="S116" s="124">
        <f t="shared" si="22"/>
        <v>0</v>
      </c>
    </row>
    <row r="117" spans="1:19">
      <c r="A117" s="133"/>
      <c r="B117" s="134"/>
      <c r="C117" s="125">
        <f t="shared" si="23"/>
        <v>1</v>
      </c>
      <c r="D117" s="135"/>
      <c r="E117" s="125">
        <f t="shared" si="24"/>
        <v>1</v>
      </c>
      <c r="F117" s="135"/>
      <c r="G117" s="125">
        <f t="shared" si="25"/>
        <v>1</v>
      </c>
      <c r="H117" s="135"/>
      <c r="I117" s="125">
        <f t="shared" si="26"/>
        <v>1</v>
      </c>
      <c r="J117" s="135"/>
      <c r="K117" s="125">
        <f t="shared" si="27"/>
        <v>1</v>
      </c>
      <c r="L117" s="135"/>
      <c r="M117" s="125">
        <f t="shared" si="28"/>
        <v>1</v>
      </c>
      <c r="N117" s="135"/>
      <c r="O117" s="125">
        <f t="shared" si="29"/>
        <v>1</v>
      </c>
      <c r="P117" s="135"/>
      <c r="Q117" s="125">
        <f t="shared" si="30"/>
        <v>1</v>
      </c>
      <c r="R117" s="125">
        <f t="shared" si="31"/>
        <v>0</v>
      </c>
      <c r="S117" s="124">
        <f t="shared" si="22"/>
        <v>0</v>
      </c>
    </row>
    <row r="118" spans="1:19">
      <c r="A118" s="133"/>
      <c r="B118" s="134"/>
      <c r="C118" s="125">
        <f t="shared" si="23"/>
        <v>1</v>
      </c>
      <c r="D118" s="135"/>
      <c r="E118" s="125">
        <f t="shared" si="24"/>
        <v>1</v>
      </c>
      <c r="F118" s="135"/>
      <c r="G118" s="125">
        <f t="shared" si="25"/>
        <v>1</v>
      </c>
      <c r="H118" s="135"/>
      <c r="I118" s="125">
        <f t="shared" si="26"/>
        <v>1</v>
      </c>
      <c r="J118" s="135"/>
      <c r="K118" s="125">
        <f t="shared" si="27"/>
        <v>1</v>
      </c>
      <c r="L118" s="135"/>
      <c r="M118" s="125">
        <f t="shared" si="28"/>
        <v>1</v>
      </c>
      <c r="N118" s="135"/>
      <c r="O118" s="125">
        <f t="shared" si="29"/>
        <v>1</v>
      </c>
      <c r="P118" s="135"/>
      <c r="Q118" s="125">
        <f t="shared" si="30"/>
        <v>1</v>
      </c>
      <c r="R118" s="125">
        <f t="shared" si="31"/>
        <v>0</v>
      </c>
      <c r="S118" s="124">
        <f t="shared" si="22"/>
        <v>0</v>
      </c>
    </row>
    <row r="119" spans="1:19">
      <c r="A119" s="133"/>
      <c r="B119" s="134"/>
      <c r="C119" s="125">
        <f t="shared" si="23"/>
        <v>1</v>
      </c>
      <c r="D119" s="135"/>
      <c r="E119" s="125">
        <f t="shared" si="24"/>
        <v>1</v>
      </c>
      <c r="F119" s="135"/>
      <c r="G119" s="125">
        <f t="shared" si="25"/>
        <v>1</v>
      </c>
      <c r="H119" s="135"/>
      <c r="I119" s="125">
        <f t="shared" si="26"/>
        <v>1</v>
      </c>
      <c r="J119" s="135"/>
      <c r="K119" s="125">
        <f t="shared" si="27"/>
        <v>1</v>
      </c>
      <c r="L119" s="135"/>
      <c r="M119" s="125">
        <f t="shared" si="28"/>
        <v>1</v>
      </c>
      <c r="N119" s="135"/>
      <c r="O119" s="125">
        <f t="shared" si="29"/>
        <v>1</v>
      </c>
      <c r="P119" s="135"/>
      <c r="Q119" s="125">
        <f t="shared" si="30"/>
        <v>1</v>
      </c>
      <c r="R119" s="125">
        <f t="shared" si="31"/>
        <v>0</v>
      </c>
      <c r="S119" s="124">
        <f t="shared" si="22"/>
        <v>0</v>
      </c>
    </row>
    <row r="120" spans="1:19">
      <c r="A120" s="133"/>
      <c r="B120" s="134"/>
      <c r="C120" s="125">
        <f t="shared" si="23"/>
        <v>1</v>
      </c>
      <c r="D120" s="135"/>
      <c r="E120" s="125">
        <f t="shared" si="24"/>
        <v>1</v>
      </c>
      <c r="F120" s="135"/>
      <c r="G120" s="125">
        <f t="shared" si="25"/>
        <v>1</v>
      </c>
      <c r="H120" s="135"/>
      <c r="I120" s="125">
        <f t="shared" si="26"/>
        <v>1</v>
      </c>
      <c r="J120" s="135"/>
      <c r="K120" s="125">
        <f t="shared" si="27"/>
        <v>1</v>
      </c>
      <c r="L120" s="135"/>
      <c r="M120" s="125">
        <f t="shared" si="28"/>
        <v>1</v>
      </c>
      <c r="N120" s="135"/>
      <c r="O120" s="125">
        <f t="shared" si="29"/>
        <v>1</v>
      </c>
      <c r="P120" s="135"/>
      <c r="Q120" s="125">
        <f t="shared" si="30"/>
        <v>1</v>
      </c>
      <c r="R120" s="125">
        <f t="shared" si="31"/>
        <v>0</v>
      </c>
      <c r="S120" s="124">
        <f t="shared" si="22"/>
        <v>0</v>
      </c>
    </row>
    <row r="121" spans="1:19">
      <c r="A121" s="133"/>
      <c r="B121" s="134"/>
      <c r="C121" s="125">
        <f t="shared" si="23"/>
        <v>1</v>
      </c>
      <c r="D121" s="135"/>
      <c r="E121" s="125">
        <f t="shared" si="24"/>
        <v>1</v>
      </c>
      <c r="F121" s="135"/>
      <c r="G121" s="125">
        <f t="shared" si="25"/>
        <v>1</v>
      </c>
      <c r="H121" s="135"/>
      <c r="I121" s="125">
        <f t="shared" si="26"/>
        <v>1</v>
      </c>
      <c r="J121" s="135"/>
      <c r="K121" s="125">
        <f t="shared" si="27"/>
        <v>1</v>
      </c>
      <c r="L121" s="135"/>
      <c r="M121" s="125">
        <f t="shared" si="28"/>
        <v>1</v>
      </c>
      <c r="N121" s="135"/>
      <c r="O121" s="125">
        <f t="shared" si="29"/>
        <v>1</v>
      </c>
      <c r="P121" s="135"/>
      <c r="Q121" s="125">
        <f t="shared" si="30"/>
        <v>1</v>
      </c>
      <c r="R121" s="125">
        <f t="shared" si="31"/>
        <v>0</v>
      </c>
      <c r="S121" s="124">
        <f t="shared" si="22"/>
        <v>0</v>
      </c>
    </row>
    <row r="122" spans="1:19">
      <c r="A122" s="133"/>
      <c r="B122" s="134"/>
      <c r="C122" s="125">
        <f t="shared" si="23"/>
        <v>1</v>
      </c>
      <c r="D122" s="135"/>
      <c r="E122" s="125">
        <f t="shared" si="24"/>
        <v>1</v>
      </c>
      <c r="F122" s="135"/>
      <c r="G122" s="125">
        <f t="shared" si="25"/>
        <v>1</v>
      </c>
      <c r="H122" s="135"/>
      <c r="I122" s="125">
        <f t="shared" si="26"/>
        <v>1</v>
      </c>
      <c r="J122" s="135"/>
      <c r="K122" s="125">
        <f t="shared" si="27"/>
        <v>1</v>
      </c>
      <c r="L122" s="135"/>
      <c r="M122" s="125">
        <f t="shared" si="28"/>
        <v>1</v>
      </c>
      <c r="N122" s="135"/>
      <c r="O122" s="125">
        <f t="shared" si="29"/>
        <v>1</v>
      </c>
      <c r="P122" s="135"/>
      <c r="Q122" s="125">
        <f t="shared" si="30"/>
        <v>1</v>
      </c>
      <c r="R122" s="125">
        <f t="shared" si="31"/>
        <v>0</v>
      </c>
      <c r="S122" s="124">
        <f t="shared" si="22"/>
        <v>0</v>
      </c>
    </row>
    <row r="123" spans="1:19">
      <c r="A123" s="133"/>
      <c r="B123" s="134"/>
      <c r="C123" s="125">
        <f t="shared" si="23"/>
        <v>1</v>
      </c>
      <c r="D123" s="135"/>
      <c r="E123" s="125">
        <f t="shared" si="24"/>
        <v>1</v>
      </c>
      <c r="F123" s="135"/>
      <c r="G123" s="125">
        <f t="shared" si="25"/>
        <v>1</v>
      </c>
      <c r="H123" s="135"/>
      <c r="I123" s="125">
        <f t="shared" si="26"/>
        <v>1</v>
      </c>
      <c r="J123" s="135"/>
      <c r="K123" s="125">
        <f t="shared" si="27"/>
        <v>1</v>
      </c>
      <c r="L123" s="135"/>
      <c r="M123" s="125">
        <f t="shared" si="28"/>
        <v>1</v>
      </c>
      <c r="N123" s="135"/>
      <c r="O123" s="125">
        <f t="shared" si="29"/>
        <v>1</v>
      </c>
      <c r="P123" s="135"/>
      <c r="Q123" s="125">
        <f t="shared" si="30"/>
        <v>1</v>
      </c>
      <c r="R123" s="125">
        <f t="shared" si="31"/>
        <v>0</v>
      </c>
      <c r="S123" s="124">
        <f t="shared" ref="S123:S186" si="32">ROUND(R123*B123/10000,0)</f>
        <v>0</v>
      </c>
    </row>
    <row r="124" spans="1:19">
      <c r="A124" s="133"/>
      <c r="B124" s="134"/>
      <c r="C124" s="125">
        <f t="shared" si="23"/>
        <v>1</v>
      </c>
      <c r="D124" s="135"/>
      <c r="E124" s="125">
        <f t="shared" si="24"/>
        <v>1</v>
      </c>
      <c r="F124" s="135"/>
      <c r="G124" s="125">
        <f t="shared" si="25"/>
        <v>1</v>
      </c>
      <c r="H124" s="135"/>
      <c r="I124" s="125">
        <f t="shared" si="26"/>
        <v>1</v>
      </c>
      <c r="J124" s="135"/>
      <c r="K124" s="125">
        <f t="shared" si="27"/>
        <v>1</v>
      </c>
      <c r="L124" s="135"/>
      <c r="M124" s="125">
        <f t="shared" si="28"/>
        <v>1</v>
      </c>
      <c r="N124" s="135"/>
      <c r="O124" s="125">
        <f t="shared" si="29"/>
        <v>1</v>
      </c>
      <c r="P124" s="135"/>
      <c r="Q124" s="125">
        <f t="shared" si="30"/>
        <v>1</v>
      </c>
      <c r="R124" s="125">
        <f t="shared" si="31"/>
        <v>0</v>
      </c>
      <c r="S124" s="124">
        <f t="shared" si="32"/>
        <v>0</v>
      </c>
    </row>
    <row r="125" spans="1:19">
      <c r="A125" s="133"/>
      <c r="B125" s="134"/>
      <c r="C125" s="125">
        <f t="shared" si="23"/>
        <v>1</v>
      </c>
      <c r="D125" s="135"/>
      <c r="E125" s="125">
        <f t="shared" si="24"/>
        <v>1</v>
      </c>
      <c r="F125" s="135"/>
      <c r="G125" s="125">
        <f t="shared" si="25"/>
        <v>1</v>
      </c>
      <c r="H125" s="135"/>
      <c r="I125" s="125">
        <f t="shared" si="26"/>
        <v>1</v>
      </c>
      <c r="J125" s="135"/>
      <c r="K125" s="125">
        <f t="shared" si="27"/>
        <v>1</v>
      </c>
      <c r="L125" s="135"/>
      <c r="M125" s="125">
        <f t="shared" si="28"/>
        <v>1</v>
      </c>
      <c r="N125" s="135"/>
      <c r="O125" s="125">
        <f t="shared" si="29"/>
        <v>1</v>
      </c>
      <c r="P125" s="135"/>
      <c r="Q125" s="125">
        <f t="shared" si="30"/>
        <v>1</v>
      </c>
      <c r="R125" s="125">
        <f t="shared" si="31"/>
        <v>0</v>
      </c>
      <c r="S125" s="124">
        <f t="shared" si="32"/>
        <v>0</v>
      </c>
    </row>
    <row r="126" spans="1:19">
      <c r="A126" s="133"/>
      <c r="B126" s="134"/>
      <c r="C126" s="125">
        <f t="shared" si="23"/>
        <v>1</v>
      </c>
      <c r="D126" s="135"/>
      <c r="E126" s="125">
        <f t="shared" si="24"/>
        <v>1</v>
      </c>
      <c r="F126" s="135"/>
      <c r="G126" s="125">
        <f t="shared" si="25"/>
        <v>1</v>
      </c>
      <c r="H126" s="135"/>
      <c r="I126" s="125">
        <f t="shared" si="26"/>
        <v>1</v>
      </c>
      <c r="J126" s="135"/>
      <c r="K126" s="125">
        <f t="shared" si="27"/>
        <v>1</v>
      </c>
      <c r="L126" s="135"/>
      <c r="M126" s="125">
        <f t="shared" si="28"/>
        <v>1</v>
      </c>
      <c r="N126" s="135"/>
      <c r="O126" s="125">
        <f t="shared" si="29"/>
        <v>1</v>
      </c>
      <c r="P126" s="135"/>
      <c r="Q126" s="125">
        <f t="shared" si="30"/>
        <v>1</v>
      </c>
      <c r="R126" s="125">
        <f t="shared" si="31"/>
        <v>0</v>
      </c>
      <c r="S126" s="124">
        <f t="shared" si="32"/>
        <v>0</v>
      </c>
    </row>
    <row r="127" spans="1:19">
      <c r="A127" s="133"/>
      <c r="B127" s="134"/>
      <c r="C127" s="125">
        <f t="shared" si="23"/>
        <v>1</v>
      </c>
      <c r="D127" s="135"/>
      <c r="E127" s="125">
        <f t="shared" si="24"/>
        <v>1</v>
      </c>
      <c r="F127" s="135"/>
      <c r="G127" s="125">
        <f t="shared" si="25"/>
        <v>1</v>
      </c>
      <c r="H127" s="135"/>
      <c r="I127" s="125">
        <f t="shared" si="26"/>
        <v>1</v>
      </c>
      <c r="J127" s="135"/>
      <c r="K127" s="125">
        <f t="shared" si="27"/>
        <v>1</v>
      </c>
      <c r="L127" s="135"/>
      <c r="M127" s="125">
        <f t="shared" si="28"/>
        <v>1</v>
      </c>
      <c r="N127" s="135"/>
      <c r="O127" s="125">
        <f t="shared" si="29"/>
        <v>1</v>
      </c>
      <c r="P127" s="135"/>
      <c r="Q127" s="125">
        <f t="shared" si="30"/>
        <v>1</v>
      </c>
      <c r="R127" s="125">
        <f t="shared" si="31"/>
        <v>0</v>
      </c>
      <c r="S127" s="124">
        <f t="shared" si="32"/>
        <v>0</v>
      </c>
    </row>
    <row r="128" spans="1:19">
      <c r="A128" s="133"/>
      <c r="B128" s="134"/>
      <c r="C128" s="125">
        <f t="shared" si="23"/>
        <v>1</v>
      </c>
      <c r="D128" s="135"/>
      <c r="E128" s="125">
        <f t="shared" si="24"/>
        <v>1</v>
      </c>
      <c r="F128" s="135"/>
      <c r="G128" s="125">
        <f t="shared" si="25"/>
        <v>1</v>
      </c>
      <c r="H128" s="135"/>
      <c r="I128" s="125">
        <f t="shared" si="26"/>
        <v>1</v>
      </c>
      <c r="J128" s="135"/>
      <c r="K128" s="125">
        <f t="shared" si="27"/>
        <v>1</v>
      </c>
      <c r="L128" s="135"/>
      <c r="M128" s="125">
        <f t="shared" si="28"/>
        <v>1</v>
      </c>
      <c r="N128" s="135"/>
      <c r="O128" s="125">
        <f t="shared" si="29"/>
        <v>1</v>
      </c>
      <c r="P128" s="135"/>
      <c r="Q128" s="125">
        <f t="shared" si="30"/>
        <v>1</v>
      </c>
      <c r="R128" s="125">
        <f t="shared" si="31"/>
        <v>0</v>
      </c>
      <c r="S128" s="124">
        <f t="shared" si="32"/>
        <v>0</v>
      </c>
    </row>
    <row r="129" spans="1:19">
      <c r="A129" s="133"/>
      <c r="B129" s="134"/>
      <c r="C129" s="125">
        <f t="shared" si="23"/>
        <v>1</v>
      </c>
      <c r="D129" s="135"/>
      <c r="E129" s="125">
        <f t="shared" si="24"/>
        <v>1</v>
      </c>
      <c r="F129" s="135"/>
      <c r="G129" s="125">
        <f t="shared" si="25"/>
        <v>1</v>
      </c>
      <c r="H129" s="135"/>
      <c r="I129" s="125">
        <f t="shared" si="26"/>
        <v>1</v>
      </c>
      <c r="J129" s="135"/>
      <c r="K129" s="125">
        <f t="shared" si="27"/>
        <v>1</v>
      </c>
      <c r="L129" s="135"/>
      <c r="M129" s="125">
        <f t="shared" si="28"/>
        <v>1</v>
      </c>
      <c r="N129" s="135"/>
      <c r="O129" s="125">
        <f t="shared" si="29"/>
        <v>1</v>
      </c>
      <c r="P129" s="135"/>
      <c r="Q129" s="125">
        <f t="shared" si="30"/>
        <v>1</v>
      </c>
      <c r="R129" s="125">
        <f t="shared" si="31"/>
        <v>0</v>
      </c>
      <c r="S129" s="124">
        <f t="shared" si="32"/>
        <v>0</v>
      </c>
    </row>
    <row r="130" spans="1:19">
      <c r="A130" s="133"/>
      <c r="B130" s="134"/>
      <c r="C130" s="125">
        <f t="shared" si="23"/>
        <v>1</v>
      </c>
      <c r="D130" s="135"/>
      <c r="E130" s="125">
        <f t="shared" si="24"/>
        <v>1</v>
      </c>
      <c r="F130" s="135"/>
      <c r="G130" s="125">
        <f t="shared" si="25"/>
        <v>1</v>
      </c>
      <c r="H130" s="135"/>
      <c r="I130" s="125">
        <f t="shared" si="26"/>
        <v>1</v>
      </c>
      <c r="J130" s="135"/>
      <c r="K130" s="125">
        <f t="shared" si="27"/>
        <v>1</v>
      </c>
      <c r="L130" s="135"/>
      <c r="M130" s="125">
        <f t="shared" si="28"/>
        <v>1</v>
      </c>
      <c r="N130" s="135"/>
      <c r="O130" s="125">
        <f t="shared" si="29"/>
        <v>1</v>
      </c>
      <c r="P130" s="135"/>
      <c r="Q130" s="125">
        <f t="shared" si="30"/>
        <v>1</v>
      </c>
      <c r="R130" s="125">
        <f t="shared" si="31"/>
        <v>0</v>
      </c>
      <c r="S130" s="124">
        <f t="shared" si="32"/>
        <v>0</v>
      </c>
    </row>
    <row r="131" spans="1:19">
      <c r="A131" s="133"/>
      <c r="B131" s="134"/>
      <c r="C131" s="125">
        <f t="shared" si="23"/>
        <v>1</v>
      </c>
      <c r="D131" s="135"/>
      <c r="E131" s="125">
        <f t="shared" si="24"/>
        <v>1</v>
      </c>
      <c r="F131" s="135"/>
      <c r="G131" s="125">
        <f t="shared" si="25"/>
        <v>1</v>
      </c>
      <c r="H131" s="135"/>
      <c r="I131" s="125">
        <f t="shared" si="26"/>
        <v>1</v>
      </c>
      <c r="J131" s="135"/>
      <c r="K131" s="125">
        <f t="shared" si="27"/>
        <v>1</v>
      </c>
      <c r="L131" s="135"/>
      <c r="M131" s="125">
        <f t="shared" si="28"/>
        <v>1</v>
      </c>
      <c r="N131" s="135"/>
      <c r="O131" s="125">
        <f t="shared" si="29"/>
        <v>1</v>
      </c>
      <c r="P131" s="135"/>
      <c r="Q131" s="125">
        <f t="shared" si="30"/>
        <v>1</v>
      </c>
      <c r="R131" s="125">
        <f t="shared" si="31"/>
        <v>0</v>
      </c>
      <c r="S131" s="124">
        <f t="shared" si="32"/>
        <v>0</v>
      </c>
    </row>
    <row r="132" spans="1:19">
      <c r="A132" s="133"/>
      <c r="B132" s="134"/>
      <c r="C132" s="125">
        <f t="shared" si="23"/>
        <v>1</v>
      </c>
      <c r="D132" s="135"/>
      <c r="E132" s="125">
        <f t="shared" si="24"/>
        <v>1</v>
      </c>
      <c r="F132" s="135"/>
      <c r="G132" s="125">
        <f t="shared" si="25"/>
        <v>1</v>
      </c>
      <c r="H132" s="135"/>
      <c r="I132" s="125">
        <f t="shared" si="26"/>
        <v>1</v>
      </c>
      <c r="J132" s="135"/>
      <c r="K132" s="125">
        <f t="shared" si="27"/>
        <v>1</v>
      </c>
      <c r="L132" s="135"/>
      <c r="M132" s="125">
        <f t="shared" si="28"/>
        <v>1</v>
      </c>
      <c r="N132" s="135"/>
      <c r="O132" s="125">
        <f t="shared" si="29"/>
        <v>1</v>
      </c>
      <c r="P132" s="135"/>
      <c r="Q132" s="125">
        <f t="shared" si="30"/>
        <v>1</v>
      </c>
      <c r="R132" s="125">
        <f t="shared" si="31"/>
        <v>0</v>
      </c>
      <c r="S132" s="124">
        <f t="shared" si="32"/>
        <v>0</v>
      </c>
    </row>
    <row r="133" spans="1:19">
      <c r="A133" s="133"/>
      <c r="B133" s="134"/>
      <c r="C133" s="125">
        <f t="shared" si="23"/>
        <v>1</v>
      </c>
      <c r="D133" s="135"/>
      <c r="E133" s="125">
        <f t="shared" si="24"/>
        <v>1</v>
      </c>
      <c r="F133" s="135"/>
      <c r="G133" s="125">
        <f t="shared" si="25"/>
        <v>1</v>
      </c>
      <c r="H133" s="135"/>
      <c r="I133" s="125">
        <f t="shared" si="26"/>
        <v>1</v>
      </c>
      <c r="J133" s="135"/>
      <c r="K133" s="125">
        <f t="shared" si="27"/>
        <v>1</v>
      </c>
      <c r="L133" s="135"/>
      <c r="M133" s="125">
        <f t="shared" si="28"/>
        <v>1</v>
      </c>
      <c r="N133" s="135"/>
      <c r="O133" s="125">
        <f t="shared" si="29"/>
        <v>1</v>
      </c>
      <c r="P133" s="135"/>
      <c r="Q133" s="125">
        <f t="shared" si="30"/>
        <v>1</v>
      </c>
      <c r="R133" s="125">
        <f t="shared" si="31"/>
        <v>0</v>
      </c>
      <c r="S133" s="124">
        <f t="shared" si="32"/>
        <v>0</v>
      </c>
    </row>
    <row r="134" spans="1:19">
      <c r="A134" s="133"/>
      <c r="B134" s="134"/>
      <c r="C134" s="125">
        <f t="shared" si="23"/>
        <v>1</v>
      </c>
      <c r="D134" s="135"/>
      <c r="E134" s="125">
        <f t="shared" si="24"/>
        <v>1</v>
      </c>
      <c r="F134" s="135"/>
      <c r="G134" s="125">
        <f t="shared" si="25"/>
        <v>1</v>
      </c>
      <c r="H134" s="135"/>
      <c r="I134" s="125">
        <f t="shared" si="26"/>
        <v>1</v>
      </c>
      <c r="J134" s="135"/>
      <c r="K134" s="125">
        <f t="shared" si="27"/>
        <v>1</v>
      </c>
      <c r="L134" s="135"/>
      <c r="M134" s="125">
        <f t="shared" si="28"/>
        <v>1</v>
      </c>
      <c r="N134" s="135"/>
      <c r="O134" s="125">
        <f t="shared" si="29"/>
        <v>1</v>
      </c>
      <c r="P134" s="135"/>
      <c r="Q134" s="125">
        <f t="shared" si="30"/>
        <v>1</v>
      </c>
      <c r="R134" s="125">
        <f t="shared" si="31"/>
        <v>0</v>
      </c>
      <c r="S134" s="124">
        <f t="shared" si="32"/>
        <v>0</v>
      </c>
    </row>
    <row r="135" spans="1:19">
      <c r="A135" s="133"/>
      <c r="B135" s="134"/>
      <c r="C135" s="125">
        <f t="shared" si="23"/>
        <v>1</v>
      </c>
      <c r="D135" s="135"/>
      <c r="E135" s="125">
        <f t="shared" si="24"/>
        <v>1</v>
      </c>
      <c r="F135" s="135"/>
      <c r="G135" s="125">
        <f t="shared" si="25"/>
        <v>1</v>
      </c>
      <c r="H135" s="135"/>
      <c r="I135" s="125">
        <f t="shared" si="26"/>
        <v>1</v>
      </c>
      <c r="J135" s="135"/>
      <c r="K135" s="125">
        <f t="shared" si="27"/>
        <v>1</v>
      </c>
      <c r="L135" s="135"/>
      <c r="M135" s="125">
        <f t="shared" si="28"/>
        <v>1</v>
      </c>
      <c r="N135" s="135"/>
      <c r="O135" s="125">
        <f t="shared" si="29"/>
        <v>1</v>
      </c>
      <c r="P135" s="135"/>
      <c r="Q135" s="125">
        <f t="shared" si="30"/>
        <v>1</v>
      </c>
      <c r="R135" s="125">
        <f t="shared" si="31"/>
        <v>0</v>
      </c>
      <c r="S135" s="124">
        <f t="shared" si="32"/>
        <v>0</v>
      </c>
    </row>
    <row r="136" spans="1:19">
      <c r="A136" s="133"/>
      <c r="B136" s="134"/>
      <c r="C136" s="125">
        <f t="shared" si="23"/>
        <v>1</v>
      </c>
      <c r="D136" s="135"/>
      <c r="E136" s="125">
        <f t="shared" si="24"/>
        <v>1</v>
      </c>
      <c r="F136" s="135"/>
      <c r="G136" s="125">
        <f t="shared" si="25"/>
        <v>1</v>
      </c>
      <c r="H136" s="135"/>
      <c r="I136" s="125">
        <f t="shared" si="26"/>
        <v>1</v>
      </c>
      <c r="J136" s="135"/>
      <c r="K136" s="125">
        <f t="shared" si="27"/>
        <v>1</v>
      </c>
      <c r="L136" s="135"/>
      <c r="M136" s="125">
        <f t="shared" si="28"/>
        <v>1</v>
      </c>
      <c r="N136" s="135"/>
      <c r="O136" s="125">
        <f t="shared" si="29"/>
        <v>1</v>
      </c>
      <c r="P136" s="135"/>
      <c r="Q136" s="125">
        <f t="shared" si="30"/>
        <v>1</v>
      </c>
      <c r="R136" s="125">
        <f t="shared" si="31"/>
        <v>0</v>
      </c>
      <c r="S136" s="124">
        <f t="shared" si="32"/>
        <v>0</v>
      </c>
    </row>
    <row r="137" spans="1:19">
      <c r="A137" s="133"/>
      <c r="B137" s="134"/>
      <c r="C137" s="125">
        <f t="shared" si="23"/>
        <v>1</v>
      </c>
      <c r="D137" s="135"/>
      <c r="E137" s="125">
        <f t="shared" si="24"/>
        <v>1</v>
      </c>
      <c r="F137" s="135"/>
      <c r="G137" s="125">
        <f t="shared" si="25"/>
        <v>1</v>
      </c>
      <c r="H137" s="135"/>
      <c r="I137" s="125">
        <f t="shared" si="26"/>
        <v>1</v>
      </c>
      <c r="J137" s="135"/>
      <c r="K137" s="125">
        <f t="shared" si="27"/>
        <v>1</v>
      </c>
      <c r="L137" s="135"/>
      <c r="M137" s="125">
        <f t="shared" si="28"/>
        <v>1</v>
      </c>
      <c r="N137" s="135"/>
      <c r="O137" s="125">
        <f t="shared" si="29"/>
        <v>1</v>
      </c>
      <c r="P137" s="135"/>
      <c r="Q137" s="125">
        <f t="shared" si="30"/>
        <v>1</v>
      </c>
      <c r="R137" s="125">
        <f t="shared" si="31"/>
        <v>0</v>
      </c>
      <c r="S137" s="124">
        <f t="shared" si="32"/>
        <v>0</v>
      </c>
    </row>
    <row r="138" spans="1:19">
      <c r="A138" s="133"/>
      <c r="B138" s="134"/>
      <c r="C138" s="125">
        <f t="shared" si="23"/>
        <v>1</v>
      </c>
      <c r="D138" s="135"/>
      <c r="E138" s="125">
        <f t="shared" si="24"/>
        <v>1</v>
      </c>
      <c r="F138" s="135"/>
      <c r="G138" s="125">
        <f t="shared" si="25"/>
        <v>1</v>
      </c>
      <c r="H138" s="135"/>
      <c r="I138" s="125">
        <f t="shared" si="26"/>
        <v>1</v>
      </c>
      <c r="J138" s="135"/>
      <c r="K138" s="125">
        <f t="shared" si="27"/>
        <v>1</v>
      </c>
      <c r="L138" s="135"/>
      <c r="M138" s="125">
        <f t="shared" si="28"/>
        <v>1</v>
      </c>
      <c r="N138" s="135"/>
      <c r="O138" s="125">
        <f t="shared" si="29"/>
        <v>1</v>
      </c>
      <c r="P138" s="135"/>
      <c r="Q138" s="125">
        <f t="shared" si="30"/>
        <v>1</v>
      </c>
      <c r="R138" s="125">
        <f t="shared" si="31"/>
        <v>0</v>
      </c>
      <c r="S138" s="124">
        <f t="shared" si="32"/>
        <v>0</v>
      </c>
    </row>
    <row r="139" spans="1:19">
      <c r="A139" s="133"/>
      <c r="B139" s="134"/>
      <c r="C139" s="125">
        <f t="shared" si="23"/>
        <v>1</v>
      </c>
      <c r="D139" s="135"/>
      <c r="E139" s="125">
        <f t="shared" si="24"/>
        <v>1</v>
      </c>
      <c r="F139" s="135"/>
      <c r="G139" s="125">
        <f t="shared" si="25"/>
        <v>1</v>
      </c>
      <c r="H139" s="135"/>
      <c r="I139" s="125">
        <f t="shared" si="26"/>
        <v>1</v>
      </c>
      <c r="J139" s="135"/>
      <c r="K139" s="125">
        <f t="shared" si="27"/>
        <v>1</v>
      </c>
      <c r="L139" s="135"/>
      <c r="M139" s="125">
        <f t="shared" si="28"/>
        <v>1</v>
      </c>
      <c r="N139" s="135"/>
      <c r="O139" s="125">
        <f t="shared" si="29"/>
        <v>1</v>
      </c>
      <c r="P139" s="135"/>
      <c r="Q139" s="125">
        <f t="shared" si="30"/>
        <v>1</v>
      </c>
      <c r="R139" s="125">
        <f t="shared" si="31"/>
        <v>0</v>
      </c>
      <c r="S139" s="124">
        <f t="shared" si="32"/>
        <v>0</v>
      </c>
    </row>
    <row r="140" spans="1:19">
      <c r="A140" s="133"/>
      <c r="B140" s="134"/>
      <c r="C140" s="125">
        <f t="shared" si="23"/>
        <v>1</v>
      </c>
      <c r="D140" s="135"/>
      <c r="E140" s="125">
        <f t="shared" si="24"/>
        <v>1</v>
      </c>
      <c r="F140" s="135"/>
      <c r="G140" s="125">
        <f t="shared" si="25"/>
        <v>1</v>
      </c>
      <c r="H140" s="135"/>
      <c r="I140" s="125">
        <f t="shared" si="26"/>
        <v>1</v>
      </c>
      <c r="J140" s="135"/>
      <c r="K140" s="125">
        <f t="shared" si="27"/>
        <v>1</v>
      </c>
      <c r="L140" s="135"/>
      <c r="M140" s="125">
        <f t="shared" si="28"/>
        <v>1</v>
      </c>
      <c r="N140" s="135"/>
      <c r="O140" s="125">
        <f t="shared" si="29"/>
        <v>1</v>
      </c>
      <c r="P140" s="135"/>
      <c r="Q140" s="125">
        <f t="shared" si="30"/>
        <v>1</v>
      </c>
      <c r="R140" s="125">
        <f t="shared" si="31"/>
        <v>0</v>
      </c>
      <c r="S140" s="124">
        <f t="shared" si="32"/>
        <v>0</v>
      </c>
    </row>
    <row r="141" spans="1:19">
      <c r="A141" s="133"/>
      <c r="B141" s="134"/>
      <c r="C141" s="125">
        <f t="shared" si="23"/>
        <v>1</v>
      </c>
      <c r="D141" s="135"/>
      <c r="E141" s="125">
        <f t="shared" si="24"/>
        <v>1</v>
      </c>
      <c r="F141" s="135"/>
      <c r="G141" s="125">
        <f t="shared" si="25"/>
        <v>1</v>
      </c>
      <c r="H141" s="135"/>
      <c r="I141" s="125">
        <f t="shared" si="26"/>
        <v>1</v>
      </c>
      <c r="J141" s="135"/>
      <c r="K141" s="125">
        <f t="shared" si="27"/>
        <v>1</v>
      </c>
      <c r="L141" s="135"/>
      <c r="M141" s="125">
        <f t="shared" si="28"/>
        <v>1</v>
      </c>
      <c r="N141" s="135"/>
      <c r="O141" s="125">
        <f t="shared" si="29"/>
        <v>1</v>
      </c>
      <c r="P141" s="135"/>
      <c r="Q141" s="125">
        <f t="shared" si="30"/>
        <v>1</v>
      </c>
      <c r="R141" s="125">
        <f t="shared" si="31"/>
        <v>0</v>
      </c>
      <c r="S141" s="124">
        <f t="shared" si="32"/>
        <v>0</v>
      </c>
    </row>
    <row r="142" spans="1:19">
      <c r="A142" s="133"/>
      <c r="B142" s="134"/>
      <c r="C142" s="125">
        <f t="shared" si="23"/>
        <v>1</v>
      </c>
      <c r="D142" s="135"/>
      <c r="E142" s="125">
        <f t="shared" si="24"/>
        <v>1</v>
      </c>
      <c r="F142" s="135"/>
      <c r="G142" s="125">
        <f t="shared" si="25"/>
        <v>1</v>
      </c>
      <c r="H142" s="135"/>
      <c r="I142" s="125">
        <f t="shared" si="26"/>
        <v>1</v>
      </c>
      <c r="J142" s="135"/>
      <c r="K142" s="125">
        <f t="shared" si="27"/>
        <v>1</v>
      </c>
      <c r="L142" s="135"/>
      <c r="M142" s="125">
        <f t="shared" si="28"/>
        <v>1</v>
      </c>
      <c r="N142" s="135"/>
      <c r="O142" s="125">
        <f t="shared" si="29"/>
        <v>1</v>
      </c>
      <c r="P142" s="135"/>
      <c r="Q142" s="125">
        <f t="shared" si="30"/>
        <v>1</v>
      </c>
      <c r="R142" s="125">
        <f t="shared" si="31"/>
        <v>0</v>
      </c>
      <c r="S142" s="124">
        <f t="shared" si="32"/>
        <v>0</v>
      </c>
    </row>
    <row r="143" spans="1:19">
      <c r="A143" s="133"/>
      <c r="B143" s="134"/>
      <c r="C143" s="125">
        <f t="shared" si="23"/>
        <v>1</v>
      </c>
      <c r="D143" s="135"/>
      <c r="E143" s="125">
        <f t="shared" si="24"/>
        <v>1</v>
      </c>
      <c r="F143" s="135"/>
      <c r="G143" s="125">
        <f t="shared" si="25"/>
        <v>1</v>
      </c>
      <c r="H143" s="135"/>
      <c r="I143" s="125">
        <f t="shared" si="26"/>
        <v>1</v>
      </c>
      <c r="J143" s="135"/>
      <c r="K143" s="125">
        <f t="shared" si="27"/>
        <v>1</v>
      </c>
      <c r="L143" s="135"/>
      <c r="M143" s="125">
        <f t="shared" si="28"/>
        <v>1</v>
      </c>
      <c r="N143" s="135"/>
      <c r="O143" s="125">
        <f t="shared" si="29"/>
        <v>1</v>
      </c>
      <c r="P143" s="135"/>
      <c r="Q143" s="125">
        <f t="shared" si="30"/>
        <v>1</v>
      </c>
      <c r="R143" s="125">
        <f t="shared" si="31"/>
        <v>0</v>
      </c>
      <c r="S143" s="124">
        <f t="shared" si="32"/>
        <v>0</v>
      </c>
    </row>
    <row r="144" spans="1:19">
      <c r="A144" s="133"/>
      <c r="B144" s="134"/>
      <c r="C144" s="125">
        <f t="shared" si="23"/>
        <v>1</v>
      </c>
      <c r="D144" s="135"/>
      <c r="E144" s="125">
        <f t="shared" si="24"/>
        <v>1</v>
      </c>
      <c r="F144" s="135"/>
      <c r="G144" s="125">
        <f t="shared" si="25"/>
        <v>1</v>
      </c>
      <c r="H144" s="135"/>
      <c r="I144" s="125">
        <f t="shared" si="26"/>
        <v>1</v>
      </c>
      <c r="J144" s="135"/>
      <c r="K144" s="125">
        <f t="shared" si="27"/>
        <v>1</v>
      </c>
      <c r="L144" s="135"/>
      <c r="M144" s="125">
        <f t="shared" si="28"/>
        <v>1</v>
      </c>
      <c r="N144" s="135"/>
      <c r="O144" s="125">
        <f t="shared" si="29"/>
        <v>1</v>
      </c>
      <c r="P144" s="135"/>
      <c r="Q144" s="125">
        <f t="shared" si="30"/>
        <v>1</v>
      </c>
      <c r="R144" s="125">
        <f t="shared" si="31"/>
        <v>0</v>
      </c>
      <c r="S144" s="124">
        <f t="shared" si="32"/>
        <v>0</v>
      </c>
    </row>
    <row r="145" spans="1:19">
      <c r="A145" s="133"/>
      <c r="B145" s="134"/>
      <c r="C145" s="125">
        <f t="shared" si="23"/>
        <v>1</v>
      </c>
      <c r="D145" s="135"/>
      <c r="E145" s="125">
        <f t="shared" si="24"/>
        <v>1</v>
      </c>
      <c r="F145" s="135"/>
      <c r="G145" s="125">
        <f t="shared" si="25"/>
        <v>1</v>
      </c>
      <c r="H145" s="135"/>
      <c r="I145" s="125">
        <f t="shared" si="26"/>
        <v>1</v>
      </c>
      <c r="J145" s="135"/>
      <c r="K145" s="125">
        <f t="shared" si="27"/>
        <v>1</v>
      </c>
      <c r="L145" s="135"/>
      <c r="M145" s="125">
        <f t="shared" si="28"/>
        <v>1</v>
      </c>
      <c r="N145" s="135"/>
      <c r="O145" s="125">
        <f t="shared" si="29"/>
        <v>1</v>
      </c>
      <c r="P145" s="135"/>
      <c r="Q145" s="125">
        <f t="shared" si="30"/>
        <v>1</v>
      </c>
      <c r="R145" s="125">
        <f t="shared" si="31"/>
        <v>0</v>
      </c>
      <c r="S145" s="124">
        <f t="shared" si="32"/>
        <v>0</v>
      </c>
    </row>
    <row r="146" spans="1:19">
      <c r="A146" s="133"/>
      <c r="B146" s="134"/>
      <c r="C146" s="125">
        <f t="shared" si="23"/>
        <v>1</v>
      </c>
      <c r="D146" s="135"/>
      <c r="E146" s="125">
        <f t="shared" si="24"/>
        <v>1</v>
      </c>
      <c r="F146" s="135"/>
      <c r="G146" s="125">
        <f t="shared" si="25"/>
        <v>1</v>
      </c>
      <c r="H146" s="135"/>
      <c r="I146" s="125">
        <f t="shared" si="26"/>
        <v>1</v>
      </c>
      <c r="J146" s="135"/>
      <c r="K146" s="125">
        <f t="shared" si="27"/>
        <v>1</v>
      </c>
      <c r="L146" s="135"/>
      <c r="M146" s="125">
        <f t="shared" si="28"/>
        <v>1</v>
      </c>
      <c r="N146" s="135"/>
      <c r="O146" s="125">
        <f t="shared" si="29"/>
        <v>1</v>
      </c>
      <c r="P146" s="135"/>
      <c r="Q146" s="125">
        <f t="shared" si="30"/>
        <v>1</v>
      </c>
      <c r="R146" s="125">
        <f t="shared" si="31"/>
        <v>0</v>
      </c>
      <c r="S146" s="124">
        <f t="shared" si="32"/>
        <v>0</v>
      </c>
    </row>
    <row r="147" spans="1:19">
      <c r="A147" s="133"/>
      <c r="B147" s="134"/>
      <c r="C147" s="125">
        <f t="shared" si="23"/>
        <v>1</v>
      </c>
      <c r="D147" s="135"/>
      <c r="E147" s="125">
        <f t="shared" si="24"/>
        <v>1</v>
      </c>
      <c r="F147" s="135"/>
      <c r="G147" s="125">
        <f t="shared" si="25"/>
        <v>1</v>
      </c>
      <c r="H147" s="135"/>
      <c r="I147" s="125">
        <f t="shared" si="26"/>
        <v>1</v>
      </c>
      <c r="J147" s="135"/>
      <c r="K147" s="125">
        <f t="shared" si="27"/>
        <v>1</v>
      </c>
      <c r="L147" s="135"/>
      <c r="M147" s="125">
        <f t="shared" si="28"/>
        <v>1</v>
      </c>
      <c r="N147" s="135"/>
      <c r="O147" s="125">
        <f t="shared" si="29"/>
        <v>1</v>
      </c>
      <c r="P147" s="135"/>
      <c r="Q147" s="125">
        <f t="shared" si="30"/>
        <v>1</v>
      </c>
      <c r="R147" s="125">
        <f t="shared" si="31"/>
        <v>0</v>
      </c>
      <c r="S147" s="124">
        <f t="shared" si="32"/>
        <v>0</v>
      </c>
    </row>
    <row r="148" spans="1:19">
      <c r="A148" s="133"/>
      <c r="B148" s="134"/>
      <c r="C148" s="125">
        <f t="shared" si="23"/>
        <v>1</v>
      </c>
      <c r="D148" s="135"/>
      <c r="E148" s="125">
        <f t="shared" si="24"/>
        <v>1</v>
      </c>
      <c r="F148" s="135"/>
      <c r="G148" s="125">
        <f t="shared" si="25"/>
        <v>1</v>
      </c>
      <c r="H148" s="135"/>
      <c r="I148" s="125">
        <f t="shared" si="26"/>
        <v>1</v>
      </c>
      <c r="J148" s="135"/>
      <c r="K148" s="125">
        <f t="shared" si="27"/>
        <v>1</v>
      </c>
      <c r="L148" s="135"/>
      <c r="M148" s="125">
        <f t="shared" si="28"/>
        <v>1</v>
      </c>
      <c r="N148" s="135"/>
      <c r="O148" s="125">
        <f t="shared" si="29"/>
        <v>1</v>
      </c>
      <c r="P148" s="135"/>
      <c r="Q148" s="125">
        <f t="shared" si="30"/>
        <v>1</v>
      </c>
      <c r="R148" s="125">
        <f t="shared" si="31"/>
        <v>0</v>
      </c>
      <c r="S148" s="124">
        <f t="shared" si="32"/>
        <v>0</v>
      </c>
    </row>
    <row r="149" spans="1:19">
      <c r="A149" s="133"/>
      <c r="B149" s="134"/>
      <c r="C149" s="125">
        <f t="shared" si="23"/>
        <v>1</v>
      </c>
      <c r="D149" s="135"/>
      <c r="E149" s="125">
        <f t="shared" si="24"/>
        <v>1</v>
      </c>
      <c r="F149" s="135"/>
      <c r="G149" s="125">
        <f t="shared" si="25"/>
        <v>1</v>
      </c>
      <c r="H149" s="135"/>
      <c r="I149" s="125">
        <f t="shared" si="26"/>
        <v>1</v>
      </c>
      <c r="J149" s="135"/>
      <c r="K149" s="125">
        <f t="shared" si="27"/>
        <v>1</v>
      </c>
      <c r="L149" s="135"/>
      <c r="M149" s="125">
        <f t="shared" si="28"/>
        <v>1</v>
      </c>
      <c r="N149" s="135"/>
      <c r="O149" s="125">
        <f t="shared" si="29"/>
        <v>1</v>
      </c>
      <c r="P149" s="135"/>
      <c r="Q149" s="125">
        <f t="shared" si="30"/>
        <v>1</v>
      </c>
      <c r="R149" s="125">
        <f t="shared" si="31"/>
        <v>0</v>
      </c>
      <c r="S149" s="124">
        <f t="shared" si="32"/>
        <v>0</v>
      </c>
    </row>
    <row r="150" spans="1:19">
      <c r="A150" s="133"/>
      <c r="B150" s="134"/>
      <c r="C150" s="125">
        <f t="shared" si="23"/>
        <v>1</v>
      </c>
      <c r="D150" s="135"/>
      <c r="E150" s="125">
        <f t="shared" si="24"/>
        <v>1</v>
      </c>
      <c r="F150" s="135"/>
      <c r="G150" s="125">
        <f t="shared" si="25"/>
        <v>1</v>
      </c>
      <c r="H150" s="135"/>
      <c r="I150" s="125">
        <f t="shared" si="26"/>
        <v>1</v>
      </c>
      <c r="J150" s="135"/>
      <c r="K150" s="125">
        <f t="shared" si="27"/>
        <v>1</v>
      </c>
      <c r="L150" s="135"/>
      <c r="M150" s="125">
        <f t="shared" si="28"/>
        <v>1</v>
      </c>
      <c r="N150" s="135"/>
      <c r="O150" s="125">
        <f t="shared" si="29"/>
        <v>1</v>
      </c>
      <c r="P150" s="135"/>
      <c r="Q150" s="125">
        <f t="shared" si="30"/>
        <v>1</v>
      </c>
      <c r="R150" s="125">
        <f t="shared" si="31"/>
        <v>0</v>
      </c>
      <c r="S150" s="124">
        <f t="shared" si="32"/>
        <v>0</v>
      </c>
    </row>
    <row r="151" spans="1:19">
      <c r="A151" s="133"/>
      <c r="B151" s="134"/>
      <c r="C151" s="125">
        <f t="shared" si="23"/>
        <v>1</v>
      </c>
      <c r="D151" s="135"/>
      <c r="E151" s="125">
        <f t="shared" si="24"/>
        <v>1</v>
      </c>
      <c r="F151" s="135"/>
      <c r="G151" s="125">
        <f t="shared" si="25"/>
        <v>1</v>
      </c>
      <c r="H151" s="135"/>
      <c r="I151" s="125">
        <f t="shared" si="26"/>
        <v>1</v>
      </c>
      <c r="J151" s="135"/>
      <c r="K151" s="125">
        <f t="shared" si="27"/>
        <v>1</v>
      </c>
      <c r="L151" s="135"/>
      <c r="M151" s="125">
        <f t="shared" si="28"/>
        <v>1</v>
      </c>
      <c r="N151" s="135"/>
      <c r="O151" s="125">
        <f t="shared" si="29"/>
        <v>1</v>
      </c>
      <c r="P151" s="135"/>
      <c r="Q151" s="125">
        <f t="shared" si="30"/>
        <v>1</v>
      </c>
      <c r="R151" s="125">
        <f t="shared" si="31"/>
        <v>0</v>
      </c>
      <c r="S151" s="124">
        <f t="shared" si="32"/>
        <v>0</v>
      </c>
    </row>
    <row r="152" spans="1:19">
      <c r="A152" s="133"/>
      <c r="B152" s="134"/>
      <c r="C152" s="125">
        <f t="shared" si="23"/>
        <v>1</v>
      </c>
      <c r="D152" s="135"/>
      <c r="E152" s="125">
        <f t="shared" si="24"/>
        <v>1</v>
      </c>
      <c r="F152" s="135"/>
      <c r="G152" s="125">
        <f t="shared" si="25"/>
        <v>1</v>
      </c>
      <c r="H152" s="135"/>
      <c r="I152" s="125">
        <f t="shared" si="26"/>
        <v>1</v>
      </c>
      <c r="J152" s="135"/>
      <c r="K152" s="125">
        <f t="shared" si="27"/>
        <v>1</v>
      </c>
      <c r="L152" s="135"/>
      <c r="M152" s="125">
        <f t="shared" si="28"/>
        <v>1</v>
      </c>
      <c r="N152" s="135"/>
      <c r="O152" s="125">
        <f t="shared" si="29"/>
        <v>1</v>
      </c>
      <c r="P152" s="135"/>
      <c r="Q152" s="125">
        <f t="shared" si="30"/>
        <v>1</v>
      </c>
      <c r="R152" s="125">
        <f t="shared" si="31"/>
        <v>0</v>
      </c>
      <c r="S152" s="124">
        <f t="shared" si="32"/>
        <v>0</v>
      </c>
    </row>
    <row r="153" spans="1:19">
      <c r="A153" s="133"/>
      <c r="B153" s="134"/>
      <c r="C153" s="125">
        <f t="shared" si="23"/>
        <v>1</v>
      </c>
      <c r="D153" s="135"/>
      <c r="E153" s="125">
        <f t="shared" si="24"/>
        <v>1</v>
      </c>
      <c r="F153" s="135"/>
      <c r="G153" s="125">
        <f t="shared" si="25"/>
        <v>1</v>
      </c>
      <c r="H153" s="135"/>
      <c r="I153" s="125">
        <f t="shared" si="26"/>
        <v>1</v>
      </c>
      <c r="J153" s="135"/>
      <c r="K153" s="125">
        <f t="shared" si="27"/>
        <v>1</v>
      </c>
      <c r="L153" s="135"/>
      <c r="M153" s="125">
        <f t="shared" si="28"/>
        <v>1</v>
      </c>
      <c r="N153" s="135"/>
      <c r="O153" s="125">
        <f t="shared" si="29"/>
        <v>1</v>
      </c>
      <c r="P153" s="135"/>
      <c r="Q153" s="125">
        <f t="shared" si="30"/>
        <v>1</v>
      </c>
      <c r="R153" s="125">
        <f t="shared" si="31"/>
        <v>0</v>
      </c>
      <c r="S153" s="124">
        <f t="shared" si="32"/>
        <v>0</v>
      </c>
    </row>
    <row r="154" spans="1:19">
      <c r="A154" s="133"/>
      <c r="B154" s="134"/>
      <c r="C154" s="125">
        <f t="shared" ref="C154:C217" si="33">IF(B154="",1,(LOOKUP(B154,$3:$3,$4:$4)-LOOKUP($B$24,$3:$3,$4:$4)+100)/100)</f>
        <v>1</v>
      </c>
      <c r="D154" s="135"/>
      <c r="E154" s="125">
        <f t="shared" ref="E154:E217" si="34">(SUMIF($5:$5,D154,$6:$6)-SUMIF($5:$5,$D$24,$6:$6)+100)/100</f>
        <v>1</v>
      </c>
      <c r="F154" s="135"/>
      <c r="G154" s="125">
        <f t="shared" ref="G154:G217" si="35">(SUMIF($7:$7,F154,$8:$8)-SUMIF($7:$7,$F$24,$8:$8)+100)/100</f>
        <v>1</v>
      </c>
      <c r="H154" s="135"/>
      <c r="I154" s="125">
        <f t="shared" ref="I154:I217" si="36">(SUMIF($9:$9,H154,$10:$10)-SUMIF($9:$9,$H$24,$10:$10)+100)/100</f>
        <v>1</v>
      </c>
      <c r="J154" s="135"/>
      <c r="K154" s="125">
        <f t="shared" ref="K154:K217" si="37">(SUMIF($11:$11,J154,$12:$12)-SUMIF($11:$11,$J$24,$12:$12)+100)/100</f>
        <v>1</v>
      </c>
      <c r="L154" s="135"/>
      <c r="M154" s="125">
        <f t="shared" ref="M154:M217" si="38">(SUMIF($13:$13,L154,$14:$14)-SUMIF($13:$13,$L$24,$14:$14)+100)/100</f>
        <v>1</v>
      </c>
      <c r="N154" s="135"/>
      <c r="O154" s="125">
        <f t="shared" ref="O154:O217" si="39">(SUMIF($15:$15,N154,$16:$16)-SUMIF($15:$15,$N$24,$16:$16)+100)/100</f>
        <v>1</v>
      </c>
      <c r="P154" s="135"/>
      <c r="Q154" s="125">
        <f t="shared" ref="Q154:Q217" si="40">(SUMIF($17:$17,P154,$18:$18)-SUMIF($17:$17,$P$24,$18:$18)+100)/100</f>
        <v>1</v>
      </c>
      <c r="R154" s="125">
        <f t="shared" ref="R154:R217" si="41">IF(B154="",0,ROUND($R$24*C154*E154*G154*I154*K154*M154*O154*Q154,0))</f>
        <v>0</v>
      </c>
      <c r="S154" s="124">
        <f t="shared" si="32"/>
        <v>0</v>
      </c>
    </row>
    <row r="155" spans="1:19">
      <c r="A155" s="133"/>
      <c r="B155" s="134"/>
      <c r="C155" s="125">
        <f t="shared" si="33"/>
        <v>1</v>
      </c>
      <c r="D155" s="135"/>
      <c r="E155" s="125">
        <f t="shared" si="34"/>
        <v>1</v>
      </c>
      <c r="F155" s="135"/>
      <c r="G155" s="125">
        <f t="shared" si="35"/>
        <v>1</v>
      </c>
      <c r="H155" s="135"/>
      <c r="I155" s="125">
        <f t="shared" si="36"/>
        <v>1</v>
      </c>
      <c r="J155" s="135"/>
      <c r="K155" s="125">
        <f t="shared" si="37"/>
        <v>1</v>
      </c>
      <c r="L155" s="135"/>
      <c r="M155" s="125">
        <f t="shared" si="38"/>
        <v>1</v>
      </c>
      <c r="N155" s="135"/>
      <c r="O155" s="125">
        <f t="shared" si="39"/>
        <v>1</v>
      </c>
      <c r="P155" s="135"/>
      <c r="Q155" s="125">
        <f t="shared" si="40"/>
        <v>1</v>
      </c>
      <c r="R155" s="125">
        <f t="shared" si="41"/>
        <v>0</v>
      </c>
      <c r="S155" s="124">
        <f t="shared" si="32"/>
        <v>0</v>
      </c>
    </row>
    <row r="156" spans="1:19">
      <c r="A156" s="133"/>
      <c r="B156" s="134"/>
      <c r="C156" s="125">
        <f t="shared" si="33"/>
        <v>1</v>
      </c>
      <c r="D156" s="135"/>
      <c r="E156" s="125">
        <f t="shared" si="34"/>
        <v>1</v>
      </c>
      <c r="F156" s="135"/>
      <c r="G156" s="125">
        <f t="shared" si="35"/>
        <v>1</v>
      </c>
      <c r="H156" s="135"/>
      <c r="I156" s="125">
        <f t="shared" si="36"/>
        <v>1</v>
      </c>
      <c r="J156" s="135"/>
      <c r="K156" s="125">
        <f t="shared" si="37"/>
        <v>1</v>
      </c>
      <c r="L156" s="135"/>
      <c r="M156" s="125">
        <f t="shared" si="38"/>
        <v>1</v>
      </c>
      <c r="N156" s="135"/>
      <c r="O156" s="125">
        <f t="shared" si="39"/>
        <v>1</v>
      </c>
      <c r="P156" s="135"/>
      <c r="Q156" s="125">
        <f t="shared" si="40"/>
        <v>1</v>
      </c>
      <c r="R156" s="125">
        <f t="shared" si="41"/>
        <v>0</v>
      </c>
      <c r="S156" s="124">
        <f t="shared" si="32"/>
        <v>0</v>
      </c>
    </row>
    <row r="157" spans="1:19">
      <c r="A157" s="133"/>
      <c r="B157" s="134"/>
      <c r="C157" s="125">
        <f t="shared" si="33"/>
        <v>1</v>
      </c>
      <c r="D157" s="135"/>
      <c r="E157" s="125">
        <f t="shared" si="34"/>
        <v>1</v>
      </c>
      <c r="F157" s="135"/>
      <c r="G157" s="125">
        <f t="shared" si="35"/>
        <v>1</v>
      </c>
      <c r="H157" s="135"/>
      <c r="I157" s="125">
        <f t="shared" si="36"/>
        <v>1</v>
      </c>
      <c r="J157" s="135"/>
      <c r="K157" s="125">
        <f t="shared" si="37"/>
        <v>1</v>
      </c>
      <c r="L157" s="135"/>
      <c r="M157" s="125">
        <f t="shared" si="38"/>
        <v>1</v>
      </c>
      <c r="N157" s="135"/>
      <c r="O157" s="125">
        <f t="shared" si="39"/>
        <v>1</v>
      </c>
      <c r="P157" s="135"/>
      <c r="Q157" s="125">
        <f t="shared" si="40"/>
        <v>1</v>
      </c>
      <c r="R157" s="125">
        <f t="shared" si="41"/>
        <v>0</v>
      </c>
      <c r="S157" s="124">
        <f t="shared" si="32"/>
        <v>0</v>
      </c>
    </row>
    <row r="158" spans="1:19">
      <c r="A158" s="133"/>
      <c r="B158" s="134"/>
      <c r="C158" s="125">
        <f t="shared" si="33"/>
        <v>1</v>
      </c>
      <c r="D158" s="135"/>
      <c r="E158" s="125">
        <f t="shared" si="34"/>
        <v>1</v>
      </c>
      <c r="F158" s="135"/>
      <c r="G158" s="125">
        <f t="shared" si="35"/>
        <v>1</v>
      </c>
      <c r="H158" s="135"/>
      <c r="I158" s="125">
        <f t="shared" si="36"/>
        <v>1</v>
      </c>
      <c r="J158" s="135"/>
      <c r="K158" s="125">
        <f t="shared" si="37"/>
        <v>1</v>
      </c>
      <c r="L158" s="135"/>
      <c r="M158" s="125">
        <f t="shared" si="38"/>
        <v>1</v>
      </c>
      <c r="N158" s="135"/>
      <c r="O158" s="125">
        <f t="shared" si="39"/>
        <v>1</v>
      </c>
      <c r="P158" s="135"/>
      <c r="Q158" s="125">
        <f t="shared" si="40"/>
        <v>1</v>
      </c>
      <c r="R158" s="125">
        <f t="shared" si="41"/>
        <v>0</v>
      </c>
      <c r="S158" s="124">
        <f t="shared" si="32"/>
        <v>0</v>
      </c>
    </row>
    <row r="159" spans="1:19">
      <c r="A159" s="133"/>
      <c r="B159" s="134"/>
      <c r="C159" s="125">
        <f t="shared" si="33"/>
        <v>1</v>
      </c>
      <c r="D159" s="135"/>
      <c r="E159" s="125">
        <f t="shared" si="34"/>
        <v>1</v>
      </c>
      <c r="F159" s="135"/>
      <c r="G159" s="125">
        <f t="shared" si="35"/>
        <v>1</v>
      </c>
      <c r="H159" s="135"/>
      <c r="I159" s="125">
        <f t="shared" si="36"/>
        <v>1</v>
      </c>
      <c r="J159" s="135"/>
      <c r="K159" s="125">
        <f t="shared" si="37"/>
        <v>1</v>
      </c>
      <c r="L159" s="135"/>
      <c r="M159" s="125">
        <f t="shared" si="38"/>
        <v>1</v>
      </c>
      <c r="N159" s="135"/>
      <c r="O159" s="125">
        <f t="shared" si="39"/>
        <v>1</v>
      </c>
      <c r="P159" s="135"/>
      <c r="Q159" s="125">
        <f t="shared" si="40"/>
        <v>1</v>
      </c>
      <c r="R159" s="125">
        <f t="shared" si="41"/>
        <v>0</v>
      </c>
      <c r="S159" s="124">
        <f t="shared" si="32"/>
        <v>0</v>
      </c>
    </row>
    <row r="160" spans="1:19">
      <c r="A160" s="133"/>
      <c r="B160" s="134"/>
      <c r="C160" s="125">
        <f t="shared" si="33"/>
        <v>1</v>
      </c>
      <c r="D160" s="135"/>
      <c r="E160" s="125">
        <f t="shared" si="34"/>
        <v>1</v>
      </c>
      <c r="F160" s="135"/>
      <c r="G160" s="125">
        <f t="shared" si="35"/>
        <v>1</v>
      </c>
      <c r="H160" s="135"/>
      <c r="I160" s="125">
        <f t="shared" si="36"/>
        <v>1</v>
      </c>
      <c r="J160" s="135"/>
      <c r="K160" s="125">
        <f t="shared" si="37"/>
        <v>1</v>
      </c>
      <c r="L160" s="135"/>
      <c r="M160" s="125">
        <f t="shared" si="38"/>
        <v>1</v>
      </c>
      <c r="N160" s="135"/>
      <c r="O160" s="125">
        <f t="shared" si="39"/>
        <v>1</v>
      </c>
      <c r="P160" s="135"/>
      <c r="Q160" s="125">
        <f t="shared" si="40"/>
        <v>1</v>
      </c>
      <c r="R160" s="125">
        <f t="shared" si="41"/>
        <v>0</v>
      </c>
      <c r="S160" s="124">
        <f t="shared" si="32"/>
        <v>0</v>
      </c>
    </row>
    <row r="161" spans="1:19">
      <c r="A161" s="133"/>
      <c r="B161" s="134"/>
      <c r="C161" s="125">
        <f t="shared" si="33"/>
        <v>1</v>
      </c>
      <c r="D161" s="135"/>
      <c r="E161" s="125">
        <f t="shared" si="34"/>
        <v>1</v>
      </c>
      <c r="F161" s="135"/>
      <c r="G161" s="125">
        <f t="shared" si="35"/>
        <v>1</v>
      </c>
      <c r="H161" s="135"/>
      <c r="I161" s="125">
        <f t="shared" si="36"/>
        <v>1</v>
      </c>
      <c r="J161" s="135"/>
      <c r="K161" s="125">
        <f t="shared" si="37"/>
        <v>1</v>
      </c>
      <c r="L161" s="135"/>
      <c r="M161" s="125">
        <f t="shared" si="38"/>
        <v>1</v>
      </c>
      <c r="N161" s="135"/>
      <c r="O161" s="125">
        <f t="shared" si="39"/>
        <v>1</v>
      </c>
      <c r="P161" s="135"/>
      <c r="Q161" s="125">
        <f t="shared" si="40"/>
        <v>1</v>
      </c>
      <c r="R161" s="125">
        <f t="shared" si="41"/>
        <v>0</v>
      </c>
      <c r="S161" s="124">
        <f t="shared" si="32"/>
        <v>0</v>
      </c>
    </row>
    <row r="162" spans="1:19">
      <c r="A162" s="133"/>
      <c r="B162" s="134"/>
      <c r="C162" s="125">
        <f t="shared" si="33"/>
        <v>1</v>
      </c>
      <c r="D162" s="135"/>
      <c r="E162" s="125">
        <f t="shared" si="34"/>
        <v>1</v>
      </c>
      <c r="F162" s="135"/>
      <c r="G162" s="125">
        <f t="shared" si="35"/>
        <v>1</v>
      </c>
      <c r="H162" s="135"/>
      <c r="I162" s="125">
        <f t="shared" si="36"/>
        <v>1</v>
      </c>
      <c r="J162" s="135"/>
      <c r="K162" s="125">
        <f t="shared" si="37"/>
        <v>1</v>
      </c>
      <c r="L162" s="135"/>
      <c r="M162" s="125">
        <f t="shared" si="38"/>
        <v>1</v>
      </c>
      <c r="N162" s="135"/>
      <c r="O162" s="125">
        <f t="shared" si="39"/>
        <v>1</v>
      </c>
      <c r="P162" s="135"/>
      <c r="Q162" s="125">
        <f t="shared" si="40"/>
        <v>1</v>
      </c>
      <c r="R162" s="125">
        <f t="shared" si="41"/>
        <v>0</v>
      </c>
      <c r="S162" s="124">
        <f t="shared" si="32"/>
        <v>0</v>
      </c>
    </row>
    <row r="163" spans="1:19">
      <c r="A163" s="133"/>
      <c r="B163" s="134"/>
      <c r="C163" s="125">
        <f t="shared" si="33"/>
        <v>1</v>
      </c>
      <c r="D163" s="135"/>
      <c r="E163" s="125">
        <f t="shared" si="34"/>
        <v>1</v>
      </c>
      <c r="F163" s="135"/>
      <c r="G163" s="125">
        <f t="shared" si="35"/>
        <v>1</v>
      </c>
      <c r="H163" s="135"/>
      <c r="I163" s="125">
        <f t="shared" si="36"/>
        <v>1</v>
      </c>
      <c r="J163" s="135"/>
      <c r="K163" s="125">
        <f t="shared" si="37"/>
        <v>1</v>
      </c>
      <c r="L163" s="135"/>
      <c r="M163" s="125">
        <f t="shared" si="38"/>
        <v>1</v>
      </c>
      <c r="N163" s="135"/>
      <c r="O163" s="125">
        <f t="shared" si="39"/>
        <v>1</v>
      </c>
      <c r="P163" s="135"/>
      <c r="Q163" s="125">
        <f t="shared" si="40"/>
        <v>1</v>
      </c>
      <c r="R163" s="125">
        <f t="shared" si="41"/>
        <v>0</v>
      </c>
      <c r="S163" s="124">
        <f t="shared" si="32"/>
        <v>0</v>
      </c>
    </row>
    <row r="164" spans="1:19">
      <c r="A164" s="133"/>
      <c r="B164" s="134"/>
      <c r="C164" s="125">
        <f t="shared" si="33"/>
        <v>1</v>
      </c>
      <c r="D164" s="135"/>
      <c r="E164" s="125">
        <f t="shared" si="34"/>
        <v>1</v>
      </c>
      <c r="F164" s="135"/>
      <c r="G164" s="125">
        <f t="shared" si="35"/>
        <v>1</v>
      </c>
      <c r="H164" s="135"/>
      <c r="I164" s="125">
        <f t="shared" si="36"/>
        <v>1</v>
      </c>
      <c r="J164" s="135"/>
      <c r="K164" s="125">
        <f t="shared" si="37"/>
        <v>1</v>
      </c>
      <c r="L164" s="135"/>
      <c r="M164" s="125">
        <f t="shared" si="38"/>
        <v>1</v>
      </c>
      <c r="N164" s="135"/>
      <c r="O164" s="125">
        <f t="shared" si="39"/>
        <v>1</v>
      </c>
      <c r="P164" s="135"/>
      <c r="Q164" s="125">
        <f t="shared" si="40"/>
        <v>1</v>
      </c>
      <c r="R164" s="125">
        <f t="shared" si="41"/>
        <v>0</v>
      </c>
      <c r="S164" s="124">
        <f t="shared" si="32"/>
        <v>0</v>
      </c>
    </row>
    <row r="165" spans="1:19">
      <c r="A165" s="133"/>
      <c r="B165" s="134"/>
      <c r="C165" s="125">
        <f t="shared" si="33"/>
        <v>1</v>
      </c>
      <c r="D165" s="135"/>
      <c r="E165" s="125">
        <f t="shared" si="34"/>
        <v>1</v>
      </c>
      <c r="F165" s="135"/>
      <c r="G165" s="125">
        <f t="shared" si="35"/>
        <v>1</v>
      </c>
      <c r="H165" s="135"/>
      <c r="I165" s="125">
        <f t="shared" si="36"/>
        <v>1</v>
      </c>
      <c r="J165" s="135"/>
      <c r="K165" s="125">
        <f t="shared" si="37"/>
        <v>1</v>
      </c>
      <c r="L165" s="135"/>
      <c r="M165" s="125">
        <f t="shared" si="38"/>
        <v>1</v>
      </c>
      <c r="N165" s="135"/>
      <c r="O165" s="125">
        <f t="shared" si="39"/>
        <v>1</v>
      </c>
      <c r="P165" s="135"/>
      <c r="Q165" s="125">
        <f t="shared" si="40"/>
        <v>1</v>
      </c>
      <c r="R165" s="125">
        <f t="shared" si="41"/>
        <v>0</v>
      </c>
      <c r="S165" s="124">
        <f t="shared" si="32"/>
        <v>0</v>
      </c>
    </row>
    <row r="166" spans="1:19">
      <c r="A166" s="133"/>
      <c r="B166" s="134"/>
      <c r="C166" s="125">
        <f t="shared" si="33"/>
        <v>1</v>
      </c>
      <c r="D166" s="135"/>
      <c r="E166" s="125">
        <f t="shared" si="34"/>
        <v>1</v>
      </c>
      <c r="F166" s="135"/>
      <c r="G166" s="125">
        <f t="shared" si="35"/>
        <v>1</v>
      </c>
      <c r="H166" s="135"/>
      <c r="I166" s="125">
        <f t="shared" si="36"/>
        <v>1</v>
      </c>
      <c r="J166" s="135"/>
      <c r="K166" s="125">
        <f t="shared" si="37"/>
        <v>1</v>
      </c>
      <c r="L166" s="135"/>
      <c r="M166" s="125">
        <f t="shared" si="38"/>
        <v>1</v>
      </c>
      <c r="N166" s="135"/>
      <c r="O166" s="125">
        <f t="shared" si="39"/>
        <v>1</v>
      </c>
      <c r="P166" s="135"/>
      <c r="Q166" s="125">
        <f t="shared" si="40"/>
        <v>1</v>
      </c>
      <c r="R166" s="125">
        <f t="shared" si="41"/>
        <v>0</v>
      </c>
      <c r="S166" s="124">
        <f t="shared" si="32"/>
        <v>0</v>
      </c>
    </row>
    <row r="167" spans="1:19">
      <c r="A167" s="133"/>
      <c r="B167" s="134"/>
      <c r="C167" s="125">
        <f t="shared" si="33"/>
        <v>1</v>
      </c>
      <c r="D167" s="135"/>
      <c r="E167" s="125">
        <f t="shared" si="34"/>
        <v>1</v>
      </c>
      <c r="F167" s="135"/>
      <c r="G167" s="125">
        <f t="shared" si="35"/>
        <v>1</v>
      </c>
      <c r="H167" s="135"/>
      <c r="I167" s="125">
        <f t="shared" si="36"/>
        <v>1</v>
      </c>
      <c r="J167" s="135"/>
      <c r="K167" s="125">
        <f t="shared" si="37"/>
        <v>1</v>
      </c>
      <c r="L167" s="135"/>
      <c r="M167" s="125">
        <f t="shared" si="38"/>
        <v>1</v>
      </c>
      <c r="N167" s="135"/>
      <c r="O167" s="125">
        <f t="shared" si="39"/>
        <v>1</v>
      </c>
      <c r="P167" s="135"/>
      <c r="Q167" s="125">
        <f t="shared" si="40"/>
        <v>1</v>
      </c>
      <c r="R167" s="125">
        <f t="shared" si="41"/>
        <v>0</v>
      </c>
      <c r="S167" s="124">
        <f t="shared" si="32"/>
        <v>0</v>
      </c>
    </row>
    <row r="168" spans="1:19">
      <c r="A168" s="133"/>
      <c r="B168" s="134"/>
      <c r="C168" s="125">
        <f t="shared" si="33"/>
        <v>1</v>
      </c>
      <c r="D168" s="135"/>
      <c r="E168" s="125">
        <f t="shared" si="34"/>
        <v>1</v>
      </c>
      <c r="F168" s="135"/>
      <c r="G168" s="125">
        <f t="shared" si="35"/>
        <v>1</v>
      </c>
      <c r="H168" s="135"/>
      <c r="I168" s="125">
        <f t="shared" si="36"/>
        <v>1</v>
      </c>
      <c r="J168" s="135"/>
      <c r="K168" s="125">
        <f t="shared" si="37"/>
        <v>1</v>
      </c>
      <c r="L168" s="135"/>
      <c r="M168" s="125">
        <f t="shared" si="38"/>
        <v>1</v>
      </c>
      <c r="N168" s="135"/>
      <c r="O168" s="125">
        <f t="shared" si="39"/>
        <v>1</v>
      </c>
      <c r="P168" s="135"/>
      <c r="Q168" s="125">
        <f t="shared" si="40"/>
        <v>1</v>
      </c>
      <c r="R168" s="125">
        <f t="shared" si="41"/>
        <v>0</v>
      </c>
      <c r="S168" s="124">
        <f t="shared" si="32"/>
        <v>0</v>
      </c>
    </row>
    <row r="169" spans="1:19">
      <c r="A169" s="133"/>
      <c r="B169" s="134"/>
      <c r="C169" s="125">
        <f t="shared" si="33"/>
        <v>1</v>
      </c>
      <c r="D169" s="135"/>
      <c r="E169" s="125">
        <f t="shared" si="34"/>
        <v>1</v>
      </c>
      <c r="F169" s="135"/>
      <c r="G169" s="125">
        <f t="shared" si="35"/>
        <v>1</v>
      </c>
      <c r="H169" s="135"/>
      <c r="I169" s="125">
        <f t="shared" si="36"/>
        <v>1</v>
      </c>
      <c r="J169" s="135"/>
      <c r="K169" s="125">
        <f t="shared" si="37"/>
        <v>1</v>
      </c>
      <c r="L169" s="135"/>
      <c r="M169" s="125">
        <f t="shared" si="38"/>
        <v>1</v>
      </c>
      <c r="N169" s="135"/>
      <c r="O169" s="125">
        <f t="shared" si="39"/>
        <v>1</v>
      </c>
      <c r="P169" s="135"/>
      <c r="Q169" s="125">
        <f t="shared" si="40"/>
        <v>1</v>
      </c>
      <c r="R169" s="125">
        <f t="shared" si="41"/>
        <v>0</v>
      </c>
      <c r="S169" s="124">
        <f t="shared" si="32"/>
        <v>0</v>
      </c>
    </row>
    <row r="170" spans="1:19">
      <c r="A170" s="133"/>
      <c r="B170" s="134"/>
      <c r="C170" s="125">
        <f t="shared" si="33"/>
        <v>1</v>
      </c>
      <c r="D170" s="135"/>
      <c r="E170" s="125">
        <f t="shared" si="34"/>
        <v>1</v>
      </c>
      <c r="F170" s="135"/>
      <c r="G170" s="125">
        <f t="shared" si="35"/>
        <v>1</v>
      </c>
      <c r="H170" s="135"/>
      <c r="I170" s="125">
        <f t="shared" si="36"/>
        <v>1</v>
      </c>
      <c r="J170" s="135"/>
      <c r="K170" s="125">
        <f t="shared" si="37"/>
        <v>1</v>
      </c>
      <c r="L170" s="135"/>
      <c r="M170" s="125">
        <f t="shared" si="38"/>
        <v>1</v>
      </c>
      <c r="N170" s="135"/>
      <c r="O170" s="125">
        <f t="shared" si="39"/>
        <v>1</v>
      </c>
      <c r="P170" s="135"/>
      <c r="Q170" s="125">
        <f t="shared" si="40"/>
        <v>1</v>
      </c>
      <c r="R170" s="125">
        <f t="shared" si="41"/>
        <v>0</v>
      </c>
      <c r="S170" s="124">
        <f t="shared" si="32"/>
        <v>0</v>
      </c>
    </row>
    <row r="171" spans="1:19">
      <c r="A171" s="133"/>
      <c r="B171" s="134"/>
      <c r="C171" s="125">
        <f t="shared" si="33"/>
        <v>1</v>
      </c>
      <c r="D171" s="135"/>
      <c r="E171" s="125">
        <f t="shared" si="34"/>
        <v>1</v>
      </c>
      <c r="F171" s="135"/>
      <c r="G171" s="125">
        <f t="shared" si="35"/>
        <v>1</v>
      </c>
      <c r="H171" s="135"/>
      <c r="I171" s="125">
        <f t="shared" si="36"/>
        <v>1</v>
      </c>
      <c r="J171" s="135"/>
      <c r="K171" s="125">
        <f t="shared" si="37"/>
        <v>1</v>
      </c>
      <c r="L171" s="135"/>
      <c r="M171" s="125">
        <f t="shared" si="38"/>
        <v>1</v>
      </c>
      <c r="N171" s="135"/>
      <c r="O171" s="125">
        <f t="shared" si="39"/>
        <v>1</v>
      </c>
      <c r="P171" s="135"/>
      <c r="Q171" s="125">
        <f t="shared" si="40"/>
        <v>1</v>
      </c>
      <c r="R171" s="125">
        <f t="shared" si="41"/>
        <v>0</v>
      </c>
      <c r="S171" s="124">
        <f t="shared" si="32"/>
        <v>0</v>
      </c>
    </row>
    <row r="172" spans="1:19">
      <c r="A172" s="133"/>
      <c r="B172" s="134"/>
      <c r="C172" s="125">
        <f t="shared" si="33"/>
        <v>1</v>
      </c>
      <c r="D172" s="135"/>
      <c r="E172" s="125">
        <f t="shared" si="34"/>
        <v>1</v>
      </c>
      <c r="F172" s="135"/>
      <c r="G172" s="125">
        <f t="shared" si="35"/>
        <v>1</v>
      </c>
      <c r="H172" s="135"/>
      <c r="I172" s="125">
        <f t="shared" si="36"/>
        <v>1</v>
      </c>
      <c r="J172" s="135"/>
      <c r="K172" s="125">
        <f t="shared" si="37"/>
        <v>1</v>
      </c>
      <c r="L172" s="135"/>
      <c r="M172" s="125">
        <f t="shared" si="38"/>
        <v>1</v>
      </c>
      <c r="N172" s="135"/>
      <c r="O172" s="125">
        <f t="shared" si="39"/>
        <v>1</v>
      </c>
      <c r="P172" s="135"/>
      <c r="Q172" s="125">
        <f t="shared" si="40"/>
        <v>1</v>
      </c>
      <c r="R172" s="125">
        <f t="shared" si="41"/>
        <v>0</v>
      </c>
      <c r="S172" s="124">
        <f t="shared" si="32"/>
        <v>0</v>
      </c>
    </row>
    <row r="173" spans="1:19">
      <c r="A173" s="133"/>
      <c r="B173" s="134"/>
      <c r="C173" s="125">
        <f t="shared" si="33"/>
        <v>1</v>
      </c>
      <c r="D173" s="135"/>
      <c r="E173" s="125">
        <f t="shared" si="34"/>
        <v>1</v>
      </c>
      <c r="F173" s="135"/>
      <c r="G173" s="125">
        <f t="shared" si="35"/>
        <v>1</v>
      </c>
      <c r="H173" s="135"/>
      <c r="I173" s="125">
        <f t="shared" si="36"/>
        <v>1</v>
      </c>
      <c r="J173" s="135"/>
      <c r="K173" s="125">
        <f t="shared" si="37"/>
        <v>1</v>
      </c>
      <c r="L173" s="135"/>
      <c r="M173" s="125">
        <f t="shared" si="38"/>
        <v>1</v>
      </c>
      <c r="N173" s="135"/>
      <c r="O173" s="125">
        <f t="shared" si="39"/>
        <v>1</v>
      </c>
      <c r="P173" s="135"/>
      <c r="Q173" s="125">
        <f t="shared" si="40"/>
        <v>1</v>
      </c>
      <c r="R173" s="125">
        <f t="shared" si="41"/>
        <v>0</v>
      </c>
      <c r="S173" s="124">
        <f t="shared" si="32"/>
        <v>0</v>
      </c>
    </row>
    <row r="174" spans="1:19">
      <c r="A174" s="133"/>
      <c r="B174" s="134"/>
      <c r="C174" s="125">
        <f t="shared" si="33"/>
        <v>1</v>
      </c>
      <c r="D174" s="135"/>
      <c r="E174" s="125">
        <f t="shared" si="34"/>
        <v>1</v>
      </c>
      <c r="F174" s="135"/>
      <c r="G174" s="125">
        <f t="shared" si="35"/>
        <v>1</v>
      </c>
      <c r="H174" s="135"/>
      <c r="I174" s="125">
        <f t="shared" si="36"/>
        <v>1</v>
      </c>
      <c r="J174" s="135"/>
      <c r="K174" s="125">
        <f t="shared" si="37"/>
        <v>1</v>
      </c>
      <c r="L174" s="135"/>
      <c r="M174" s="125">
        <f t="shared" si="38"/>
        <v>1</v>
      </c>
      <c r="N174" s="135"/>
      <c r="O174" s="125">
        <f t="shared" si="39"/>
        <v>1</v>
      </c>
      <c r="P174" s="135"/>
      <c r="Q174" s="125">
        <f t="shared" si="40"/>
        <v>1</v>
      </c>
      <c r="R174" s="125">
        <f t="shared" si="41"/>
        <v>0</v>
      </c>
      <c r="S174" s="124">
        <f t="shared" si="32"/>
        <v>0</v>
      </c>
    </row>
    <row r="175" spans="1:19">
      <c r="A175" s="133"/>
      <c r="B175" s="134"/>
      <c r="C175" s="125">
        <f t="shared" si="33"/>
        <v>1</v>
      </c>
      <c r="D175" s="135"/>
      <c r="E175" s="125">
        <f t="shared" si="34"/>
        <v>1</v>
      </c>
      <c r="F175" s="135"/>
      <c r="G175" s="125">
        <f t="shared" si="35"/>
        <v>1</v>
      </c>
      <c r="H175" s="135"/>
      <c r="I175" s="125">
        <f t="shared" si="36"/>
        <v>1</v>
      </c>
      <c r="J175" s="135"/>
      <c r="K175" s="125">
        <f t="shared" si="37"/>
        <v>1</v>
      </c>
      <c r="L175" s="135"/>
      <c r="M175" s="125">
        <f t="shared" si="38"/>
        <v>1</v>
      </c>
      <c r="N175" s="135"/>
      <c r="O175" s="125">
        <f t="shared" si="39"/>
        <v>1</v>
      </c>
      <c r="P175" s="135"/>
      <c r="Q175" s="125">
        <f t="shared" si="40"/>
        <v>1</v>
      </c>
      <c r="R175" s="125">
        <f t="shared" si="41"/>
        <v>0</v>
      </c>
      <c r="S175" s="124">
        <f t="shared" si="32"/>
        <v>0</v>
      </c>
    </row>
    <row r="176" spans="1:19">
      <c r="A176" s="133"/>
      <c r="B176" s="134"/>
      <c r="C176" s="125">
        <f t="shared" si="33"/>
        <v>1</v>
      </c>
      <c r="D176" s="135"/>
      <c r="E176" s="125">
        <f t="shared" si="34"/>
        <v>1</v>
      </c>
      <c r="F176" s="135"/>
      <c r="G176" s="125">
        <f t="shared" si="35"/>
        <v>1</v>
      </c>
      <c r="H176" s="135"/>
      <c r="I176" s="125">
        <f t="shared" si="36"/>
        <v>1</v>
      </c>
      <c r="J176" s="135"/>
      <c r="K176" s="125">
        <f t="shared" si="37"/>
        <v>1</v>
      </c>
      <c r="L176" s="135"/>
      <c r="M176" s="125">
        <f t="shared" si="38"/>
        <v>1</v>
      </c>
      <c r="N176" s="135"/>
      <c r="O176" s="125">
        <f t="shared" si="39"/>
        <v>1</v>
      </c>
      <c r="P176" s="135"/>
      <c r="Q176" s="125">
        <f t="shared" si="40"/>
        <v>1</v>
      </c>
      <c r="R176" s="125">
        <f t="shared" si="41"/>
        <v>0</v>
      </c>
      <c r="S176" s="124">
        <f t="shared" si="32"/>
        <v>0</v>
      </c>
    </row>
    <row r="177" spans="1:19">
      <c r="A177" s="133"/>
      <c r="B177" s="134"/>
      <c r="C177" s="125">
        <f t="shared" si="33"/>
        <v>1</v>
      </c>
      <c r="D177" s="135"/>
      <c r="E177" s="125">
        <f t="shared" si="34"/>
        <v>1</v>
      </c>
      <c r="F177" s="135"/>
      <c r="G177" s="125">
        <f t="shared" si="35"/>
        <v>1</v>
      </c>
      <c r="H177" s="135"/>
      <c r="I177" s="125">
        <f t="shared" si="36"/>
        <v>1</v>
      </c>
      <c r="J177" s="135"/>
      <c r="K177" s="125">
        <f t="shared" si="37"/>
        <v>1</v>
      </c>
      <c r="L177" s="135"/>
      <c r="M177" s="125">
        <f t="shared" si="38"/>
        <v>1</v>
      </c>
      <c r="N177" s="135"/>
      <c r="O177" s="125">
        <f t="shared" si="39"/>
        <v>1</v>
      </c>
      <c r="P177" s="135"/>
      <c r="Q177" s="125">
        <f t="shared" si="40"/>
        <v>1</v>
      </c>
      <c r="R177" s="125">
        <f t="shared" si="41"/>
        <v>0</v>
      </c>
      <c r="S177" s="124">
        <f t="shared" si="32"/>
        <v>0</v>
      </c>
    </row>
    <row r="178" spans="1:19">
      <c r="A178" s="133"/>
      <c r="B178" s="134"/>
      <c r="C178" s="125">
        <f t="shared" si="33"/>
        <v>1</v>
      </c>
      <c r="D178" s="135"/>
      <c r="E178" s="125">
        <f t="shared" si="34"/>
        <v>1</v>
      </c>
      <c r="F178" s="135"/>
      <c r="G178" s="125">
        <f t="shared" si="35"/>
        <v>1</v>
      </c>
      <c r="H178" s="135"/>
      <c r="I178" s="125">
        <f t="shared" si="36"/>
        <v>1</v>
      </c>
      <c r="J178" s="135"/>
      <c r="K178" s="125">
        <f t="shared" si="37"/>
        <v>1</v>
      </c>
      <c r="L178" s="135"/>
      <c r="M178" s="125">
        <f t="shared" si="38"/>
        <v>1</v>
      </c>
      <c r="N178" s="135"/>
      <c r="O178" s="125">
        <f t="shared" si="39"/>
        <v>1</v>
      </c>
      <c r="P178" s="135"/>
      <c r="Q178" s="125">
        <f t="shared" si="40"/>
        <v>1</v>
      </c>
      <c r="R178" s="125">
        <f t="shared" si="41"/>
        <v>0</v>
      </c>
      <c r="S178" s="124">
        <f t="shared" si="32"/>
        <v>0</v>
      </c>
    </row>
    <row r="179" spans="1:19">
      <c r="A179" s="133"/>
      <c r="B179" s="134"/>
      <c r="C179" s="125">
        <f t="shared" si="33"/>
        <v>1</v>
      </c>
      <c r="D179" s="135"/>
      <c r="E179" s="125">
        <f t="shared" si="34"/>
        <v>1</v>
      </c>
      <c r="F179" s="135"/>
      <c r="G179" s="125">
        <f t="shared" si="35"/>
        <v>1</v>
      </c>
      <c r="H179" s="135"/>
      <c r="I179" s="125">
        <f t="shared" si="36"/>
        <v>1</v>
      </c>
      <c r="J179" s="135"/>
      <c r="K179" s="125">
        <f t="shared" si="37"/>
        <v>1</v>
      </c>
      <c r="L179" s="135"/>
      <c r="M179" s="125">
        <f t="shared" si="38"/>
        <v>1</v>
      </c>
      <c r="N179" s="135"/>
      <c r="O179" s="125">
        <f t="shared" si="39"/>
        <v>1</v>
      </c>
      <c r="P179" s="135"/>
      <c r="Q179" s="125">
        <f t="shared" si="40"/>
        <v>1</v>
      </c>
      <c r="R179" s="125">
        <f t="shared" si="41"/>
        <v>0</v>
      </c>
      <c r="S179" s="124">
        <f t="shared" si="32"/>
        <v>0</v>
      </c>
    </row>
    <row r="180" spans="1:19">
      <c r="A180" s="133"/>
      <c r="B180" s="134"/>
      <c r="C180" s="125">
        <f t="shared" si="33"/>
        <v>1</v>
      </c>
      <c r="D180" s="135"/>
      <c r="E180" s="125">
        <f t="shared" si="34"/>
        <v>1</v>
      </c>
      <c r="F180" s="135"/>
      <c r="G180" s="125">
        <f t="shared" si="35"/>
        <v>1</v>
      </c>
      <c r="H180" s="135"/>
      <c r="I180" s="125">
        <f t="shared" si="36"/>
        <v>1</v>
      </c>
      <c r="J180" s="135"/>
      <c r="K180" s="125">
        <f t="shared" si="37"/>
        <v>1</v>
      </c>
      <c r="L180" s="135"/>
      <c r="M180" s="125">
        <f t="shared" si="38"/>
        <v>1</v>
      </c>
      <c r="N180" s="135"/>
      <c r="O180" s="125">
        <f t="shared" si="39"/>
        <v>1</v>
      </c>
      <c r="P180" s="135"/>
      <c r="Q180" s="125">
        <f t="shared" si="40"/>
        <v>1</v>
      </c>
      <c r="R180" s="125">
        <f t="shared" si="41"/>
        <v>0</v>
      </c>
      <c r="S180" s="124">
        <f t="shared" si="32"/>
        <v>0</v>
      </c>
    </row>
    <row r="181" spans="1:19">
      <c r="A181" s="133"/>
      <c r="B181" s="134"/>
      <c r="C181" s="125">
        <f t="shared" si="33"/>
        <v>1</v>
      </c>
      <c r="D181" s="135"/>
      <c r="E181" s="125">
        <f t="shared" si="34"/>
        <v>1</v>
      </c>
      <c r="F181" s="135"/>
      <c r="G181" s="125">
        <f t="shared" si="35"/>
        <v>1</v>
      </c>
      <c r="H181" s="135"/>
      <c r="I181" s="125">
        <f t="shared" si="36"/>
        <v>1</v>
      </c>
      <c r="J181" s="135"/>
      <c r="K181" s="125">
        <f t="shared" si="37"/>
        <v>1</v>
      </c>
      <c r="L181" s="135"/>
      <c r="M181" s="125">
        <f t="shared" si="38"/>
        <v>1</v>
      </c>
      <c r="N181" s="135"/>
      <c r="O181" s="125">
        <f t="shared" si="39"/>
        <v>1</v>
      </c>
      <c r="P181" s="135"/>
      <c r="Q181" s="125">
        <f t="shared" si="40"/>
        <v>1</v>
      </c>
      <c r="R181" s="125">
        <f t="shared" si="41"/>
        <v>0</v>
      </c>
      <c r="S181" s="124">
        <f t="shared" si="32"/>
        <v>0</v>
      </c>
    </row>
    <row r="182" spans="1:19">
      <c r="A182" s="133"/>
      <c r="B182" s="134"/>
      <c r="C182" s="125">
        <f t="shared" si="33"/>
        <v>1</v>
      </c>
      <c r="D182" s="135"/>
      <c r="E182" s="125">
        <f t="shared" si="34"/>
        <v>1</v>
      </c>
      <c r="F182" s="135"/>
      <c r="G182" s="125">
        <f t="shared" si="35"/>
        <v>1</v>
      </c>
      <c r="H182" s="135"/>
      <c r="I182" s="125">
        <f t="shared" si="36"/>
        <v>1</v>
      </c>
      <c r="J182" s="135"/>
      <c r="K182" s="125">
        <f t="shared" si="37"/>
        <v>1</v>
      </c>
      <c r="L182" s="135"/>
      <c r="M182" s="125">
        <f t="shared" si="38"/>
        <v>1</v>
      </c>
      <c r="N182" s="135"/>
      <c r="O182" s="125">
        <f t="shared" si="39"/>
        <v>1</v>
      </c>
      <c r="P182" s="135"/>
      <c r="Q182" s="125">
        <f t="shared" si="40"/>
        <v>1</v>
      </c>
      <c r="R182" s="125">
        <f t="shared" si="41"/>
        <v>0</v>
      </c>
      <c r="S182" s="124">
        <f t="shared" si="32"/>
        <v>0</v>
      </c>
    </row>
    <row r="183" spans="1:19">
      <c r="A183" s="133"/>
      <c r="B183" s="134"/>
      <c r="C183" s="125">
        <f t="shared" si="33"/>
        <v>1</v>
      </c>
      <c r="D183" s="135"/>
      <c r="E183" s="125">
        <f t="shared" si="34"/>
        <v>1</v>
      </c>
      <c r="F183" s="135"/>
      <c r="G183" s="125">
        <f t="shared" si="35"/>
        <v>1</v>
      </c>
      <c r="H183" s="135"/>
      <c r="I183" s="125">
        <f t="shared" si="36"/>
        <v>1</v>
      </c>
      <c r="J183" s="135"/>
      <c r="K183" s="125">
        <f t="shared" si="37"/>
        <v>1</v>
      </c>
      <c r="L183" s="135"/>
      <c r="M183" s="125">
        <f t="shared" si="38"/>
        <v>1</v>
      </c>
      <c r="N183" s="135"/>
      <c r="O183" s="125">
        <f t="shared" si="39"/>
        <v>1</v>
      </c>
      <c r="P183" s="135"/>
      <c r="Q183" s="125">
        <f t="shared" si="40"/>
        <v>1</v>
      </c>
      <c r="R183" s="125">
        <f t="shared" si="41"/>
        <v>0</v>
      </c>
      <c r="S183" s="124">
        <f t="shared" si="32"/>
        <v>0</v>
      </c>
    </row>
    <row r="184" spans="1:19">
      <c r="A184" s="133"/>
      <c r="B184" s="134"/>
      <c r="C184" s="125">
        <f t="shared" si="33"/>
        <v>1</v>
      </c>
      <c r="D184" s="135"/>
      <c r="E184" s="125">
        <f t="shared" si="34"/>
        <v>1</v>
      </c>
      <c r="F184" s="135"/>
      <c r="G184" s="125">
        <f t="shared" si="35"/>
        <v>1</v>
      </c>
      <c r="H184" s="135"/>
      <c r="I184" s="125">
        <f t="shared" si="36"/>
        <v>1</v>
      </c>
      <c r="J184" s="135"/>
      <c r="K184" s="125">
        <f t="shared" si="37"/>
        <v>1</v>
      </c>
      <c r="L184" s="135"/>
      <c r="M184" s="125">
        <f t="shared" si="38"/>
        <v>1</v>
      </c>
      <c r="N184" s="135"/>
      <c r="O184" s="125">
        <f t="shared" si="39"/>
        <v>1</v>
      </c>
      <c r="P184" s="135"/>
      <c r="Q184" s="125">
        <f t="shared" si="40"/>
        <v>1</v>
      </c>
      <c r="R184" s="125">
        <f t="shared" si="41"/>
        <v>0</v>
      </c>
      <c r="S184" s="124">
        <f t="shared" si="32"/>
        <v>0</v>
      </c>
    </row>
    <row r="185" spans="1:19">
      <c r="A185" s="133"/>
      <c r="B185" s="134"/>
      <c r="C185" s="125">
        <f t="shared" si="33"/>
        <v>1</v>
      </c>
      <c r="D185" s="135"/>
      <c r="E185" s="125">
        <f t="shared" si="34"/>
        <v>1</v>
      </c>
      <c r="F185" s="135"/>
      <c r="G185" s="125">
        <f t="shared" si="35"/>
        <v>1</v>
      </c>
      <c r="H185" s="135"/>
      <c r="I185" s="125">
        <f t="shared" si="36"/>
        <v>1</v>
      </c>
      <c r="J185" s="135"/>
      <c r="K185" s="125">
        <f t="shared" si="37"/>
        <v>1</v>
      </c>
      <c r="L185" s="135"/>
      <c r="M185" s="125">
        <f t="shared" si="38"/>
        <v>1</v>
      </c>
      <c r="N185" s="135"/>
      <c r="O185" s="125">
        <f t="shared" si="39"/>
        <v>1</v>
      </c>
      <c r="P185" s="135"/>
      <c r="Q185" s="125">
        <f t="shared" si="40"/>
        <v>1</v>
      </c>
      <c r="R185" s="125">
        <f t="shared" si="41"/>
        <v>0</v>
      </c>
      <c r="S185" s="124">
        <f t="shared" si="32"/>
        <v>0</v>
      </c>
    </row>
    <row r="186" spans="1:19">
      <c r="A186" s="133"/>
      <c r="B186" s="134"/>
      <c r="C186" s="125">
        <f t="shared" si="33"/>
        <v>1</v>
      </c>
      <c r="D186" s="135"/>
      <c r="E186" s="125">
        <f t="shared" si="34"/>
        <v>1</v>
      </c>
      <c r="F186" s="135"/>
      <c r="G186" s="125">
        <f t="shared" si="35"/>
        <v>1</v>
      </c>
      <c r="H186" s="135"/>
      <c r="I186" s="125">
        <f t="shared" si="36"/>
        <v>1</v>
      </c>
      <c r="J186" s="135"/>
      <c r="K186" s="125">
        <f t="shared" si="37"/>
        <v>1</v>
      </c>
      <c r="L186" s="135"/>
      <c r="M186" s="125">
        <f t="shared" si="38"/>
        <v>1</v>
      </c>
      <c r="N186" s="135"/>
      <c r="O186" s="125">
        <f t="shared" si="39"/>
        <v>1</v>
      </c>
      <c r="P186" s="135"/>
      <c r="Q186" s="125">
        <f t="shared" si="40"/>
        <v>1</v>
      </c>
      <c r="R186" s="125">
        <f t="shared" si="41"/>
        <v>0</v>
      </c>
      <c r="S186" s="124">
        <f t="shared" si="32"/>
        <v>0</v>
      </c>
    </row>
    <row r="187" spans="1:19">
      <c r="A187" s="133"/>
      <c r="B187" s="134"/>
      <c r="C187" s="125">
        <f t="shared" si="33"/>
        <v>1</v>
      </c>
      <c r="D187" s="135"/>
      <c r="E187" s="125">
        <f t="shared" si="34"/>
        <v>1</v>
      </c>
      <c r="F187" s="135"/>
      <c r="G187" s="125">
        <f t="shared" si="35"/>
        <v>1</v>
      </c>
      <c r="H187" s="135"/>
      <c r="I187" s="125">
        <f t="shared" si="36"/>
        <v>1</v>
      </c>
      <c r="J187" s="135"/>
      <c r="K187" s="125">
        <f t="shared" si="37"/>
        <v>1</v>
      </c>
      <c r="L187" s="135"/>
      <c r="M187" s="125">
        <f t="shared" si="38"/>
        <v>1</v>
      </c>
      <c r="N187" s="135"/>
      <c r="O187" s="125">
        <f t="shared" si="39"/>
        <v>1</v>
      </c>
      <c r="P187" s="135"/>
      <c r="Q187" s="125">
        <f t="shared" si="40"/>
        <v>1</v>
      </c>
      <c r="R187" s="125">
        <f t="shared" si="41"/>
        <v>0</v>
      </c>
      <c r="S187" s="124">
        <f t="shared" ref="S187:S222" si="42">ROUND(R187*B187/10000,0)</f>
        <v>0</v>
      </c>
    </row>
    <row r="188" spans="1:19">
      <c r="A188" s="133"/>
      <c r="B188" s="134"/>
      <c r="C188" s="125">
        <f t="shared" si="33"/>
        <v>1</v>
      </c>
      <c r="D188" s="135"/>
      <c r="E188" s="125">
        <f t="shared" si="34"/>
        <v>1</v>
      </c>
      <c r="F188" s="135"/>
      <c r="G188" s="125">
        <f t="shared" si="35"/>
        <v>1</v>
      </c>
      <c r="H188" s="135"/>
      <c r="I188" s="125">
        <f t="shared" si="36"/>
        <v>1</v>
      </c>
      <c r="J188" s="135"/>
      <c r="K188" s="125">
        <f t="shared" si="37"/>
        <v>1</v>
      </c>
      <c r="L188" s="135"/>
      <c r="M188" s="125">
        <f t="shared" si="38"/>
        <v>1</v>
      </c>
      <c r="N188" s="135"/>
      <c r="O188" s="125">
        <f t="shared" si="39"/>
        <v>1</v>
      </c>
      <c r="P188" s="135"/>
      <c r="Q188" s="125">
        <f t="shared" si="40"/>
        <v>1</v>
      </c>
      <c r="R188" s="125">
        <f t="shared" si="41"/>
        <v>0</v>
      </c>
      <c r="S188" s="124">
        <f t="shared" si="42"/>
        <v>0</v>
      </c>
    </row>
    <row r="189" spans="1:19">
      <c r="A189" s="133"/>
      <c r="B189" s="134"/>
      <c r="C189" s="125">
        <f t="shared" si="33"/>
        <v>1</v>
      </c>
      <c r="D189" s="135"/>
      <c r="E189" s="125">
        <f t="shared" si="34"/>
        <v>1</v>
      </c>
      <c r="F189" s="135"/>
      <c r="G189" s="125">
        <f t="shared" si="35"/>
        <v>1</v>
      </c>
      <c r="H189" s="135"/>
      <c r="I189" s="125">
        <f t="shared" si="36"/>
        <v>1</v>
      </c>
      <c r="J189" s="135"/>
      <c r="K189" s="125">
        <f t="shared" si="37"/>
        <v>1</v>
      </c>
      <c r="L189" s="135"/>
      <c r="M189" s="125">
        <f t="shared" si="38"/>
        <v>1</v>
      </c>
      <c r="N189" s="135"/>
      <c r="O189" s="125">
        <f t="shared" si="39"/>
        <v>1</v>
      </c>
      <c r="P189" s="135"/>
      <c r="Q189" s="125">
        <f t="shared" si="40"/>
        <v>1</v>
      </c>
      <c r="R189" s="125">
        <f t="shared" si="41"/>
        <v>0</v>
      </c>
      <c r="S189" s="124">
        <f t="shared" si="42"/>
        <v>0</v>
      </c>
    </row>
    <row r="190" spans="1:19">
      <c r="A190" s="133"/>
      <c r="B190" s="134"/>
      <c r="C190" s="125">
        <f t="shared" si="33"/>
        <v>1</v>
      </c>
      <c r="D190" s="135"/>
      <c r="E190" s="125">
        <f t="shared" si="34"/>
        <v>1</v>
      </c>
      <c r="F190" s="135"/>
      <c r="G190" s="125">
        <f t="shared" si="35"/>
        <v>1</v>
      </c>
      <c r="H190" s="135"/>
      <c r="I190" s="125">
        <f t="shared" si="36"/>
        <v>1</v>
      </c>
      <c r="J190" s="135"/>
      <c r="K190" s="125">
        <f t="shared" si="37"/>
        <v>1</v>
      </c>
      <c r="L190" s="135"/>
      <c r="M190" s="125">
        <f t="shared" si="38"/>
        <v>1</v>
      </c>
      <c r="N190" s="135"/>
      <c r="O190" s="125">
        <f t="shared" si="39"/>
        <v>1</v>
      </c>
      <c r="P190" s="135"/>
      <c r="Q190" s="125">
        <f t="shared" si="40"/>
        <v>1</v>
      </c>
      <c r="R190" s="125">
        <f t="shared" si="41"/>
        <v>0</v>
      </c>
      <c r="S190" s="124">
        <f t="shared" si="42"/>
        <v>0</v>
      </c>
    </row>
    <row r="191" spans="1:19">
      <c r="A191" s="133"/>
      <c r="B191" s="134"/>
      <c r="C191" s="125">
        <f t="shared" si="33"/>
        <v>1</v>
      </c>
      <c r="D191" s="135"/>
      <c r="E191" s="125">
        <f t="shared" si="34"/>
        <v>1</v>
      </c>
      <c r="F191" s="135"/>
      <c r="G191" s="125">
        <f t="shared" si="35"/>
        <v>1</v>
      </c>
      <c r="H191" s="135"/>
      <c r="I191" s="125">
        <f t="shared" si="36"/>
        <v>1</v>
      </c>
      <c r="J191" s="135"/>
      <c r="K191" s="125">
        <f t="shared" si="37"/>
        <v>1</v>
      </c>
      <c r="L191" s="135"/>
      <c r="M191" s="125">
        <f t="shared" si="38"/>
        <v>1</v>
      </c>
      <c r="N191" s="135"/>
      <c r="O191" s="125">
        <f t="shared" si="39"/>
        <v>1</v>
      </c>
      <c r="P191" s="135"/>
      <c r="Q191" s="125">
        <f t="shared" si="40"/>
        <v>1</v>
      </c>
      <c r="R191" s="125">
        <f t="shared" si="41"/>
        <v>0</v>
      </c>
      <c r="S191" s="124">
        <f t="shared" si="42"/>
        <v>0</v>
      </c>
    </row>
    <row r="192" spans="1:19">
      <c r="A192" s="133"/>
      <c r="B192" s="134"/>
      <c r="C192" s="125">
        <f t="shared" si="33"/>
        <v>1</v>
      </c>
      <c r="D192" s="135"/>
      <c r="E192" s="125">
        <f t="shared" si="34"/>
        <v>1</v>
      </c>
      <c r="F192" s="135"/>
      <c r="G192" s="125">
        <f t="shared" si="35"/>
        <v>1</v>
      </c>
      <c r="H192" s="135"/>
      <c r="I192" s="125">
        <f t="shared" si="36"/>
        <v>1</v>
      </c>
      <c r="J192" s="135"/>
      <c r="K192" s="125">
        <f t="shared" si="37"/>
        <v>1</v>
      </c>
      <c r="L192" s="135"/>
      <c r="M192" s="125">
        <f t="shared" si="38"/>
        <v>1</v>
      </c>
      <c r="N192" s="135"/>
      <c r="O192" s="125">
        <f t="shared" si="39"/>
        <v>1</v>
      </c>
      <c r="P192" s="135"/>
      <c r="Q192" s="125">
        <f t="shared" si="40"/>
        <v>1</v>
      </c>
      <c r="R192" s="125">
        <f t="shared" si="41"/>
        <v>0</v>
      </c>
      <c r="S192" s="124">
        <f t="shared" si="42"/>
        <v>0</v>
      </c>
    </row>
    <row r="193" spans="1:19">
      <c r="A193" s="133"/>
      <c r="B193" s="134"/>
      <c r="C193" s="125">
        <f t="shared" si="33"/>
        <v>1</v>
      </c>
      <c r="D193" s="135"/>
      <c r="E193" s="125">
        <f t="shared" si="34"/>
        <v>1</v>
      </c>
      <c r="F193" s="135"/>
      <c r="G193" s="125">
        <f t="shared" si="35"/>
        <v>1</v>
      </c>
      <c r="H193" s="135"/>
      <c r="I193" s="125">
        <f t="shared" si="36"/>
        <v>1</v>
      </c>
      <c r="J193" s="135"/>
      <c r="K193" s="125">
        <f t="shared" si="37"/>
        <v>1</v>
      </c>
      <c r="L193" s="135"/>
      <c r="M193" s="125">
        <f t="shared" si="38"/>
        <v>1</v>
      </c>
      <c r="N193" s="135"/>
      <c r="O193" s="125">
        <f t="shared" si="39"/>
        <v>1</v>
      </c>
      <c r="P193" s="135"/>
      <c r="Q193" s="125">
        <f t="shared" si="40"/>
        <v>1</v>
      </c>
      <c r="R193" s="125">
        <f t="shared" si="41"/>
        <v>0</v>
      </c>
      <c r="S193" s="124">
        <f t="shared" si="42"/>
        <v>0</v>
      </c>
    </row>
    <row r="194" spans="1:19">
      <c r="A194" s="133"/>
      <c r="B194" s="134"/>
      <c r="C194" s="125">
        <f t="shared" si="33"/>
        <v>1</v>
      </c>
      <c r="D194" s="135"/>
      <c r="E194" s="125">
        <f t="shared" si="34"/>
        <v>1</v>
      </c>
      <c r="F194" s="135"/>
      <c r="G194" s="125">
        <f t="shared" si="35"/>
        <v>1</v>
      </c>
      <c r="H194" s="135"/>
      <c r="I194" s="125">
        <f t="shared" si="36"/>
        <v>1</v>
      </c>
      <c r="J194" s="135"/>
      <c r="K194" s="125">
        <f t="shared" si="37"/>
        <v>1</v>
      </c>
      <c r="L194" s="135"/>
      <c r="M194" s="125">
        <f t="shared" si="38"/>
        <v>1</v>
      </c>
      <c r="N194" s="135"/>
      <c r="O194" s="125">
        <f t="shared" si="39"/>
        <v>1</v>
      </c>
      <c r="P194" s="135"/>
      <c r="Q194" s="125">
        <f t="shared" si="40"/>
        <v>1</v>
      </c>
      <c r="R194" s="125">
        <f t="shared" si="41"/>
        <v>0</v>
      </c>
      <c r="S194" s="124">
        <f t="shared" si="42"/>
        <v>0</v>
      </c>
    </row>
    <row r="195" spans="1:19">
      <c r="A195" s="133"/>
      <c r="B195" s="134"/>
      <c r="C195" s="125">
        <f t="shared" si="33"/>
        <v>1</v>
      </c>
      <c r="D195" s="135"/>
      <c r="E195" s="125">
        <f t="shared" si="34"/>
        <v>1</v>
      </c>
      <c r="F195" s="135"/>
      <c r="G195" s="125">
        <f t="shared" si="35"/>
        <v>1</v>
      </c>
      <c r="H195" s="135"/>
      <c r="I195" s="125">
        <f t="shared" si="36"/>
        <v>1</v>
      </c>
      <c r="J195" s="135"/>
      <c r="K195" s="125">
        <f t="shared" si="37"/>
        <v>1</v>
      </c>
      <c r="L195" s="135"/>
      <c r="M195" s="125">
        <f t="shared" si="38"/>
        <v>1</v>
      </c>
      <c r="N195" s="135"/>
      <c r="O195" s="125">
        <f t="shared" si="39"/>
        <v>1</v>
      </c>
      <c r="P195" s="135"/>
      <c r="Q195" s="125">
        <f t="shared" si="40"/>
        <v>1</v>
      </c>
      <c r="R195" s="125">
        <f t="shared" si="41"/>
        <v>0</v>
      </c>
      <c r="S195" s="124">
        <f t="shared" si="42"/>
        <v>0</v>
      </c>
    </row>
    <row r="196" spans="1:19">
      <c r="A196" s="133"/>
      <c r="B196" s="134"/>
      <c r="C196" s="125">
        <f t="shared" si="33"/>
        <v>1</v>
      </c>
      <c r="D196" s="135"/>
      <c r="E196" s="125">
        <f t="shared" si="34"/>
        <v>1</v>
      </c>
      <c r="F196" s="135"/>
      <c r="G196" s="125">
        <f t="shared" si="35"/>
        <v>1</v>
      </c>
      <c r="H196" s="135"/>
      <c r="I196" s="125">
        <f t="shared" si="36"/>
        <v>1</v>
      </c>
      <c r="J196" s="135"/>
      <c r="K196" s="125">
        <f t="shared" si="37"/>
        <v>1</v>
      </c>
      <c r="L196" s="135"/>
      <c r="M196" s="125">
        <f t="shared" si="38"/>
        <v>1</v>
      </c>
      <c r="N196" s="135"/>
      <c r="O196" s="125">
        <f t="shared" si="39"/>
        <v>1</v>
      </c>
      <c r="P196" s="135"/>
      <c r="Q196" s="125">
        <f t="shared" si="40"/>
        <v>1</v>
      </c>
      <c r="R196" s="125">
        <f t="shared" si="41"/>
        <v>0</v>
      </c>
      <c r="S196" s="124">
        <f t="shared" si="42"/>
        <v>0</v>
      </c>
    </row>
    <row r="197" spans="1:19">
      <c r="A197" s="133"/>
      <c r="B197" s="134"/>
      <c r="C197" s="125">
        <f t="shared" si="33"/>
        <v>1</v>
      </c>
      <c r="D197" s="135"/>
      <c r="E197" s="125">
        <f t="shared" si="34"/>
        <v>1</v>
      </c>
      <c r="F197" s="135"/>
      <c r="G197" s="125">
        <f t="shared" si="35"/>
        <v>1</v>
      </c>
      <c r="H197" s="135"/>
      <c r="I197" s="125">
        <f t="shared" si="36"/>
        <v>1</v>
      </c>
      <c r="J197" s="135"/>
      <c r="K197" s="125">
        <f t="shared" si="37"/>
        <v>1</v>
      </c>
      <c r="L197" s="135"/>
      <c r="M197" s="125">
        <f t="shared" si="38"/>
        <v>1</v>
      </c>
      <c r="N197" s="135"/>
      <c r="O197" s="125">
        <f t="shared" si="39"/>
        <v>1</v>
      </c>
      <c r="P197" s="135"/>
      <c r="Q197" s="125">
        <f t="shared" si="40"/>
        <v>1</v>
      </c>
      <c r="R197" s="125">
        <f t="shared" si="41"/>
        <v>0</v>
      </c>
      <c r="S197" s="124">
        <f t="shared" si="42"/>
        <v>0</v>
      </c>
    </row>
    <row r="198" spans="1:19">
      <c r="A198" s="133"/>
      <c r="B198" s="134"/>
      <c r="C198" s="125">
        <f t="shared" si="33"/>
        <v>1</v>
      </c>
      <c r="D198" s="135"/>
      <c r="E198" s="125">
        <f t="shared" si="34"/>
        <v>1</v>
      </c>
      <c r="F198" s="135"/>
      <c r="G198" s="125">
        <f t="shared" si="35"/>
        <v>1</v>
      </c>
      <c r="H198" s="135"/>
      <c r="I198" s="125">
        <f t="shared" si="36"/>
        <v>1</v>
      </c>
      <c r="J198" s="135"/>
      <c r="K198" s="125">
        <f t="shared" si="37"/>
        <v>1</v>
      </c>
      <c r="L198" s="135"/>
      <c r="M198" s="125">
        <f t="shared" si="38"/>
        <v>1</v>
      </c>
      <c r="N198" s="135"/>
      <c r="O198" s="125">
        <f t="shared" si="39"/>
        <v>1</v>
      </c>
      <c r="P198" s="135"/>
      <c r="Q198" s="125">
        <f t="shared" si="40"/>
        <v>1</v>
      </c>
      <c r="R198" s="125">
        <f t="shared" si="41"/>
        <v>0</v>
      </c>
      <c r="S198" s="124">
        <f t="shared" si="42"/>
        <v>0</v>
      </c>
    </row>
    <row r="199" spans="1:19">
      <c r="A199" s="133"/>
      <c r="B199" s="134"/>
      <c r="C199" s="125">
        <f t="shared" si="33"/>
        <v>1</v>
      </c>
      <c r="D199" s="135"/>
      <c r="E199" s="125">
        <f t="shared" si="34"/>
        <v>1</v>
      </c>
      <c r="F199" s="135"/>
      <c r="G199" s="125">
        <f t="shared" si="35"/>
        <v>1</v>
      </c>
      <c r="H199" s="135"/>
      <c r="I199" s="125">
        <f t="shared" si="36"/>
        <v>1</v>
      </c>
      <c r="J199" s="135"/>
      <c r="K199" s="125">
        <f t="shared" si="37"/>
        <v>1</v>
      </c>
      <c r="L199" s="135"/>
      <c r="M199" s="125">
        <f t="shared" si="38"/>
        <v>1</v>
      </c>
      <c r="N199" s="135"/>
      <c r="O199" s="125">
        <f t="shared" si="39"/>
        <v>1</v>
      </c>
      <c r="P199" s="135"/>
      <c r="Q199" s="125">
        <f t="shared" si="40"/>
        <v>1</v>
      </c>
      <c r="R199" s="125">
        <f t="shared" si="41"/>
        <v>0</v>
      </c>
      <c r="S199" s="124">
        <f t="shared" si="42"/>
        <v>0</v>
      </c>
    </row>
    <row r="200" spans="1:19">
      <c r="A200" s="133"/>
      <c r="B200" s="134"/>
      <c r="C200" s="125">
        <f t="shared" si="33"/>
        <v>1</v>
      </c>
      <c r="D200" s="135"/>
      <c r="E200" s="125">
        <f t="shared" si="34"/>
        <v>1</v>
      </c>
      <c r="F200" s="135"/>
      <c r="G200" s="125">
        <f t="shared" si="35"/>
        <v>1</v>
      </c>
      <c r="H200" s="135"/>
      <c r="I200" s="125">
        <f t="shared" si="36"/>
        <v>1</v>
      </c>
      <c r="J200" s="135"/>
      <c r="K200" s="125">
        <f t="shared" si="37"/>
        <v>1</v>
      </c>
      <c r="L200" s="135"/>
      <c r="M200" s="125">
        <f t="shared" si="38"/>
        <v>1</v>
      </c>
      <c r="N200" s="135"/>
      <c r="O200" s="125">
        <f t="shared" si="39"/>
        <v>1</v>
      </c>
      <c r="P200" s="135"/>
      <c r="Q200" s="125">
        <f t="shared" si="40"/>
        <v>1</v>
      </c>
      <c r="R200" s="125">
        <f t="shared" si="41"/>
        <v>0</v>
      </c>
      <c r="S200" s="124">
        <f t="shared" si="42"/>
        <v>0</v>
      </c>
    </row>
    <row r="201" spans="1:19">
      <c r="A201" s="133"/>
      <c r="B201" s="134"/>
      <c r="C201" s="125">
        <f t="shared" si="33"/>
        <v>1</v>
      </c>
      <c r="D201" s="135"/>
      <c r="E201" s="125">
        <f t="shared" si="34"/>
        <v>1</v>
      </c>
      <c r="F201" s="135"/>
      <c r="G201" s="125">
        <f t="shared" si="35"/>
        <v>1</v>
      </c>
      <c r="H201" s="135"/>
      <c r="I201" s="125">
        <f t="shared" si="36"/>
        <v>1</v>
      </c>
      <c r="J201" s="135"/>
      <c r="K201" s="125">
        <f t="shared" si="37"/>
        <v>1</v>
      </c>
      <c r="L201" s="135"/>
      <c r="M201" s="125">
        <f t="shared" si="38"/>
        <v>1</v>
      </c>
      <c r="N201" s="135"/>
      <c r="O201" s="125">
        <f t="shared" si="39"/>
        <v>1</v>
      </c>
      <c r="P201" s="135"/>
      <c r="Q201" s="125">
        <f t="shared" si="40"/>
        <v>1</v>
      </c>
      <c r="R201" s="125">
        <f t="shared" si="41"/>
        <v>0</v>
      </c>
      <c r="S201" s="124">
        <f t="shared" si="42"/>
        <v>0</v>
      </c>
    </row>
    <row r="202" spans="1:19">
      <c r="A202" s="133"/>
      <c r="B202" s="134"/>
      <c r="C202" s="125">
        <f t="shared" si="33"/>
        <v>1</v>
      </c>
      <c r="D202" s="135"/>
      <c r="E202" s="125">
        <f t="shared" si="34"/>
        <v>1</v>
      </c>
      <c r="F202" s="135"/>
      <c r="G202" s="125">
        <f t="shared" si="35"/>
        <v>1</v>
      </c>
      <c r="H202" s="135"/>
      <c r="I202" s="125">
        <f t="shared" si="36"/>
        <v>1</v>
      </c>
      <c r="J202" s="135"/>
      <c r="K202" s="125">
        <f t="shared" si="37"/>
        <v>1</v>
      </c>
      <c r="L202" s="135"/>
      <c r="M202" s="125">
        <f t="shared" si="38"/>
        <v>1</v>
      </c>
      <c r="N202" s="135"/>
      <c r="O202" s="125">
        <f t="shared" si="39"/>
        <v>1</v>
      </c>
      <c r="P202" s="135"/>
      <c r="Q202" s="125">
        <f t="shared" si="40"/>
        <v>1</v>
      </c>
      <c r="R202" s="125">
        <f t="shared" si="41"/>
        <v>0</v>
      </c>
      <c r="S202" s="124">
        <f t="shared" si="42"/>
        <v>0</v>
      </c>
    </row>
    <row r="203" spans="1:19">
      <c r="A203" s="133"/>
      <c r="B203" s="134"/>
      <c r="C203" s="125">
        <f t="shared" si="33"/>
        <v>1</v>
      </c>
      <c r="D203" s="135"/>
      <c r="E203" s="125">
        <f t="shared" si="34"/>
        <v>1</v>
      </c>
      <c r="F203" s="135"/>
      <c r="G203" s="125">
        <f t="shared" si="35"/>
        <v>1</v>
      </c>
      <c r="H203" s="135"/>
      <c r="I203" s="125">
        <f t="shared" si="36"/>
        <v>1</v>
      </c>
      <c r="J203" s="135"/>
      <c r="K203" s="125">
        <f t="shared" si="37"/>
        <v>1</v>
      </c>
      <c r="L203" s="135"/>
      <c r="M203" s="125">
        <f t="shared" si="38"/>
        <v>1</v>
      </c>
      <c r="N203" s="135"/>
      <c r="O203" s="125">
        <f t="shared" si="39"/>
        <v>1</v>
      </c>
      <c r="P203" s="135"/>
      <c r="Q203" s="125">
        <f t="shared" si="40"/>
        <v>1</v>
      </c>
      <c r="R203" s="125">
        <f t="shared" si="41"/>
        <v>0</v>
      </c>
      <c r="S203" s="124">
        <f t="shared" si="42"/>
        <v>0</v>
      </c>
    </row>
    <row r="204" spans="1:19">
      <c r="A204" s="133"/>
      <c r="B204" s="134"/>
      <c r="C204" s="125">
        <f t="shared" si="33"/>
        <v>1</v>
      </c>
      <c r="D204" s="135"/>
      <c r="E204" s="125">
        <f t="shared" si="34"/>
        <v>1</v>
      </c>
      <c r="F204" s="135"/>
      <c r="G204" s="125">
        <f t="shared" si="35"/>
        <v>1</v>
      </c>
      <c r="H204" s="135"/>
      <c r="I204" s="125">
        <f t="shared" si="36"/>
        <v>1</v>
      </c>
      <c r="J204" s="135"/>
      <c r="K204" s="125">
        <f t="shared" si="37"/>
        <v>1</v>
      </c>
      <c r="L204" s="135"/>
      <c r="M204" s="125">
        <f t="shared" si="38"/>
        <v>1</v>
      </c>
      <c r="N204" s="135"/>
      <c r="O204" s="125">
        <f t="shared" si="39"/>
        <v>1</v>
      </c>
      <c r="P204" s="135"/>
      <c r="Q204" s="125">
        <f t="shared" si="40"/>
        <v>1</v>
      </c>
      <c r="R204" s="125">
        <f t="shared" si="41"/>
        <v>0</v>
      </c>
      <c r="S204" s="124">
        <f t="shared" si="42"/>
        <v>0</v>
      </c>
    </row>
    <row r="205" spans="1:19">
      <c r="A205" s="133"/>
      <c r="B205" s="134"/>
      <c r="C205" s="125">
        <f t="shared" si="33"/>
        <v>1</v>
      </c>
      <c r="D205" s="135"/>
      <c r="E205" s="125">
        <f t="shared" si="34"/>
        <v>1</v>
      </c>
      <c r="F205" s="135"/>
      <c r="G205" s="125">
        <f t="shared" si="35"/>
        <v>1</v>
      </c>
      <c r="H205" s="135"/>
      <c r="I205" s="125">
        <f t="shared" si="36"/>
        <v>1</v>
      </c>
      <c r="J205" s="135"/>
      <c r="K205" s="125">
        <f t="shared" si="37"/>
        <v>1</v>
      </c>
      <c r="L205" s="135"/>
      <c r="M205" s="125">
        <f t="shared" si="38"/>
        <v>1</v>
      </c>
      <c r="N205" s="135"/>
      <c r="O205" s="125">
        <f t="shared" si="39"/>
        <v>1</v>
      </c>
      <c r="P205" s="135"/>
      <c r="Q205" s="125">
        <f t="shared" si="40"/>
        <v>1</v>
      </c>
      <c r="R205" s="125">
        <f t="shared" si="41"/>
        <v>0</v>
      </c>
      <c r="S205" s="124">
        <f t="shared" si="42"/>
        <v>0</v>
      </c>
    </row>
    <row r="206" spans="1:19">
      <c r="A206" s="133"/>
      <c r="B206" s="134"/>
      <c r="C206" s="125">
        <f t="shared" si="33"/>
        <v>1</v>
      </c>
      <c r="D206" s="135"/>
      <c r="E206" s="125">
        <f t="shared" si="34"/>
        <v>1</v>
      </c>
      <c r="F206" s="135"/>
      <c r="G206" s="125">
        <f t="shared" si="35"/>
        <v>1</v>
      </c>
      <c r="H206" s="135"/>
      <c r="I206" s="125">
        <f t="shared" si="36"/>
        <v>1</v>
      </c>
      <c r="J206" s="135"/>
      <c r="K206" s="125">
        <f t="shared" si="37"/>
        <v>1</v>
      </c>
      <c r="L206" s="135"/>
      <c r="M206" s="125">
        <f t="shared" si="38"/>
        <v>1</v>
      </c>
      <c r="N206" s="135"/>
      <c r="O206" s="125">
        <f t="shared" si="39"/>
        <v>1</v>
      </c>
      <c r="P206" s="135"/>
      <c r="Q206" s="125">
        <f t="shared" si="40"/>
        <v>1</v>
      </c>
      <c r="R206" s="125">
        <f t="shared" si="41"/>
        <v>0</v>
      </c>
      <c r="S206" s="124">
        <f t="shared" si="42"/>
        <v>0</v>
      </c>
    </row>
    <row r="207" spans="1:19">
      <c r="A207" s="133"/>
      <c r="B207" s="134"/>
      <c r="C207" s="125">
        <f t="shared" si="33"/>
        <v>1</v>
      </c>
      <c r="D207" s="135"/>
      <c r="E207" s="125">
        <f t="shared" si="34"/>
        <v>1</v>
      </c>
      <c r="F207" s="135"/>
      <c r="G207" s="125">
        <f t="shared" si="35"/>
        <v>1</v>
      </c>
      <c r="H207" s="135"/>
      <c r="I207" s="125">
        <f t="shared" si="36"/>
        <v>1</v>
      </c>
      <c r="J207" s="135"/>
      <c r="K207" s="125">
        <f t="shared" si="37"/>
        <v>1</v>
      </c>
      <c r="L207" s="135"/>
      <c r="M207" s="125">
        <f t="shared" si="38"/>
        <v>1</v>
      </c>
      <c r="N207" s="135"/>
      <c r="O207" s="125">
        <f t="shared" si="39"/>
        <v>1</v>
      </c>
      <c r="P207" s="135"/>
      <c r="Q207" s="125">
        <f t="shared" si="40"/>
        <v>1</v>
      </c>
      <c r="R207" s="125">
        <f t="shared" si="41"/>
        <v>0</v>
      </c>
      <c r="S207" s="124">
        <f t="shared" si="42"/>
        <v>0</v>
      </c>
    </row>
    <row r="208" spans="1:19">
      <c r="A208" s="133"/>
      <c r="B208" s="134"/>
      <c r="C208" s="125">
        <f t="shared" si="33"/>
        <v>1</v>
      </c>
      <c r="D208" s="135"/>
      <c r="E208" s="125">
        <f t="shared" si="34"/>
        <v>1</v>
      </c>
      <c r="F208" s="135"/>
      <c r="G208" s="125">
        <f t="shared" si="35"/>
        <v>1</v>
      </c>
      <c r="H208" s="135"/>
      <c r="I208" s="125">
        <f t="shared" si="36"/>
        <v>1</v>
      </c>
      <c r="J208" s="135"/>
      <c r="K208" s="125">
        <f t="shared" si="37"/>
        <v>1</v>
      </c>
      <c r="L208" s="135"/>
      <c r="M208" s="125">
        <f t="shared" si="38"/>
        <v>1</v>
      </c>
      <c r="N208" s="135"/>
      <c r="O208" s="125">
        <f t="shared" si="39"/>
        <v>1</v>
      </c>
      <c r="P208" s="135"/>
      <c r="Q208" s="125">
        <f t="shared" si="40"/>
        <v>1</v>
      </c>
      <c r="R208" s="125">
        <f t="shared" si="41"/>
        <v>0</v>
      </c>
      <c r="S208" s="124">
        <f t="shared" si="42"/>
        <v>0</v>
      </c>
    </row>
    <row r="209" spans="1:19">
      <c r="A209" s="133"/>
      <c r="B209" s="134"/>
      <c r="C209" s="125">
        <f t="shared" si="33"/>
        <v>1</v>
      </c>
      <c r="D209" s="135"/>
      <c r="E209" s="125">
        <f t="shared" si="34"/>
        <v>1</v>
      </c>
      <c r="F209" s="135"/>
      <c r="G209" s="125">
        <f t="shared" si="35"/>
        <v>1</v>
      </c>
      <c r="H209" s="135"/>
      <c r="I209" s="125">
        <f t="shared" si="36"/>
        <v>1</v>
      </c>
      <c r="J209" s="135"/>
      <c r="K209" s="125">
        <f t="shared" si="37"/>
        <v>1</v>
      </c>
      <c r="L209" s="135"/>
      <c r="M209" s="125">
        <f t="shared" si="38"/>
        <v>1</v>
      </c>
      <c r="N209" s="135"/>
      <c r="O209" s="125">
        <f t="shared" si="39"/>
        <v>1</v>
      </c>
      <c r="P209" s="135"/>
      <c r="Q209" s="125">
        <f t="shared" si="40"/>
        <v>1</v>
      </c>
      <c r="R209" s="125">
        <f t="shared" si="41"/>
        <v>0</v>
      </c>
      <c r="S209" s="124">
        <f t="shared" si="42"/>
        <v>0</v>
      </c>
    </row>
    <row r="210" spans="1:19">
      <c r="A210" s="133"/>
      <c r="B210" s="134"/>
      <c r="C210" s="125">
        <f t="shared" si="33"/>
        <v>1</v>
      </c>
      <c r="D210" s="135"/>
      <c r="E210" s="125">
        <f t="shared" si="34"/>
        <v>1</v>
      </c>
      <c r="F210" s="135"/>
      <c r="G210" s="125">
        <f t="shared" si="35"/>
        <v>1</v>
      </c>
      <c r="H210" s="135"/>
      <c r="I210" s="125">
        <f t="shared" si="36"/>
        <v>1</v>
      </c>
      <c r="J210" s="135"/>
      <c r="K210" s="125">
        <f t="shared" si="37"/>
        <v>1</v>
      </c>
      <c r="L210" s="135"/>
      <c r="M210" s="125">
        <f t="shared" si="38"/>
        <v>1</v>
      </c>
      <c r="N210" s="135"/>
      <c r="O210" s="125">
        <f t="shared" si="39"/>
        <v>1</v>
      </c>
      <c r="P210" s="135"/>
      <c r="Q210" s="125">
        <f t="shared" si="40"/>
        <v>1</v>
      </c>
      <c r="R210" s="125">
        <f t="shared" si="41"/>
        <v>0</v>
      </c>
      <c r="S210" s="124">
        <f t="shared" si="42"/>
        <v>0</v>
      </c>
    </row>
    <row r="211" spans="1:19">
      <c r="A211" s="133"/>
      <c r="B211" s="134"/>
      <c r="C211" s="125">
        <f t="shared" si="33"/>
        <v>1</v>
      </c>
      <c r="D211" s="135"/>
      <c r="E211" s="125">
        <f t="shared" si="34"/>
        <v>1</v>
      </c>
      <c r="F211" s="135"/>
      <c r="G211" s="125">
        <f t="shared" si="35"/>
        <v>1</v>
      </c>
      <c r="H211" s="135"/>
      <c r="I211" s="125">
        <f t="shared" si="36"/>
        <v>1</v>
      </c>
      <c r="J211" s="135"/>
      <c r="K211" s="125">
        <f t="shared" si="37"/>
        <v>1</v>
      </c>
      <c r="L211" s="135"/>
      <c r="M211" s="125">
        <f t="shared" si="38"/>
        <v>1</v>
      </c>
      <c r="N211" s="135"/>
      <c r="O211" s="125">
        <f t="shared" si="39"/>
        <v>1</v>
      </c>
      <c r="P211" s="135"/>
      <c r="Q211" s="125">
        <f t="shared" si="40"/>
        <v>1</v>
      </c>
      <c r="R211" s="125">
        <f t="shared" si="41"/>
        <v>0</v>
      </c>
      <c r="S211" s="124">
        <f t="shared" si="42"/>
        <v>0</v>
      </c>
    </row>
    <row r="212" spans="1:19">
      <c r="A212" s="133"/>
      <c r="B212" s="134"/>
      <c r="C212" s="125">
        <f t="shared" si="33"/>
        <v>1</v>
      </c>
      <c r="D212" s="135"/>
      <c r="E212" s="125">
        <f t="shared" si="34"/>
        <v>1</v>
      </c>
      <c r="F212" s="135"/>
      <c r="G212" s="125">
        <f t="shared" si="35"/>
        <v>1</v>
      </c>
      <c r="H212" s="135"/>
      <c r="I212" s="125">
        <f t="shared" si="36"/>
        <v>1</v>
      </c>
      <c r="J212" s="135"/>
      <c r="K212" s="125">
        <f t="shared" si="37"/>
        <v>1</v>
      </c>
      <c r="L212" s="135"/>
      <c r="M212" s="125">
        <f t="shared" si="38"/>
        <v>1</v>
      </c>
      <c r="N212" s="135"/>
      <c r="O212" s="125">
        <f t="shared" si="39"/>
        <v>1</v>
      </c>
      <c r="P212" s="135"/>
      <c r="Q212" s="125">
        <f t="shared" si="40"/>
        <v>1</v>
      </c>
      <c r="R212" s="125">
        <f t="shared" si="41"/>
        <v>0</v>
      </c>
      <c r="S212" s="124">
        <f t="shared" si="42"/>
        <v>0</v>
      </c>
    </row>
    <row r="213" spans="1:19">
      <c r="A213" s="133"/>
      <c r="B213" s="134"/>
      <c r="C213" s="125">
        <f t="shared" si="33"/>
        <v>1</v>
      </c>
      <c r="D213" s="135"/>
      <c r="E213" s="125">
        <f t="shared" si="34"/>
        <v>1</v>
      </c>
      <c r="F213" s="135"/>
      <c r="G213" s="125">
        <f t="shared" si="35"/>
        <v>1</v>
      </c>
      <c r="H213" s="135"/>
      <c r="I213" s="125">
        <f t="shared" si="36"/>
        <v>1</v>
      </c>
      <c r="J213" s="135"/>
      <c r="K213" s="125">
        <f t="shared" si="37"/>
        <v>1</v>
      </c>
      <c r="L213" s="135"/>
      <c r="M213" s="125">
        <f t="shared" si="38"/>
        <v>1</v>
      </c>
      <c r="N213" s="135"/>
      <c r="O213" s="125">
        <f t="shared" si="39"/>
        <v>1</v>
      </c>
      <c r="P213" s="135"/>
      <c r="Q213" s="125">
        <f t="shared" si="40"/>
        <v>1</v>
      </c>
      <c r="R213" s="125">
        <f t="shared" si="41"/>
        <v>0</v>
      </c>
      <c r="S213" s="124">
        <f t="shared" si="42"/>
        <v>0</v>
      </c>
    </row>
    <row r="214" spans="1:19">
      <c r="A214" s="133"/>
      <c r="B214" s="134"/>
      <c r="C214" s="125">
        <f t="shared" si="33"/>
        <v>1</v>
      </c>
      <c r="D214" s="135"/>
      <c r="E214" s="125">
        <f t="shared" si="34"/>
        <v>1</v>
      </c>
      <c r="F214" s="135"/>
      <c r="G214" s="125">
        <f t="shared" si="35"/>
        <v>1</v>
      </c>
      <c r="H214" s="135"/>
      <c r="I214" s="125">
        <f t="shared" si="36"/>
        <v>1</v>
      </c>
      <c r="J214" s="135"/>
      <c r="K214" s="125">
        <f t="shared" si="37"/>
        <v>1</v>
      </c>
      <c r="L214" s="135"/>
      <c r="M214" s="125">
        <f t="shared" si="38"/>
        <v>1</v>
      </c>
      <c r="N214" s="135"/>
      <c r="O214" s="125">
        <f t="shared" si="39"/>
        <v>1</v>
      </c>
      <c r="P214" s="135"/>
      <c r="Q214" s="125">
        <f t="shared" si="40"/>
        <v>1</v>
      </c>
      <c r="R214" s="125">
        <f t="shared" si="41"/>
        <v>0</v>
      </c>
      <c r="S214" s="124">
        <f t="shared" si="42"/>
        <v>0</v>
      </c>
    </row>
    <row r="215" spans="1:19">
      <c r="A215" s="133"/>
      <c r="B215" s="134"/>
      <c r="C215" s="125">
        <f t="shared" si="33"/>
        <v>1</v>
      </c>
      <c r="D215" s="135"/>
      <c r="E215" s="125">
        <f t="shared" si="34"/>
        <v>1</v>
      </c>
      <c r="F215" s="135"/>
      <c r="G215" s="125">
        <f t="shared" si="35"/>
        <v>1</v>
      </c>
      <c r="H215" s="135"/>
      <c r="I215" s="125">
        <f t="shared" si="36"/>
        <v>1</v>
      </c>
      <c r="J215" s="135"/>
      <c r="K215" s="125">
        <f t="shared" si="37"/>
        <v>1</v>
      </c>
      <c r="L215" s="135"/>
      <c r="M215" s="125">
        <f t="shared" si="38"/>
        <v>1</v>
      </c>
      <c r="N215" s="135"/>
      <c r="O215" s="125">
        <f t="shared" si="39"/>
        <v>1</v>
      </c>
      <c r="P215" s="135"/>
      <c r="Q215" s="125">
        <f t="shared" si="40"/>
        <v>1</v>
      </c>
      <c r="R215" s="125">
        <f t="shared" si="41"/>
        <v>0</v>
      </c>
      <c r="S215" s="124">
        <f t="shared" si="42"/>
        <v>0</v>
      </c>
    </row>
    <row r="216" spans="1:19">
      <c r="A216" s="133"/>
      <c r="B216" s="134"/>
      <c r="C216" s="125">
        <f t="shared" si="33"/>
        <v>1</v>
      </c>
      <c r="D216" s="135"/>
      <c r="E216" s="125">
        <f t="shared" si="34"/>
        <v>1</v>
      </c>
      <c r="F216" s="135"/>
      <c r="G216" s="125">
        <f t="shared" si="35"/>
        <v>1</v>
      </c>
      <c r="H216" s="135"/>
      <c r="I216" s="125">
        <f t="shared" si="36"/>
        <v>1</v>
      </c>
      <c r="J216" s="135"/>
      <c r="K216" s="125">
        <f t="shared" si="37"/>
        <v>1</v>
      </c>
      <c r="L216" s="135"/>
      <c r="M216" s="125">
        <f t="shared" si="38"/>
        <v>1</v>
      </c>
      <c r="N216" s="135"/>
      <c r="O216" s="125">
        <f t="shared" si="39"/>
        <v>1</v>
      </c>
      <c r="P216" s="135"/>
      <c r="Q216" s="125">
        <f t="shared" si="40"/>
        <v>1</v>
      </c>
      <c r="R216" s="125">
        <f t="shared" si="41"/>
        <v>0</v>
      </c>
      <c r="S216" s="124">
        <f t="shared" si="42"/>
        <v>0</v>
      </c>
    </row>
    <row r="217" spans="1:19">
      <c r="A217" s="133"/>
      <c r="B217" s="134"/>
      <c r="C217" s="125">
        <f t="shared" si="33"/>
        <v>1</v>
      </c>
      <c r="D217" s="135"/>
      <c r="E217" s="125">
        <f t="shared" si="34"/>
        <v>1</v>
      </c>
      <c r="F217" s="135"/>
      <c r="G217" s="125">
        <f t="shared" si="35"/>
        <v>1</v>
      </c>
      <c r="H217" s="135"/>
      <c r="I217" s="125">
        <f t="shared" si="36"/>
        <v>1</v>
      </c>
      <c r="J217" s="135"/>
      <c r="K217" s="125">
        <f t="shared" si="37"/>
        <v>1</v>
      </c>
      <c r="L217" s="135"/>
      <c r="M217" s="125">
        <f t="shared" si="38"/>
        <v>1</v>
      </c>
      <c r="N217" s="135"/>
      <c r="O217" s="125">
        <f t="shared" si="39"/>
        <v>1</v>
      </c>
      <c r="P217" s="135"/>
      <c r="Q217" s="125">
        <f t="shared" si="40"/>
        <v>1</v>
      </c>
      <c r="R217" s="125">
        <f t="shared" si="41"/>
        <v>0</v>
      </c>
      <c r="S217" s="124">
        <f t="shared" si="42"/>
        <v>0</v>
      </c>
    </row>
    <row r="218" spans="1:19">
      <c r="A218" s="133"/>
      <c r="B218" s="134"/>
      <c r="C218" s="125">
        <f t="shared" ref="C218:C281" si="43">IF(B218="",1,(LOOKUP(B218,$3:$3,$4:$4)-LOOKUP($B$24,$3:$3,$4:$4)+100)/100)</f>
        <v>1</v>
      </c>
      <c r="D218" s="135"/>
      <c r="E218" s="125">
        <f t="shared" ref="E218:E281" si="44">(SUMIF($5:$5,D218,$6:$6)-SUMIF($5:$5,$D$24,$6:$6)+100)/100</f>
        <v>1</v>
      </c>
      <c r="F218" s="135"/>
      <c r="G218" s="125">
        <f t="shared" ref="G218:G281" si="45">(SUMIF($7:$7,F218,$8:$8)-SUMIF($7:$7,$F$24,$8:$8)+100)/100</f>
        <v>1</v>
      </c>
      <c r="H218" s="135"/>
      <c r="I218" s="125">
        <f t="shared" ref="I218:I281" si="46">(SUMIF($9:$9,H218,$10:$10)-SUMIF($9:$9,$H$24,$10:$10)+100)/100</f>
        <v>1</v>
      </c>
      <c r="J218" s="135"/>
      <c r="K218" s="125">
        <f t="shared" ref="K218:K281" si="47">(SUMIF($11:$11,J218,$12:$12)-SUMIF($11:$11,$J$24,$12:$12)+100)/100</f>
        <v>1</v>
      </c>
      <c r="L218" s="135"/>
      <c r="M218" s="125">
        <f t="shared" ref="M218:M281" si="48">(SUMIF($13:$13,L218,$14:$14)-SUMIF($13:$13,$L$24,$14:$14)+100)/100</f>
        <v>1</v>
      </c>
      <c r="N218" s="135"/>
      <c r="O218" s="125">
        <f t="shared" ref="O218:O281" si="49">(SUMIF($15:$15,N218,$16:$16)-SUMIF($15:$15,$N$24,$16:$16)+100)/100</f>
        <v>1</v>
      </c>
      <c r="P218" s="135"/>
      <c r="Q218" s="125">
        <f t="shared" ref="Q218:Q281" si="50">(SUMIF($17:$17,P218,$18:$18)-SUMIF($17:$17,$P$24,$18:$18)+100)/100</f>
        <v>1</v>
      </c>
      <c r="R218" s="125">
        <f t="shared" ref="R218:R281" si="51">IF(B218="",0,ROUND($R$24*C218*E218*G218*I218*K218*M218*O218*Q218,0))</f>
        <v>0</v>
      </c>
      <c r="S218" s="124">
        <f t="shared" si="42"/>
        <v>0</v>
      </c>
    </row>
    <row r="219" spans="1:19">
      <c r="A219" s="133"/>
      <c r="B219" s="134"/>
      <c r="C219" s="125">
        <f t="shared" si="43"/>
        <v>1</v>
      </c>
      <c r="D219" s="135"/>
      <c r="E219" s="125">
        <f t="shared" si="44"/>
        <v>1</v>
      </c>
      <c r="F219" s="135"/>
      <c r="G219" s="125">
        <f t="shared" si="45"/>
        <v>1</v>
      </c>
      <c r="H219" s="135"/>
      <c r="I219" s="125">
        <f t="shared" si="46"/>
        <v>1</v>
      </c>
      <c r="J219" s="135"/>
      <c r="K219" s="125">
        <f t="shared" si="47"/>
        <v>1</v>
      </c>
      <c r="L219" s="135"/>
      <c r="M219" s="125">
        <f t="shared" si="48"/>
        <v>1</v>
      </c>
      <c r="N219" s="135"/>
      <c r="O219" s="125">
        <f t="shared" si="49"/>
        <v>1</v>
      </c>
      <c r="P219" s="135"/>
      <c r="Q219" s="125">
        <f t="shared" si="50"/>
        <v>1</v>
      </c>
      <c r="R219" s="125">
        <f t="shared" si="51"/>
        <v>0</v>
      </c>
      <c r="S219" s="124">
        <f t="shared" si="42"/>
        <v>0</v>
      </c>
    </row>
    <row r="220" spans="1:19">
      <c r="A220" s="133"/>
      <c r="B220" s="134"/>
      <c r="C220" s="125">
        <f t="shared" si="43"/>
        <v>1</v>
      </c>
      <c r="D220" s="135"/>
      <c r="E220" s="125">
        <f t="shared" si="44"/>
        <v>1</v>
      </c>
      <c r="F220" s="135"/>
      <c r="G220" s="125">
        <f t="shared" si="45"/>
        <v>1</v>
      </c>
      <c r="H220" s="135"/>
      <c r="I220" s="125">
        <f t="shared" si="46"/>
        <v>1</v>
      </c>
      <c r="J220" s="135"/>
      <c r="K220" s="125">
        <f t="shared" si="47"/>
        <v>1</v>
      </c>
      <c r="L220" s="135"/>
      <c r="M220" s="125">
        <f t="shared" si="48"/>
        <v>1</v>
      </c>
      <c r="N220" s="135"/>
      <c r="O220" s="125">
        <f t="shared" si="49"/>
        <v>1</v>
      </c>
      <c r="P220" s="135"/>
      <c r="Q220" s="125">
        <f t="shared" si="50"/>
        <v>1</v>
      </c>
      <c r="R220" s="125">
        <f t="shared" si="51"/>
        <v>0</v>
      </c>
      <c r="S220" s="124">
        <f t="shared" si="42"/>
        <v>0</v>
      </c>
    </row>
    <row r="221" spans="1:19">
      <c r="A221" s="133"/>
      <c r="B221" s="134"/>
      <c r="C221" s="125">
        <f t="shared" si="43"/>
        <v>1</v>
      </c>
      <c r="D221" s="135"/>
      <c r="E221" s="125">
        <f t="shared" si="44"/>
        <v>1</v>
      </c>
      <c r="F221" s="135"/>
      <c r="G221" s="125">
        <f t="shared" si="45"/>
        <v>1</v>
      </c>
      <c r="H221" s="135"/>
      <c r="I221" s="125">
        <f t="shared" si="46"/>
        <v>1</v>
      </c>
      <c r="J221" s="135"/>
      <c r="K221" s="125">
        <f t="shared" si="47"/>
        <v>1</v>
      </c>
      <c r="L221" s="135"/>
      <c r="M221" s="125">
        <f t="shared" si="48"/>
        <v>1</v>
      </c>
      <c r="N221" s="135"/>
      <c r="O221" s="125">
        <f t="shared" si="49"/>
        <v>1</v>
      </c>
      <c r="P221" s="135"/>
      <c r="Q221" s="125">
        <f t="shared" si="50"/>
        <v>1</v>
      </c>
      <c r="R221" s="125">
        <f t="shared" si="51"/>
        <v>0</v>
      </c>
      <c r="S221" s="124">
        <f t="shared" si="42"/>
        <v>0</v>
      </c>
    </row>
    <row r="222" spans="1:19">
      <c r="A222" s="133"/>
      <c r="B222" s="134"/>
      <c r="C222" s="125">
        <f t="shared" si="43"/>
        <v>1</v>
      </c>
      <c r="D222" s="135"/>
      <c r="E222" s="125">
        <f t="shared" si="44"/>
        <v>1</v>
      </c>
      <c r="F222" s="135"/>
      <c r="G222" s="125">
        <f t="shared" si="45"/>
        <v>1</v>
      </c>
      <c r="H222" s="135"/>
      <c r="I222" s="125">
        <f t="shared" si="46"/>
        <v>1</v>
      </c>
      <c r="J222" s="135"/>
      <c r="K222" s="125">
        <f t="shared" si="47"/>
        <v>1</v>
      </c>
      <c r="L222" s="135"/>
      <c r="M222" s="125">
        <f t="shared" si="48"/>
        <v>1</v>
      </c>
      <c r="N222" s="135"/>
      <c r="O222" s="125">
        <f t="shared" si="49"/>
        <v>1</v>
      </c>
      <c r="P222" s="135"/>
      <c r="Q222" s="125">
        <f t="shared" si="50"/>
        <v>1</v>
      </c>
      <c r="R222" s="125">
        <f t="shared" si="51"/>
        <v>0</v>
      </c>
      <c r="S222" s="124">
        <f t="shared" si="42"/>
        <v>0</v>
      </c>
    </row>
    <row r="223" spans="1:19">
      <c r="A223" s="133"/>
      <c r="B223" s="134"/>
      <c r="C223" s="125">
        <f t="shared" si="43"/>
        <v>1</v>
      </c>
      <c r="D223" s="135"/>
      <c r="E223" s="125">
        <f t="shared" si="44"/>
        <v>1</v>
      </c>
      <c r="F223" s="135"/>
      <c r="G223" s="125">
        <f t="shared" si="45"/>
        <v>1</v>
      </c>
      <c r="H223" s="135"/>
      <c r="I223" s="125">
        <f t="shared" si="46"/>
        <v>1</v>
      </c>
      <c r="J223" s="135"/>
      <c r="K223" s="125">
        <f t="shared" si="47"/>
        <v>1</v>
      </c>
      <c r="L223" s="135"/>
      <c r="M223" s="125">
        <f t="shared" si="48"/>
        <v>1</v>
      </c>
      <c r="N223" s="135"/>
      <c r="O223" s="125">
        <f t="shared" si="49"/>
        <v>1</v>
      </c>
      <c r="P223" s="135"/>
      <c r="Q223" s="125">
        <f t="shared" si="50"/>
        <v>1</v>
      </c>
      <c r="R223" s="125">
        <f t="shared" si="51"/>
        <v>0</v>
      </c>
      <c r="S223" s="124">
        <f t="shared" ref="S223:S286" si="52">ROUND(R223*B223/10000,0)</f>
        <v>0</v>
      </c>
    </row>
    <row r="224" spans="1:19">
      <c r="A224" s="133"/>
      <c r="B224" s="134"/>
      <c r="C224" s="125">
        <f t="shared" si="43"/>
        <v>1</v>
      </c>
      <c r="D224" s="135"/>
      <c r="E224" s="125">
        <f t="shared" si="44"/>
        <v>1</v>
      </c>
      <c r="F224" s="135"/>
      <c r="G224" s="125">
        <f t="shared" si="45"/>
        <v>1</v>
      </c>
      <c r="H224" s="135"/>
      <c r="I224" s="125">
        <f t="shared" si="46"/>
        <v>1</v>
      </c>
      <c r="J224" s="135"/>
      <c r="K224" s="125">
        <f t="shared" si="47"/>
        <v>1</v>
      </c>
      <c r="L224" s="135"/>
      <c r="M224" s="125">
        <f t="shared" si="48"/>
        <v>1</v>
      </c>
      <c r="N224" s="135"/>
      <c r="O224" s="125">
        <f t="shared" si="49"/>
        <v>1</v>
      </c>
      <c r="P224" s="135"/>
      <c r="Q224" s="125">
        <f t="shared" si="50"/>
        <v>1</v>
      </c>
      <c r="R224" s="125">
        <f t="shared" si="51"/>
        <v>0</v>
      </c>
      <c r="S224" s="124">
        <f t="shared" si="52"/>
        <v>0</v>
      </c>
    </row>
    <row r="225" spans="1:19">
      <c r="A225" s="133"/>
      <c r="B225" s="134"/>
      <c r="C225" s="125">
        <f t="shared" si="43"/>
        <v>1</v>
      </c>
      <c r="D225" s="135"/>
      <c r="E225" s="125">
        <f t="shared" si="44"/>
        <v>1</v>
      </c>
      <c r="F225" s="135"/>
      <c r="G225" s="125">
        <f t="shared" si="45"/>
        <v>1</v>
      </c>
      <c r="H225" s="135"/>
      <c r="I225" s="125">
        <f t="shared" si="46"/>
        <v>1</v>
      </c>
      <c r="J225" s="135"/>
      <c r="K225" s="125">
        <f t="shared" si="47"/>
        <v>1</v>
      </c>
      <c r="L225" s="135"/>
      <c r="M225" s="125">
        <f t="shared" si="48"/>
        <v>1</v>
      </c>
      <c r="N225" s="135"/>
      <c r="O225" s="125">
        <f t="shared" si="49"/>
        <v>1</v>
      </c>
      <c r="P225" s="135"/>
      <c r="Q225" s="125">
        <f t="shared" si="50"/>
        <v>1</v>
      </c>
      <c r="R225" s="125">
        <f t="shared" si="51"/>
        <v>0</v>
      </c>
      <c r="S225" s="124">
        <f t="shared" si="52"/>
        <v>0</v>
      </c>
    </row>
    <row r="226" spans="1:19">
      <c r="A226" s="133"/>
      <c r="B226" s="134"/>
      <c r="C226" s="125">
        <f t="shared" si="43"/>
        <v>1</v>
      </c>
      <c r="D226" s="135"/>
      <c r="E226" s="125">
        <f t="shared" si="44"/>
        <v>1</v>
      </c>
      <c r="F226" s="135"/>
      <c r="G226" s="125">
        <f t="shared" si="45"/>
        <v>1</v>
      </c>
      <c r="H226" s="135"/>
      <c r="I226" s="125">
        <f t="shared" si="46"/>
        <v>1</v>
      </c>
      <c r="J226" s="135"/>
      <c r="K226" s="125">
        <f t="shared" si="47"/>
        <v>1</v>
      </c>
      <c r="L226" s="135"/>
      <c r="M226" s="125">
        <f t="shared" si="48"/>
        <v>1</v>
      </c>
      <c r="N226" s="135"/>
      <c r="O226" s="125">
        <f t="shared" si="49"/>
        <v>1</v>
      </c>
      <c r="P226" s="135"/>
      <c r="Q226" s="125">
        <f t="shared" si="50"/>
        <v>1</v>
      </c>
      <c r="R226" s="125">
        <f t="shared" si="51"/>
        <v>0</v>
      </c>
      <c r="S226" s="124">
        <f t="shared" si="52"/>
        <v>0</v>
      </c>
    </row>
    <row r="227" spans="1:19">
      <c r="A227" s="133"/>
      <c r="B227" s="134"/>
      <c r="C227" s="125">
        <f t="shared" si="43"/>
        <v>1</v>
      </c>
      <c r="D227" s="135"/>
      <c r="E227" s="125">
        <f t="shared" si="44"/>
        <v>1</v>
      </c>
      <c r="F227" s="135"/>
      <c r="G227" s="125">
        <f t="shared" si="45"/>
        <v>1</v>
      </c>
      <c r="H227" s="135"/>
      <c r="I227" s="125">
        <f t="shared" si="46"/>
        <v>1</v>
      </c>
      <c r="J227" s="135"/>
      <c r="K227" s="125">
        <f t="shared" si="47"/>
        <v>1</v>
      </c>
      <c r="L227" s="135"/>
      <c r="M227" s="125">
        <f t="shared" si="48"/>
        <v>1</v>
      </c>
      <c r="N227" s="135"/>
      <c r="O227" s="125">
        <f t="shared" si="49"/>
        <v>1</v>
      </c>
      <c r="P227" s="135"/>
      <c r="Q227" s="125">
        <f t="shared" si="50"/>
        <v>1</v>
      </c>
      <c r="R227" s="125">
        <f t="shared" si="51"/>
        <v>0</v>
      </c>
      <c r="S227" s="124">
        <f t="shared" si="52"/>
        <v>0</v>
      </c>
    </row>
    <row r="228" spans="1:19">
      <c r="A228" s="133"/>
      <c r="B228" s="134"/>
      <c r="C228" s="125">
        <f t="shared" si="43"/>
        <v>1</v>
      </c>
      <c r="D228" s="135"/>
      <c r="E228" s="125">
        <f t="shared" si="44"/>
        <v>1</v>
      </c>
      <c r="F228" s="135"/>
      <c r="G228" s="125">
        <f t="shared" si="45"/>
        <v>1</v>
      </c>
      <c r="H228" s="135"/>
      <c r="I228" s="125">
        <f t="shared" si="46"/>
        <v>1</v>
      </c>
      <c r="J228" s="135"/>
      <c r="K228" s="125">
        <f t="shared" si="47"/>
        <v>1</v>
      </c>
      <c r="L228" s="135"/>
      <c r="M228" s="125">
        <f t="shared" si="48"/>
        <v>1</v>
      </c>
      <c r="N228" s="135"/>
      <c r="O228" s="125">
        <f t="shared" si="49"/>
        <v>1</v>
      </c>
      <c r="P228" s="135"/>
      <c r="Q228" s="125">
        <f t="shared" si="50"/>
        <v>1</v>
      </c>
      <c r="R228" s="125">
        <f t="shared" si="51"/>
        <v>0</v>
      </c>
      <c r="S228" s="124">
        <f t="shared" si="52"/>
        <v>0</v>
      </c>
    </row>
    <row r="229" spans="1:19">
      <c r="A229" s="133"/>
      <c r="B229" s="134"/>
      <c r="C229" s="125">
        <f t="shared" si="43"/>
        <v>1</v>
      </c>
      <c r="D229" s="135"/>
      <c r="E229" s="125">
        <f t="shared" si="44"/>
        <v>1</v>
      </c>
      <c r="F229" s="135"/>
      <c r="G229" s="125">
        <f t="shared" si="45"/>
        <v>1</v>
      </c>
      <c r="H229" s="135"/>
      <c r="I229" s="125">
        <f t="shared" si="46"/>
        <v>1</v>
      </c>
      <c r="J229" s="135"/>
      <c r="K229" s="125">
        <f t="shared" si="47"/>
        <v>1</v>
      </c>
      <c r="L229" s="135"/>
      <c r="M229" s="125">
        <f t="shared" si="48"/>
        <v>1</v>
      </c>
      <c r="N229" s="135"/>
      <c r="O229" s="125">
        <f t="shared" si="49"/>
        <v>1</v>
      </c>
      <c r="P229" s="135"/>
      <c r="Q229" s="125">
        <f t="shared" si="50"/>
        <v>1</v>
      </c>
      <c r="R229" s="125">
        <f t="shared" si="51"/>
        <v>0</v>
      </c>
      <c r="S229" s="124">
        <f t="shared" si="52"/>
        <v>0</v>
      </c>
    </row>
    <row r="230" spans="1:19">
      <c r="A230" s="133"/>
      <c r="B230" s="134"/>
      <c r="C230" s="125">
        <f t="shared" si="43"/>
        <v>1</v>
      </c>
      <c r="D230" s="135"/>
      <c r="E230" s="125">
        <f t="shared" si="44"/>
        <v>1</v>
      </c>
      <c r="F230" s="135"/>
      <c r="G230" s="125">
        <f t="shared" si="45"/>
        <v>1</v>
      </c>
      <c r="H230" s="135"/>
      <c r="I230" s="125">
        <f t="shared" si="46"/>
        <v>1</v>
      </c>
      <c r="J230" s="135"/>
      <c r="K230" s="125">
        <f t="shared" si="47"/>
        <v>1</v>
      </c>
      <c r="L230" s="135"/>
      <c r="M230" s="125">
        <f t="shared" si="48"/>
        <v>1</v>
      </c>
      <c r="N230" s="135"/>
      <c r="O230" s="125">
        <f t="shared" si="49"/>
        <v>1</v>
      </c>
      <c r="P230" s="135"/>
      <c r="Q230" s="125">
        <f t="shared" si="50"/>
        <v>1</v>
      </c>
      <c r="R230" s="125">
        <f t="shared" si="51"/>
        <v>0</v>
      </c>
      <c r="S230" s="124">
        <f t="shared" si="52"/>
        <v>0</v>
      </c>
    </row>
    <row r="231" spans="1:19">
      <c r="A231" s="133"/>
      <c r="B231" s="134"/>
      <c r="C231" s="125">
        <f t="shared" si="43"/>
        <v>1</v>
      </c>
      <c r="D231" s="135"/>
      <c r="E231" s="125">
        <f t="shared" si="44"/>
        <v>1</v>
      </c>
      <c r="F231" s="135"/>
      <c r="G231" s="125">
        <f t="shared" si="45"/>
        <v>1</v>
      </c>
      <c r="H231" s="135"/>
      <c r="I231" s="125">
        <f t="shared" si="46"/>
        <v>1</v>
      </c>
      <c r="J231" s="135"/>
      <c r="K231" s="125">
        <f t="shared" si="47"/>
        <v>1</v>
      </c>
      <c r="L231" s="135"/>
      <c r="M231" s="125">
        <f t="shared" si="48"/>
        <v>1</v>
      </c>
      <c r="N231" s="135"/>
      <c r="O231" s="125">
        <f t="shared" si="49"/>
        <v>1</v>
      </c>
      <c r="P231" s="135"/>
      <c r="Q231" s="125">
        <f t="shared" si="50"/>
        <v>1</v>
      </c>
      <c r="R231" s="125">
        <f t="shared" si="51"/>
        <v>0</v>
      </c>
      <c r="S231" s="124">
        <f t="shared" si="52"/>
        <v>0</v>
      </c>
    </row>
    <row r="232" spans="1:19">
      <c r="A232" s="133"/>
      <c r="B232" s="134"/>
      <c r="C232" s="125">
        <f t="shared" si="43"/>
        <v>1</v>
      </c>
      <c r="D232" s="135"/>
      <c r="E232" s="125">
        <f t="shared" si="44"/>
        <v>1</v>
      </c>
      <c r="F232" s="135"/>
      <c r="G232" s="125">
        <f t="shared" si="45"/>
        <v>1</v>
      </c>
      <c r="H232" s="135"/>
      <c r="I232" s="125">
        <f t="shared" si="46"/>
        <v>1</v>
      </c>
      <c r="J232" s="135"/>
      <c r="K232" s="125">
        <f t="shared" si="47"/>
        <v>1</v>
      </c>
      <c r="L232" s="135"/>
      <c r="M232" s="125">
        <f t="shared" si="48"/>
        <v>1</v>
      </c>
      <c r="N232" s="135"/>
      <c r="O232" s="125">
        <f t="shared" si="49"/>
        <v>1</v>
      </c>
      <c r="P232" s="135"/>
      <c r="Q232" s="125">
        <f t="shared" si="50"/>
        <v>1</v>
      </c>
      <c r="R232" s="125">
        <f t="shared" si="51"/>
        <v>0</v>
      </c>
      <c r="S232" s="124">
        <f t="shared" si="52"/>
        <v>0</v>
      </c>
    </row>
    <row r="233" spans="1:19">
      <c r="A233" s="133"/>
      <c r="B233" s="134"/>
      <c r="C233" s="125">
        <f t="shared" si="43"/>
        <v>1</v>
      </c>
      <c r="D233" s="135"/>
      <c r="E233" s="125">
        <f t="shared" si="44"/>
        <v>1</v>
      </c>
      <c r="F233" s="135"/>
      <c r="G233" s="125">
        <f t="shared" si="45"/>
        <v>1</v>
      </c>
      <c r="H233" s="135"/>
      <c r="I233" s="125">
        <f t="shared" si="46"/>
        <v>1</v>
      </c>
      <c r="J233" s="135"/>
      <c r="K233" s="125">
        <f t="shared" si="47"/>
        <v>1</v>
      </c>
      <c r="L233" s="135"/>
      <c r="M233" s="125">
        <f t="shared" si="48"/>
        <v>1</v>
      </c>
      <c r="N233" s="135"/>
      <c r="O233" s="125">
        <f t="shared" si="49"/>
        <v>1</v>
      </c>
      <c r="P233" s="135"/>
      <c r="Q233" s="125">
        <f t="shared" si="50"/>
        <v>1</v>
      </c>
      <c r="R233" s="125">
        <f t="shared" si="51"/>
        <v>0</v>
      </c>
      <c r="S233" s="124">
        <f t="shared" si="52"/>
        <v>0</v>
      </c>
    </row>
    <row r="234" spans="1:19">
      <c r="A234" s="133"/>
      <c r="B234" s="134"/>
      <c r="C234" s="125">
        <f t="shared" si="43"/>
        <v>1</v>
      </c>
      <c r="D234" s="135"/>
      <c r="E234" s="125">
        <f t="shared" si="44"/>
        <v>1</v>
      </c>
      <c r="F234" s="135"/>
      <c r="G234" s="125">
        <f t="shared" si="45"/>
        <v>1</v>
      </c>
      <c r="H234" s="135"/>
      <c r="I234" s="125">
        <f t="shared" si="46"/>
        <v>1</v>
      </c>
      <c r="J234" s="135"/>
      <c r="K234" s="125">
        <f t="shared" si="47"/>
        <v>1</v>
      </c>
      <c r="L234" s="135"/>
      <c r="M234" s="125">
        <f t="shared" si="48"/>
        <v>1</v>
      </c>
      <c r="N234" s="135"/>
      <c r="O234" s="125">
        <f t="shared" si="49"/>
        <v>1</v>
      </c>
      <c r="P234" s="135"/>
      <c r="Q234" s="125">
        <f t="shared" si="50"/>
        <v>1</v>
      </c>
      <c r="R234" s="125">
        <f t="shared" si="51"/>
        <v>0</v>
      </c>
      <c r="S234" s="124">
        <f t="shared" si="52"/>
        <v>0</v>
      </c>
    </row>
    <row r="235" spans="1:19">
      <c r="A235" s="133"/>
      <c r="B235" s="134"/>
      <c r="C235" s="125">
        <f t="shared" si="43"/>
        <v>1</v>
      </c>
      <c r="D235" s="135"/>
      <c r="E235" s="125">
        <f t="shared" si="44"/>
        <v>1</v>
      </c>
      <c r="F235" s="135"/>
      <c r="G235" s="125">
        <f t="shared" si="45"/>
        <v>1</v>
      </c>
      <c r="H235" s="135"/>
      <c r="I235" s="125">
        <f t="shared" si="46"/>
        <v>1</v>
      </c>
      <c r="J235" s="135"/>
      <c r="K235" s="125">
        <f t="shared" si="47"/>
        <v>1</v>
      </c>
      <c r="L235" s="135"/>
      <c r="M235" s="125">
        <f t="shared" si="48"/>
        <v>1</v>
      </c>
      <c r="N235" s="135"/>
      <c r="O235" s="125">
        <f t="shared" si="49"/>
        <v>1</v>
      </c>
      <c r="P235" s="135"/>
      <c r="Q235" s="125">
        <f t="shared" si="50"/>
        <v>1</v>
      </c>
      <c r="R235" s="125">
        <f t="shared" si="51"/>
        <v>0</v>
      </c>
      <c r="S235" s="124">
        <f t="shared" si="52"/>
        <v>0</v>
      </c>
    </row>
    <row r="236" spans="1:19">
      <c r="A236" s="133"/>
      <c r="B236" s="134"/>
      <c r="C236" s="125">
        <f t="shared" si="43"/>
        <v>1</v>
      </c>
      <c r="D236" s="135"/>
      <c r="E236" s="125">
        <f t="shared" si="44"/>
        <v>1</v>
      </c>
      <c r="F236" s="135"/>
      <c r="G236" s="125">
        <f t="shared" si="45"/>
        <v>1</v>
      </c>
      <c r="H236" s="135"/>
      <c r="I236" s="125">
        <f t="shared" si="46"/>
        <v>1</v>
      </c>
      <c r="J236" s="135"/>
      <c r="K236" s="125">
        <f t="shared" si="47"/>
        <v>1</v>
      </c>
      <c r="L236" s="135"/>
      <c r="M236" s="125">
        <f t="shared" si="48"/>
        <v>1</v>
      </c>
      <c r="N236" s="135"/>
      <c r="O236" s="125">
        <f t="shared" si="49"/>
        <v>1</v>
      </c>
      <c r="P236" s="135"/>
      <c r="Q236" s="125">
        <f t="shared" si="50"/>
        <v>1</v>
      </c>
      <c r="R236" s="125">
        <f t="shared" si="51"/>
        <v>0</v>
      </c>
      <c r="S236" s="124">
        <f t="shared" si="52"/>
        <v>0</v>
      </c>
    </row>
    <row r="237" spans="1:19">
      <c r="A237" s="133"/>
      <c r="B237" s="134"/>
      <c r="C237" s="125">
        <f t="shared" si="43"/>
        <v>1</v>
      </c>
      <c r="D237" s="135"/>
      <c r="E237" s="125">
        <f t="shared" si="44"/>
        <v>1</v>
      </c>
      <c r="F237" s="135"/>
      <c r="G237" s="125">
        <f t="shared" si="45"/>
        <v>1</v>
      </c>
      <c r="H237" s="135"/>
      <c r="I237" s="125">
        <f t="shared" si="46"/>
        <v>1</v>
      </c>
      <c r="J237" s="135"/>
      <c r="K237" s="125">
        <f t="shared" si="47"/>
        <v>1</v>
      </c>
      <c r="L237" s="135"/>
      <c r="M237" s="125">
        <f t="shared" si="48"/>
        <v>1</v>
      </c>
      <c r="N237" s="135"/>
      <c r="O237" s="125">
        <f t="shared" si="49"/>
        <v>1</v>
      </c>
      <c r="P237" s="135"/>
      <c r="Q237" s="125">
        <f t="shared" si="50"/>
        <v>1</v>
      </c>
      <c r="R237" s="125">
        <f t="shared" si="51"/>
        <v>0</v>
      </c>
      <c r="S237" s="124">
        <f t="shared" si="52"/>
        <v>0</v>
      </c>
    </row>
    <row r="238" spans="1:19">
      <c r="A238" s="133"/>
      <c r="B238" s="134"/>
      <c r="C238" s="125">
        <f t="shared" si="43"/>
        <v>1</v>
      </c>
      <c r="D238" s="135"/>
      <c r="E238" s="125">
        <f t="shared" si="44"/>
        <v>1</v>
      </c>
      <c r="F238" s="135"/>
      <c r="G238" s="125">
        <f t="shared" si="45"/>
        <v>1</v>
      </c>
      <c r="H238" s="135"/>
      <c r="I238" s="125">
        <f t="shared" si="46"/>
        <v>1</v>
      </c>
      <c r="J238" s="135"/>
      <c r="K238" s="125">
        <f t="shared" si="47"/>
        <v>1</v>
      </c>
      <c r="L238" s="135"/>
      <c r="M238" s="125">
        <f t="shared" si="48"/>
        <v>1</v>
      </c>
      <c r="N238" s="135"/>
      <c r="O238" s="125">
        <f t="shared" si="49"/>
        <v>1</v>
      </c>
      <c r="P238" s="135"/>
      <c r="Q238" s="125">
        <f t="shared" si="50"/>
        <v>1</v>
      </c>
      <c r="R238" s="125">
        <f t="shared" si="51"/>
        <v>0</v>
      </c>
      <c r="S238" s="124">
        <f t="shared" si="52"/>
        <v>0</v>
      </c>
    </row>
    <row r="239" spans="1:19">
      <c r="A239" s="133"/>
      <c r="B239" s="134"/>
      <c r="C239" s="125">
        <f t="shared" si="43"/>
        <v>1</v>
      </c>
      <c r="D239" s="135"/>
      <c r="E239" s="125">
        <f t="shared" si="44"/>
        <v>1</v>
      </c>
      <c r="F239" s="135"/>
      <c r="G239" s="125">
        <f t="shared" si="45"/>
        <v>1</v>
      </c>
      <c r="H239" s="135"/>
      <c r="I239" s="125">
        <f t="shared" si="46"/>
        <v>1</v>
      </c>
      <c r="J239" s="135"/>
      <c r="K239" s="125">
        <f t="shared" si="47"/>
        <v>1</v>
      </c>
      <c r="L239" s="135"/>
      <c r="M239" s="125">
        <f t="shared" si="48"/>
        <v>1</v>
      </c>
      <c r="N239" s="135"/>
      <c r="O239" s="125">
        <f t="shared" si="49"/>
        <v>1</v>
      </c>
      <c r="P239" s="135"/>
      <c r="Q239" s="125">
        <f t="shared" si="50"/>
        <v>1</v>
      </c>
      <c r="R239" s="125">
        <f t="shared" si="51"/>
        <v>0</v>
      </c>
      <c r="S239" s="124">
        <f t="shared" si="52"/>
        <v>0</v>
      </c>
    </row>
    <row r="240" spans="1:19">
      <c r="A240" s="133"/>
      <c r="B240" s="134"/>
      <c r="C240" s="125">
        <f t="shared" si="43"/>
        <v>1</v>
      </c>
      <c r="D240" s="135"/>
      <c r="E240" s="125">
        <f t="shared" si="44"/>
        <v>1</v>
      </c>
      <c r="F240" s="135"/>
      <c r="G240" s="125">
        <f t="shared" si="45"/>
        <v>1</v>
      </c>
      <c r="H240" s="135"/>
      <c r="I240" s="125">
        <f t="shared" si="46"/>
        <v>1</v>
      </c>
      <c r="J240" s="135"/>
      <c r="K240" s="125">
        <f t="shared" si="47"/>
        <v>1</v>
      </c>
      <c r="L240" s="135"/>
      <c r="M240" s="125">
        <f t="shared" si="48"/>
        <v>1</v>
      </c>
      <c r="N240" s="135"/>
      <c r="O240" s="125">
        <f t="shared" si="49"/>
        <v>1</v>
      </c>
      <c r="P240" s="135"/>
      <c r="Q240" s="125">
        <f t="shared" si="50"/>
        <v>1</v>
      </c>
      <c r="R240" s="125">
        <f t="shared" si="51"/>
        <v>0</v>
      </c>
      <c r="S240" s="124">
        <f t="shared" si="52"/>
        <v>0</v>
      </c>
    </row>
    <row r="241" spans="1:19">
      <c r="A241" s="133"/>
      <c r="B241" s="134"/>
      <c r="C241" s="125">
        <f t="shared" si="43"/>
        <v>1</v>
      </c>
      <c r="D241" s="135"/>
      <c r="E241" s="125">
        <f t="shared" si="44"/>
        <v>1</v>
      </c>
      <c r="F241" s="135"/>
      <c r="G241" s="125">
        <f t="shared" si="45"/>
        <v>1</v>
      </c>
      <c r="H241" s="135"/>
      <c r="I241" s="125">
        <f t="shared" si="46"/>
        <v>1</v>
      </c>
      <c r="J241" s="135"/>
      <c r="K241" s="125">
        <f t="shared" si="47"/>
        <v>1</v>
      </c>
      <c r="L241" s="135"/>
      <c r="M241" s="125">
        <f t="shared" si="48"/>
        <v>1</v>
      </c>
      <c r="N241" s="135"/>
      <c r="O241" s="125">
        <f t="shared" si="49"/>
        <v>1</v>
      </c>
      <c r="P241" s="135"/>
      <c r="Q241" s="125">
        <f t="shared" si="50"/>
        <v>1</v>
      </c>
      <c r="R241" s="125">
        <f t="shared" si="51"/>
        <v>0</v>
      </c>
      <c r="S241" s="124">
        <f t="shared" si="52"/>
        <v>0</v>
      </c>
    </row>
    <row r="242" spans="1:19">
      <c r="A242" s="133"/>
      <c r="B242" s="134"/>
      <c r="C242" s="125">
        <f t="shared" si="43"/>
        <v>1</v>
      </c>
      <c r="D242" s="135"/>
      <c r="E242" s="125">
        <f t="shared" si="44"/>
        <v>1</v>
      </c>
      <c r="F242" s="135"/>
      <c r="G242" s="125">
        <f t="shared" si="45"/>
        <v>1</v>
      </c>
      <c r="H242" s="135"/>
      <c r="I242" s="125">
        <f t="shared" si="46"/>
        <v>1</v>
      </c>
      <c r="J242" s="135"/>
      <c r="K242" s="125">
        <f t="shared" si="47"/>
        <v>1</v>
      </c>
      <c r="L242" s="135"/>
      <c r="M242" s="125">
        <f t="shared" si="48"/>
        <v>1</v>
      </c>
      <c r="N242" s="135"/>
      <c r="O242" s="125">
        <f t="shared" si="49"/>
        <v>1</v>
      </c>
      <c r="P242" s="135"/>
      <c r="Q242" s="125">
        <f t="shared" si="50"/>
        <v>1</v>
      </c>
      <c r="R242" s="125">
        <f t="shared" si="51"/>
        <v>0</v>
      </c>
      <c r="S242" s="124">
        <f t="shared" si="52"/>
        <v>0</v>
      </c>
    </row>
    <row r="243" spans="1:19">
      <c r="A243" s="133"/>
      <c r="B243" s="134"/>
      <c r="C243" s="125">
        <f t="shared" si="43"/>
        <v>1</v>
      </c>
      <c r="D243" s="135"/>
      <c r="E243" s="125">
        <f t="shared" si="44"/>
        <v>1</v>
      </c>
      <c r="F243" s="135"/>
      <c r="G243" s="125">
        <f t="shared" si="45"/>
        <v>1</v>
      </c>
      <c r="H243" s="135"/>
      <c r="I243" s="125">
        <f t="shared" si="46"/>
        <v>1</v>
      </c>
      <c r="J243" s="135"/>
      <c r="K243" s="125">
        <f t="shared" si="47"/>
        <v>1</v>
      </c>
      <c r="L243" s="135"/>
      <c r="M243" s="125">
        <f t="shared" si="48"/>
        <v>1</v>
      </c>
      <c r="N243" s="135"/>
      <c r="O243" s="125">
        <f t="shared" si="49"/>
        <v>1</v>
      </c>
      <c r="P243" s="135"/>
      <c r="Q243" s="125">
        <f t="shared" si="50"/>
        <v>1</v>
      </c>
      <c r="R243" s="125">
        <f t="shared" si="51"/>
        <v>0</v>
      </c>
      <c r="S243" s="124">
        <f t="shared" si="52"/>
        <v>0</v>
      </c>
    </row>
    <row r="244" spans="1:19">
      <c r="A244" s="133"/>
      <c r="B244" s="134"/>
      <c r="C244" s="125">
        <f t="shared" si="43"/>
        <v>1</v>
      </c>
      <c r="D244" s="135"/>
      <c r="E244" s="125">
        <f t="shared" si="44"/>
        <v>1</v>
      </c>
      <c r="F244" s="135"/>
      <c r="G244" s="125">
        <f t="shared" si="45"/>
        <v>1</v>
      </c>
      <c r="H244" s="135"/>
      <c r="I244" s="125">
        <f t="shared" si="46"/>
        <v>1</v>
      </c>
      <c r="J244" s="135"/>
      <c r="K244" s="125">
        <f t="shared" si="47"/>
        <v>1</v>
      </c>
      <c r="L244" s="135"/>
      <c r="M244" s="125">
        <f t="shared" si="48"/>
        <v>1</v>
      </c>
      <c r="N244" s="135"/>
      <c r="O244" s="125">
        <f t="shared" si="49"/>
        <v>1</v>
      </c>
      <c r="P244" s="135"/>
      <c r="Q244" s="125">
        <f t="shared" si="50"/>
        <v>1</v>
      </c>
      <c r="R244" s="125">
        <f t="shared" si="51"/>
        <v>0</v>
      </c>
      <c r="S244" s="124">
        <f t="shared" si="52"/>
        <v>0</v>
      </c>
    </row>
    <row r="245" spans="1:19">
      <c r="A245" s="133"/>
      <c r="B245" s="134"/>
      <c r="C245" s="125">
        <f t="shared" si="43"/>
        <v>1</v>
      </c>
      <c r="D245" s="135"/>
      <c r="E245" s="125">
        <f t="shared" si="44"/>
        <v>1</v>
      </c>
      <c r="F245" s="135"/>
      <c r="G245" s="125">
        <f t="shared" si="45"/>
        <v>1</v>
      </c>
      <c r="H245" s="135"/>
      <c r="I245" s="125">
        <f t="shared" si="46"/>
        <v>1</v>
      </c>
      <c r="J245" s="135"/>
      <c r="K245" s="125">
        <f t="shared" si="47"/>
        <v>1</v>
      </c>
      <c r="L245" s="135"/>
      <c r="M245" s="125">
        <f t="shared" si="48"/>
        <v>1</v>
      </c>
      <c r="N245" s="135"/>
      <c r="O245" s="125">
        <f t="shared" si="49"/>
        <v>1</v>
      </c>
      <c r="P245" s="135"/>
      <c r="Q245" s="125">
        <f t="shared" si="50"/>
        <v>1</v>
      </c>
      <c r="R245" s="125">
        <f t="shared" si="51"/>
        <v>0</v>
      </c>
      <c r="S245" s="124">
        <f t="shared" si="52"/>
        <v>0</v>
      </c>
    </row>
    <row r="246" spans="1:19">
      <c r="A246" s="133"/>
      <c r="B246" s="134"/>
      <c r="C246" s="125">
        <f t="shared" si="43"/>
        <v>1</v>
      </c>
      <c r="D246" s="135"/>
      <c r="E246" s="125">
        <f t="shared" si="44"/>
        <v>1</v>
      </c>
      <c r="F246" s="135"/>
      <c r="G246" s="125">
        <f t="shared" si="45"/>
        <v>1</v>
      </c>
      <c r="H246" s="135"/>
      <c r="I246" s="125">
        <f t="shared" si="46"/>
        <v>1</v>
      </c>
      <c r="J246" s="135"/>
      <c r="K246" s="125">
        <f t="shared" si="47"/>
        <v>1</v>
      </c>
      <c r="L246" s="135"/>
      <c r="M246" s="125">
        <f t="shared" si="48"/>
        <v>1</v>
      </c>
      <c r="N246" s="135"/>
      <c r="O246" s="125">
        <f t="shared" si="49"/>
        <v>1</v>
      </c>
      <c r="P246" s="135"/>
      <c r="Q246" s="125">
        <f t="shared" si="50"/>
        <v>1</v>
      </c>
      <c r="R246" s="125">
        <f t="shared" si="51"/>
        <v>0</v>
      </c>
      <c r="S246" s="124">
        <f t="shared" si="52"/>
        <v>0</v>
      </c>
    </row>
    <row r="247" spans="1:19">
      <c r="A247" s="133"/>
      <c r="B247" s="134"/>
      <c r="C247" s="125">
        <f t="shared" si="43"/>
        <v>1</v>
      </c>
      <c r="D247" s="135"/>
      <c r="E247" s="125">
        <f t="shared" si="44"/>
        <v>1</v>
      </c>
      <c r="F247" s="135"/>
      <c r="G247" s="125">
        <f t="shared" si="45"/>
        <v>1</v>
      </c>
      <c r="H247" s="135"/>
      <c r="I247" s="125">
        <f t="shared" si="46"/>
        <v>1</v>
      </c>
      <c r="J247" s="135"/>
      <c r="K247" s="125">
        <f t="shared" si="47"/>
        <v>1</v>
      </c>
      <c r="L247" s="135"/>
      <c r="M247" s="125">
        <f t="shared" si="48"/>
        <v>1</v>
      </c>
      <c r="N247" s="135"/>
      <c r="O247" s="125">
        <f t="shared" si="49"/>
        <v>1</v>
      </c>
      <c r="P247" s="135"/>
      <c r="Q247" s="125">
        <f t="shared" si="50"/>
        <v>1</v>
      </c>
      <c r="R247" s="125">
        <f t="shared" si="51"/>
        <v>0</v>
      </c>
      <c r="S247" s="124">
        <f t="shared" si="52"/>
        <v>0</v>
      </c>
    </row>
    <row r="248" spans="1:19">
      <c r="A248" s="133"/>
      <c r="B248" s="134"/>
      <c r="C248" s="125">
        <f t="shared" si="43"/>
        <v>1</v>
      </c>
      <c r="D248" s="135"/>
      <c r="E248" s="125">
        <f t="shared" si="44"/>
        <v>1</v>
      </c>
      <c r="F248" s="135"/>
      <c r="G248" s="125">
        <f t="shared" si="45"/>
        <v>1</v>
      </c>
      <c r="H248" s="135"/>
      <c r="I248" s="125">
        <f t="shared" si="46"/>
        <v>1</v>
      </c>
      <c r="J248" s="135"/>
      <c r="K248" s="125">
        <f t="shared" si="47"/>
        <v>1</v>
      </c>
      <c r="L248" s="135"/>
      <c r="M248" s="125">
        <f t="shared" si="48"/>
        <v>1</v>
      </c>
      <c r="N248" s="135"/>
      <c r="O248" s="125">
        <f t="shared" si="49"/>
        <v>1</v>
      </c>
      <c r="P248" s="135"/>
      <c r="Q248" s="125">
        <f t="shared" si="50"/>
        <v>1</v>
      </c>
      <c r="R248" s="125">
        <f t="shared" si="51"/>
        <v>0</v>
      </c>
      <c r="S248" s="124">
        <f t="shared" si="52"/>
        <v>0</v>
      </c>
    </row>
    <row r="249" spans="1:19">
      <c r="A249" s="133"/>
      <c r="B249" s="134"/>
      <c r="C249" s="125">
        <f t="shared" si="43"/>
        <v>1</v>
      </c>
      <c r="D249" s="135"/>
      <c r="E249" s="125">
        <f t="shared" si="44"/>
        <v>1</v>
      </c>
      <c r="F249" s="135"/>
      <c r="G249" s="125">
        <f t="shared" si="45"/>
        <v>1</v>
      </c>
      <c r="H249" s="135"/>
      <c r="I249" s="125">
        <f t="shared" si="46"/>
        <v>1</v>
      </c>
      <c r="J249" s="135"/>
      <c r="K249" s="125">
        <f t="shared" si="47"/>
        <v>1</v>
      </c>
      <c r="L249" s="135"/>
      <c r="M249" s="125">
        <f t="shared" si="48"/>
        <v>1</v>
      </c>
      <c r="N249" s="135"/>
      <c r="O249" s="125">
        <f t="shared" si="49"/>
        <v>1</v>
      </c>
      <c r="P249" s="135"/>
      <c r="Q249" s="125">
        <f t="shared" si="50"/>
        <v>1</v>
      </c>
      <c r="R249" s="125">
        <f t="shared" si="51"/>
        <v>0</v>
      </c>
      <c r="S249" s="124">
        <f t="shared" si="52"/>
        <v>0</v>
      </c>
    </row>
    <row r="250" spans="1:19">
      <c r="A250" s="133"/>
      <c r="B250" s="134"/>
      <c r="C250" s="125">
        <f t="shared" si="43"/>
        <v>1</v>
      </c>
      <c r="D250" s="135"/>
      <c r="E250" s="125">
        <f t="shared" si="44"/>
        <v>1</v>
      </c>
      <c r="F250" s="135"/>
      <c r="G250" s="125">
        <f t="shared" si="45"/>
        <v>1</v>
      </c>
      <c r="H250" s="135"/>
      <c r="I250" s="125">
        <f t="shared" si="46"/>
        <v>1</v>
      </c>
      <c r="J250" s="135"/>
      <c r="K250" s="125">
        <f t="shared" si="47"/>
        <v>1</v>
      </c>
      <c r="L250" s="135"/>
      <c r="M250" s="125">
        <f t="shared" si="48"/>
        <v>1</v>
      </c>
      <c r="N250" s="135"/>
      <c r="O250" s="125">
        <f t="shared" si="49"/>
        <v>1</v>
      </c>
      <c r="P250" s="135"/>
      <c r="Q250" s="125">
        <f t="shared" si="50"/>
        <v>1</v>
      </c>
      <c r="R250" s="125">
        <f t="shared" si="51"/>
        <v>0</v>
      </c>
      <c r="S250" s="124">
        <f t="shared" si="52"/>
        <v>0</v>
      </c>
    </row>
    <row r="251" spans="1:19">
      <c r="A251" s="133"/>
      <c r="B251" s="134"/>
      <c r="C251" s="125">
        <f t="shared" si="43"/>
        <v>1</v>
      </c>
      <c r="D251" s="135"/>
      <c r="E251" s="125">
        <f t="shared" si="44"/>
        <v>1</v>
      </c>
      <c r="F251" s="135"/>
      <c r="G251" s="125">
        <f t="shared" si="45"/>
        <v>1</v>
      </c>
      <c r="H251" s="135"/>
      <c r="I251" s="125">
        <f t="shared" si="46"/>
        <v>1</v>
      </c>
      <c r="J251" s="135"/>
      <c r="K251" s="125">
        <f t="shared" si="47"/>
        <v>1</v>
      </c>
      <c r="L251" s="135"/>
      <c r="M251" s="125">
        <f t="shared" si="48"/>
        <v>1</v>
      </c>
      <c r="N251" s="135"/>
      <c r="O251" s="125">
        <f t="shared" si="49"/>
        <v>1</v>
      </c>
      <c r="P251" s="135"/>
      <c r="Q251" s="125">
        <f t="shared" si="50"/>
        <v>1</v>
      </c>
      <c r="R251" s="125">
        <f t="shared" si="51"/>
        <v>0</v>
      </c>
      <c r="S251" s="124">
        <f t="shared" si="52"/>
        <v>0</v>
      </c>
    </row>
    <row r="252" spans="1:19">
      <c r="A252" s="133"/>
      <c r="B252" s="134"/>
      <c r="C252" s="125">
        <f t="shared" si="43"/>
        <v>1</v>
      </c>
      <c r="D252" s="135"/>
      <c r="E252" s="125">
        <f t="shared" si="44"/>
        <v>1</v>
      </c>
      <c r="F252" s="135"/>
      <c r="G252" s="125">
        <f t="shared" si="45"/>
        <v>1</v>
      </c>
      <c r="H252" s="135"/>
      <c r="I252" s="125">
        <f t="shared" si="46"/>
        <v>1</v>
      </c>
      <c r="J252" s="135"/>
      <c r="K252" s="125">
        <f t="shared" si="47"/>
        <v>1</v>
      </c>
      <c r="L252" s="135"/>
      <c r="M252" s="125">
        <f t="shared" si="48"/>
        <v>1</v>
      </c>
      <c r="N252" s="135"/>
      <c r="O252" s="125">
        <f t="shared" si="49"/>
        <v>1</v>
      </c>
      <c r="P252" s="135"/>
      <c r="Q252" s="125">
        <f t="shared" si="50"/>
        <v>1</v>
      </c>
      <c r="R252" s="125">
        <f t="shared" si="51"/>
        <v>0</v>
      </c>
      <c r="S252" s="124">
        <f t="shared" si="52"/>
        <v>0</v>
      </c>
    </row>
    <row r="253" spans="1:19">
      <c r="A253" s="133"/>
      <c r="B253" s="134"/>
      <c r="C253" s="125">
        <f t="shared" si="43"/>
        <v>1</v>
      </c>
      <c r="D253" s="135"/>
      <c r="E253" s="125">
        <f t="shared" si="44"/>
        <v>1</v>
      </c>
      <c r="F253" s="135"/>
      <c r="G253" s="125">
        <f t="shared" si="45"/>
        <v>1</v>
      </c>
      <c r="H253" s="135"/>
      <c r="I253" s="125">
        <f t="shared" si="46"/>
        <v>1</v>
      </c>
      <c r="J253" s="135"/>
      <c r="K253" s="125">
        <f t="shared" si="47"/>
        <v>1</v>
      </c>
      <c r="L253" s="135"/>
      <c r="M253" s="125">
        <f t="shared" si="48"/>
        <v>1</v>
      </c>
      <c r="N253" s="135"/>
      <c r="O253" s="125">
        <f t="shared" si="49"/>
        <v>1</v>
      </c>
      <c r="P253" s="135"/>
      <c r="Q253" s="125">
        <f t="shared" si="50"/>
        <v>1</v>
      </c>
      <c r="R253" s="125">
        <f t="shared" si="51"/>
        <v>0</v>
      </c>
      <c r="S253" s="124">
        <f t="shared" si="52"/>
        <v>0</v>
      </c>
    </row>
    <row r="254" spans="1:19">
      <c r="A254" s="133"/>
      <c r="B254" s="134"/>
      <c r="C254" s="125">
        <f t="shared" si="43"/>
        <v>1</v>
      </c>
      <c r="D254" s="135"/>
      <c r="E254" s="125">
        <f t="shared" si="44"/>
        <v>1</v>
      </c>
      <c r="F254" s="135"/>
      <c r="G254" s="125">
        <f t="shared" si="45"/>
        <v>1</v>
      </c>
      <c r="H254" s="135"/>
      <c r="I254" s="125">
        <f t="shared" si="46"/>
        <v>1</v>
      </c>
      <c r="J254" s="135"/>
      <c r="K254" s="125">
        <f t="shared" si="47"/>
        <v>1</v>
      </c>
      <c r="L254" s="135"/>
      <c r="M254" s="125">
        <f t="shared" si="48"/>
        <v>1</v>
      </c>
      <c r="N254" s="135"/>
      <c r="O254" s="125">
        <f t="shared" si="49"/>
        <v>1</v>
      </c>
      <c r="P254" s="135"/>
      <c r="Q254" s="125">
        <f t="shared" si="50"/>
        <v>1</v>
      </c>
      <c r="R254" s="125">
        <f t="shared" si="51"/>
        <v>0</v>
      </c>
      <c r="S254" s="124">
        <f t="shared" si="52"/>
        <v>0</v>
      </c>
    </row>
    <row r="255" spans="1:19">
      <c r="A255" s="133"/>
      <c r="B255" s="134"/>
      <c r="C255" s="125">
        <f t="shared" si="43"/>
        <v>1</v>
      </c>
      <c r="D255" s="135"/>
      <c r="E255" s="125">
        <f t="shared" si="44"/>
        <v>1</v>
      </c>
      <c r="F255" s="135"/>
      <c r="G255" s="125">
        <f t="shared" si="45"/>
        <v>1</v>
      </c>
      <c r="H255" s="135"/>
      <c r="I255" s="125">
        <f t="shared" si="46"/>
        <v>1</v>
      </c>
      <c r="J255" s="135"/>
      <c r="K255" s="125">
        <f t="shared" si="47"/>
        <v>1</v>
      </c>
      <c r="L255" s="135"/>
      <c r="M255" s="125">
        <f t="shared" si="48"/>
        <v>1</v>
      </c>
      <c r="N255" s="135"/>
      <c r="O255" s="125">
        <f t="shared" si="49"/>
        <v>1</v>
      </c>
      <c r="P255" s="135"/>
      <c r="Q255" s="125">
        <f t="shared" si="50"/>
        <v>1</v>
      </c>
      <c r="R255" s="125">
        <f t="shared" si="51"/>
        <v>0</v>
      </c>
      <c r="S255" s="124">
        <f t="shared" si="52"/>
        <v>0</v>
      </c>
    </row>
    <row r="256" spans="1:19">
      <c r="A256" s="133"/>
      <c r="B256" s="134"/>
      <c r="C256" s="125">
        <f t="shared" si="43"/>
        <v>1</v>
      </c>
      <c r="D256" s="135"/>
      <c r="E256" s="125">
        <f t="shared" si="44"/>
        <v>1</v>
      </c>
      <c r="F256" s="135"/>
      <c r="G256" s="125">
        <f t="shared" si="45"/>
        <v>1</v>
      </c>
      <c r="H256" s="135"/>
      <c r="I256" s="125">
        <f t="shared" si="46"/>
        <v>1</v>
      </c>
      <c r="J256" s="135"/>
      <c r="K256" s="125">
        <f t="shared" si="47"/>
        <v>1</v>
      </c>
      <c r="L256" s="135"/>
      <c r="M256" s="125">
        <f t="shared" si="48"/>
        <v>1</v>
      </c>
      <c r="N256" s="135"/>
      <c r="O256" s="125">
        <f t="shared" si="49"/>
        <v>1</v>
      </c>
      <c r="P256" s="135"/>
      <c r="Q256" s="125">
        <f t="shared" si="50"/>
        <v>1</v>
      </c>
      <c r="R256" s="125">
        <f t="shared" si="51"/>
        <v>0</v>
      </c>
      <c r="S256" s="124">
        <f t="shared" si="52"/>
        <v>0</v>
      </c>
    </row>
    <row r="257" spans="1:19">
      <c r="A257" s="133"/>
      <c r="B257" s="134"/>
      <c r="C257" s="125">
        <f t="shared" si="43"/>
        <v>1</v>
      </c>
      <c r="D257" s="135"/>
      <c r="E257" s="125">
        <f t="shared" si="44"/>
        <v>1</v>
      </c>
      <c r="F257" s="135"/>
      <c r="G257" s="125">
        <f t="shared" si="45"/>
        <v>1</v>
      </c>
      <c r="H257" s="135"/>
      <c r="I257" s="125">
        <f t="shared" si="46"/>
        <v>1</v>
      </c>
      <c r="J257" s="135"/>
      <c r="K257" s="125">
        <f t="shared" si="47"/>
        <v>1</v>
      </c>
      <c r="L257" s="135"/>
      <c r="M257" s="125">
        <f t="shared" si="48"/>
        <v>1</v>
      </c>
      <c r="N257" s="135"/>
      <c r="O257" s="125">
        <f t="shared" si="49"/>
        <v>1</v>
      </c>
      <c r="P257" s="135"/>
      <c r="Q257" s="125">
        <f t="shared" si="50"/>
        <v>1</v>
      </c>
      <c r="R257" s="125">
        <f t="shared" si="51"/>
        <v>0</v>
      </c>
      <c r="S257" s="124">
        <f t="shared" si="52"/>
        <v>0</v>
      </c>
    </row>
    <row r="258" spans="1:19">
      <c r="A258" s="133"/>
      <c r="B258" s="134"/>
      <c r="C258" s="125">
        <f t="shared" si="43"/>
        <v>1</v>
      </c>
      <c r="D258" s="135"/>
      <c r="E258" s="125">
        <f t="shared" si="44"/>
        <v>1</v>
      </c>
      <c r="F258" s="135"/>
      <c r="G258" s="125">
        <f t="shared" si="45"/>
        <v>1</v>
      </c>
      <c r="H258" s="135"/>
      <c r="I258" s="125">
        <f t="shared" si="46"/>
        <v>1</v>
      </c>
      <c r="J258" s="135"/>
      <c r="K258" s="125">
        <f t="shared" si="47"/>
        <v>1</v>
      </c>
      <c r="L258" s="135"/>
      <c r="M258" s="125">
        <f t="shared" si="48"/>
        <v>1</v>
      </c>
      <c r="N258" s="135"/>
      <c r="O258" s="125">
        <f t="shared" si="49"/>
        <v>1</v>
      </c>
      <c r="P258" s="135"/>
      <c r="Q258" s="125">
        <f t="shared" si="50"/>
        <v>1</v>
      </c>
      <c r="R258" s="125">
        <f t="shared" si="51"/>
        <v>0</v>
      </c>
      <c r="S258" s="124">
        <f t="shared" si="52"/>
        <v>0</v>
      </c>
    </row>
    <row r="259" spans="1:19">
      <c r="A259" s="133"/>
      <c r="B259" s="134"/>
      <c r="C259" s="125">
        <f t="shared" si="43"/>
        <v>1</v>
      </c>
      <c r="D259" s="135"/>
      <c r="E259" s="125">
        <f t="shared" si="44"/>
        <v>1</v>
      </c>
      <c r="F259" s="135"/>
      <c r="G259" s="125">
        <f t="shared" si="45"/>
        <v>1</v>
      </c>
      <c r="H259" s="135"/>
      <c r="I259" s="125">
        <f t="shared" si="46"/>
        <v>1</v>
      </c>
      <c r="J259" s="135"/>
      <c r="K259" s="125">
        <f t="shared" si="47"/>
        <v>1</v>
      </c>
      <c r="L259" s="135"/>
      <c r="M259" s="125">
        <f t="shared" si="48"/>
        <v>1</v>
      </c>
      <c r="N259" s="135"/>
      <c r="O259" s="125">
        <f t="shared" si="49"/>
        <v>1</v>
      </c>
      <c r="P259" s="135"/>
      <c r="Q259" s="125">
        <f t="shared" si="50"/>
        <v>1</v>
      </c>
      <c r="R259" s="125">
        <f t="shared" si="51"/>
        <v>0</v>
      </c>
      <c r="S259" s="124">
        <f t="shared" si="52"/>
        <v>0</v>
      </c>
    </row>
    <row r="260" spans="1:19">
      <c r="A260" s="133"/>
      <c r="B260" s="134"/>
      <c r="C260" s="125">
        <f t="shared" si="43"/>
        <v>1</v>
      </c>
      <c r="D260" s="135"/>
      <c r="E260" s="125">
        <f t="shared" si="44"/>
        <v>1</v>
      </c>
      <c r="F260" s="135"/>
      <c r="G260" s="125">
        <f t="shared" si="45"/>
        <v>1</v>
      </c>
      <c r="H260" s="135"/>
      <c r="I260" s="125">
        <f t="shared" si="46"/>
        <v>1</v>
      </c>
      <c r="J260" s="135"/>
      <c r="K260" s="125">
        <f t="shared" si="47"/>
        <v>1</v>
      </c>
      <c r="L260" s="135"/>
      <c r="M260" s="125">
        <f t="shared" si="48"/>
        <v>1</v>
      </c>
      <c r="N260" s="135"/>
      <c r="O260" s="125">
        <f t="shared" si="49"/>
        <v>1</v>
      </c>
      <c r="P260" s="135"/>
      <c r="Q260" s="125">
        <f t="shared" si="50"/>
        <v>1</v>
      </c>
      <c r="R260" s="125">
        <f t="shared" si="51"/>
        <v>0</v>
      </c>
      <c r="S260" s="124">
        <f t="shared" si="52"/>
        <v>0</v>
      </c>
    </row>
    <row r="261" spans="1:19">
      <c r="A261" s="133"/>
      <c r="B261" s="134"/>
      <c r="C261" s="125">
        <f t="shared" si="43"/>
        <v>1</v>
      </c>
      <c r="D261" s="135"/>
      <c r="E261" s="125">
        <f t="shared" si="44"/>
        <v>1</v>
      </c>
      <c r="F261" s="135"/>
      <c r="G261" s="125">
        <f t="shared" si="45"/>
        <v>1</v>
      </c>
      <c r="H261" s="135"/>
      <c r="I261" s="125">
        <f t="shared" si="46"/>
        <v>1</v>
      </c>
      <c r="J261" s="135"/>
      <c r="K261" s="125">
        <f t="shared" si="47"/>
        <v>1</v>
      </c>
      <c r="L261" s="135"/>
      <c r="M261" s="125">
        <f t="shared" si="48"/>
        <v>1</v>
      </c>
      <c r="N261" s="135"/>
      <c r="O261" s="125">
        <f t="shared" si="49"/>
        <v>1</v>
      </c>
      <c r="P261" s="135"/>
      <c r="Q261" s="125">
        <f t="shared" si="50"/>
        <v>1</v>
      </c>
      <c r="R261" s="125">
        <f t="shared" si="51"/>
        <v>0</v>
      </c>
      <c r="S261" s="124">
        <f t="shared" si="52"/>
        <v>0</v>
      </c>
    </row>
    <row r="262" spans="1:19">
      <c r="A262" s="133"/>
      <c r="B262" s="134"/>
      <c r="C262" s="125">
        <f t="shared" si="43"/>
        <v>1</v>
      </c>
      <c r="D262" s="135"/>
      <c r="E262" s="125">
        <f t="shared" si="44"/>
        <v>1</v>
      </c>
      <c r="F262" s="135"/>
      <c r="G262" s="125">
        <f t="shared" si="45"/>
        <v>1</v>
      </c>
      <c r="H262" s="135"/>
      <c r="I262" s="125">
        <f t="shared" si="46"/>
        <v>1</v>
      </c>
      <c r="J262" s="135"/>
      <c r="K262" s="125">
        <f t="shared" si="47"/>
        <v>1</v>
      </c>
      <c r="L262" s="135"/>
      <c r="M262" s="125">
        <f t="shared" si="48"/>
        <v>1</v>
      </c>
      <c r="N262" s="135"/>
      <c r="O262" s="125">
        <f t="shared" si="49"/>
        <v>1</v>
      </c>
      <c r="P262" s="135"/>
      <c r="Q262" s="125">
        <f t="shared" si="50"/>
        <v>1</v>
      </c>
      <c r="R262" s="125">
        <f t="shared" si="51"/>
        <v>0</v>
      </c>
      <c r="S262" s="124">
        <f t="shared" si="52"/>
        <v>0</v>
      </c>
    </row>
    <row r="263" spans="1:19">
      <c r="A263" s="133"/>
      <c r="B263" s="134"/>
      <c r="C263" s="125">
        <f t="shared" si="43"/>
        <v>1</v>
      </c>
      <c r="D263" s="135"/>
      <c r="E263" s="125">
        <f t="shared" si="44"/>
        <v>1</v>
      </c>
      <c r="F263" s="135"/>
      <c r="G263" s="125">
        <f t="shared" si="45"/>
        <v>1</v>
      </c>
      <c r="H263" s="135"/>
      <c r="I263" s="125">
        <f t="shared" si="46"/>
        <v>1</v>
      </c>
      <c r="J263" s="135"/>
      <c r="K263" s="125">
        <f t="shared" si="47"/>
        <v>1</v>
      </c>
      <c r="L263" s="135"/>
      <c r="M263" s="125">
        <f t="shared" si="48"/>
        <v>1</v>
      </c>
      <c r="N263" s="135"/>
      <c r="O263" s="125">
        <f t="shared" si="49"/>
        <v>1</v>
      </c>
      <c r="P263" s="135"/>
      <c r="Q263" s="125">
        <f t="shared" si="50"/>
        <v>1</v>
      </c>
      <c r="R263" s="125">
        <f t="shared" si="51"/>
        <v>0</v>
      </c>
      <c r="S263" s="124">
        <f t="shared" si="52"/>
        <v>0</v>
      </c>
    </row>
    <row r="264" spans="1:19">
      <c r="A264" s="133"/>
      <c r="B264" s="134"/>
      <c r="C264" s="125">
        <f t="shared" si="43"/>
        <v>1</v>
      </c>
      <c r="D264" s="135"/>
      <c r="E264" s="125">
        <f t="shared" si="44"/>
        <v>1</v>
      </c>
      <c r="F264" s="135"/>
      <c r="G264" s="125">
        <f t="shared" si="45"/>
        <v>1</v>
      </c>
      <c r="H264" s="135"/>
      <c r="I264" s="125">
        <f t="shared" si="46"/>
        <v>1</v>
      </c>
      <c r="J264" s="135"/>
      <c r="K264" s="125">
        <f t="shared" si="47"/>
        <v>1</v>
      </c>
      <c r="L264" s="135"/>
      <c r="M264" s="125">
        <f t="shared" si="48"/>
        <v>1</v>
      </c>
      <c r="N264" s="135"/>
      <c r="O264" s="125">
        <f t="shared" si="49"/>
        <v>1</v>
      </c>
      <c r="P264" s="135"/>
      <c r="Q264" s="125">
        <f t="shared" si="50"/>
        <v>1</v>
      </c>
      <c r="R264" s="125">
        <f t="shared" si="51"/>
        <v>0</v>
      </c>
      <c r="S264" s="124">
        <f t="shared" si="52"/>
        <v>0</v>
      </c>
    </row>
    <row r="265" spans="1:19">
      <c r="A265" s="133"/>
      <c r="B265" s="134"/>
      <c r="C265" s="125">
        <f t="shared" si="43"/>
        <v>1</v>
      </c>
      <c r="D265" s="135"/>
      <c r="E265" s="125">
        <f t="shared" si="44"/>
        <v>1</v>
      </c>
      <c r="F265" s="135"/>
      <c r="G265" s="125">
        <f t="shared" si="45"/>
        <v>1</v>
      </c>
      <c r="H265" s="135"/>
      <c r="I265" s="125">
        <f t="shared" si="46"/>
        <v>1</v>
      </c>
      <c r="J265" s="135"/>
      <c r="K265" s="125">
        <f t="shared" si="47"/>
        <v>1</v>
      </c>
      <c r="L265" s="135"/>
      <c r="M265" s="125">
        <f t="shared" si="48"/>
        <v>1</v>
      </c>
      <c r="N265" s="135"/>
      <c r="O265" s="125">
        <f t="shared" si="49"/>
        <v>1</v>
      </c>
      <c r="P265" s="135"/>
      <c r="Q265" s="125">
        <f t="shared" si="50"/>
        <v>1</v>
      </c>
      <c r="R265" s="125">
        <f t="shared" si="51"/>
        <v>0</v>
      </c>
      <c r="S265" s="124">
        <f t="shared" si="52"/>
        <v>0</v>
      </c>
    </row>
    <row r="266" spans="1:19">
      <c r="A266" s="133"/>
      <c r="B266" s="134"/>
      <c r="C266" s="125">
        <f t="shared" si="43"/>
        <v>1</v>
      </c>
      <c r="D266" s="135"/>
      <c r="E266" s="125">
        <f t="shared" si="44"/>
        <v>1</v>
      </c>
      <c r="F266" s="135"/>
      <c r="G266" s="125">
        <f t="shared" si="45"/>
        <v>1</v>
      </c>
      <c r="H266" s="135"/>
      <c r="I266" s="125">
        <f t="shared" si="46"/>
        <v>1</v>
      </c>
      <c r="J266" s="135"/>
      <c r="K266" s="125">
        <f t="shared" si="47"/>
        <v>1</v>
      </c>
      <c r="L266" s="135"/>
      <c r="M266" s="125">
        <f t="shared" si="48"/>
        <v>1</v>
      </c>
      <c r="N266" s="135"/>
      <c r="O266" s="125">
        <f t="shared" si="49"/>
        <v>1</v>
      </c>
      <c r="P266" s="135"/>
      <c r="Q266" s="125">
        <f t="shared" si="50"/>
        <v>1</v>
      </c>
      <c r="R266" s="125">
        <f t="shared" si="51"/>
        <v>0</v>
      </c>
      <c r="S266" s="124">
        <f t="shared" si="52"/>
        <v>0</v>
      </c>
    </row>
    <row r="267" spans="1:19">
      <c r="A267" s="133"/>
      <c r="B267" s="134"/>
      <c r="C267" s="125">
        <f t="shared" si="43"/>
        <v>1</v>
      </c>
      <c r="D267" s="135"/>
      <c r="E267" s="125">
        <f t="shared" si="44"/>
        <v>1</v>
      </c>
      <c r="F267" s="135"/>
      <c r="G267" s="125">
        <f t="shared" si="45"/>
        <v>1</v>
      </c>
      <c r="H267" s="135"/>
      <c r="I267" s="125">
        <f t="shared" si="46"/>
        <v>1</v>
      </c>
      <c r="J267" s="135"/>
      <c r="K267" s="125">
        <f t="shared" si="47"/>
        <v>1</v>
      </c>
      <c r="L267" s="135"/>
      <c r="M267" s="125">
        <f t="shared" si="48"/>
        <v>1</v>
      </c>
      <c r="N267" s="135"/>
      <c r="O267" s="125">
        <f t="shared" si="49"/>
        <v>1</v>
      </c>
      <c r="P267" s="135"/>
      <c r="Q267" s="125">
        <f t="shared" si="50"/>
        <v>1</v>
      </c>
      <c r="R267" s="125">
        <f t="shared" si="51"/>
        <v>0</v>
      </c>
      <c r="S267" s="124">
        <f t="shared" si="52"/>
        <v>0</v>
      </c>
    </row>
    <row r="268" spans="1:19">
      <c r="A268" s="133"/>
      <c r="B268" s="134"/>
      <c r="C268" s="125">
        <f t="shared" si="43"/>
        <v>1</v>
      </c>
      <c r="D268" s="135"/>
      <c r="E268" s="125">
        <f t="shared" si="44"/>
        <v>1</v>
      </c>
      <c r="F268" s="135"/>
      <c r="G268" s="125">
        <f t="shared" si="45"/>
        <v>1</v>
      </c>
      <c r="H268" s="135"/>
      <c r="I268" s="125">
        <f t="shared" si="46"/>
        <v>1</v>
      </c>
      <c r="J268" s="135"/>
      <c r="K268" s="125">
        <f t="shared" si="47"/>
        <v>1</v>
      </c>
      <c r="L268" s="135"/>
      <c r="M268" s="125">
        <f t="shared" si="48"/>
        <v>1</v>
      </c>
      <c r="N268" s="135"/>
      <c r="O268" s="125">
        <f t="shared" si="49"/>
        <v>1</v>
      </c>
      <c r="P268" s="135"/>
      <c r="Q268" s="125">
        <f t="shared" si="50"/>
        <v>1</v>
      </c>
      <c r="R268" s="125">
        <f t="shared" si="51"/>
        <v>0</v>
      </c>
      <c r="S268" s="124">
        <f t="shared" si="52"/>
        <v>0</v>
      </c>
    </row>
    <row r="269" spans="1:19">
      <c r="A269" s="133"/>
      <c r="B269" s="134"/>
      <c r="C269" s="125">
        <f t="shared" si="43"/>
        <v>1</v>
      </c>
      <c r="D269" s="135"/>
      <c r="E269" s="125">
        <f t="shared" si="44"/>
        <v>1</v>
      </c>
      <c r="F269" s="135"/>
      <c r="G269" s="125">
        <f t="shared" si="45"/>
        <v>1</v>
      </c>
      <c r="H269" s="135"/>
      <c r="I269" s="125">
        <f t="shared" si="46"/>
        <v>1</v>
      </c>
      <c r="J269" s="135"/>
      <c r="K269" s="125">
        <f t="shared" si="47"/>
        <v>1</v>
      </c>
      <c r="L269" s="135"/>
      <c r="M269" s="125">
        <f t="shared" si="48"/>
        <v>1</v>
      </c>
      <c r="N269" s="135"/>
      <c r="O269" s="125">
        <f t="shared" si="49"/>
        <v>1</v>
      </c>
      <c r="P269" s="135"/>
      <c r="Q269" s="125">
        <f t="shared" si="50"/>
        <v>1</v>
      </c>
      <c r="R269" s="125">
        <f t="shared" si="51"/>
        <v>0</v>
      </c>
      <c r="S269" s="124">
        <f t="shared" si="52"/>
        <v>0</v>
      </c>
    </row>
    <row r="270" spans="1:19">
      <c r="A270" s="133"/>
      <c r="B270" s="134"/>
      <c r="C270" s="125">
        <f t="shared" si="43"/>
        <v>1</v>
      </c>
      <c r="D270" s="135"/>
      <c r="E270" s="125">
        <f t="shared" si="44"/>
        <v>1</v>
      </c>
      <c r="F270" s="135"/>
      <c r="G270" s="125">
        <f t="shared" si="45"/>
        <v>1</v>
      </c>
      <c r="H270" s="135"/>
      <c r="I270" s="125">
        <f t="shared" si="46"/>
        <v>1</v>
      </c>
      <c r="J270" s="135"/>
      <c r="K270" s="125">
        <f t="shared" si="47"/>
        <v>1</v>
      </c>
      <c r="L270" s="135"/>
      <c r="M270" s="125">
        <f t="shared" si="48"/>
        <v>1</v>
      </c>
      <c r="N270" s="135"/>
      <c r="O270" s="125">
        <f t="shared" si="49"/>
        <v>1</v>
      </c>
      <c r="P270" s="135"/>
      <c r="Q270" s="125">
        <f t="shared" si="50"/>
        <v>1</v>
      </c>
      <c r="R270" s="125">
        <f t="shared" si="51"/>
        <v>0</v>
      </c>
      <c r="S270" s="124">
        <f t="shared" si="52"/>
        <v>0</v>
      </c>
    </row>
    <row r="271" spans="1:19">
      <c r="A271" s="133"/>
      <c r="B271" s="134"/>
      <c r="C271" s="125">
        <f t="shared" si="43"/>
        <v>1</v>
      </c>
      <c r="D271" s="135"/>
      <c r="E271" s="125">
        <f t="shared" si="44"/>
        <v>1</v>
      </c>
      <c r="F271" s="135"/>
      <c r="G271" s="125">
        <f t="shared" si="45"/>
        <v>1</v>
      </c>
      <c r="H271" s="135"/>
      <c r="I271" s="125">
        <f t="shared" si="46"/>
        <v>1</v>
      </c>
      <c r="J271" s="135"/>
      <c r="K271" s="125">
        <f t="shared" si="47"/>
        <v>1</v>
      </c>
      <c r="L271" s="135"/>
      <c r="M271" s="125">
        <f t="shared" si="48"/>
        <v>1</v>
      </c>
      <c r="N271" s="135"/>
      <c r="O271" s="125">
        <f t="shared" si="49"/>
        <v>1</v>
      </c>
      <c r="P271" s="135"/>
      <c r="Q271" s="125">
        <f t="shared" si="50"/>
        <v>1</v>
      </c>
      <c r="R271" s="125">
        <f t="shared" si="51"/>
        <v>0</v>
      </c>
      <c r="S271" s="124">
        <f t="shared" si="52"/>
        <v>0</v>
      </c>
    </row>
    <row r="272" spans="1:19">
      <c r="A272" s="133"/>
      <c r="B272" s="134"/>
      <c r="C272" s="125">
        <f t="shared" si="43"/>
        <v>1</v>
      </c>
      <c r="D272" s="135"/>
      <c r="E272" s="125">
        <f t="shared" si="44"/>
        <v>1</v>
      </c>
      <c r="F272" s="135"/>
      <c r="G272" s="125">
        <f t="shared" si="45"/>
        <v>1</v>
      </c>
      <c r="H272" s="135"/>
      <c r="I272" s="125">
        <f t="shared" si="46"/>
        <v>1</v>
      </c>
      <c r="J272" s="135"/>
      <c r="K272" s="125">
        <f t="shared" si="47"/>
        <v>1</v>
      </c>
      <c r="L272" s="135"/>
      <c r="M272" s="125">
        <f t="shared" si="48"/>
        <v>1</v>
      </c>
      <c r="N272" s="135"/>
      <c r="O272" s="125">
        <f t="shared" si="49"/>
        <v>1</v>
      </c>
      <c r="P272" s="135"/>
      <c r="Q272" s="125">
        <f t="shared" si="50"/>
        <v>1</v>
      </c>
      <c r="R272" s="125">
        <f t="shared" si="51"/>
        <v>0</v>
      </c>
      <c r="S272" s="124">
        <f t="shared" si="52"/>
        <v>0</v>
      </c>
    </row>
    <row r="273" spans="1:19">
      <c r="A273" s="133"/>
      <c r="B273" s="134"/>
      <c r="C273" s="125">
        <f t="shared" si="43"/>
        <v>1</v>
      </c>
      <c r="D273" s="135"/>
      <c r="E273" s="125">
        <f t="shared" si="44"/>
        <v>1</v>
      </c>
      <c r="F273" s="135"/>
      <c r="G273" s="125">
        <f t="shared" si="45"/>
        <v>1</v>
      </c>
      <c r="H273" s="135"/>
      <c r="I273" s="125">
        <f t="shared" si="46"/>
        <v>1</v>
      </c>
      <c r="J273" s="135"/>
      <c r="K273" s="125">
        <f t="shared" si="47"/>
        <v>1</v>
      </c>
      <c r="L273" s="135"/>
      <c r="M273" s="125">
        <f t="shared" si="48"/>
        <v>1</v>
      </c>
      <c r="N273" s="135"/>
      <c r="O273" s="125">
        <f t="shared" si="49"/>
        <v>1</v>
      </c>
      <c r="P273" s="135"/>
      <c r="Q273" s="125">
        <f t="shared" si="50"/>
        <v>1</v>
      </c>
      <c r="R273" s="125">
        <f t="shared" si="51"/>
        <v>0</v>
      </c>
      <c r="S273" s="124">
        <f t="shared" si="52"/>
        <v>0</v>
      </c>
    </row>
    <row r="274" spans="1:19">
      <c r="A274" s="133"/>
      <c r="B274" s="134"/>
      <c r="C274" s="125">
        <f t="shared" si="43"/>
        <v>1</v>
      </c>
      <c r="D274" s="135"/>
      <c r="E274" s="125">
        <f t="shared" si="44"/>
        <v>1</v>
      </c>
      <c r="F274" s="135"/>
      <c r="G274" s="125">
        <f t="shared" si="45"/>
        <v>1</v>
      </c>
      <c r="H274" s="135"/>
      <c r="I274" s="125">
        <f t="shared" si="46"/>
        <v>1</v>
      </c>
      <c r="J274" s="135"/>
      <c r="K274" s="125">
        <f t="shared" si="47"/>
        <v>1</v>
      </c>
      <c r="L274" s="135"/>
      <c r="M274" s="125">
        <f t="shared" si="48"/>
        <v>1</v>
      </c>
      <c r="N274" s="135"/>
      <c r="O274" s="125">
        <f t="shared" si="49"/>
        <v>1</v>
      </c>
      <c r="P274" s="135"/>
      <c r="Q274" s="125">
        <f t="shared" si="50"/>
        <v>1</v>
      </c>
      <c r="R274" s="125">
        <f t="shared" si="51"/>
        <v>0</v>
      </c>
      <c r="S274" s="124">
        <f t="shared" si="52"/>
        <v>0</v>
      </c>
    </row>
    <row r="275" spans="1:19">
      <c r="A275" s="133"/>
      <c r="B275" s="134"/>
      <c r="C275" s="125">
        <f t="shared" si="43"/>
        <v>1</v>
      </c>
      <c r="D275" s="135"/>
      <c r="E275" s="125">
        <f t="shared" si="44"/>
        <v>1</v>
      </c>
      <c r="F275" s="135"/>
      <c r="G275" s="125">
        <f t="shared" si="45"/>
        <v>1</v>
      </c>
      <c r="H275" s="135"/>
      <c r="I275" s="125">
        <f t="shared" si="46"/>
        <v>1</v>
      </c>
      <c r="J275" s="135"/>
      <c r="K275" s="125">
        <f t="shared" si="47"/>
        <v>1</v>
      </c>
      <c r="L275" s="135"/>
      <c r="M275" s="125">
        <f t="shared" si="48"/>
        <v>1</v>
      </c>
      <c r="N275" s="135"/>
      <c r="O275" s="125">
        <f t="shared" si="49"/>
        <v>1</v>
      </c>
      <c r="P275" s="135"/>
      <c r="Q275" s="125">
        <f t="shared" si="50"/>
        <v>1</v>
      </c>
      <c r="R275" s="125">
        <f t="shared" si="51"/>
        <v>0</v>
      </c>
      <c r="S275" s="124">
        <f t="shared" si="52"/>
        <v>0</v>
      </c>
    </row>
    <row r="276" spans="1:19">
      <c r="A276" s="133"/>
      <c r="B276" s="134"/>
      <c r="C276" s="125">
        <f t="shared" si="43"/>
        <v>1</v>
      </c>
      <c r="D276" s="135"/>
      <c r="E276" s="125">
        <f t="shared" si="44"/>
        <v>1</v>
      </c>
      <c r="F276" s="135"/>
      <c r="G276" s="125">
        <f t="shared" si="45"/>
        <v>1</v>
      </c>
      <c r="H276" s="135"/>
      <c r="I276" s="125">
        <f t="shared" si="46"/>
        <v>1</v>
      </c>
      <c r="J276" s="135"/>
      <c r="K276" s="125">
        <f t="shared" si="47"/>
        <v>1</v>
      </c>
      <c r="L276" s="135"/>
      <c r="M276" s="125">
        <f t="shared" si="48"/>
        <v>1</v>
      </c>
      <c r="N276" s="135"/>
      <c r="O276" s="125">
        <f t="shared" si="49"/>
        <v>1</v>
      </c>
      <c r="P276" s="135"/>
      <c r="Q276" s="125">
        <f t="shared" si="50"/>
        <v>1</v>
      </c>
      <c r="R276" s="125">
        <f t="shared" si="51"/>
        <v>0</v>
      </c>
      <c r="S276" s="124">
        <f t="shared" si="52"/>
        <v>0</v>
      </c>
    </row>
    <row r="277" spans="1:19">
      <c r="A277" s="133"/>
      <c r="B277" s="134"/>
      <c r="C277" s="125">
        <f t="shared" si="43"/>
        <v>1</v>
      </c>
      <c r="D277" s="135"/>
      <c r="E277" s="125">
        <f t="shared" si="44"/>
        <v>1</v>
      </c>
      <c r="F277" s="135"/>
      <c r="G277" s="125">
        <f t="shared" si="45"/>
        <v>1</v>
      </c>
      <c r="H277" s="135"/>
      <c r="I277" s="125">
        <f t="shared" si="46"/>
        <v>1</v>
      </c>
      <c r="J277" s="135"/>
      <c r="K277" s="125">
        <f t="shared" si="47"/>
        <v>1</v>
      </c>
      <c r="L277" s="135"/>
      <c r="M277" s="125">
        <f t="shared" si="48"/>
        <v>1</v>
      </c>
      <c r="N277" s="135"/>
      <c r="O277" s="125">
        <f t="shared" si="49"/>
        <v>1</v>
      </c>
      <c r="P277" s="135"/>
      <c r="Q277" s="125">
        <f t="shared" si="50"/>
        <v>1</v>
      </c>
      <c r="R277" s="125">
        <f t="shared" si="51"/>
        <v>0</v>
      </c>
      <c r="S277" s="124">
        <f t="shared" si="52"/>
        <v>0</v>
      </c>
    </row>
    <row r="278" spans="1:19">
      <c r="A278" s="133"/>
      <c r="B278" s="134"/>
      <c r="C278" s="125">
        <f t="shared" si="43"/>
        <v>1</v>
      </c>
      <c r="D278" s="135"/>
      <c r="E278" s="125">
        <f t="shared" si="44"/>
        <v>1</v>
      </c>
      <c r="F278" s="135"/>
      <c r="G278" s="125">
        <f t="shared" si="45"/>
        <v>1</v>
      </c>
      <c r="H278" s="135"/>
      <c r="I278" s="125">
        <f t="shared" si="46"/>
        <v>1</v>
      </c>
      <c r="J278" s="135"/>
      <c r="K278" s="125">
        <f t="shared" si="47"/>
        <v>1</v>
      </c>
      <c r="L278" s="135"/>
      <c r="M278" s="125">
        <f t="shared" si="48"/>
        <v>1</v>
      </c>
      <c r="N278" s="135"/>
      <c r="O278" s="125">
        <f t="shared" si="49"/>
        <v>1</v>
      </c>
      <c r="P278" s="135"/>
      <c r="Q278" s="125">
        <f t="shared" si="50"/>
        <v>1</v>
      </c>
      <c r="R278" s="125">
        <f t="shared" si="51"/>
        <v>0</v>
      </c>
      <c r="S278" s="124">
        <f t="shared" si="52"/>
        <v>0</v>
      </c>
    </row>
    <row r="279" spans="1:19">
      <c r="A279" s="133"/>
      <c r="B279" s="134"/>
      <c r="C279" s="125">
        <f t="shared" si="43"/>
        <v>1</v>
      </c>
      <c r="D279" s="135"/>
      <c r="E279" s="125">
        <f t="shared" si="44"/>
        <v>1</v>
      </c>
      <c r="F279" s="135"/>
      <c r="G279" s="125">
        <f t="shared" si="45"/>
        <v>1</v>
      </c>
      <c r="H279" s="135"/>
      <c r="I279" s="125">
        <f t="shared" si="46"/>
        <v>1</v>
      </c>
      <c r="J279" s="135"/>
      <c r="K279" s="125">
        <f t="shared" si="47"/>
        <v>1</v>
      </c>
      <c r="L279" s="135"/>
      <c r="M279" s="125">
        <f t="shared" si="48"/>
        <v>1</v>
      </c>
      <c r="N279" s="135"/>
      <c r="O279" s="125">
        <f t="shared" si="49"/>
        <v>1</v>
      </c>
      <c r="P279" s="135"/>
      <c r="Q279" s="125">
        <f t="shared" si="50"/>
        <v>1</v>
      </c>
      <c r="R279" s="125">
        <f t="shared" si="51"/>
        <v>0</v>
      </c>
      <c r="S279" s="124">
        <f t="shared" si="52"/>
        <v>0</v>
      </c>
    </row>
    <row r="280" spans="1:19">
      <c r="A280" s="133"/>
      <c r="B280" s="134"/>
      <c r="C280" s="125">
        <f t="shared" si="43"/>
        <v>1</v>
      </c>
      <c r="D280" s="135"/>
      <c r="E280" s="125">
        <f t="shared" si="44"/>
        <v>1</v>
      </c>
      <c r="F280" s="135"/>
      <c r="G280" s="125">
        <f t="shared" si="45"/>
        <v>1</v>
      </c>
      <c r="H280" s="135"/>
      <c r="I280" s="125">
        <f t="shared" si="46"/>
        <v>1</v>
      </c>
      <c r="J280" s="135"/>
      <c r="K280" s="125">
        <f t="shared" si="47"/>
        <v>1</v>
      </c>
      <c r="L280" s="135"/>
      <c r="M280" s="125">
        <f t="shared" si="48"/>
        <v>1</v>
      </c>
      <c r="N280" s="135"/>
      <c r="O280" s="125">
        <f t="shared" si="49"/>
        <v>1</v>
      </c>
      <c r="P280" s="135"/>
      <c r="Q280" s="125">
        <f t="shared" si="50"/>
        <v>1</v>
      </c>
      <c r="R280" s="125">
        <f t="shared" si="51"/>
        <v>0</v>
      </c>
      <c r="S280" s="124">
        <f t="shared" si="52"/>
        <v>0</v>
      </c>
    </row>
    <row r="281" spans="1:19">
      <c r="A281" s="133"/>
      <c r="B281" s="134"/>
      <c r="C281" s="125">
        <f t="shared" si="43"/>
        <v>1</v>
      </c>
      <c r="D281" s="135"/>
      <c r="E281" s="125">
        <f t="shared" si="44"/>
        <v>1</v>
      </c>
      <c r="F281" s="135"/>
      <c r="G281" s="125">
        <f t="shared" si="45"/>
        <v>1</v>
      </c>
      <c r="H281" s="135"/>
      <c r="I281" s="125">
        <f t="shared" si="46"/>
        <v>1</v>
      </c>
      <c r="J281" s="135"/>
      <c r="K281" s="125">
        <f t="shared" si="47"/>
        <v>1</v>
      </c>
      <c r="L281" s="135"/>
      <c r="M281" s="125">
        <f t="shared" si="48"/>
        <v>1</v>
      </c>
      <c r="N281" s="135"/>
      <c r="O281" s="125">
        <f t="shared" si="49"/>
        <v>1</v>
      </c>
      <c r="P281" s="135"/>
      <c r="Q281" s="125">
        <f t="shared" si="50"/>
        <v>1</v>
      </c>
      <c r="R281" s="125">
        <f t="shared" si="51"/>
        <v>0</v>
      </c>
      <c r="S281" s="124">
        <f t="shared" si="52"/>
        <v>0</v>
      </c>
    </row>
    <row r="282" spans="1:19">
      <c r="A282" s="133"/>
      <c r="B282" s="134"/>
      <c r="C282" s="125">
        <f t="shared" ref="C282:C345" si="53">IF(B282="",1,(LOOKUP(B282,$3:$3,$4:$4)-LOOKUP($B$24,$3:$3,$4:$4)+100)/100)</f>
        <v>1</v>
      </c>
      <c r="D282" s="135"/>
      <c r="E282" s="125">
        <f t="shared" ref="E282:E345" si="54">(SUMIF($5:$5,D282,$6:$6)-SUMIF($5:$5,$D$24,$6:$6)+100)/100</f>
        <v>1</v>
      </c>
      <c r="F282" s="135"/>
      <c r="G282" s="125">
        <f t="shared" ref="G282:G345" si="55">(SUMIF($7:$7,F282,$8:$8)-SUMIF($7:$7,$F$24,$8:$8)+100)/100</f>
        <v>1</v>
      </c>
      <c r="H282" s="135"/>
      <c r="I282" s="125">
        <f t="shared" ref="I282:I345" si="56">(SUMIF($9:$9,H282,$10:$10)-SUMIF($9:$9,$H$24,$10:$10)+100)/100</f>
        <v>1</v>
      </c>
      <c r="J282" s="135"/>
      <c r="K282" s="125">
        <f t="shared" ref="K282:K345" si="57">(SUMIF($11:$11,J282,$12:$12)-SUMIF($11:$11,$J$24,$12:$12)+100)/100</f>
        <v>1</v>
      </c>
      <c r="L282" s="135"/>
      <c r="M282" s="125">
        <f t="shared" ref="M282:M345" si="58">(SUMIF($13:$13,L282,$14:$14)-SUMIF($13:$13,$L$24,$14:$14)+100)/100</f>
        <v>1</v>
      </c>
      <c r="N282" s="135"/>
      <c r="O282" s="125">
        <f t="shared" ref="O282:O345" si="59">(SUMIF($15:$15,N282,$16:$16)-SUMIF($15:$15,$N$24,$16:$16)+100)/100</f>
        <v>1</v>
      </c>
      <c r="P282" s="135"/>
      <c r="Q282" s="125">
        <f t="shared" ref="Q282:Q345" si="60">(SUMIF($17:$17,P282,$18:$18)-SUMIF($17:$17,$P$24,$18:$18)+100)/100</f>
        <v>1</v>
      </c>
      <c r="R282" s="125">
        <f t="shared" ref="R282:R345" si="61">IF(B282="",0,ROUND($R$24*C282*E282*G282*I282*K282*M282*O282*Q282,0))</f>
        <v>0</v>
      </c>
      <c r="S282" s="124">
        <f t="shared" si="52"/>
        <v>0</v>
      </c>
    </row>
    <row r="283" spans="1:19">
      <c r="A283" s="133"/>
      <c r="B283" s="134"/>
      <c r="C283" s="125">
        <f t="shared" si="53"/>
        <v>1</v>
      </c>
      <c r="D283" s="135"/>
      <c r="E283" s="125">
        <f t="shared" si="54"/>
        <v>1</v>
      </c>
      <c r="F283" s="135"/>
      <c r="G283" s="125">
        <f t="shared" si="55"/>
        <v>1</v>
      </c>
      <c r="H283" s="135"/>
      <c r="I283" s="125">
        <f t="shared" si="56"/>
        <v>1</v>
      </c>
      <c r="J283" s="135"/>
      <c r="K283" s="125">
        <f t="shared" si="57"/>
        <v>1</v>
      </c>
      <c r="L283" s="135"/>
      <c r="M283" s="125">
        <f t="shared" si="58"/>
        <v>1</v>
      </c>
      <c r="N283" s="135"/>
      <c r="O283" s="125">
        <f t="shared" si="59"/>
        <v>1</v>
      </c>
      <c r="P283" s="135"/>
      <c r="Q283" s="125">
        <f t="shared" si="60"/>
        <v>1</v>
      </c>
      <c r="R283" s="125">
        <f t="shared" si="61"/>
        <v>0</v>
      </c>
      <c r="S283" s="124">
        <f t="shared" si="52"/>
        <v>0</v>
      </c>
    </row>
    <row r="284" spans="1:19">
      <c r="A284" s="133"/>
      <c r="B284" s="134"/>
      <c r="C284" s="125">
        <f t="shared" si="53"/>
        <v>1</v>
      </c>
      <c r="D284" s="135"/>
      <c r="E284" s="125">
        <f t="shared" si="54"/>
        <v>1</v>
      </c>
      <c r="F284" s="135"/>
      <c r="G284" s="125">
        <f t="shared" si="55"/>
        <v>1</v>
      </c>
      <c r="H284" s="135"/>
      <c r="I284" s="125">
        <f t="shared" si="56"/>
        <v>1</v>
      </c>
      <c r="J284" s="135"/>
      <c r="K284" s="125">
        <f t="shared" si="57"/>
        <v>1</v>
      </c>
      <c r="L284" s="135"/>
      <c r="M284" s="125">
        <f t="shared" si="58"/>
        <v>1</v>
      </c>
      <c r="N284" s="135"/>
      <c r="O284" s="125">
        <f t="shared" si="59"/>
        <v>1</v>
      </c>
      <c r="P284" s="135"/>
      <c r="Q284" s="125">
        <f t="shared" si="60"/>
        <v>1</v>
      </c>
      <c r="R284" s="125">
        <f t="shared" si="61"/>
        <v>0</v>
      </c>
      <c r="S284" s="124">
        <f t="shared" si="52"/>
        <v>0</v>
      </c>
    </row>
    <row r="285" spans="1:19">
      <c r="A285" s="133"/>
      <c r="B285" s="134"/>
      <c r="C285" s="125">
        <f t="shared" si="53"/>
        <v>1</v>
      </c>
      <c r="D285" s="135"/>
      <c r="E285" s="125">
        <f t="shared" si="54"/>
        <v>1</v>
      </c>
      <c r="F285" s="135"/>
      <c r="G285" s="125">
        <f t="shared" si="55"/>
        <v>1</v>
      </c>
      <c r="H285" s="135"/>
      <c r="I285" s="125">
        <f t="shared" si="56"/>
        <v>1</v>
      </c>
      <c r="J285" s="135"/>
      <c r="K285" s="125">
        <f t="shared" si="57"/>
        <v>1</v>
      </c>
      <c r="L285" s="135"/>
      <c r="M285" s="125">
        <f t="shared" si="58"/>
        <v>1</v>
      </c>
      <c r="N285" s="135"/>
      <c r="O285" s="125">
        <f t="shared" si="59"/>
        <v>1</v>
      </c>
      <c r="P285" s="135"/>
      <c r="Q285" s="125">
        <f t="shared" si="60"/>
        <v>1</v>
      </c>
      <c r="R285" s="125">
        <f t="shared" si="61"/>
        <v>0</v>
      </c>
      <c r="S285" s="124">
        <f t="shared" si="52"/>
        <v>0</v>
      </c>
    </row>
    <row r="286" spans="1:19">
      <c r="A286" s="133"/>
      <c r="B286" s="134"/>
      <c r="C286" s="125">
        <f t="shared" si="53"/>
        <v>1</v>
      </c>
      <c r="D286" s="135"/>
      <c r="E286" s="125">
        <f t="shared" si="54"/>
        <v>1</v>
      </c>
      <c r="F286" s="135"/>
      <c r="G286" s="125">
        <f t="shared" si="55"/>
        <v>1</v>
      </c>
      <c r="H286" s="135"/>
      <c r="I286" s="125">
        <f t="shared" si="56"/>
        <v>1</v>
      </c>
      <c r="J286" s="135"/>
      <c r="K286" s="125">
        <f t="shared" si="57"/>
        <v>1</v>
      </c>
      <c r="L286" s="135"/>
      <c r="M286" s="125">
        <f t="shared" si="58"/>
        <v>1</v>
      </c>
      <c r="N286" s="135"/>
      <c r="O286" s="125">
        <f t="shared" si="59"/>
        <v>1</v>
      </c>
      <c r="P286" s="135"/>
      <c r="Q286" s="125">
        <f t="shared" si="60"/>
        <v>1</v>
      </c>
      <c r="R286" s="125">
        <f t="shared" si="61"/>
        <v>0</v>
      </c>
      <c r="S286" s="124">
        <f t="shared" si="52"/>
        <v>0</v>
      </c>
    </row>
    <row r="287" spans="1:19">
      <c r="A287" s="133"/>
      <c r="B287" s="134"/>
      <c r="C287" s="125">
        <f t="shared" si="53"/>
        <v>1</v>
      </c>
      <c r="D287" s="135"/>
      <c r="E287" s="125">
        <f t="shared" si="54"/>
        <v>1</v>
      </c>
      <c r="F287" s="135"/>
      <c r="G287" s="125">
        <f t="shared" si="55"/>
        <v>1</v>
      </c>
      <c r="H287" s="135"/>
      <c r="I287" s="125">
        <f t="shared" si="56"/>
        <v>1</v>
      </c>
      <c r="J287" s="135"/>
      <c r="K287" s="125">
        <f t="shared" si="57"/>
        <v>1</v>
      </c>
      <c r="L287" s="135"/>
      <c r="M287" s="125">
        <f t="shared" si="58"/>
        <v>1</v>
      </c>
      <c r="N287" s="135"/>
      <c r="O287" s="125">
        <f t="shared" si="59"/>
        <v>1</v>
      </c>
      <c r="P287" s="135"/>
      <c r="Q287" s="125">
        <f t="shared" si="60"/>
        <v>1</v>
      </c>
      <c r="R287" s="125">
        <f t="shared" si="61"/>
        <v>0</v>
      </c>
      <c r="S287" s="124">
        <f t="shared" ref="S287:S320" si="62">ROUND(R287*B287/10000,0)</f>
        <v>0</v>
      </c>
    </row>
    <row r="288" spans="1:19">
      <c r="A288" s="133"/>
      <c r="B288" s="134"/>
      <c r="C288" s="125">
        <f t="shared" si="53"/>
        <v>1</v>
      </c>
      <c r="D288" s="135"/>
      <c r="E288" s="125">
        <f t="shared" si="54"/>
        <v>1</v>
      </c>
      <c r="F288" s="135"/>
      <c r="G288" s="125">
        <f t="shared" si="55"/>
        <v>1</v>
      </c>
      <c r="H288" s="135"/>
      <c r="I288" s="125">
        <f t="shared" si="56"/>
        <v>1</v>
      </c>
      <c r="J288" s="135"/>
      <c r="K288" s="125">
        <f t="shared" si="57"/>
        <v>1</v>
      </c>
      <c r="L288" s="135"/>
      <c r="M288" s="125">
        <f t="shared" si="58"/>
        <v>1</v>
      </c>
      <c r="N288" s="135"/>
      <c r="O288" s="125">
        <f t="shared" si="59"/>
        <v>1</v>
      </c>
      <c r="P288" s="135"/>
      <c r="Q288" s="125">
        <f t="shared" si="60"/>
        <v>1</v>
      </c>
      <c r="R288" s="125">
        <f t="shared" si="61"/>
        <v>0</v>
      </c>
      <c r="S288" s="124">
        <f t="shared" si="62"/>
        <v>0</v>
      </c>
    </row>
    <row r="289" spans="1:19">
      <c r="A289" s="133"/>
      <c r="B289" s="134"/>
      <c r="C289" s="125">
        <f t="shared" si="53"/>
        <v>1</v>
      </c>
      <c r="D289" s="135"/>
      <c r="E289" s="125">
        <f t="shared" si="54"/>
        <v>1</v>
      </c>
      <c r="F289" s="135"/>
      <c r="G289" s="125">
        <f t="shared" si="55"/>
        <v>1</v>
      </c>
      <c r="H289" s="135"/>
      <c r="I289" s="125">
        <f t="shared" si="56"/>
        <v>1</v>
      </c>
      <c r="J289" s="135"/>
      <c r="K289" s="125">
        <f t="shared" si="57"/>
        <v>1</v>
      </c>
      <c r="L289" s="135"/>
      <c r="M289" s="125">
        <f t="shared" si="58"/>
        <v>1</v>
      </c>
      <c r="N289" s="135"/>
      <c r="O289" s="125">
        <f t="shared" si="59"/>
        <v>1</v>
      </c>
      <c r="P289" s="135"/>
      <c r="Q289" s="125">
        <f t="shared" si="60"/>
        <v>1</v>
      </c>
      <c r="R289" s="125">
        <f t="shared" si="61"/>
        <v>0</v>
      </c>
      <c r="S289" s="124">
        <f t="shared" si="62"/>
        <v>0</v>
      </c>
    </row>
    <row r="290" spans="1:19">
      <c r="A290" s="133"/>
      <c r="B290" s="134"/>
      <c r="C290" s="125">
        <f t="shared" si="53"/>
        <v>1</v>
      </c>
      <c r="D290" s="135"/>
      <c r="E290" s="125">
        <f t="shared" si="54"/>
        <v>1</v>
      </c>
      <c r="F290" s="135"/>
      <c r="G290" s="125">
        <f t="shared" si="55"/>
        <v>1</v>
      </c>
      <c r="H290" s="135"/>
      <c r="I290" s="125">
        <f t="shared" si="56"/>
        <v>1</v>
      </c>
      <c r="J290" s="135"/>
      <c r="K290" s="125">
        <f t="shared" si="57"/>
        <v>1</v>
      </c>
      <c r="L290" s="135"/>
      <c r="M290" s="125">
        <f t="shared" si="58"/>
        <v>1</v>
      </c>
      <c r="N290" s="135"/>
      <c r="O290" s="125">
        <f t="shared" si="59"/>
        <v>1</v>
      </c>
      <c r="P290" s="135"/>
      <c r="Q290" s="125">
        <f t="shared" si="60"/>
        <v>1</v>
      </c>
      <c r="R290" s="125">
        <f t="shared" si="61"/>
        <v>0</v>
      </c>
      <c r="S290" s="124">
        <f t="shared" si="62"/>
        <v>0</v>
      </c>
    </row>
    <row r="291" spans="1:19">
      <c r="A291" s="133"/>
      <c r="B291" s="134"/>
      <c r="C291" s="125">
        <f t="shared" si="53"/>
        <v>1</v>
      </c>
      <c r="D291" s="135"/>
      <c r="E291" s="125">
        <f t="shared" si="54"/>
        <v>1</v>
      </c>
      <c r="F291" s="135"/>
      <c r="G291" s="125">
        <f t="shared" si="55"/>
        <v>1</v>
      </c>
      <c r="H291" s="135"/>
      <c r="I291" s="125">
        <f t="shared" si="56"/>
        <v>1</v>
      </c>
      <c r="J291" s="135"/>
      <c r="K291" s="125">
        <f t="shared" si="57"/>
        <v>1</v>
      </c>
      <c r="L291" s="135"/>
      <c r="M291" s="125">
        <f t="shared" si="58"/>
        <v>1</v>
      </c>
      <c r="N291" s="135"/>
      <c r="O291" s="125">
        <f t="shared" si="59"/>
        <v>1</v>
      </c>
      <c r="P291" s="135"/>
      <c r="Q291" s="125">
        <f t="shared" si="60"/>
        <v>1</v>
      </c>
      <c r="R291" s="125">
        <f t="shared" si="61"/>
        <v>0</v>
      </c>
      <c r="S291" s="124">
        <f t="shared" si="62"/>
        <v>0</v>
      </c>
    </row>
    <row r="292" spans="1:19">
      <c r="A292" s="133"/>
      <c r="B292" s="134"/>
      <c r="C292" s="125">
        <f t="shared" si="53"/>
        <v>1</v>
      </c>
      <c r="D292" s="135"/>
      <c r="E292" s="125">
        <f t="shared" si="54"/>
        <v>1</v>
      </c>
      <c r="F292" s="135"/>
      <c r="G292" s="125">
        <f t="shared" si="55"/>
        <v>1</v>
      </c>
      <c r="H292" s="135"/>
      <c r="I292" s="125">
        <f t="shared" si="56"/>
        <v>1</v>
      </c>
      <c r="J292" s="135"/>
      <c r="K292" s="125">
        <f t="shared" si="57"/>
        <v>1</v>
      </c>
      <c r="L292" s="135"/>
      <c r="M292" s="125">
        <f t="shared" si="58"/>
        <v>1</v>
      </c>
      <c r="N292" s="135"/>
      <c r="O292" s="125">
        <f t="shared" si="59"/>
        <v>1</v>
      </c>
      <c r="P292" s="135"/>
      <c r="Q292" s="125">
        <f t="shared" si="60"/>
        <v>1</v>
      </c>
      <c r="R292" s="125">
        <f t="shared" si="61"/>
        <v>0</v>
      </c>
      <c r="S292" s="124">
        <f t="shared" si="62"/>
        <v>0</v>
      </c>
    </row>
    <row r="293" spans="1:19">
      <c r="A293" s="133"/>
      <c r="B293" s="134"/>
      <c r="C293" s="125">
        <f t="shared" si="53"/>
        <v>1</v>
      </c>
      <c r="D293" s="135"/>
      <c r="E293" s="125">
        <f t="shared" si="54"/>
        <v>1</v>
      </c>
      <c r="F293" s="135"/>
      <c r="G293" s="125">
        <f t="shared" si="55"/>
        <v>1</v>
      </c>
      <c r="H293" s="135"/>
      <c r="I293" s="125">
        <f t="shared" si="56"/>
        <v>1</v>
      </c>
      <c r="J293" s="135"/>
      <c r="K293" s="125">
        <f t="shared" si="57"/>
        <v>1</v>
      </c>
      <c r="L293" s="135"/>
      <c r="M293" s="125">
        <f t="shared" si="58"/>
        <v>1</v>
      </c>
      <c r="N293" s="135"/>
      <c r="O293" s="125">
        <f t="shared" si="59"/>
        <v>1</v>
      </c>
      <c r="P293" s="135"/>
      <c r="Q293" s="125">
        <f t="shared" si="60"/>
        <v>1</v>
      </c>
      <c r="R293" s="125">
        <f t="shared" si="61"/>
        <v>0</v>
      </c>
      <c r="S293" s="124">
        <f t="shared" si="62"/>
        <v>0</v>
      </c>
    </row>
    <row r="294" spans="1:19">
      <c r="A294" s="133"/>
      <c r="B294" s="134"/>
      <c r="C294" s="125">
        <f t="shared" si="53"/>
        <v>1</v>
      </c>
      <c r="D294" s="135"/>
      <c r="E294" s="125">
        <f t="shared" si="54"/>
        <v>1</v>
      </c>
      <c r="F294" s="135"/>
      <c r="G294" s="125">
        <f t="shared" si="55"/>
        <v>1</v>
      </c>
      <c r="H294" s="135"/>
      <c r="I294" s="125">
        <f t="shared" si="56"/>
        <v>1</v>
      </c>
      <c r="J294" s="135"/>
      <c r="K294" s="125">
        <f t="shared" si="57"/>
        <v>1</v>
      </c>
      <c r="L294" s="135"/>
      <c r="M294" s="125">
        <f t="shared" si="58"/>
        <v>1</v>
      </c>
      <c r="N294" s="135"/>
      <c r="O294" s="125">
        <f t="shared" si="59"/>
        <v>1</v>
      </c>
      <c r="P294" s="135"/>
      <c r="Q294" s="125">
        <f t="shared" si="60"/>
        <v>1</v>
      </c>
      <c r="R294" s="125">
        <f t="shared" si="61"/>
        <v>0</v>
      </c>
      <c r="S294" s="124">
        <f t="shared" si="62"/>
        <v>0</v>
      </c>
    </row>
    <row r="295" spans="1:19">
      <c r="A295" s="133"/>
      <c r="B295" s="134"/>
      <c r="C295" s="125">
        <f t="shared" si="53"/>
        <v>1</v>
      </c>
      <c r="D295" s="135"/>
      <c r="E295" s="125">
        <f t="shared" si="54"/>
        <v>1</v>
      </c>
      <c r="F295" s="135"/>
      <c r="G295" s="125">
        <f t="shared" si="55"/>
        <v>1</v>
      </c>
      <c r="H295" s="135"/>
      <c r="I295" s="125">
        <f t="shared" si="56"/>
        <v>1</v>
      </c>
      <c r="J295" s="135"/>
      <c r="K295" s="125">
        <f t="shared" si="57"/>
        <v>1</v>
      </c>
      <c r="L295" s="135"/>
      <c r="M295" s="125">
        <f t="shared" si="58"/>
        <v>1</v>
      </c>
      <c r="N295" s="135"/>
      <c r="O295" s="125">
        <f t="shared" si="59"/>
        <v>1</v>
      </c>
      <c r="P295" s="135"/>
      <c r="Q295" s="125">
        <f t="shared" si="60"/>
        <v>1</v>
      </c>
      <c r="R295" s="125">
        <f t="shared" si="61"/>
        <v>0</v>
      </c>
      <c r="S295" s="124">
        <f t="shared" si="62"/>
        <v>0</v>
      </c>
    </row>
    <row r="296" spans="1:19">
      <c r="A296" s="133"/>
      <c r="B296" s="134"/>
      <c r="C296" s="125">
        <f t="shared" si="53"/>
        <v>1</v>
      </c>
      <c r="D296" s="135"/>
      <c r="E296" s="125">
        <f t="shared" si="54"/>
        <v>1</v>
      </c>
      <c r="F296" s="135"/>
      <c r="G296" s="125">
        <f t="shared" si="55"/>
        <v>1</v>
      </c>
      <c r="H296" s="135"/>
      <c r="I296" s="125">
        <f t="shared" si="56"/>
        <v>1</v>
      </c>
      <c r="J296" s="135"/>
      <c r="K296" s="125">
        <f t="shared" si="57"/>
        <v>1</v>
      </c>
      <c r="L296" s="135"/>
      <c r="M296" s="125">
        <f t="shared" si="58"/>
        <v>1</v>
      </c>
      <c r="N296" s="135"/>
      <c r="O296" s="125">
        <f t="shared" si="59"/>
        <v>1</v>
      </c>
      <c r="P296" s="135"/>
      <c r="Q296" s="125">
        <f t="shared" si="60"/>
        <v>1</v>
      </c>
      <c r="R296" s="125">
        <f t="shared" si="61"/>
        <v>0</v>
      </c>
      <c r="S296" s="124">
        <f t="shared" si="62"/>
        <v>0</v>
      </c>
    </row>
    <row r="297" spans="1:19">
      <c r="A297" s="133"/>
      <c r="B297" s="134"/>
      <c r="C297" s="125">
        <f t="shared" si="53"/>
        <v>1</v>
      </c>
      <c r="D297" s="135"/>
      <c r="E297" s="125">
        <f t="shared" si="54"/>
        <v>1</v>
      </c>
      <c r="F297" s="135"/>
      <c r="G297" s="125">
        <f t="shared" si="55"/>
        <v>1</v>
      </c>
      <c r="H297" s="135"/>
      <c r="I297" s="125">
        <f t="shared" si="56"/>
        <v>1</v>
      </c>
      <c r="J297" s="135"/>
      <c r="K297" s="125">
        <f t="shared" si="57"/>
        <v>1</v>
      </c>
      <c r="L297" s="135"/>
      <c r="M297" s="125">
        <f t="shared" si="58"/>
        <v>1</v>
      </c>
      <c r="N297" s="135"/>
      <c r="O297" s="125">
        <f t="shared" si="59"/>
        <v>1</v>
      </c>
      <c r="P297" s="135"/>
      <c r="Q297" s="125">
        <f t="shared" si="60"/>
        <v>1</v>
      </c>
      <c r="R297" s="125">
        <f t="shared" si="61"/>
        <v>0</v>
      </c>
      <c r="S297" s="124">
        <f t="shared" si="62"/>
        <v>0</v>
      </c>
    </row>
    <row r="298" spans="1:19">
      <c r="A298" s="133"/>
      <c r="B298" s="134"/>
      <c r="C298" s="125">
        <f t="shared" si="53"/>
        <v>1</v>
      </c>
      <c r="D298" s="135"/>
      <c r="E298" s="125">
        <f t="shared" si="54"/>
        <v>1</v>
      </c>
      <c r="F298" s="135"/>
      <c r="G298" s="125">
        <f t="shared" si="55"/>
        <v>1</v>
      </c>
      <c r="H298" s="135"/>
      <c r="I298" s="125">
        <f t="shared" si="56"/>
        <v>1</v>
      </c>
      <c r="J298" s="135"/>
      <c r="K298" s="125">
        <f t="shared" si="57"/>
        <v>1</v>
      </c>
      <c r="L298" s="135"/>
      <c r="M298" s="125">
        <f t="shared" si="58"/>
        <v>1</v>
      </c>
      <c r="N298" s="135"/>
      <c r="O298" s="125">
        <f t="shared" si="59"/>
        <v>1</v>
      </c>
      <c r="P298" s="135"/>
      <c r="Q298" s="125">
        <f t="shared" si="60"/>
        <v>1</v>
      </c>
      <c r="R298" s="125">
        <f t="shared" si="61"/>
        <v>0</v>
      </c>
      <c r="S298" s="124">
        <f t="shared" si="62"/>
        <v>0</v>
      </c>
    </row>
    <row r="299" spans="1:19">
      <c r="A299" s="133"/>
      <c r="B299" s="134"/>
      <c r="C299" s="125">
        <f t="shared" si="53"/>
        <v>1</v>
      </c>
      <c r="D299" s="135"/>
      <c r="E299" s="125">
        <f t="shared" si="54"/>
        <v>1</v>
      </c>
      <c r="F299" s="135"/>
      <c r="G299" s="125">
        <f t="shared" si="55"/>
        <v>1</v>
      </c>
      <c r="H299" s="135"/>
      <c r="I299" s="125">
        <f t="shared" si="56"/>
        <v>1</v>
      </c>
      <c r="J299" s="135"/>
      <c r="K299" s="125">
        <f t="shared" si="57"/>
        <v>1</v>
      </c>
      <c r="L299" s="135"/>
      <c r="M299" s="125">
        <f t="shared" si="58"/>
        <v>1</v>
      </c>
      <c r="N299" s="135"/>
      <c r="O299" s="125">
        <f t="shared" si="59"/>
        <v>1</v>
      </c>
      <c r="P299" s="135"/>
      <c r="Q299" s="125">
        <f t="shared" si="60"/>
        <v>1</v>
      </c>
      <c r="R299" s="125">
        <f t="shared" si="61"/>
        <v>0</v>
      </c>
      <c r="S299" s="124">
        <f t="shared" si="62"/>
        <v>0</v>
      </c>
    </row>
    <row r="300" spans="1:19">
      <c r="A300" s="133"/>
      <c r="B300" s="134"/>
      <c r="C300" s="125">
        <f t="shared" si="53"/>
        <v>1</v>
      </c>
      <c r="D300" s="135"/>
      <c r="E300" s="125">
        <f t="shared" si="54"/>
        <v>1</v>
      </c>
      <c r="F300" s="135"/>
      <c r="G300" s="125">
        <f t="shared" si="55"/>
        <v>1</v>
      </c>
      <c r="H300" s="135"/>
      <c r="I300" s="125">
        <f t="shared" si="56"/>
        <v>1</v>
      </c>
      <c r="J300" s="135"/>
      <c r="K300" s="125">
        <f t="shared" si="57"/>
        <v>1</v>
      </c>
      <c r="L300" s="135"/>
      <c r="M300" s="125">
        <f t="shared" si="58"/>
        <v>1</v>
      </c>
      <c r="N300" s="135"/>
      <c r="O300" s="125">
        <f t="shared" si="59"/>
        <v>1</v>
      </c>
      <c r="P300" s="135"/>
      <c r="Q300" s="125">
        <f t="shared" si="60"/>
        <v>1</v>
      </c>
      <c r="R300" s="125">
        <f t="shared" si="61"/>
        <v>0</v>
      </c>
      <c r="S300" s="124">
        <f t="shared" si="62"/>
        <v>0</v>
      </c>
    </row>
    <row r="301" spans="1:19">
      <c r="A301" s="133"/>
      <c r="B301" s="134"/>
      <c r="C301" s="125">
        <f t="shared" si="53"/>
        <v>1</v>
      </c>
      <c r="D301" s="135"/>
      <c r="E301" s="125">
        <f t="shared" si="54"/>
        <v>1</v>
      </c>
      <c r="F301" s="135"/>
      <c r="G301" s="125">
        <f t="shared" si="55"/>
        <v>1</v>
      </c>
      <c r="H301" s="135"/>
      <c r="I301" s="125">
        <f t="shared" si="56"/>
        <v>1</v>
      </c>
      <c r="J301" s="135"/>
      <c r="K301" s="125">
        <f t="shared" si="57"/>
        <v>1</v>
      </c>
      <c r="L301" s="135"/>
      <c r="M301" s="125">
        <f t="shared" si="58"/>
        <v>1</v>
      </c>
      <c r="N301" s="135"/>
      <c r="O301" s="125">
        <f t="shared" si="59"/>
        <v>1</v>
      </c>
      <c r="P301" s="135"/>
      <c r="Q301" s="125">
        <f t="shared" si="60"/>
        <v>1</v>
      </c>
      <c r="R301" s="125">
        <f t="shared" si="61"/>
        <v>0</v>
      </c>
      <c r="S301" s="124">
        <f t="shared" si="62"/>
        <v>0</v>
      </c>
    </row>
    <row r="302" spans="1:19">
      <c r="A302" s="133"/>
      <c r="B302" s="134"/>
      <c r="C302" s="125">
        <f t="shared" si="53"/>
        <v>1</v>
      </c>
      <c r="D302" s="135"/>
      <c r="E302" s="125">
        <f t="shared" si="54"/>
        <v>1</v>
      </c>
      <c r="F302" s="135"/>
      <c r="G302" s="125">
        <f t="shared" si="55"/>
        <v>1</v>
      </c>
      <c r="H302" s="135"/>
      <c r="I302" s="125">
        <f t="shared" si="56"/>
        <v>1</v>
      </c>
      <c r="J302" s="135"/>
      <c r="K302" s="125">
        <f t="shared" si="57"/>
        <v>1</v>
      </c>
      <c r="L302" s="135"/>
      <c r="M302" s="125">
        <f t="shared" si="58"/>
        <v>1</v>
      </c>
      <c r="N302" s="135"/>
      <c r="O302" s="125">
        <f t="shared" si="59"/>
        <v>1</v>
      </c>
      <c r="P302" s="135"/>
      <c r="Q302" s="125">
        <f t="shared" si="60"/>
        <v>1</v>
      </c>
      <c r="R302" s="125">
        <f t="shared" si="61"/>
        <v>0</v>
      </c>
      <c r="S302" s="124">
        <f t="shared" si="62"/>
        <v>0</v>
      </c>
    </row>
    <row r="303" spans="1:19">
      <c r="A303" s="133"/>
      <c r="B303" s="134"/>
      <c r="C303" s="125">
        <f t="shared" si="53"/>
        <v>1</v>
      </c>
      <c r="D303" s="135"/>
      <c r="E303" s="125">
        <f t="shared" si="54"/>
        <v>1</v>
      </c>
      <c r="F303" s="135"/>
      <c r="G303" s="125">
        <f t="shared" si="55"/>
        <v>1</v>
      </c>
      <c r="H303" s="135"/>
      <c r="I303" s="125">
        <f t="shared" si="56"/>
        <v>1</v>
      </c>
      <c r="J303" s="135"/>
      <c r="K303" s="125">
        <f t="shared" si="57"/>
        <v>1</v>
      </c>
      <c r="L303" s="135"/>
      <c r="M303" s="125">
        <f t="shared" si="58"/>
        <v>1</v>
      </c>
      <c r="N303" s="135"/>
      <c r="O303" s="125">
        <f t="shared" si="59"/>
        <v>1</v>
      </c>
      <c r="P303" s="135"/>
      <c r="Q303" s="125">
        <f t="shared" si="60"/>
        <v>1</v>
      </c>
      <c r="R303" s="125">
        <f t="shared" si="61"/>
        <v>0</v>
      </c>
      <c r="S303" s="124">
        <f t="shared" si="62"/>
        <v>0</v>
      </c>
    </row>
    <row r="304" spans="1:19">
      <c r="A304" s="133"/>
      <c r="B304" s="134"/>
      <c r="C304" s="125">
        <f t="shared" si="53"/>
        <v>1</v>
      </c>
      <c r="D304" s="135"/>
      <c r="E304" s="125">
        <f t="shared" si="54"/>
        <v>1</v>
      </c>
      <c r="F304" s="135"/>
      <c r="G304" s="125">
        <f t="shared" si="55"/>
        <v>1</v>
      </c>
      <c r="H304" s="135"/>
      <c r="I304" s="125">
        <f t="shared" si="56"/>
        <v>1</v>
      </c>
      <c r="J304" s="135"/>
      <c r="K304" s="125">
        <f t="shared" si="57"/>
        <v>1</v>
      </c>
      <c r="L304" s="135"/>
      <c r="M304" s="125">
        <f t="shared" si="58"/>
        <v>1</v>
      </c>
      <c r="N304" s="135"/>
      <c r="O304" s="125">
        <f t="shared" si="59"/>
        <v>1</v>
      </c>
      <c r="P304" s="135"/>
      <c r="Q304" s="125">
        <f t="shared" si="60"/>
        <v>1</v>
      </c>
      <c r="R304" s="125">
        <f t="shared" si="61"/>
        <v>0</v>
      </c>
      <c r="S304" s="124">
        <f t="shared" si="62"/>
        <v>0</v>
      </c>
    </row>
    <row r="305" spans="1:19">
      <c r="A305" s="133"/>
      <c r="B305" s="134"/>
      <c r="C305" s="125">
        <f t="shared" si="53"/>
        <v>1</v>
      </c>
      <c r="D305" s="135"/>
      <c r="E305" s="125">
        <f t="shared" si="54"/>
        <v>1</v>
      </c>
      <c r="F305" s="135"/>
      <c r="G305" s="125">
        <f t="shared" si="55"/>
        <v>1</v>
      </c>
      <c r="H305" s="135"/>
      <c r="I305" s="125">
        <f t="shared" si="56"/>
        <v>1</v>
      </c>
      <c r="J305" s="135"/>
      <c r="K305" s="125">
        <f t="shared" si="57"/>
        <v>1</v>
      </c>
      <c r="L305" s="135"/>
      <c r="M305" s="125">
        <f t="shared" si="58"/>
        <v>1</v>
      </c>
      <c r="N305" s="135"/>
      <c r="O305" s="125">
        <f t="shared" si="59"/>
        <v>1</v>
      </c>
      <c r="P305" s="135"/>
      <c r="Q305" s="125">
        <f t="shared" si="60"/>
        <v>1</v>
      </c>
      <c r="R305" s="125">
        <f t="shared" si="61"/>
        <v>0</v>
      </c>
      <c r="S305" s="124">
        <f t="shared" si="62"/>
        <v>0</v>
      </c>
    </row>
    <row r="306" spans="1:19">
      <c r="A306" s="133"/>
      <c r="B306" s="134"/>
      <c r="C306" s="125">
        <f t="shared" si="53"/>
        <v>1</v>
      </c>
      <c r="D306" s="135"/>
      <c r="E306" s="125">
        <f t="shared" si="54"/>
        <v>1</v>
      </c>
      <c r="F306" s="135"/>
      <c r="G306" s="125">
        <f t="shared" si="55"/>
        <v>1</v>
      </c>
      <c r="H306" s="135"/>
      <c r="I306" s="125">
        <f t="shared" si="56"/>
        <v>1</v>
      </c>
      <c r="J306" s="135"/>
      <c r="K306" s="125">
        <f t="shared" si="57"/>
        <v>1</v>
      </c>
      <c r="L306" s="135"/>
      <c r="M306" s="125">
        <f t="shared" si="58"/>
        <v>1</v>
      </c>
      <c r="N306" s="135"/>
      <c r="O306" s="125">
        <f t="shared" si="59"/>
        <v>1</v>
      </c>
      <c r="P306" s="135"/>
      <c r="Q306" s="125">
        <f t="shared" si="60"/>
        <v>1</v>
      </c>
      <c r="R306" s="125">
        <f t="shared" si="61"/>
        <v>0</v>
      </c>
      <c r="S306" s="124">
        <f t="shared" si="62"/>
        <v>0</v>
      </c>
    </row>
    <row r="307" spans="1:19">
      <c r="A307" s="133"/>
      <c r="B307" s="134"/>
      <c r="C307" s="125">
        <f t="shared" si="53"/>
        <v>1</v>
      </c>
      <c r="D307" s="135"/>
      <c r="E307" s="125">
        <f t="shared" si="54"/>
        <v>1</v>
      </c>
      <c r="F307" s="135"/>
      <c r="G307" s="125">
        <f t="shared" si="55"/>
        <v>1</v>
      </c>
      <c r="H307" s="135"/>
      <c r="I307" s="125">
        <f t="shared" si="56"/>
        <v>1</v>
      </c>
      <c r="J307" s="135"/>
      <c r="K307" s="125">
        <f t="shared" si="57"/>
        <v>1</v>
      </c>
      <c r="L307" s="135"/>
      <c r="M307" s="125">
        <f t="shared" si="58"/>
        <v>1</v>
      </c>
      <c r="N307" s="135"/>
      <c r="O307" s="125">
        <f t="shared" si="59"/>
        <v>1</v>
      </c>
      <c r="P307" s="135"/>
      <c r="Q307" s="125">
        <f t="shared" si="60"/>
        <v>1</v>
      </c>
      <c r="R307" s="125">
        <f t="shared" si="61"/>
        <v>0</v>
      </c>
      <c r="S307" s="124">
        <f t="shared" si="62"/>
        <v>0</v>
      </c>
    </row>
    <row r="308" spans="1:19">
      <c r="A308" s="133"/>
      <c r="B308" s="134"/>
      <c r="C308" s="125">
        <f t="shared" si="53"/>
        <v>1</v>
      </c>
      <c r="D308" s="135"/>
      <c r="E308" s="125">
        <f t="shared" si="54"/>
        <v>1</v>
      </c>
      <c r="F308" s="135"/>
      <c r="G308" s="125">
        <f t="shared" si="55"/>
        <v>1</v>
      </c>
      <c r="H308" s="135"/>
      <c r="I308" s="125">
        <f t="shared" si="56"/>
        <v>1</v>
      </c>
      <c r="J308" s="135"/>
      <c r="K308" s="125">
        <f t="shared" si="57"/>
        <v>1</v>
      </c>
      <c r="L308" s="135"/>
      <c r="M308" s="125">
        <f t="shared" si="58"/>
        <v>1</v>
      </c>
      <c r="N308" s="135"/>
      <c r="O308" s="125">
        <f t="shared" si="59"/>
        <v>1</v>
      </c>
      <c r="P308" s="135"/>
      <c r="Q308" s="125">
        <f t="shared" si="60"/>
        <v>1</v>
      </c>
      <c r="R308" s="125">
        <f t="shared" si="61"/>
        <v>0</v>
      </c>
      <c r="S308" s="124">
        <f t="shared" si="62"/>
        <v>0</v>
      </c>
    </row>
    <row r="309" spans="1:19">
      <c r="A309" s="133"/>
      <c r="B309" s="134"/>
      <c r="C309" s="125">
        <f t="shared" si="53"/>
        <v>1</v>
      </c>
      <c r="D309" s="135"/>
      <c r="E309" s="125">
        <f t="shared" si="54"/>
        <v>1</v>
      </c>
      <c r="F309" s="135"/>
      <c r="G309" s="125">
        <f t="shared" si="55"/>
        <v>1</v>
      </c>
      <c r="H309" s="135"/>
      <c r="I309" s="125">
        <f t="shared" si="56"/>
        <v>1</v>
      </c>
      <c r="J309" s="135"/>
      <c r="K309" s="125">
        <f t="shared" si="57"/>
        <v>1</v>
      </c>
      <c r="L309" s="135"/>
      <c r="M309" s="125">
        <f t="shared" si="58"/>
        <v>1</v>
      </c>
      <c r="N309" s="135"/>
      <c r="O309" s="125">
        <f t="shared" si="59"/>
        <v>1</v>
      </c>
      <c r="P309" s="135"/>
      <c r="Q309" s="125">
        <f t="shared" si="60"/>
        <v>1</v>
      </c>
      <c r="R309" s="125">
        <f t="shared" si="61"/>
        <v>0</v>
      </c>
      <c r="S309" s="124">
        <f t="shared" si="62"/>
        <v>0</v>
      </c>
    </row>
    <row r="310" spans="1:19">
      <c r="A310" s="133"/>
      <c r="B310" s="134"/>
      <c r="C310" s="125">
        <f t="shared" si="53"/>
        <v>1</v>
      </c>
      <c r="D310" s="135"/>
      <c r="E310" s="125">
        <f t="shared" si="54"/>
        <v>1</v>
      </c>
      <c r="F310" s="135"/>
      <c r="G310" s="125">
        <f t="shared" si="55"/>
        <v>1</v>
      </c>
      <c r="H310" s="135"/>
      <c r="I310" s="125">
        <f t="shared" si="56"/>
        <v>1</v>
      </c>
      <c r="J310" s="135"/>
      <c r="K310" s="125">
        <f t="shared" si="57"/>
        <v>1</v>
      </c>
      <c r="L310" s="135"/>
      <c r="M310" s="125">
        <f t="shared" si="58"/>
        <v>1</v>
      </c>
      <c r="N310" s="135"/>
      <c r="O310" s="125">
        <f t="shared" si="59"/>
        <v>1</v>
      </c>
      <c r="P310" s="135"/>
      <c r="Q310" s="125">
        <f t="shared" si="60"/>
        <v>1</v>
      </c>
      <c r="R310" s="125">
        <f t="shared" si="61"/>
        <v>0</v>
      </c>
      <c r="S310" s="124">
        <f t="shared" si="62"/>
        <v>0</v>
      </c>
    </row>
    <row r="311" spans="1:19">
      <c r="A311" s="133"/>
      <c r="B311" s="134"/>
      <c r="C311" s="125">
        <f t="shared" si="53"/>
        <v>1</v>
      </c>
      <c r="D311" s="135"/>
      <c r="E311" s="125">
        <f t="shared" si="54"/>
        <v>1</v>
      </c>
      <c r="F311" s="135"/>
      <c r="G311" s="125">
        <f t="shared" si="55"/>
        <v>1</v>
      </c>
      <c r="H311" s="135"/>
      <c r="I311" s="125">
        <f t="shared" si="56"/>
        <v>1</v>
      </c>
      <c r="J311" s="135"/>
      <c r="K311" s="125">
        <f t="shared" si="57"/>
        <v>1</v>
      </c>
      <c r="L311" s="135"/>
      <c r="M311" s="125">
        <f t="shared" si="58"/>
        <v>1</v>
      </c>
      <c r="N311" s="135"/>
      <c r="O311" s="125">
        <f t="shared" si="59"/>
        <v>1</v>
      </c>
      <c r="P311" s="135"/>
      <c r="Q311" s="125">
        <f t="shared" si="60"/>
        <v>1</v>
      </c>
      <c r="R311" s="125">
        <f t="shared" si="61"/>
        <v>0</v>
      </c>
      <c r="S311" s="124">
        <f t="shared" si="62"/>
        <v>0</v>
      </c>
    </row>
    <row r="312" spans="1:19">
      <c r="A312" s="133"/>
      <c r="B312" s="134"/>
      <c r="C312" s="125">
        <f t="shared" si="53"/>
        <v>1</v>
      </c>
      <c r="D312" s="135"/>
      <c r="E312" s="125">
        <f t="shared" si="54"/>
        <v>1</v>
      </c>
      <c r="F312" s="135"/>
      <c r="G312" s="125">
        <f t="shared" si="55"/>
        <v>1</v>
      </c>
      <c r="H312" s="135"/>
      <c r="I312" s="125">
        <f t="shared" si="56"/>
        <v>1</v>
      </c>
      <c r="J312" s="135"/>
      <c r="K312" s="125">
        <f t="shared" si="57"/>
        <v>1</v>
      </c>
      <c r="L312" s="135"/>
      <c r="M312" s="125">
        <f t="shared" si="58"/>
        <v>1</v>
      </c>
      <c r="N312" s="135"/>
      <c r="O312" s="125">
        <f t="shared" si="59"/>
        <v>1</v>
      </c>
      <c r="P312" s="135"/>
      <c r="Q312" s="125">
        <f t="shared" si="60"/>
        <v>1</v>
      </c>
      <c r="R312" s="125">
        <f t="shared" si="61"/>
        <v>0</v>
      </c>
      <c r="S312" s="124">
        <f t="shared" si="62"/>
        <v>0</v>
      </c>
    </row>
    <row r="313" spans="1:19">
      <c r="A313" s="133"/>
      <c r="B313" s="134"/>
      <c r="C313" s="125">
        <f t="shared" si="53"/>
        <v>1</v>
      </c>
      <c r="D313" s="135"/>
      <c r="E313" s="125">
        <f t="shared" si="54"/>
        <v>1</v>
      </c>
      <c r="F313" s="135"/>
      <c r="G313" s="125">
        <f t="shared" si="55"/>
        <v>1</v>
      </c>
      <c r="H313" s="135"/>
      <c r="I313" s="125">
        <f t="shared" si="56"/>
        <v>1</v>
      </c>
      <c r="J313" s="135"/>
      <c r="K313" s="125">
        <f t="shared" si="57"/>
        <v>1</v>
      </c>
      <c r="L313" s="135"/>
      <c r="M313" s="125">
        <f t="shared" si="58"/>
        <v>1</v>
      </c>
      <c r="N313" s="135"/>
      <c r="O313" s="125">
        <f t="shared" si="59"/>
        <v>1</v>
      </c>
      <c r="P313" s="135"/>
      <c r="Q313" s="125">
        <f t="shared" si="60"/>
        <v>1</v>
      </c>
      <c r="R313" s="125">
        <f t="shared" si="61"/>
        <v>0</v>
      </c>
      <c r="S313" s="124">
        <f t="shared" si="62"/>
        <v>0</v>
      </c>
    </row>
    <row r="314" spans="1:19">
      <c r="A314" s="133"/>
      <c r="B314" s="134"/>
      <c r="C314" s="125">
        <f t="shared" si="53"/>
        <v>1</v>
      </c>
      <c r="D314" s="135"/>
      <c r="E314" s="125">
        <f t="shared" si="54"/>
        <v>1</v>
      </c>
      <c r="F314" s="135"/>
      <c r="G314" s="125">
        <f t="shared" si="55"/>
        <v>1</v>
      </c>
      <c r="H314" s="135"/>
      <c r="I314" s="125">
        <f t="shared" si="56"/>
        <v>1</v>
      </c>
      <c r="J314" s="135"/>
      <c r="K314" s="125">
        <f t="shared" si="57"/>
        <v>1</v>
      </c>
      <c r="L314" s="135"/>
      <c r="M314" s="125">
        <f t="shared" si="58"/>
        <v>1</v>
      </c>
      <c r="N314" s="135"/>
      <c r="O314" s="125">
        <f t="shared" si="59"/>
        <v>1</v>
      </c>
      <c r="P314" s="135"/>
      <c r="Q314" s="125">
        <f t="shared" si="60"/>
        <v>1</v>
      </c>
      <c r="R314" s="125">
        <f t="shared" si="61"/>
        <v>0</v>
      </c>
      <c r="S314" s="124">
        <f t="shared" si="62"/>
        <v>0</v>
      </c>
    </row>
    <row r="315" spans="1:19">
      <c r="A315" s="133"/>
      <c r="B315" s="134"/>
      <c r="C315" s="125">
        <f t="shared" si="53"/>
        <v>1</v>
      </c>
      <c r="D315" s="135"/>
      <c r="E315" s="125">
        <f t="shared" si="54"/>
        <v>1</v>
      </c>
      <c r="F315" s="135"/>
      <c r="G315" s="125">
        <f t="shared" si="55"/>
        <v>1</v>
      </c>
      <c r="H315" s="135"/>
      <c r="I315" s="125">
        <f t="shared" si="56"/>
        <v>1</v>
      </c>
      <c r="J315" s="135"/>
      <c r="K315" s="125">
        <f t="shared" si="57"/>
        <v>1</v>
      </c>
      <c r="L315" s="135"/>
      <c r="M315" s="125">
        <f t="shared" si="58"/>
        <v>1</v>
      </c>
      <c r="N315" s="135"/>
      <c r="O315" s="125">
        <f t="shared" si="59"/>
        <v>1</v>
      </c>
      <c r="P315" s="135"/>
      <c r="Q315" s="125">
        <f t="shared" si="60"/>
        <v>1</v>
      </c>
      <c r="R315" s="125">
        <f t="shared" si="61"/>
        <v>0</v>
      </c>
      <c r="S315" s="124">
        <f t="shared" si="62"/>
        <v>0</v>
      </c>
    </row>
    <row r="316" spans="1:19">
      <c r="A316" s="133"/>
      <c r="B316" s="134"/>
      <c r="C316" s="125">
        <f t="shared" si="53"/>
        <v>1</v>
      </c>
      <c r="D316" s="135"/>
      <c r="E316" s="125">
        <f t="shared" si="54"/>
        <v>1</v>
      </c>
      <c r="F316" s="135"/>
      <c r="G316" s="125">
        <f t="shared" si="55"/>
        <v>1</v>
      </c>
      <c r="H316" s="135"/>
      <c r="I316" s="125">
        <f t="shared" si="56"/>
        <v>1</v>
      </c>
      <c r="J316" s="135"/>
      <c r="K316" s="125">
        <f t="shared" si="57"/>
        <v>1</v>
      </c>
      <c r="L316" s="135"/>
      <c r="M316" s="125">
        <f t="shared" si="58"/>
        <v>1</v>
      </c>
      <c r="N316" s="135"/>
      <c r="O316" s="125">
        <f t="shared" si="59"/>
        <v>1</v>
      </c>
      <c r="P316" s="135"/>
      <c r="Q316" s="125">
        <f t="shared" si="60"/>
        <v>1</v>
      </c>
      <c r="R316" s="125">
        <f t="shared" si="61"/>
        <v>0</v>
      </c>
      <c r="S316" s="124">
        <f t="shared" si="62"/>
        <v>0</v>
      </c>
    </row>
    <row r="317" spans="1:19">
      <c r="A317" s="133"/>
      <c r="B317" s="134"/>
      <c r="C317" s="125">
        <f t="shared" si="53"/>
        <v>1</v>
      </c>
      <c r="D317" s="135"/>
      <c r="E317" s="125">
        <f t="shared" si="54"/>
        <v>1</v>
      </c>
      <c r="F317" s="135"/>
      <c r="G317" s="125">
        <f t="shared" si="55"/>
        <v>1</v>
      </c>
      <c r="H317" s="135"/>
      <c r="I317" s="125">
        <f t="shared" si="56"/>
        <v>1</v>
      </c>
      <c r="J317" s="135"/>
      <c r="K317" s="125">
        <f t="shared" si="57"/>
        <v>1</v>
      </c>
      <c r="L317" s="135"/>
      <c r="M317" s="125">
        <f t="shared" si="58"/>
        <v>1</v>
      </c>
      <c r="N317" s="135"/>
      <c r="O317" s="125">
        <f t="shared" si="59"/>
        <v>1</v>
      </c>
      <c r="P317" s="135"/>
      <c r="Q317" s="125">
        <f t="shared" si="60"/>
        <v>1</v>
      </c>
      <c r="R317" s="125">
        <f t="shared" si="61"/>
        <v>0</v>
      </c>
      <c r="S317" s="124">
        <f t="shared" si="62"/>
        <v>0</v>
      </c>
    </row>
    <row r="318" spans="1:19">
      <c r="A318" s="133"/>
      <c r="B318" s="134"/>
      <c r="C318" s="125">
        <f t="shared" si="53"/>
        <v>1</v>
      </c>
      <c r="D318" s="135"/>
      <c r="E318" s="125">
        <f t="shared" si="54"/>
        <v>1</v>
      </c>
      <c r="F318" s="135"/>
      <c r="G318" s="125">
        <f t="shared" si="55"/>
        <v>1</v>
      </c>
      <c r="H318" s="135"/>
      <c r="I318" s="125">
        <f t="shared" si="56"/>
        <v>1</v>
      </c>
      <c r="J318" s="135"/>
      <c r="K318" s="125">
        <f t="shared" si="57"/>
        <v>1</v>
      </c>
      <c r="L318" s="135"/>
      <c r="M318" s="125">
        <f t="shared" si="58"/>
        <v>1</v>
      </c>
      <c r="N318" s="135"/>
      <c r="O318" s="125">
        <f t="shared" si="59"/>
        <v>1</v>
      </c>
      <c r="P318" s="135"/>
      <c r="Q318" s="125">
        <f t="shared" si="60"/>
        <v>1</v>
      </c>
      <c r="R318" s="125">
        <f t="shared" si="61"/>
        <v>0</v>
      </c>
      <c r="S318" s="124">
        <f t="shared" si="62"/>
        <v>0</v>
      </c>
    </row>
    <row r="319" spans="1:19">
      <c r="A319" s="133"/>
      <c r="B319" s="134"/>
      <c r="C319" s="125">
        <f t="shared" si="53"/>
        <v>1</v>
      </c>
      <c r="D319" s="135"/>
      <c r="E319" s="125">
        <f t="shared" si="54"/>
        <v>1</v>
      </c>
      <c r="F319" s="135"/>
      <c r="G319" s="125">
        <f t="shared" si="55"/>
        <v>1</v>
      </c>
      <c r="H319" s="135"/>
      <c r="I319" s="125">
        <f t="shared" si="56"/>
        <v>1</v>
      </c>
      <c r="J319" s="135"/>
      <c r="K319" s="125">
        <f t="shared" si="57"/>
        <v>1</v>
      </c>
      <c r="L319" s="135"/>
      <c r="M319" s="125">
        <f t="shared" si="58"/>
        <v>1</v>
      </c>
      <c r="N319" s="135"/>
      <c r="O319" s="125">
        <f t="shared" si="59"/>
        <v>1</v>
      </c>
      <c r="P319" s="135"/>
      <c r="Q319" s="125">
        <f t="shared" si="60"/>
        <v>1</v>
      </c>
      <c r="R319" s="125">
        <f t="shared" si="61"/>
        <v>0</v>
      </c>
      <c r="S319" s="124">
        <f t="shared" si="62"/>
        <v>0</v>
      </c>
    </row>
    <row r="320" spans="1:19">
      <c r="A320" s="133"/>
      <c r="B320" s="134"/>
      <c r="C320" s="125">
        <f t="shared" si="53"/>
        <v>1</v>
      </c>
      <c r="D320" s="135"/>
      <c r="E320" s="125">
        <f t="shared" si="54"/>
        <v>1</v>
      </c>
      <c r="F320" s="135"/>
      <c r="G320" s="125">
        <f t="shared" si="55"/>
        <v>1</v>
      </c>
      <c r="H320" s="135"/>
      <c r="I320" s="125">
        <f t="shared" si="56"/>
        <v>1</v>
      </c>
      <c r="J320" s="135"/>
      <c r="K320" s="125">
        <f t="shared" si="57"/>
        <v>1</v>
      </c>
      <c r="L320" s="135"/>
      <c r="M320" s="125">
        <f t="shared" si="58"/>
        <v>1</v>
      </c>
      <c r="N320" s="135"/>
      <c r="O320" s="125">
        <f t="shared" si="59"/>
        <v>1</v>
      </c>
      <c r="P320" s="135"/>
      <c r="Q320" s="125">
        <f t="shared" si="60"/>
        <v>1</v>
      </c>
      <c r="R320" s="125">
        <f t="shared" si="61"/>
        <v>0</v>
      </c>
      <c r="S320" s="124">
        <f t="shared" si="62"/>
        <v>0</v>
      </c>
    </row>
    <row r="321" spans="1:19">
      <c r="A321" s="133"/>
      <c r="B321" s="134"/>
      <c r="C321" s="125">
        <f t="shared" si="53"/>
        <v>1</v>
      </c>
      <c r="D321" s="135"/>
      <c r="E321" s="125">
        <f t="shared" si="54"/>
        <v>1</v>
      </c>
      <c r="F321" s="135"/>
      <c r="G321" s="125">
        <f t="shared" si="55"/>
        <v>1</v>
      </c>
      <c r="H321" s="135"/>
      <c r="I321" s="125">
        <f t="shared" si="56"/>
        <v>1</v>
      </c>
      <c r="J321" s="135"/>
      <c r="K321" s="125">
        <f t="shared" si="57"/>
        <v>1</v>
      </c>
      <c r="L321" s="135"/>
      <c r="M321" s="125">
        <f t="shared" si="58"/>
        <v>1</v>
      </c>
      <c r="N321" s="135"/>
      <c r="O321" s="125">
        <f t="shared" si="59"/>
        <v>1</v>
      </c>
      <c r="P321" s="135"/>
      <c r="Q321" s="125">
        <f t="shared" si="60"/>
        <v>1</v>
      </c>
      <c r="R321" s="125">
        <f t="shared" si="61"/>
        <v>0</v>
      </c>
      <c r="S321" s="124">
        <f t="shared" ref="S321:S384" si="63">ROUND(R321*B321/10000,0)</f>
        <v>0</v>
      </c>
    </row>
    <row r="322" spans="1:19">
      <c r="A322" s="133"/>
      <c r="B322" s="134"/>
      <c r="C322" s="125">
        <f t="shared" si="53"/>
        <v>1</v>
      </c>
      <c r="D322" s="135"/>
      <c r="E322" s="125">
        <f t="shared" si="54"/>
        <v>1</v>
      </c>
      <c r="F322" s="135"/>
      <c r="G322" s="125">
        <f t="shared" si="55"/>
        <v>1</v>
      </c>
      <c r="H322" s="135"/>
      <c r="I322" s="125">
        <f t="shared" si="56"/>
        <v>1</v>
      </c>
      <c r="J322" s="135"/>
      <c r="K322" s="125">
        <f t="shared" si="57"/>
        <v>1</v>
      </c>
      <c r="L322" s="135"/>
      <c r="M322" s="125">
        <f t="shared" si="58"/>
        <v>1</v>
      </c>
      <c r="N322" s="135"/>
      <c r="O322" s="125">
        <f t="shared" si="59"/>
        <v>1</v>
      </c>
      <c r="P322" s="135"/>
      <c r="Q322" s="125">
        <f t="shared" si="60"/>
        <v>1</v>
      </c>
      <c r="R322" s="125">
        <f t="shared" si="61"/>
        <v>0</v>
      </c>
      <c r="S322" s="124">
        <f t="shared" si="63"/>
        <v>0</v>
      </c>
    </row>
    <row r="323" spans="1:19">
      <c r="A323" s="133"/>
      <c r="B323" s="134"/>
      <c r="C323" s="125">
        <f t="shared" si="53"/>
        <v>1</v>
      </c>
      <c r="D323" s="135"/>
      <c r="E323" s="125">
        <f t="shared" si="54"/>
        <v>1</v>
      </c>
      <c r="F323" s="135"/>
      <c r="G323" s="125">
        <f t="shared" si="55"/>
        <v>1</v>
      </c>
      <c r="H323" s="135"/>
      <c r="I323" s="125">
        <f t="shared" si="56"/>
        <v>1</v>
      </c>
      <c r="J323" s="135"/>
      <c r="K323" s="125">
        <f t="shared" si="57"/>
        <v>1</v>
      </c>
      <c r="L323" s="135"/>
      <c r="M323" s="125">
        <f t="shared" si="58"/>
        <v>1</v>
      </c>
      <c r="N323" s="135"/>
      <c r="O323" s="125">
        <f t="shared" si="59"/>
        <v>1</v>
      </c>
      <c r="P323" s="135"/>
      <c r="Q323" s="125">
        <f t="shared" si="60"/>
        <v>1</v>
      </c>
      <c r="R323" s="125">
        <f t="shared" si="61"/>
        <v>0</v>
      </c>
      <c r="S323" s="124">
        <f t="shared" si="63"/>
        <v>0</v>
      </c>
    </row>
    <row r="324" spans="1:19">
      <c r="A324" s="133"/>
      <c r="B324" s="134"/>
      <c r="C324" s="125">
        <f t="shared" si="53"/>
        <v>1</v>
      </c>
      <c r="D324" s="135"/>
      <c r="E324" s="125">
        <f t="shared" si="54"/>
        <v>1</v>
      </c>
      <c r="F324" s="135"/>
      <c r="G324" s="125">
        <f t="shared" si="55"/>
        <v>1</v>
      </c>
      <c r="H324" s="135"/>
      <c r="I324" s="125">
        <f t="shared" si="56"/>
        <v>1</v>
      </c>
      <c r="J324" s="135"/>
      <c r="K324" s="125">
        <f t="shared" si="57"/>
        <v>1</v>
      </c>
      <c r="L324" s="135"/>
      <c r="M324" s="125">
        <f t="shared" si="58"/>
        <v>1</v>
      </c>
      <c r="N324" s="135"/>
      <c r="O324" s="125">
        <f t="shared" si="59"/>
        <v>1</v>
      </c>
      <c r="P324" s="135"/>
      <c r="Q324" s="125">
        <f t="shared" si="60"/>
        <v>1</v>
      </c>
      <c r="R324" s="125">
        <f t="shared" si="61"/>
        <v>0</v>
      </c>
      <c r="S324" s="124">
        <f t="shared" si="63"/>
        <v>0</v>
      </c>
    </row>
    <row r="325" spans="1:19">
      <c r="A325" s="133"/>
      <c r="B325" s="134"/>
      <c r="C325" s="125">
        <f t="shared" si="53"/>
        <v>1</v>
      </c>
      <c r="D325" s="135"/>
      <c r="E325" s="125">
        <f t="shared" si="54"/>
        <v>1</v>
      </c>
      <c r="F325" s="135"/>
      <c r="G325" s="125">
        <f t="shared" si="55"/>
        <v>1</v>
      </c>
      <c r="H325" s="135"/>
      <c r="I325" s="125">
        <f t="shared" si="56"/>
        <v>1</v>
      </c>
      <c r="J325" s="135"/>
      <c r="K325" s="125">
        <f t="shared" si="57"/>
        <v>1</v>
      </c>
      <c r="L325" s="135"/>
      <c r="M325" s="125">
        <f t="shared" si="58"/>
        <v>1</v>
      </c>
      <c r="N325" s="135"/>
      <c r="O325" s="125">
        <f t="shared" si="59"/>
        <v>1</v>
      </c>
      <c r="P325" s="135"/>
      <c r="Q325" s="125">
        <f t="shared" si="60"/>
        <v>1</v>
      </c>
      <c r="R325" s="125">
        <f t="shared" si="61"/>
        <v>0</v>
      </c>
      <c r="S325" s="124">
        <f t="shared" si="63"/>
        <v>0</v>
      </c>
    </row>
    <row r="326" spans="1:19">
      <c r="A326" s="133"/>
      <c r="B326" s="134"/>
      <c r="C326" s="125">
        <f t="shared" si="53"/>
        <v>1</v>
      </c>
      <c r="D326" s="135"/>
      <c r="E326" s="125">
        <f t="shared" si="54"/>
        <v>1</v>
      </c>
      <c r="F326" s="135"/>
      <c r="G326" s="125">
        <f t="shared" si="55"/>
        <v>1</v>
      </c>
      <c r="H326" s="135"/>
      <c r="I326" s="125">
        <f t="shared" si="56"/>
        <v>1</v>
      </c>
      <c r="J326" s="135"/>
      <c r="K326" s="125">
        <f t="shared" si="57"/>
        <v>1</v>
      </c>
      <c r="L326" s="135"/>
      <c r="M326" s="125">
        <f t="shared" si="58"/>
        <v>1</v>
      </c>
      <c r="N326" s="135"/>
      <c r="O326" s="125">
        <f t="shared" si="59"/>
        <v>1</v>
      </c>
      <c r="P326" s="135"/>
      <c r="Q326" s="125">
        <f t="shared" si="60"/>
        <v>1</v>
      </c>
      <c r="R326" s="125">
        <f t="shared" si="61"/>
        <v>0</v>
      </c>
      <c r="S326" s="124">
        <f t="shared" si="63"/>
        <v>0</v>
      </c>
    </row>
    <row r="327" spans="1:19">
      <c r="A327" s="133"/>
      <c r="B327" s="134"/>
      <c r="C327" s="125">
        <f t="shared" si="53"/>
        <v>1</v>
      </c>
      <c r="D327" s="135"/>
      <c r="E327" s="125">
        <f t="shared" si="54"/>
        <v>1</v>
      </c>
      <c r="F327" s="135"/>
      <c r="G327" s="125">
        <f t="shared" si="55"/>
        <v>1</v>
      </c>
      <c r="H327" s="135"/>
      <c r="I327" s="125">
        <f t="shared" si="56"/>
        <v>1</v>
      </c>
      <c r="J327" s="135"/>
      <c r="K327" s="125">
        <f t="shared" si="57"/>
        <v>1</v>
      </c>
      <c r="L327" s="135"/>
      <c r="M327" s="125">
        <f t="shared" si="58"/>
        <v>1</v>
      </c>
      <c r="N327" s="135"/>
      <c r="O327" s="125">
        <f t="shared" si="59"/>
        <v>1</v>
      </c>
      <c r="P327" s="135"/>
      <c r="Q327" s="125">
        <f t="shared" si="60"/>
        <v>1</v>
      </c>
      <c r="R327" s="125">
        <f t="shared" si="61"/>
        <v>0</v>
      </c>
      <c r="S327" s="124">
        <f t="shared" si="63"/>
        <v>0</v>
      </c>
    </row>
    <row r="328" spans="1:19">
      <c r="A328" s="133"/>
      <c r="B328" s="134"/>
      <c r="C328" s="125">
        <f t="shared" si="53"/>
        <v>1</v>
      </c>
      <c r="D328" s="135"/>
      <c r="E328" s="125">
        <f t="shared" si="54"/>
        <v>1</v>
      </c>
      <c r="F328" s="135"/>
      <c r="G328" s="125">
        <f t="shared" si="55"/>
        <v>1</v>
      </c>
      <c r="H328" s="135"/>
      <c r="I328" s="125">
        <f t="shared" si="56"/>
        <v>1</v>
      </c>
      <c r="J328" s="135"/>
      <c r="K328" s="125">
        <f t="shared" si="57"/>
        <v>1</v>
      </c>
      <c r="L328" s="135"/>
      <c r="M328" s="125">
        <f t="shared" si="58"/>
        <v>1</v>
      </c>
      <c r="N328" s="135"/>
      <c r="O328" s="125">
        <f t="shared" si="59"/>
        <v>1</v>
      </c>
      <c r="P328" s="135"/>
      <c r="Q328" s="125">
        <f t="shared" si="60"/>
        <v>1</v>
      </c>
      <c r="R328" s="125">
        <f t="shared" si="61"/>
        <v>0</v>
      </c>
      <c r="S328" s="124">
        <f t="shared" si="63"/>
        <v>0</v>
      </c>
    </row>
    <row r="329" spans="1:19">
      <c r="A329" s="133"/>
      <c r="B329" s="134"/>
      <c r="C329" s="125">
        <f t="shared" si="53"/>
        <v>1</v>
      </c>
      <c r="D329" s="135"/>
      <c r="E329" s="125">
        <f t="shared" si="54"/>
        <v>1</v>
      </c>
      <c r="F329" s="135"/>
      <c r="G329" s="125">
        <f t="shared" si="55"/>
        <v>1</v>
      </c>
      <c r="H329" s="135"/>
      <c r="I329" s="125">
        <f t="shared" si="56"/>
        <v>1</v>
      </c>
      <c r="J329" s="135"/>
      <c r="K329" s="125">
        <f t="shared" si="57"/>
        <v>1</v>
      </c>
      <c r="L329" s="135"/>
      <c r="M329" s="125">
        <f t="shared" si="58"/>
        <v>1</v>
      </c>
      <c r="N329" s="135"/>
      <c r="O329" s="125">
        <f t="shared" si="59"/>
        <v>1</v>
      </c>
      <c r="P329" s="135"/>
      <c r="Q329" s="125">
        <f t="shared" si="60"/>
        <v>1</v>
      </c>
      <c r="R329" s="125">
        <f t="shared" si="61"/>
        <v>0</v>
      </c>
      <c r="S329" s="124">
        <f t="shared" si="63"/>
        <v>0</v>
      </c>
    </row>
    <row r="330" spans="1:19">
      <c r="A330" s="133"/>
      <c r="B330" s="134"/>
      <c r="C330" s="125">
        <f t="shared" si="53"/>
        <v>1</v>
      </c>
      <c r="D330" s="135"/>
      <c r="E330" s="125">
        <f t="shared" si="54"/>
        <v>1</v>
      </c>
      <c r="F330" s="135"/>
      <c r="G330" s="125">
        <f t="shared" si="55"/>
        <v>1</v>
      </c>
      <c r="H330" s="135"/>
      <c r="I330" s="125">
        <f t="shared" si="56"/>
        <v>1</v>
      </c>
      <c r="J330" s="135"/>
      <c r="K330" s="125">
        <f t="shared" si="57"/>
        <v>1</v>
      </c>
      <c r="L330" s="135"/>
      <c r="M330" s="125">
        <f t="shared" si="58"/>
        <v>1</v>
      </c>
      <c r="N330" s="135"/>
      <c r="O330" s="125">
        <f t="shared" si="59"/>
        <v>1</v>
      </c>
      <c r="P330" s="135"/>
      <c r="Q330" s="125">
        <f t="shared" si="60"/>
        <v>1</v>
      </c>
      <c r="R330" s="125">
        <f t="shared" si="61"/>
        <v>0</v>
      </c>
      <c r="S330" s="124">
        <f t="shared" si="63"/>
        <v>0</v>
      </c>
    </row>
    <row r="331" spans="1:19">
      <c r="A331" s="133"/>
      <c r="B331" s="134"/>
      <c r="C331" s="125">
        <f t="shared" si="53"/>
        <v>1</v>
      </c>
      <c r="D331" s="135"/>
      <c r="E331" s="125">
        <f t="shared" si="54"/>
        <v>1</v>
      </c>
      <c r="F331" s="135"/>
      <c r="G331" s="125">
        <f t="shared" si="55"/>
        <v>1</v>
      </c>
      <c r="H331" s="135"/>
      <c r="I331" s="125">
        <f t="shared" si="56"/>
        <v>1</v>
      </c>
      <c r="J331" s="135"/>
      <c r="K331" s="125">
        <f t="shared" si="57"/>
        <v>1</v>
      </c>
      <c r="L331" s="135"/>
      <c r="M331" s="125">
        <f t="shared" si="58"/>
        <v>1</v>
      </c>
      <c r="N331" s="135"/>
      <c r="O331" s="125">
        <f t="shared" si="59"/>
        <v>1</v>
      </c>
      <c r="P331" s="135"/>
      <c r="Q331" s="125">
        <f t="shared" si="60"/>
        <v>1</v>
      </c>
      <c r="R331" s="125">
        <f t="shared" si="61"/>
        <v>0</v>
      </c>
      <c r="S331" s="124">
        <f t="shared" si="63"/>
        <v>0</v>
      </c>
    </row>
    <row r="332" spans="1:19">
      <c r="A332" s="133"/>
      <c r="B332" s="134"/>
      <c r="C332" s="125">
        <f t="shared" si="53"/>
        <v>1</v>
      </c>
      <c r="D332" s="135"/>
      <c r="E332" s="125">
        <f t="shared" si="54"/>
        <v>1</v>
      </c>
      <c r="F332" s="135"/>
      <c r="G332" s="125">
        <f t="shared" si="55"/>
        <v>1</v>
      </c>
      <c r="H332" s="135"/>
      <c r="I332" s="125">
        <f t="shared" si="56"/>
        <v>1</v>
      </c>
      <c r="J332" s="135"/>
      <c r="K332" s="125">
        <f t="shared" si="57"/>
        <v>1</v>
      </c>
      <c r="L332" s="135"/>
      <c r="M332" s="125">
        <f t="shared" si="58"/>
        <v>1</v>
      </c>
      <c r="N332" s="135"/>
      <c r="O332" s="125">
        <f t="shared" si="59"/>
        <v>1</v>
      </c>
      <c r="P332" s="135"/>
      <c r="Q332" s="125">
        <f t="shared" si="60"/>
        <v>1</v>
      </c>
      <c r="R332" s="125">
        <f t="shared" si="61"/>
        <v>0</v>
      </c>
      <c r="S332" s="124">
        <f t="shared" si="63"/>
        <v>0</v>
      </c>
    </row>
    <row r="333" spans="1:19">
      <c r="A333" s="133"/>
      <c r="B333" s="134"/>
      <c r="C333" s="125">
        <f t="shared" si="53"/>
        <v>1</v>
      </c>
      <c r="D333" s="135"/>
      <c r="E333" s="125">
        <f t="shared" si="54"/>
        <v>1</v>
      </c>
      <c r="F333" s="135"/>
      <c r="G333" s="125">
        <f t="shared" si="55"/>
        <v>1</v>
      </c>
      <c r="H333" s="135"/>
      <c r="I333" s="125">
        <f t="shared" si="56"/>
        <v>1</v>
      </c>
      <c r="J333" s="135"/>
      <c r="K333" s="125">
        <f t="shared" si="57"/>
        <v>1</v>
      </c>
      <c r="L333" s="135"/>
      <c r="M333" s="125">
        <f t="shared" si="58"/>
        <v>1</v>
      </c>
      <c r="N333" s="135"/>
      <c r="O333" s="125">
        <f t="shared" si="59"/>
        <v>1</v>
      </c>
      <c r="P333" s="135"/>
      <c r="Q333" s="125">
        <f t="shared" si="60"/>
        <v>1</v>
      </c>
      <c r="R333" s="125">
        <f t="shared" si="61"/>
        <v>0</v>
      </c>
      <c r="S333" s="124">
        <f t="shared" si="63"/>
        <v>0</v>
      </c>
    </row>
    <row r="334" spans="1:19">
      <c r="A334" s="133"/>
      <c r="B334" s="134"/>
      <c r="C334" s="125">
        <f t="shared" si="53"/>
        <v>1</v>
      </c>
      <c r="D334" s="135"/>
      <c r="E334" s="125">
        <f t="shared" si="54"/>
        <v>1</v>
      </c>
      <c r="F334" s="135"/>
      <c r="G334" s="125">
        <f t="shared" si="55"/>
        <v>1</v>
      </c>
      <c r="H334" s="135"/>
      <c r="I334" s="125">
        <f t="shared" si="56"/>
        <v>1</v>
      </c>
      <c r="J334" s="135"/>
      <c r="K334" s="125">
        <f t="shared" si="57"/>
        <v>1</v>
      </c>
      <c r="L334" s="135"/>
      <c r="M334" s="125">
        <f t="shared" si="58"/>
        <v>1</v>
      </c>
      <c r="N334" s="135"/>
      <c r="O334" s="125">
        <f t="shared" si="59"/>
        <v>1</v>
      </c>
      <c r="P334" s="135"/>
      <c r="Q334" s="125">
        <f t="shared" si="60"/>
        <v>1</v>
      </c>
      <c r="R334" s="125">
        <f t="shared" si="61"/>
        <v>0</v>
      </c>
      <c r="S334" s="124">
        <f t="shared" si="63"/>
        <v>0</v>
      </c>
    </row>
    <row r="335" spans="1:19">
      <c r="A335" s="133"/>
      <c r="B335" s="134"/>
      <c r="C335" s="125">
        <f t="shared" si="53"/>
        <v>1</v>
      </c>
      <c r="D335" s="135"/>
      <c r="E335" s="125">
        <f t="shared" si="54"/>
        <v>1</v>
      </c>
      <c r="F335" s="135"/>
      <c r="G335" s="125">
        <f t="shared" si="55"/>
        <v>1</v>
      </c>
      <c r="H335" s="135"/>
      <c r="I335" s="125">
        <f t="shared" si="56"/>
        <v>1</v>
      </c>
      <c r="J335" s="135"/>
      <c r="K335" s="125">
        <f t="shared" si="57"/>
        <v>1</v>
      </c>
      <c r="L335" s="135"/>
      <c r="M335" s="125">
        <f t="shared" si="58"/>
        <v>1</v>
      </c>
      <c r="N335" s="135"/>
      <c r="O335" s="125">
        <f t="shared" si="59"/>
        <v>1</v>
      </c>
      <c r="P335" s="135"/>
      <c r="Q335" s="125">
        <f t="shared" si="60"/>
        <v>1</v>
      </c>
      <c r="R335" s="125">
        <f t="shared" si="61"/>
        <v>0</v>
      </c>
      <c r="S335" s="124">
        <f t="shared" si="63"/>
        <v>0</v>
      </c>
    </row>
    <row r="336" spans="1:19">
      <c r="A336" s="133"/>
      <c r="B336" s="134"/>
      <c r="C336" s="125">
        <f t="shared" si="53"/>
        <v>1</v>
      </c>
      <c r="D336" s="135"/>
      <c r="E336" s="125">
        <f t="shared" si="54"/>
        <v>1</v>
      </c>
      <c r="F336" s="135"/>
      <c r="G336" s="125">
        <f t="shared" si="55"/>
        <v>1</v>
      </c>
      <c r="H336" s="135"/>
      <c r="I336" s="125">
        <f t="shared" si="56"/>
        <v>1</v>
      </c>
      <c r="J336" s="135"/>
      <c r="K336" s="125">
        <f t="shared" si="57"/>
        <v>1</v>
      </c>
      <c r="L336" s="135"/>
      <c r="M336" s="125">
        <f t="shared" si="58"/>
        <v>1</v>
      </c>
      <c r="N336" s="135"/>
      <c r="O336" s="125">
        <f t="shared" si="59"/>
        <v>1</v>
      </c>
      <c r="P336" s="135"/>
      <c r="Q336" s="125">
        <f t="shared" si="60"/>
        <v>1</v>
      </c>
      <c r="R336" s="125">
        <f t="shared" si="61"/>
        <v>0</v>
      </c>
      <c r="S336" s="124">
        <f t="shared" si="63"/>
        <v>0</v>
      </c>
    </row>
    <row r="337" spans="1:19">
      <c r="A337" s="133"/>
      <c r="B337" s="134"/>
      <c r="C337" s="125">
        <f t="shared" si="53"/>
        <v>1</v>
      </c>
      <c r="D337" s="135"/>
      <c r="E337" s="125">
        <f t="shared" si="54"/>
        <v>1</v>
      </c>
      <c r="F337" s="135"/>
      <c r="G337" s="125">
        <f t="shared" si="55"/>
        <v>1</v>
      </c>
      <c r="H337" s="135"/>
      <c r="I337" s="125">
        <f t="shared" si="56"/>
        <v>1</v>
      </c>
      <c r="J337" s="135"/>
      <c r="K337" s="125">
        <f t="shared" si="57"/>
        <v>1</v>
      </c>
      <c r="L337" s="135"/>
      <c r="M337" s="125">
        <f t="shared" si="58"/>
        <v>1</v>
      </c>
      <c r="N337" s="135"/>
      <c r="O337" s="125">
        <f t="shared" si="59"/>
        <v>1</v>
      </c>
      <c r="P337" s="135"/>
      <c r="Q337" s="125">
        <f t="shared" si="60"/>
        <v>1</v>
      </c>
      <c r="R337" s="125">
        <f t="shared" si="61"/>
        <v>0</v>
      </c>
      <c r="S337" s="124">
        <f t="shared" si="63"/>
        <v>0</v>
      </c>
    </row>
    <row r="338" spans="1:19">
      <c r="A338" s="133"/>
      <c r="B338" s="134"/>
      <c r="C338" s="125">
        <f t="shared" si="53"/>
        <v>1</v>
      </c>
      <c r="D338" s="135"/>
      <c r="E338" s="125">
        <f t="shared" si="54"/>
        <v>1</v>
      </c>
      <c r="F338" s="135"/>
      <c r="G338" s="125">
        <f t="shared" si="55"/>
        <v>1</v>
      </c>
      <c r="H338" s="135"/>
      <c r="I338" s="125">
        <f t="shared" si="56"/>
        <v>1</v>
      </c>
      <c r="J338" s="135"/>
      <c r="K338" s="125">
        <f t="shared" si="57"/>
        <v>1</v>
      </c>
      <c r="L338" s="135"/>
      <c r="M338" s="125">
        <f t="shared" si="58"/>
        <v>1</v>
      </c>
      <c r="N338" s="135"/>
      <c r="O338" s="125">
        <f t="shared" si="59"/>
        <v>1</v>
      </c>
      <c r="P338" s="135"/>
      <c r="Q338" s="125">
        <f t="shared" si="60"/>
        <v>1</v>
      </c>
      <c r="R338" s="125">
        <f t="shared" si="61"/>
        <v>0</v>
      </c>
      <c r="S338" s="124">
        <f t="shared" si="63"/>
        <v>0</v>
      </c>
    </row>
    <row r="339" spans="1:19">
      <c r="A339" s="133"/>
      <c r="B339" s="134"/>
      <c r="C339" s="125">
        <f t="shared" si="53"/>
        <v>1</v>
      </c>
      <c r="D339" s="135"/>
      <c r="E339" s="125">
        <f t="shared" si="54"/>
        <v>1</v>
      </c>
      <c r="F339" s="135"/>
      <c r="G339" s="125">
        <f t="shared" si="55"/>
        <v>1</v>
      </c>
      <c r="H339" s="135"/>
      <c r="I339" s="125">
        <f t="shared" si="56"/>
        <v>1</v>
      </c>
      <c r="J339" s="135"/>
      <c r="K339" s="125">
        <f t="shared" si="57"/>
        <v>1</v>
      </c>
      <c r="L339" s="135"/>
      <c r="M339" s="125">
        <f t="shared" si="58"/>
        <v>1</v>
      </c>
      <c r="N339" s="135"/>
      <c r="O339" s="125">
        <f t="shared" si="59"/>
        <v>1</v>
      </c>
      <c r="P339" s="135"/>
      <c r="Q339" s="125">
        <f t="shared" si="60"/>
        <v>1</v>
      </c>
      <c r="R339" s="125">
        <f t="shared" si="61"/>
        <v>0</v>
      </c>
      <c r="S339" s="124">
        <f t="shared" si="63"/>
        <v>0</v>
      </c>
    </row>
    <row r="340" spans="1:19">
      <c r="A340" s="133"/>
      <c r="B340" s="134"/>
      <c r="C340" s="125">
        <f t="shared" si="53"/>
        <v>1</v>
      </c>
      <c r="D340" s="135"/>
      <c r="E340" s="125">
        <f t="shared" si="54"/>
        <v>1</v>
      </c>
      <c r="F340" s="135"/>
      <c r="G340" s="125">
        <f t="shared" si="55"/>
        <v>1</v>
      </c>
      <c r="H340" s="135"/>
      <c r="I340" s="125">
        <f t="shared" si="56"/>
        <v>1</v>
      </c>
      <c r="J340" s="135"/>
      <c r="K340" s="125">
        <f t="shared" si="57"/>
        <v>1</v>
      </c>
      <c r="L340" s="135"/>
      <c r="M340" s="125">
        <f t="shared" si="58"/>
        <v>1</v>
      </c>
      <c r="N340" s="135"/>
      <c r="O340" s="125">
        <f t="shared" si="59"/>
        <v>1</v>
      </c>
      <c r="P340" s="135"/>
      <c r="Q340" s="125">
        <f t="shared" si="60"/>
        <v>1</v>
      </c>
      <c r="R340" s="125">
        <f t="shared" si="61"/>
        <v>0</v>
      </c>
      <c r="S340" s="124">
        <f t="shared" si="63"/>
        <v>0</v>
      </c>
    </row>
    <row r="341" spans="1:19">
      <c r="A341" s="133"/>
      <c r="B341" s="134"/>
      <c r="C341" s="125">
        <f t="shared" si="53"/>
        <v>1</v>
      </c>
      <c r="D341" s="135"/>
      <c r="E341" s="125">
        <f t="shared" si="54"/>
        <v>1</v>
      </c>
      <c r="F341" s="135"/>
      <c r="G341" s="125">
        <f t="shared" si="55"/>
        <v>1</v>
      </c>
      <c r="H341" s="135"/>
      <c r="I341" s="125">
        <f t="shared" si="56"/>
        <v>1</v>
      </c>
      <c r="J341" s="135"/>
      <c r="K341" s="125">
        <f t="shared" si="57"/>
        <v>1</v>
      </c>
      <c r="L341" s="135"/>
      <c r="M341" s="125">
        <f t="shared" si="58"/>
        <v>1</v>
      </c>
      <c r="N341" s="135"/>
      <c r="O341" s="125">
        <f t="shared" si="59"/>
        <v>1</v>
      </c>
      <c r="P341" s="135"/>
      <c r="Q341" s="125">
        <f t="shared" si="60"/>
        <v>1</v>
      </c>
      <c r="R341" s="125">
        <f t="shared" si="61"/>
        <v>0</v>
      </c>
      <c r="S341" s="124">
        <f t="shared" si="63"/>
        <v>0</v>
      </c>
    </row>
    <row r="342" spans="1:19">
      <c r="A342" s="133"/>
      <c r="B342" s="134"/>
      <c r="C342" s="125">
        <f t="shared" si="53"/>
        <v>1</v>
      </c>
      <c r="D342" s="135"/>
      <c r="E342" s="125">
        <f t="shared" si="54"/>
        <v>1</v>
      </c>
      <c r="F342" s="135"/>
      <c r="G342" s="125">
        <f t="shared" si="55"/>
        <v>1</v>
      </c>
      <c r="H342" s="135"/>
      <c r="I342" s="125">
        <f t="shared" si="56"/>
        <v>1</v>
      </c>
      <c r="J342" s="135"/>
      <c r="K342" s="125">
        <f t="shared" si="57"/>
        <v>1</v>
      </c>
      <c r="L342" s="135"/>
      <c r="M342" s="125">
        <f t="shared" si="58"/>
        <v>1</v>
      </c>
      <c r="N342" s="135"/>
      <c r="O342" s="125">
        <f t="shared" si="59"/>
        <v>1</v>
      </c>
      <c r="P342" s="135"/>
      <c r="Q342" s="125">
        <f t="shared" si="60"/>
        <v>1</v>
      </c>
      <c r="R342" s="125">
        <f t="shared" si="61"/>
        <v>0</v>
      </c>
      <c r="S342" s="124">
        <f t="shared" si="63"/>
        <v>0</v>
      </c>
    </row>
    <row r="343" spans="1:19">
      <c r="A343" s="133"/>
      <c r="B343" s="134"/>
      <c r="C343" s="125">
        <f t="shared" si="53"/>
        <v>1</v>
      </c>
      <c r="D343" s="135"/>
      <c r="E343" s="125">
        <f t="shared" si="54"/>
        <v>1</v>
      </c>
      <c r="F343" s="135"/>
      <c r="G343" s="125">
        <f t="shared" si="55"/>
        <v>1</v>
      </c>
      <c r="H343" s="135"/>
      <c r="I343" s="125">
        <f t="shared" si="56"/>
        <v>1</v>
      </c>
      <c r="J343" s="135"/>
      <c r="K343" s="125">
        <f t="shared" si="57"/>
        <v>1</v>
      </c>
      <c r="L343" s="135"/>
      <c r="M343" s="125">
        <f t="shared" si="58"/>
        <v>1</v>
      </c>
      <c r="N343" s="135"/>
      <c r="O343" s="125">
        <f t="shared" si="59"/>
        <v>1</v>
      </c>
      <c r="P343" s="135"/>
      <c r="Q343" s="125">
        <f t="shared" si="60"/>
        <v>1</v>
      </c>
      <c r="R343" s="125">
        <f t="shared" si="61"/>
        <v>0</v>
      </c>
      <c r="S343" s="124">
        <f t="shared" si="63"/>
        <v>0</v>
      </c>
    </row>
    <row r="344" spans="1:19">
      <c r="A344" s="133"/>
      <c r="B344" s="134"/>
      <c r="C344" s="125">
        <f t="shared" si="53"/>
        <v>1</v>
      </c>
      <c r="D344" s="135"/>
      <c r="E344" s="125">
        <f t="shared" si="54"/>
        <v>1</v>
      </c>
      <c r="F344" s="135"/>
      <c r="G344" s="125">
        <f t="shared" si="55"/>
        <v>1</v>
      </c>
      <c r="H344" s="135"/>
      <c r="I344" s="125">
        <f t="shared" si="56"/>
        <v>1</v>
      </c>
      <c r="J344" s="135"/>
      <c r="K344" s="125">
        <f t="shared" si="57"/>
        <v>1</v>
      </c>
      <c r="L344" s="135"/>
      <c r="M344" s="125">
        <f t="shared" si="58"/>
        <v>1</v>
      </c>
      <c r="N344" s="135"/>
      <c r="O344" s="125">
        <f t="shared" si="59"/>
        <v>1</v>
      </c>
      <c r="P344" s="135"/>
      <c r="Q344" s="125">
        <f t="shared" si="60"/>
        <v>1</v>
      </c>
      <c r="R344" s="125">
        <f t="shared" si="61"/>
        <v>0</v>
      </c>
      <c r="S344" s="124">
        <f t="shared" si="63"/>
        <v>0</v>
      </c>
    </row>
    <row r="345" spans="1:19">
      <c r="A345" s="133"/>
      <c r="B345" s="134"/>
      <c r="C345" s="125">
        <f t="shared" si="53"/>
        <v>1</v>
      </c>
      <c r="D345" s="135"/>
      <c r="E345" s="125">
        <f t="shared" si="54"/>
        <v>1</v>
      </c>
      <c r="F345" s="135"/>
      <c r="G345" s="125">
        <f t="shared" si="55"/>
        <v>1</v>
      </c>
      <c r="H345" s="135"/>
      <c r="I345" s="125">
        <f t="shared" si="56"/>
        <v>1</v>
      </c>
      <c r="J345" s="135"/>
      <c r="K345" s="125">
        <f t="shared" si="57"/>
        <v>1</v>
      </c>
      <c r="L345" s="135"/>
      <c r="M345" s="125">
        <f t="shared" si="58"/>
        <v>1</v>
      </c>
      <c r="N345" s="135"/>
      <c r="O345" s="125">
        <f t="shared" si="59"/>
        <v>1</v>
      </c>
      <c r="P345" s="135"/>
      <c r="Q345" s="125">
        <f t="shared" si="60"/>
        <v>1</v>
      </c>
      <c r="R345" s="125">
        <f t="shared" si="61"/>
        <v>0</v>
      </c>
      <c r="S345" s="124">
        <f t="shared" si="63"/>
        <v>0</v>
      </c>
    </row>
    <row r="346" spans="1:19">
      <c r="A346" s="133"/>
      <c r="B346" s="134"/>
      <c r="C346" s="125">
        <f t="shared" ref="C346:C409" si="64">IF(B346="",1,(LOOKUP(B346,$3:$3,$4:$4)-LOOKUP($B$24,$3:$3,$4:$4)+100)/100)</f>
        <v>1</v>
      </c>
      <c r="D346" s="135"/>
      <c r="E346" s="125">
        <f t="shared" ref="E346:E409" si="65">(SUMIF($5:$5,D346,$6:$6)-SUMIF($5:$5,$D$24,$6:$6)+100)/100</f>
        <v>1</v>
      </c>
      <c r="F346" s="135"/>
      <c r="G346" s="125">
        <f t="shared" ref="G346:G409" si="66">(SUMIF($7:$7,F346,$8:$8)-SUMIF($7:$7,$F$24,$8:$8)+100)/100</f>
        <v>1</v>
      </c>
      <c r="H346" s="135"/>
      <c r="I346" s="125">
        <f t="shared" ref="I346:I409" si="67">(SUMIF($9:$9,H346,$10:$10)-SUMIF($9:$9,$H$24,$10:$10)+100)/100</f>
        <v>1</v>
      </c>
      <c r="J346" s="135"/>
      <c r="K346" s="125">
        <f t="shared" ref="K346:K409" si="68">(SUMIF($11:$11,J346,$12:$12)-SUMIF($11:$11,$J$24,$12:$12)+100)/100</f>
        <v>1</v>
      </c>
      <c r="L346" s="135"/>
      <c r="M346" s="125">
        <f t="shared" ref="M346:M409" si="69">(SUMIF($13:$13,L346,$14:$14)-SUMIF($13:$13,$L$24,$14:$14)+100)/100</f>
        <v>1</v>
      </c>
      <c r="N346" s="135"/>
      <c r="O346" s="125">
        <f t="shared" ref="O346:O409" si="70">(SUMIF($15:$15,N346,$16:$16)-SUMIF($15:$15,$N$24,$16:$16)+100)/100</f>
        <v>1</v>
      </c>
      <c r="P346" s="135"/>
      <c r="Q346" s="125">
        <f t="shared" ref="Q346:Q409" si="71">(SUMIF($17:$17,P346,$18:$18)-SUMIF($17:$17,$P$24,$18:$18)+100)/100</f>
        <v>1</v>
      </c>
      <c r="R346" s="125">
        <f t="shared" ref="R346:R409" si="72">IF(B346="",0,ROUND($R$24*C346*E346*G346*I346*K346*M346*O346*Q346,0))</f>
        <v>0</v>
      </c>
      <c r="S346" s="124">
        <f t="shared" si="63"/>
        <v>0</v>
      </c>
    </row>
    <row r="347" spans="1:19">
      <c r="A347" s="133"/>
      <c r="B347" s="134"/>
      <c r="C347" s="125">
        <f t="shared" si="64"/>
        <v>1</v>
      </c>
      <c r="D347" s="135"/>
      <c r="E347" s="125">
        <f t="shared" si="65"/>
        <v>1</v>
      </c>
      <c r="F347" s="135"/>
      <c r="G347" s="125">
        <f t="shared" si="66"/>
        <v>1</v>
      </c>
      <c r="H347" s="135"/>
      <c r="I347" s="125">
        <f t="shared" si="67"/>
        <v>1</v>
      </c>
      <c r="J347" s="135"/>
      <c r="K347" s="125">
        <f t="shared" si="68"/>
        <v>1</v>
      </c>
      <c r="L347" s="135"/>
      <c r="M347" s="125">
        <f t="shared" si="69"/>
        <v>1</v>
      </c>
      <c r="N347" s="135"/>
      <c r="O347" s="125">
        <f t="shared" si="70"/>
        <v>1</v>
      </c>
      <c r="P347" s="135"/>
      <c r="Q347" s="125">
        <f t="shared" si="71"/>
        <v>1</v>
      </c>
      <c r="R347" s="125">
        <f t="shared" si="72"/>
        <v>0</v>
      </c>
      <c r="S347" s="124">
        <f t="shared" si="63"/>
        <v>0</v>
      </c>
    </row>
    <row r="348" spans="1:19">
      <c r="A348" s="133"/>
      <c r="B348" s="134"/>
      <c r="C348" s="125">
        <f t="shared" si="64"/>
        <v>1</v>
      </c>
      <c r="D348" s="135"/>
      <c r="E348" s="125">
        <f t="shared" si="65"/>
        <v>1</v>
      </c>
      <c r="F348" s="135"/>
      <c r="G348" s="125">
        <f t="shared" si="66"/>
        <v>1</v>
      </c>
      <c r="H348" s="135"/>
      <c r="I348" s="125">
        <f t="shared" si="67"/>
        <v>1</v>
      </c>
      <c r="J348" s="135"/>
      <c r="K348" s="125">
        <f t="shared" si="68"/>
        <v>1</v>
      </c>
      <c r="L348" s="135"/>
      <c r="M348" s="125">
        <f t="shared" si="69"/>
        <v>1</v>
      </c>
      <c r="N348" s="135"/>
      <c r="O348" s="125">
        <f t="shared" si="70"/>
        <v>1</v>
      </c>
      <c r="P348" s="135"/>
      <c r="Q348" s="125">
        <f t="shared" si="71"/>
        <v>1</v>
      </c>
      <c r="R348" s="125">
        <f t="shared" si="72"/>
        <v>0</v>
      </c>
      <c r="S348" s="124">
        <f t="shared" si="63"/>
        <v>0</v>
      </c>
    </row>
    <row r="349" spans="1:19">
      <c r="A349" s="133"/>
      <c r="B349" s="134"/>
      <c r="C349" s="125">
        <f t="shared" si="64"/>
        <v>1</v>
      </c>
      <c r="D349" s="135"/>
      <c r="E349" s="125">
        <f t="shared" si="65"/>
        <v>1</v>
      </c>
      <c r="F349" s="135"/>
      <c r="G349" s="125">
        <f t="shared" si="66"/>
        <v>1</v>
      </c>
      <c r="H349" s="135"/>
      <c r="I349" s="125">
        <f t="shared" si="67"/>
        <v>1</v>
      </c>
      <c r="J349" s="135"/>
      <c r="K349" s="125">
        <f t="shared" si="68"/>
        <v>1</v>
      </c>
      <c r="L349" s="135"/>
      <c r="M349" s="125">
        <f t="shared" si="69"/>
        <v>1</v>
      </c>
      <c r="N349" s="135"/>
      <c r="O349" s="125">
        <f t="shared" si="70"/>
        <v>1</v>
      </c>
      <c r="P349" s="135"/>
      <c r="Q349" s="125">
        <f t="shared" si="71"/>
        <v>1</v>
      </c>
      <c r="R349" s="125">
        <f t="shared" si="72"/>
        <v>0</v>
      </c>
      <c r="S349" s="124">
        <f t="shared" si="63"/>
        <v>0</v>
      </c>
    </row>
    <row r="350" spans="1:19">
      <c r="A350" s="133"/>
      <c r="B350" s="134"/>
      <c r="C350" s="125">
        <f t="shared" si="64"/>
        <v>1</v>
      </c>
      <c r="D350" s="135"/>
      <c r="E350" s="125">
        <f t="shared" si="65"/>
        <v>1</v>
      </c>
      <c r="F350" s="135"/>
      <c r="G350" s="125">
        <f t="shared" si="66"/>
        <v>1</v>
      </c>
      <c r="H350" s="135"/>
      <c r="I350" s="125">
        <f t="shared" si="67"/>
        <v>1</v>
      </c>
      <c r="J350" s="135"/>
      <c r="K350" s="125">
        <f t="shared" si="68"/>
        <v>1</v>
      </c>
      <c r="L350" s="135"/>
      <c r="M350" s="125">
        <f t="shared" si="69"/>
        <v>1</v>
      </c>
      <c r="N350" s="135"/>
      <c r="O350" s="125">
        <f t="shared" si="70"/>
        <v>1</v>
      </c>
      <c r="P350" s="135"/>
      <c r="Q350" s="125">
        <f t="shared" si="71"/>
        <v>1</v>
      </c>
      <c r="R350" s="125">
        <f t="shared" si="72"/>
        <v>0</v>
      </c>
      <c r="S350" s="124">
        <f t="shared" si="63"/>
        <v>0</v>
      </c>
    </row>
    <row r="351" spans="1:19">
      <c r="A351" s="133"/>
      <c r="B351" s="134"/>
      <c r="C351" s="125">
        <f t="shared" si="64"/>
        <v>1</v>
      </c>
      <c r="D351" s="135"/>
      <c r="E351" s="125">
        <f t="shared" si="65"/>
        <v>1</v>
      </c>
      <c r="F351" s="135"/>
      <c r="G351" s="125">
        <f t="shared" si="66"/>
        <v>1</v>
      </c>
      <c r="H351" s="135"/>
      <c r="I351" s="125">
        <f t="shared" si="67"/>
        <v>1</v>
      </c>
      <c r="J351" s="135"/>
      <c r="K351" s="125">
        <f t="shared" si="68"/>
        <v>1</v>
      </c>
      <c r="L351" s="135"/>
      <c r="M351" s="125">
        <f t="shared" si="69"/>
        <v>1</v>
      </c>
      <c r="N351" s="135"/>
      <c r="O351" s="125">
        <f t="shared" si="70"/>
        <v>1</v>
      </c>
      <c r="P351" s="135"/>
      <c r="Q351" s="125">
        <f t="shared" si="71"/>
        <v>1</v>
      </c>
      <c r="R351" s="125">
        <f t="shared" si="72"/>
        <v>0</v>
      </c>
      <c r="S351" s="124">
        <f t="shared" si="63"/>
        <v>0</v>
      </c>
    </row>
    <row r="352" spans="1:19">
      <c r="A352" s="133"/>
      <c r="B352" s="134"/>
      <c r="C352" s="125">
        <f t="shared" si="64"/>
        <v>1</v>
      </c>
      <c r="D352" s="135"/>
      <c r="E352" s="125">
        <f t="shared" si="65"/>
        <v>1</v>
      </c>
      <c r="F352" s="135"/>
      <c r="G352" s="125">
        <f t="shared" si="66"/>
        <v>1</v>
      </c>
      <c r="H352" s="135"/>
      <c r="I352" s="125">
        <f t="shared" si="67"/>
        <v>1</v>
      </c>
      <c r="J352" s="135"/>
      <c r="K352" s="125">
        <f t="shared" si="68"/>
        <v>1</v>
      </c>
      <c r="L352" s="135"/>
      <c r="M352" s="125">
        <f t="shared" si="69"/>
        <v>1</v>
      </c>
      <c r="N352" s="135"/>
      <c r="O352" s="125">
        <f t="shared" si="70"/>
        <v>1</v>
      </c>
      <c r="P352" s="135"/>
      <c r="Q352" s="125">
        <f t="shared" si="71"/>
        <v>1</v>
      </c>
      <c r="R352" s="125">
        <f t="shared" si="72"/>
        <v>0</v>
      </c>
      <c r="S352" s="124">
        <f t="shared" si="63"/>
        <v>0</v>
      </c>
    </row>
    <row r="353" spans="1:19">
      <c r="A353" s="133"/>
      <c r="B353" s="134"/>
      <c r="C353" s="125">
        <f t="shared" si="64"/>
        <v>1</v>
      </c>
      <c r="D353" s="135"/>
      <c r="E353" s="125">
        <f t="shared" si="65"/>
        <v>1</v>
      </c>
      <c r="F353" s="135"/>
      <c r="G353" s="125">
        <f t="shared" si="66"/>
        <v>1</v>
      </c>
      <c r="H353" s="135"/>
      <c r="I353" s="125">
        <f t="shared" si="67"/>
        <v>1</v>
      </c>
      <c r="J353" s="135"/>
      <c r="K353" s="125">
        <f t="shared" si="68"/>
        <v>1</v>
      </c>
      <c r="L353" s="135"/>
      <c r="M353" s="125">
        <f t="shared" si="69"/>
        <v>1</v>
      </c>
      <c r="N353" s="135"/>
      <c r="O353" s="125">
        <f t="shared" si="70"/>
        <v>1</v>
      </c>
      <c r="P353" s="135"/>
      <c r="Q353" s="125">
        <f t="shared" si="71"/>
        <v>1</v>
      </c>
      <c r="R353" s="125">
        <f t="shared" si="72"/>
        <v>0</v>
      </c>
      <c r="S353" s="124">
        <f t="shared" si="63"/>
        <v>0</v>
      </c>
    </row>
    <row r="354" spans="1:19">
      <c r="A354" s="133"/>
      <c r="B354" s="134"/>
      <c r="C354" s="125">
        <f t="shared" si="64"/>
        <v>1</v>
      </c>
      <c r="D354" s="135"/>
      <c r="E354" s="125">
        <f t="shared" si="65"/>
        <v>1</v>
      </c>
      <c r="F354" s="135"/>
      <c r="G354" s="125">
        <f t="shared" si="66"/>
        <v>1</v>
      </c>
      <c r="H354" s="135"/>
      <c r="I354" s="125">
        <f t="shared" si="67"/>
        <v>1</v>
      </c>
      <c r="J354" s="135"/>
      <c r="K354" s="125">
        <f t="shared" si="68"/>
        <v>1</v>
      </c>
      <c r="L354" s="135"/>
      <c r="M354" s="125">
        <f t="shared" si="69"/>
        <v>1</v>
      </c>
      <c r="N354" s="135"/>
      <c r="O354" s="125">
        <f t="shared" si="70"/>
        <v>1</v>
      </c>
      <c r="P354" s="135"/>
      <c r="Q354" s="125">
        <f t="shared" si="71"/>
        <v>1</v>
      </c>
      <c r="R354" s="125">
        <f t="shared" si="72"/>
        <v>0</v>
      </c>
      <c r="S354" s="124">
        <f t="shared" si="63"/>
        <v>0</v>
      </c>
    </row>
    <row r="355" spans="1:19">
      <c r="A355" s="133"/>
      <c r="B355" s="134"/>
      <c r="C355" s="125">
        <f t="shared" si="64"/>
        <v>1</v>
      </c>
      <c r="D355" s="135"/>
      <c r="E355" s="125">
        <f t="shared" si="65"/>
        <v>1</v>
      </c>
      <c r="F355" s="135"/>
      <c r="G355" s="125">
        <f t="shared" si="66"/>
        <v>1</v>
      </c>
      <c r="H355" s="135"/>
      <c r="I355" s="125">
        <f t="shared" si="67"/>
        <v>1</v>
      </c>
      <c r="J355" s="135"/>
      <c r="K355" s="125">
        <f t="shared" si="68"/>
        <v>1</v>
      </c>
      <c r="L355" s="135"/>
      <c r="M355" s="125">
        <f t="shared" si="69"/>
        <v>1</v>
      </c>
      <c r="N355" s="135"/>
      <c r="O355" s="125">
        <f t="shared" si="70"/>
        <v>1</v>
      </c>
      <c r="P355" s="135"/>
      <c r="Q355" s="125">
        <f t="shared" si="71"/>
        <v>1</v>
      </c>
      <c r="R355" s="125">
        <f t="shared" si="72"/>
        <v>0</v>
      </c>
      <c r="S355" s="124">
        <f t="shared" si="63"/>
        <v>0</v>
      </c>
    </row>
    <row r="356" spans="1:19">
      <c r="A356" s="133"/>
      <c r="B356" s="134"/>
      <c r="C356" s="125">
        <f t="shared" si="64"/>
        <v>1</v>
      </c>
      <c r="D356" s="135"/>
      <c r="E356" s="125">
        <f t="shared" si="65"/>
        <v>1</v>
      </c>
      <c r="F356" s="135"/>
      <c r="G356" s="125">
        <f t="shared" si="66"/>
        <v>1</v>
      </c>
      <c r="H356" s="135"/>
      <c r="I356" s="125">
        <f t="shared" si="67"/>
        <v>1</v>
      </c>
      <c r="J356" s="135"/>
      <c r="K356" s="125">
        <f t="shared" si="68"/>
        <v>1</v>
      </c>
      <c r="L356" s="135"/>
      <c r="M356" s="125">
        <f t="shared" si="69"/>
        <v>1</v>
      </c>
      <c r="N356" s="135"/>
      <c r="O356" s="125">
        <f t="shared" si="70"/>
        <v>1</v>
      </c>
      <c r="P356" s="135"/>
      <c r="Q356" s="125">
        <f t="shared" si="71"/>
        <v>1</v>
      </c>
      <c r="R356" s="125">
        <f t="shared" si="72"/>
        <v>0</v>
      </c>
      <c r="S356" s="124">
        <f t="shared" si="63"/>
        <v>0</v>
      </c>
    </row>
    <row r="357" spans="1:19">
      <c r="A357" s="133"/>
      <c r="B357" s="134"/>
      <c r="C357" s="125">
        <f t="shared" si="64"/>
        <v>1</v>
      </c>
      <c r="D357" s="135"/>
      <c r="E357" s="125">
        <f t="shared" si="65"/>
        <v>1</v>
      </c>
      <c r="F357" s="135"/>
      <c r="G357" s="125">
        <f t="shared" si="66"/>
        <v>1</v>
      </c>
      <c r="H357" s="135"/>
      <c r="I357" s="125">
        <f t="shared" si="67"/>
        <v>1</v>
      </c>
      <c r="J357" s="135"/>
      <c r="K357" s="125">
        <f t="shared" si="68"/>
        <v>1</v>
      </c>
      <c r="L357" s="135"/>
      <c r="M357" s="125">
        <f t="shared" si="69"/>
        <v>1</v>
      </c>
      <c r="N357" s="135"/>
      <c r="O357" s="125">
        <f t="shared" si="70"/>
        <v>1</v>
      </c>
      <c r="P357" s="135"/>
      <c r="Q357" s="125">
        <f t="shared" si="71"/>
        <v>1</v>
      </c>
      <c r="R357" s="125">
        <f t="shared" si="72"/>
        <v>0</v>
      </c>
      <c r="S357" s="124">
        <f t="shared" si="63"/>
        <v>0</v>
      </c>
    </row>
    <row r="358" spans="1:19">
      <c r="A358" s="133"/>
      <c r="B358" s="134"/>
      <c r="C358" s="125">
        <f t="shared" si="64"/>
        <v>1</v>
      </c>
      <c r="D358" s="135"/>
      <c r="E358" s="125">
        <f t="shared" si="65"/>
        <v>1</v>
      </c>
      <c r="F358" s="135"/>
      <c r="G358" s="125">
        <f t="shared" si="66"/>
        <v>1</v>
      </c>
      <c r="H358" s="135"/>
      <c r="I358" s="125">
        <f t="shared" si="67"/>
        <v>1</v>
      </c>
      <c r="J358" s="135"/>
      <c r="K358" s="125">
        <f t="shared" si="68"/>
        <v>1</v>
      </c>
      <c r="L358" s="135"/>
      <c r="M358" s="125">
        <f t="shared" si="69"/>
        <v>1</v>
      </c>
      <c r="N358" s="135"/>
      <c r="O358" s="125">
        <f t="shared" si="70"/>
        <v>1</v>
      </c>
      <c r="P358" s="135"/>
      <c r="Q358" s="125">
        <f t="shared" si="71"/>
        <v>1</v>
      </c>
      <c r="R358" s="125">
        <f t="shared" si="72"/>
        <v>0</v>
      </c>
      <c r="S358" s="124">
        <f t="shared" si="63"/>
        <v>0</v>
      </c>
    </row>
    <row r="359" spans="1:19">
      <c r="A359" s="133"/>
      <c r="B359" s="134"/>
      <c r="C359" s="125">
        <f t="shared" si="64"/>
        <v>1</v>
      </c>
      <c r="D359" s="135"/>
      <c r="E359" s="125">
        <f t="shared" si="65"/>
        <v>1</v>
      </c>
      <c r="F359" s="135"/>
      <c r="G359" s="125">
        <f t="shared" si="66"/>
        <v>1</v>
      </c>
      <c r="H359" s="135"/>
      <c r="I359" s="125">
        <f t="shared" si="67"/>
        <v>1</v>
      </c>
      <c r="J359" s="135"/>
      <c r="K359" s="125">
        <f t="shared" si="68"/>
        <v>1</v>
      </c>
      <c r="L359" s="135"/>
      <c r="M359" s="125">
        <f t="shared" si="69"/>
        <v>1</v>
      </c>
      <c r="N359" s="135"/>
      <c r="O359" s="125">
        <f t="shared" si="70"/>
        <v>1</v>
      </c>
      <c r="P359" s="135"/>
      <c r="Q359" s="125">
        <f t="shared" si="71"/>
        <v>1</v>
      </c>
      <c r="R359" s="125">
        <f t="shared" si="72"/>
        <v>0</v>
      </c>
      <c r="S359" s="124">
        <f t="shared" si="63"/>
        <v>0</v>
      </c>
    </row>
    <row r="360" spans="1:19">
      <c r="A360" s="133"/>
      <c r="B360" s="134"/>
      <c r="C360" s="125">
        <f t="shared" si="64"/>
        <v>1</v>
      </c>
      <c r="D360" s="135"/>
      <c r="E360" s="125">
        <f t="shared" si="65"/>
        <v>1</v>
      </c>
      <c r="F360" s="135"/>
      <c r="G360" s="125">
        <f t="shared" si="66"/>
        <v>1</v>
      </c>
      <c r="H360" s="135"/>
      <c r="I360" s="125">
        <f t="shared" si="67"/>
        <v>1</v>
      </c>
      <c r="J360" s="135"/>
      <c r="K360" s="125">
        <f t="shared" si="68"/>
        <v>1</v>
      </c>
      <c r="L360" s="135"/>
      <c r="M360" s="125">
        <f t="shared" si="69"/>
        <v>1</v>
      </c>
      <c r="N360" s="135"/>
      <c r="O360" s="125">
        <f t="shared" si="70"/>
        <v>1</v>
      </c>
      <c r="P360" s="135"/>
      <c r="Q360" s="125">
        <f t="shared" si="71"/>
        <v>1</v>
      </c>
      <c r="R360" s="125">
        <f t="shared" si="72"/>
        <v>0</v>
      </c>
      <c r="S360" s="124">
        <f t="shared" si="63"/>
        <v>0</v>
      </c>
    </row>
    <row r="361" spans="1:19">
      <c r="A361" s="133"/>
      <c r="B361" s="134"/>
      <c r="C361" s="125">
        <f t="shared" si="64"/>
        <v>1</v>
      </c>
      <c r="D361" s="135"/>
      <c r="E361" s="125">
        <f t="shared" si="65"/>
        <v>1</v>
      </c>
      <c r="F361" s="135"/>
      <c r="G361" s="125">
        <f t="shared" si="66"/>
        <v>1</v>
      </c>
      <c r="H361" s="135"/>
      <c r="I361" s="125">
        <f t="shared" si="67"/>
        <v>1</v>
      </c>
      <c r="J361" s="135"/>
      <c r="K361" s="125">
        <f t="shared" si="68"/>
        <v>1</v>
      </c>
      <c r="L361" s="135"/>
      <c r="M361" s="125">
        <f t="shared" si="69"/>
        <v>1</v>
      </c>
      <c r="N361" s="135"/>
      <c r="O361" s="125">
        <f t="shared" si="70"/>
        <v>1</v>
      </c>
      <c r="P361" s="135"/>
      <c r="Q361" s="125">
        <f t="shared" si="71"/>
        <v>1</v>
      </c>
      <c r="R361" s="125">
        <f t="shared" si="72"/>
        <v>0</v>
      </c>
      <c r="S361" s="124">
        <f t="shared" si="63"/>
        <v>0</v>
      </c>
    </row>
    <row r="362" spans="1:19">
      <c r="A362" s="133"/>
      <c r="B362" s="134"/>
      <c r="C362" s="125">
        <f t="shared" si="64"/>
        <v>1</v>
      </c>
      <c r="D362" s="135"/>
      <c r="E362" s="125">
        <f t="shared" si="65"/>
        <v>1</v>
      </c>
      <c r="F362" s="135"/>
      <c r="G362" s="125">
        <f t="shared" si="66"/>
        <v>1</v>
      </c>
      <c r="H362" s="135"/>
      <c r="I362" s="125">
        <f t="shared" si="67"/>
        <v>1</v>
      </c>
      <c r="J362" s="135"/>
      <c r="K362" s="125">
        <f t="shared" si="68"/>
        <v>1</v>
      </c>
      <c r="L362" s="135"/>
      <c r="M362" s="125">
        <f t="shared" si="69"/>
        <v>1</v>
      </c>
      <c r="N362" s="135"/>
      <c r="O362" s="125">
        <f t="shared" si="70"/>
        <v>1</v>
      </c>
      <c r="P362" s="135"/>
      <c r="Q362" s="125">
        <f t="shared" si="71"/>
        <v>1</v>
      </c>
      <c r="R362" s="125">
        <f t="shared" si="72"/>
        <v>0</v>
      </c>
      <c r="S362" s="124">
        <f t="shared" si="63"/>
        <v>0</v>
      </c>
    </row>
    <row r="363" spans="1:19">
      <c r="A363" s="133"/>
      <c r="B363" s="134"/>
      <c r="C363" s="125">
        <f t="shared" si="64"/>
        <v>1</v>
      </c>
      <c r="D363" s="135"/>
      <c r="E363" s="125">
        <f t="shared" si="65"/>
        <v>1</v>
      </c>
      <c r="F363" s="135"/>
      <c r="G363" s="125">
        <f t="shared" si="66"/>
        <v>1</v>
      </c>
      <c r="H363" s="135"/>
      <c r="I363" s="125">
        <f t="shared" si="67"/>
        <v>1</v>
      </c>
      <c r="J363" s="135"/>
      <c r="K363" s="125">
        <f t="shared" si="68"/>
        <v>1</v>
      </c>
      <c r="L363" s="135"/>
      <c r="M363" s="125">
        <f t="shared" si="69"/>
        <v>1</v>
      </c>
      <c r="N363" s="135"/>
      <c r="O363" s="125">
        <f t="shared" si="70"/>
        <v>1</v>
      </c>
      <c r="P363" s="135"/>
      <c r="Q363" s="125">
        <f t="shared" si="71"/>
        <v>1</v>
      </c>
      <c r="R363" s="125">
        <f t="shared" si="72"/>
        <v>0</v>
      </c>
      <c r="S363" s="124">
        <f t="shared" si="63"/>
        <v>0</v>
      </c>
    </row>
    <row r="364" spans="1:19">
      <c r="A364" s="133"/>
      <c r="B364" s="134"/>
      <c r="C364" s="125">
        <f t="shared" si="64"/>
        <v>1</v>
      </c>
      <c r="D364" s="135"/>
      <c r="E364" s="125">
        <f t="shared" si="65"/>
        <v>1</v>
      </c>
      <c r="F364" s="135"/>
      <c r="G364" s="125">
        <f t="shared" si="66"/>
        <v>1</v>
      </c>
      <c r="H364" s="135"/>
      <c r="I364" s="125">
        <f t="shared" si="67"/>
        <v>1</v>
      </c>
      <c r="J364" s="135"/>
      <c r="K364" s="125">
        <f t="shared" si="68"/>
        <v>1</v>
      </c>
      <c r="L364" s="135"/>
      <c r="M364" s="125">
        <f t="shared" si="69"/>
        <v>1</v>
      </c>
      <c r="N364" s="135"/>
      <c r="O364" s="125">
        <f t="shared" si="70"/>
        <v>1</v>
      </c>
      <c r="P364" s="135"/>
      <c r="Q364" s="125">
        <f t="shared" si="71"/>
        <v>1</v>
      </c>
      <c r="R364" s="125">
        <f t="shared" si="72"/>
        <v>0</v>
      </c>
      <c r="S364" s="124">
        <f t="shared" si="63"/>
        <v>0</v>
      </c>
    </row>
    <row r="365" spans="1:19">
      <c r="A365" s="133"/>
      <c r="B365" s="134"/>
      <c r="C365" s="125">
        <f t="shared" si="64"/>
        <v>1</v>
      </c>
      <c r="D365" s="135"/>
      <c r="E365" s="125">
        <f t="shared" si="65"/>
        <v>1</v>
      </c>
      <c r="F365" s="135"/>
      <c r="G365" s="125">
        <f t="shared" si="66"/>
        <v>1</v>
      </c>
      <c r="H365" s="135"/>
      <c r="I365" s="125">
        <f t="shared" si="67"/>
        <v>1</v>
      </c>
      <c r="J365" s="135"/>
      <c r="K365" s="125">
        <f t="shared" si="68"/>
        <v>1</v>
      </c>
      <c r="L365" s="135"/>
      <c r="M365" s="125">
        <f t="shared" si="69"/>
        <v>1</v>
      </c>
      <c r="N365" s="135"/>
      <c r="O365" s="125">
        <f t="shared" si="70"/>
        <v>1</v>
      </c>
      <c r="P365" s="135"/>
      <c r="Q365" s="125">
        <f t="shared" si="71"/>
        <v>1</v>
      </c>
      <c r="R365" s="125">
        <f t="shared" si="72"/>
        <v>0</v>
      </c>
      <c r="S365" s="124">
        <f t="shared" si="63"/>
        <v>0</v>
      </c>
    </row>
    <row r="366" spans="1:19">
      <c r="A366" s="133"/>
      <c r="B366" s="134"/>
      <c r="C366" s="125">
        <f t="shared" si="64"/>
        <v>1</v>
      </c>
      <c r="D366" s="135"/>
      <c r="E366" s="125">
        <f t="shared" si="65"/>
        <v>1</v>
      </c>
      <c r="F366" s="135"/>
      <c r="G366" s="125">
        <f t="shared" si="66"/>
        <v>1</v>
      </c>
      <c r="H366" s="135"/>
      <c r="I366" s="125">
        <f t="shared" si="67"/>
        <v>1</v>
      </c>
      <c r="J366" s="135"/>
      <c r="K366" s="125">
        <f t="shared" si="68"/>
        <v>1</v>
      </c>
      <c r="L366" s="135"/>
      <c r="M366" s="125">
        <f t="shared" si="69"/>
        <v>1</v>
      </c>
      <c r="N366" s="135"/>
      <c r="O366" s="125">
        <f t="shared" si="70"/>
        <v>1</v>
      </c>
      <c r="P366" s="135"/>
      <c r="Q366" s="125">
        <f t="shared" si="71"/>
        <v>1</v>
      </c>
      <c r="R366" s="125">
        <f t="shared" si="72"/>
        <v>0</v>
      </c>
      <c r="S366" s="124">
        <f t="shared" si="63"/>
        <v>0</v>
      </c>
    </row>
    <row r="367" spans="1:19">
      <c r="A367" s="133"/>
      <c r="B367" s="134"/>
      <c r="C367" s="125">
        <f t="shared" si="64"/>
        <v>1</v>
      </c>
      <c r="D367" s="135"/>
      <c r="E367" s="125">
        <f t="shared" si="65"/>
        <v>1</v>
      </c>
      <c r="F367" s="135"/>
      <c r="G367" s="125">
        <f t="shared" si="66"/>
        <v>1</v>
      </c>
      <c r="H367" s="135"/>
      <c r="I367" s="125">
        <f t="shared" si="67"/>
        <v>1</v>
      </c>
      <c r="J367" s="135"/>
      <c r="K367" s="125">
        <f t="shared" si="68"/>
        <v>1</v>
      </c>
      <c r="L367" s="135"/>
      <c r="M367" s="125">
        <f t="shared" si="69"/>
        <v>1</v>
      </c>
      <c r="N367" s="135"/>
      <c r="O367" s="125">
        <f t="shared" si="70"/>
        <v>1</v>
      </c>
      <c r="P367" s="135"/>
      <c r="Q367" s="125">
        <f t="shared" si="71"/>
        <v>1</v>
      </c>
      <c r="R367" s="125">
        <f t="shared" si="72"/>
        <v>0</v>
      </c>
      <c r="S367" s="124">
        <f t="shared" si="63"/>
        <v>0</v>
      </c>
    </row>
    <row r="368" spans="1:19">
      <c r="A368" s="133"/>
      <c r="B368" s="134"/>
      <c r="C368" s="125">
        <f t="shared" si="64"/>
        <v>1</v>
      </c>
      <c r="D368" s="135"/>
      <c r="E368" s="125">
        <f t="shared" si="65"/>
        <v>1</v>
      </c>
      <c r="F368" s="135"/>
      <c r="G368" s="125">
        <f t="shared" si="66"/>
        <v>1</v>
      </c>
      <c r="H368" s="135"/>
      <c r="I368" s="125">
        <f t="shared" si="67"/>
        <v>1</v>
      </c>
      <c r="J368" s="135"/>
      <c r="K368" s="125">
        <f t="shared" si="68"/>
        <v>1</v>
      </c>
      <c r="L368" s="135"/>
      <c r="M368" s="125">
        <f t="shared" si="69"/>
        <v>1</v>
      </c>
      <c r="N368" s="135"/>
      <c r="O368" s="125">
        <f t="shared" si="70"/>
        <v>1</v>
      </c>
      <c r="P368" s="135"/>
      <c r="Q368" s="125">
        <f t="shared" si="71"/>
        <v>1</v>
      </c>
      <c r="R368" s="125">
        <f t="shared" si="72"/>
        <v>0</v>
      </c>
      <c r="S368" s="124">
        <f t="shared" si="63"/>
        <v>0</v>
      </c>
    </row>
    <row r="369" spans="1:19">
      <c r="A369" s="133"/>
      <c r="B369" s="134"/>
      <c r="C369" s="125">
        <f t="shared" si="64"/>
        <v>1</v>
      </c>
      <c r="D369" s="135"/>
      <c r="E369" s="125">
        <f t="shared" si="65"/>
        <v>1</v>
      </c>
      <c r="F369" s="135"/>
      <c r="G369" s="125">
        <f t="shared" si="66"/>
        <v>1</v>
      </c>
      <c r="H369" s="135"/>
      <c r="I369" s="125">
        <f t="shared" si="67"/>
        <v>1</v>
      </c>
      <c r="J369" s="135"/>
      <c r="K369" s="125">
        <f t="shared" si="68"/>
        <v>1</v>
      </c>
      <c r="L369" s="135"/>
      <c r="M369" s="125">
        <f t="shared" si="69"/>
        <v>1</v>
      </c>
      <c r="N369" s="135"/>
      <c r="O369" s="125">
        <f t="shared" si="70"/>
        <v>1</v>
      </c>
      <c r="P369" s="135"/>
      <c r="Q369" s="125">
        <f t="shared" si="71"/>
        <v>1</v>
      </c>
      <c r="R369" s="125">
        <f t="shared" si="72"/>
        <v>0</v>
      </c>
      <c r="S369" s="124">
        <f t="shared" si="63"/>
        <v>0</v>
      </c>
    </row>
    <row r="370" spans="1:19">
      <c r="A370" s="133"/>
      <c r="B370" s="134"/>
      <c r="C370" s="125">
        <f t="shared" si="64"/>
        <v>1</v>
      </c>
      <c r="D370" s="135"/>
      <c r="E370" s="125">
        <f t="shared" si="65"/>
        <v>1</v>
      </c>
      <c r="F370" s="135"/>
      <c r="G370" s="125">
        <f t="shared" si="66"/>
        <v>1</v>
      </c>
      <c r="H370" s="135"/>
      <c r="I370" s="125">
        <f t="shared" si="67"/>
        <v>1</v>
      </c>
      <c r="J370" s="135"/>
      <c r="K370" s="125">
        <f t="shared" si="68"/>
        <v>1</v>
      </c>
      <c r="L370" s="135"/>
      <c r="M370" s="125">
        <f t="shared" si="69"/>
        <v>1</v>
      </c>
      <c r="N370" s="135"/>
      <c r="O370" s="125">
        <f t="shared" si="70"/>
        <v>1</v>
      </c>
      <c r="P370" s="135"/>
      <c r="Q370" s="125">
        <f t="shared" si="71"/>
        <v>1</v>
      </c>
      <c r="R370" s="125">
        <f t="shared" si="72"/>
        <v>0</v>
      </c>
      <c r="S370" s="124">
        <f t="shared" si="63"/>
        <v>0</v>
      </c>
    </row>
    <row r="371" spans="1:19">
      <c r="A371" s="133"/>
      <c r="B371" s="134"/>
      <c r="C371" s="125">
        <f t="shared" si="64"/>
        <v>1</v>
      </c>
      <c r="D371" s="135"/>
      <c r="E371" s="125">
        <f t="shared" si="65"/>
        <v>1</v>
      </c>
      <c r="F371" s="135"/>
      <c r="G371" s="125">
        <f t="shared" si="66"/>
        <v>1</v>
      </c>
      <c r="H371" s="135"/>
      <c r="I371" s="125">
        <f t="shared" si="67"/>
        <v>1</v>
      </c>
      <c r="J371" s="135"/>
      <c r="K371" s="125">
        <f t="shared" si="68"/>
        <v>1</v>
      </c>
      <c r="L371" s="135"/>
      <c r="M371" s="125">
        <f t="shared" si="69"/>
        <v>1</v>
      </c>
      <c r="N371" s="135"/>
      <c r="O371" s="125">
        <f t="shared" si="70"/>
        <v>1</v>
      </c>
      <c r="P371" s="135"/>
      <c r="Q371" s="125">
        <f t="shared" si="71"/>
        <v>1</v>
      </c>
      <c r="R371" s="125">
        <f t="shared" si="72"/>
        <v>0</v>
      </c>
      <c r="S371" s="124">
        <f t="shared" si="63"/>
        <v>0</v>
      </c>
    </row>
    <row r="372" spans="1:19">
      <c r="A372" s="133"/>
      <c r="B372" s="134"/>
      <c r="C372" s="125">
        <f t="shared" si="64"/>
        <v>1</v>
      </c>
      <c r="D372" s="135"/>
      <c r="E372" s="125">
        <f t="shared" si="65"/>
        <v>1</v>
      </c>
      <c r="F372" s="135"/>
      <c r="G372" s="125">
        <f t="shared" si="66"/>
        <v>1</v>
      </c>
      <c r="H372" s="135"/>
      <c r="I372" s="125">
        <f t="shared" si="67"/>
        <v>1</v>
      </c>
      <c r="J372" s="135"/>
      <c r="K372" s="125">
        <f t="shared" si="68"/>
        <v>1</v>
      </c>
      <c r="L372" s="135"/>
      <c r="M372" s="125">
        <f t="shared" si="69"/>
        <v>1</v>
      </c>
      <c r="N372" s="135"/>
      <c r="O372" s="125">
        <f t="shared" si="70"/>
        <v>1</v>
      </c>
      <c r="P372" s="135"/>
      <c r="Q372" s="125">
        <f t="shared" si="71"/>
        <v>1</v>
      </c>
      <c r="R372" s="125">
        <f t="shared" si="72"/>
        <v>0</v>
      </c>
      <c r="S372" s="124">
        <f t="shared" si="63"/>
        <v>0</v>
      </c>
    </row>
    <row r="373" spans="1:19">
      <c r="A373" s="133"/>
      <c r="B373" s="134"/>
      <c r="C373" s="125">
        <f t="shared" si="64"/>
        <v>1</v>
      </c>
      <c r="D373" s="135"/>
      <c r="E373" s="125">
        <f t="shared" si="65"/>
        <v>1</v>
      </c>
      <c r="F373" s="135"/>
      <c r="G373" s="125">
        <f t="shared" si="66"/>
        <v>1</v>
      </c>
      <c r="H373" s="135"/>
      <c r="I373" s="125">
        <f t="shared" si="67"/>
        <v>1</v>
      </c>
      <c r="J373" s="135"/>
      <c r="K373" s="125">
        <f t="shared" si="68"/>
        <v>1</v>
      </c>
      <c r="L373" s="135"/>
      <c r="M373" s="125">
        <f t="shared" si="69"/>
        <v>1</v>
      </c>
      <c r="N373" s="135"/>
      <c r="O373" s="125">
        <f t="shared" si="70"/>
        <v>1</v>
      </c>
      <c r="P373" s="135"/>
      <c r="Q373" s="125">
        <f t="shared" si="71"/>
        <v>1</v>
      </c>
      <c r="R373" s="125">
        <f t="shared" si="72"/>
        <v>0</v>
      </c>
      <c r="S373" s="124">
        <f t="shared" si="63"/>
        <v>0</v>
      </c>
    </row>
    <row r="374" spans="1:19">
      <c r="A374" s="133"/>
      <c r="B374" s="134"/>
      <c r="C374" s="125">
        <f t="shared" si="64"/>
        <v>1</v>
      </c>
      <c r="D374" s="135"/>
      <c r="E374" s="125">
        <f t="shared" si="65"/>
        <v>1</v>
      </c>
      <c r="F374" s="135"/>
      <c r="G374" s="125">
        <f t="shared" si="66"/>
        <v>1</v>
      </c>
      <c r="H374" s="135"/>
      <c r="I374" s="125">
        <f t="shared" si="67"/>
        <v>1</v>
      </c>
      <c r="J374" s="135"/>
      <c r="K374" s="125">
        <f t="shared" si="68"/>
        <v>1</v>
      </c>
      <c r="L374" s="135"/>
      <c r="M374" s="125">
        <f t="shared" si="69"/>
        <v>1</v>
      </c>
      <c r="N374" s="135"/>
      <c r="O374" s="125">
        <f t="shared" si="70"/>
        <v>1</v>
      </c>
      <c r="P374" s="135"/>
      <c r="Q374" s="125">
        <f t="shared" si="71"/>
        <v>1</v>
      </c>
      <c r="R374" s="125">
        <f t="shared" si="72"/>
        <v>0</v>
      </c>
      <c r="S374" s="124">
        <f t="shared" si="63"/>
        <v>0</v>
      </c>
    </row>
    <row r="375" spans="1:19">
      <c r="A375" s="133"/>
      <c r="B375" s="134"/>
      <c r="C375" s="125">
        <f t="shared" si="64"/>
        <v>1</v>
      </c>
      <c r="D375" s="135"/>
      <c r="E375" s="125">
        <f t="shared" si="65"/>
        <v>1</v>
      </c>
      <c r="F375" s="135"/>
      <c r="G375" s="125">
        <f t="shared" si="66"/>
        <v>1</v>
      </c>
      <c r="H375" s="135"/>
      <c r="I375" s="125">
        <f t="shared" si="67"/>
        <v>1</v>
      </c>
      <c r="J375" s="135"/>
      <c r="K375" s="125">
        <f t="shared" si="68"/>
        <v>1</v>
      </c>
      <c r="L375" s="135"/>
      <c r="M375" s="125">
        <f t="shared" si="69"/>
        <v>1</v>
      </c>
      <c r="N375" s="135"/>
      <c r="O375" s="125">
        <f t="shared" si="70"/>
        <v>1</v>
      </c>
      <c r="P375" s="135"/>
      <c r="Q375" s="125">
        <f t="shared" si="71"/>
        <v>1</v>
      </c>
      <c r="R375" s="125">
        <f t="shared" si="72"/>
        <v>0</v>
      </c>
      <c r="S375" s="124">
        <f t="shared" si="63"/>
        <v>0</v>
      </c>
    </row>
    <row r="376" spans="1:19">
      <c r="A376" s="133"/>
      <c r="B376" s="134"/>
      <c r="C376" s="125">
        <f t="shared" si="64"/>
        <v>1</v>
      </c>
      <c r="D376" s="135"/>
      <c r="E376" s="125">
        <f t="shared" si="65"/>
        <v>1</v>
      </c>
      <c r="F376" s="135"/>
      <c r="G376" s="125">
        <f t="shared" si="66"/>
        <v>1</v>
      </c>
      <c r="H376" s="135"/>
      <c r="I376" s="125">
        <f t="shared" si="67"/>
        <v>1</v>
      </c>
      <c r="J376" s="135"/>
      <c r="K376" s="125">
        <f t="shared" si="68"/>
        <v>1</v>
      </c>
      <c r="L376" s="135"/>
      <c r="M376" s="125">
        <f t="shared" si="69"/>
        <v>1</v>
      </c>
      <c r="N376" s="135"/>
      <c r="O376" s="125">
        <f t="shared" si="70"/>
        <v>1</v>
      </c>
      <c r="P376" s="135"/>
      <c r="Q376" s="125">
        <f t="shared" si="71"/>
        <v>1</v>
      </c>
      <c r="R376" s="125">
        <f t="shared" si="72"/>
        <v>0</v>
      </c>
      <c r="S376" s="124">
        <f t="shared" si="63"/>
        <v>0</v>
      </c>
    </row>
    <row r="377" spans="1:19">
      <c r="A377" s="133"/>
      <c r="B377" s="134"/>
      <c r="C377" s="125">
        <f t="shared" si="64"/>
        <v>1</v>
      </c>
      <c r="D377" s="135"/>
      <c r="E377" s="125">
        <f t="shared" si="65"/>
        <v>1</v>
      </c>
      <c r="F377" s="135"/>
      <c r="G377" s="125">
        <f t="shared" si="66"/>
        <v>1</v>
      </c>
      <c r="H377" s="135"/>
      <c r="I377" s="125">
        <f t="shared" si="67"/>
        <v>1</v>
      </c>
      <c r="J377" s="135"/>
      <c r="K377" s="125">
        <f t="shared" si="68"/>
        <v>1</v>
      </c>
      <c r="L377" s="135"/>
      <c r="M377" s="125">
        <f t="shared" si="69"/>
        <v>1</v>
      </c>
      <c r="N377" s="135"/>
      <c r="O377" s="125">
        <f t="shared" si="70"/>
        <v>1</v>
      </c>
      <c r="P377" s="135"/>
      <c r="Q377" s="125">
        <f t="shared" si="71"/>
        <v>1</v>
      </c>
      <c r="R377" s="125">
        <f t="shared" si="72"/>
        <v>0</v>
      </c>
      <c r="S377" s="124">
        <f t="shared" si="63"/>
        <v>0</v>
      </c>
    </row>
    <row r="378" spans="1:19">
      <c r="A378" s="133"/>
      <c r="B378" s="134"/>
      <c r="C378" s="125">
        <f t="shared" si="64"/>
        <v>1</v>
      </c>
      <c r="D378" s="135"/>
      <c r="E378" s="125">
        <f t="shared" si="65"/>
        <v>1</v>
      </c>
      <c r="F378" s="135"/>
      <c r="G378" s="125">
        <f t="shared" si="66"/>
        <v>1</v>
      </c>
      <c r="H378" s="135"/>
      <c r="I378" s="125">
        <f t="shared" si="67"/>
        <v>1</v>
      </c>
      <c r="J378" s="135"/>
      <c r="K378" s="125">
        <f t="shared" si="68"/>
        <v>1</v>
      </c>
      <c r="L378" s="135"/>
      <c r="M378" s="125">
        <f t="shared" si="69"/>
        <v>1</v>
      </c>
      <c r="N378" s="135"/>
      <c r="O378" s="125">
        <f t="shared" si="70"/>
        <v>1</v>
      </c>
      <c r="P378" s="135"/>
      <c r="Q378" s="125">
        <f t="shared" si="71"/>
        <v>1</v>
      </c>
      <c r="R378" s="125">
        <f t="shared" si="72"/>
        <v>0</v>
      </c>
      <c r="S378" s="124">
        <f t="shared" si="63"/>
        <v>0</v>
      </c>
    </row>
    <row r="379" spans="1:19">
      <c r="A379" s="133"/>
      <c r="B379" s="134"/>
      <c r="C379" s="125">
        <f t="shared" si="64"/>
        <v>1</v>
      </c>
      <c r="D379" s="135"/>
      <c r="E379" s="125">
        <f t="shared" si="65"/>
        <v>1</v>
      </c>
      <c r="F379" s="135"/>
      <c r="G379" s="125">
        <f t="shared" si="66"/>
        <v>1</v>
      </c>
      <c r="H379" s="135"/>
      <c r="I379" s="125">
        <f t="shared" si="67"/>
        <v>1</v>
      </c>
      <c r="J379" s="135"/>
      <c r="K379" s="125">
        <f t="shared" si="68"/>
        <v>1</v>
      </c>
      <c r="L379" s="135"/>
      <c r="M379" s="125">
        <f t="shared" si="69"/>
        <v>1</v>
      </c>
      <c r="N379" s="135"/>
      <c r="O379" s="125">
        <f t="shared" si="70"/>
        <v>1</v>
      </c>
      <c r="P379" s="135"/>
      <c r="Q379" s="125">
        <f t="shared" si="71"/>
        <v>1</v>
      </c>
      <c r="R379" s="125">
        <f t="shared" si="72"/>
        <v>0</v>
      </c>
      <c r="S379" s="124">
        <f t="shared" si="63"/>
        <v>0</v>
      </c>
    </row>
    <row r="380" spans="1:19">
      <c r="A380" s="133"/>
      <c r="B380" s="134"/>
      <c r="C380" s="125">
        <f t="shared" si="64"/>
        <v>1</v>
      </c>
      <c r="D380" s="135"/>
      <c r="E380" s="125">
        <f t="shared" si="65"/>
        <v>1</v>
      </c>
      <c r="F380" s="135"/>
      <c r="G380" s="125">
        <f t="shared" si="66"/>
        <v>1</v>
      </c>
      <c r="H380" s="135"/>
      <c r="I380" s="125">
        <f t="shared" si="67"/>
        <v>1</v>
      </c>
      <c r="J380" s="135"/>
      <c r="K380" s="125">
        <f t="shared" si="68"/>
        <v>1</v>
      </c>
      <c r="L380" s="135"/>
      <c r="M380" s="125">
        <f t="shared" si="69"/>
        <v>1</v>
      </c>
      <c r="N380" s="135"/>
      <c r="O380" s="125">
        <f t="shared" si="70"/>
        <v>1</v>
      </c>
      <c r="P380" s="135"/>
      <c r="Q380" s="125">
        <f t="shared" si="71"/>
        <v>1</v>
      </c>
      <c r="R380" s="125">
        <f t="shared" si="72"/>
        <v>0</v>
      </c>
      <c r="S380" s="124">
        <f t="shared" si="63"/>
        <v>0</v>
      </c>
    </row>
    <row r="381" spans="1:19">
      <c r="A381" s="133"/>
      <c r="B381" s="134"/>
      <c r="C381" s="125">
        <f t="shared" si="64"/>
        <v>1</v>
      </c>
      <c r="D381" s="135"/>
      <c r="E381" s="125">
        <f t="shared" si="65"/>
        <v>1</v>
      </c>
      <c r="F381" s="135"/>
      <c r="G381" s="125">
        <f t="shared" si="66"/>
        <v>1</v>
      </c>
      <c r="H381" s="135"/>
      <c r="I381" s="125">
        <f t="shared" si="67"/>
        <v>1</v>
      </c>
      <c r="J381" s="135"/>
      <c r="K381" s="125">
        <f t="shared" si="68"/>
        <v>1</v>
      </c>
      <c r="L381" s="135"/>
      <c r="M381" s="125">
        <f t="shared" si="69"/>
        <v>1</v>
      </c>
      <c r="N381" s="135"/>
      <c r="O381" s="125">
        <f t="shared" si="70"/>
        <v>1</v>
      </c>
      <c r="P381" s="135"/>
      <c r="Q381" s="125">
        <f t="shared" si="71"/>
        <v>1</v>
      </c>
      <c r="R381" s="125">
        <f t="shared" si="72"/>
        <v>0</v>
      </c>
      <c r="S381" s="124">
        <f t="shared" si="63"/>
        <v>0</v>
      </c>
    </row>
    <row r="382" spans="1:19">
      <c r="A382" s="133"/>
      <c r="B382" s="134"/>
      <c r="C382" s="125">
        <f t="shared" si="64"/>
        <v>1</v>
      </c>
      <c r="D382" s="135"/>
      <c r="E382" s="125">
        <f t="shared" si="65"/>
        <v>1</v>
      </c>
      <c r="F382" s="135"/>
      <c r="G382" s="125">
        <f t="shared" si="66"/>
        <v>1</v>
      </c>
      <c r="H382" s="135"/>
      <c r="I382" s="125">
        <f t="shared" si="67"/>
        <v>1</v>
      </c>
      <c r="J382" s="135"/>
      <c r="K382" s="125">
        <f t="shared" si="68"/>
        <v>1</v>
      </c>
      <c r="L382" s="135"/>
      <c r="M382" s="125">
        <f t="shared" si="69"/>
        <v>1</v>
      </c>
      <c r="N382" s="135"/>
      <c r="O382" s="125">
        <f t="shared" si="70"/>
        <v>1</v>
      </c>
      <c r="P382" s="135"/>
      <c r="Q382" s="125">
        <f t="shared" si="71"/>
        <v>1</v>
      </c>
      <c r="R382" s="125">
        <f t="shared" si="72"/>
        <v>0</v>
      </c>
      <c r="S382" s="124">
        <f t="shared" si="63"/>
        <v>0</v>
      </c>
    </row>
    <row r="383" spans="1:19">
      <c r="A383" s="133"/>
      <c r="B383" s="134"/>
      <c r="C383" s="125">
        <f t="shared" si="64"/>
        <v>1</v>
      </c>
      <c r="D383" s="135"/>
      <c r="E383" s="125">
        <f t="shared" si="65"/>
        <v>1</v>
      </c>
      <c r="F383" s="135"/>
      <c r="G383" s="125">
        <f t="shared" si="66"/>
        <v>1</v>
      </c>
      <c r="H383" s="135"/>
      <c r="I383" s="125">
        <f t="shared" si="67"/>
        <v>1</v>
      </c>
      <c r="J383" s="135"/>
      <c r="K383" s="125">
        <f t="shared" si="68"/>
        <v>1</v>
      </c>
      <c r="L383" s="135"/>
      <c r="M383" s="125">
        <f t="shared" si="69"/>
        <v>1</v>
      </c>
      <c r="N383" s="135"/>
      <c r="O383" s="125">
        <f t="shared" si="70"/>
        <v>1</v>
      </c>
      <c r="P383" s="135"/>
      <c r="Q383" s="125">
        <f t="shared" si="71"/>
        <v>1</v>
      </c>
      <c r="R383" s="125">
        <f t="shared" si="72"/>
        <v>0</v>
      </c>
      <c r="S383" s="124">
        <f t="shared" si="63"/>
        <v>0</v>
      </c>
    </row>
    <row r="384" spans="1:19">
      <c r="A384" s="133"/>
      <c r="B384" s="134"/>
      <c r="C384" s="125">
        <f t="shared" si="64"/>
        <v>1</v>
      </c>
      <c r="D384" s="135"/>
      <c r="E384" s="125">
        <f t="shared" si="65"/>
        <v>1</v>
      </c>
      <c r="F384" s="135"/>
      <c r="G384" s="125">
        <f t="shared" si="66"/>
        <v>1</v>
      </c>
      <c r="H384" s="135"/>
      <c r="I384" s="125">
        <f t="shared" si="67"/>
        <v>1</v>
      </c>
      <c r="J384" s="135"/>
      <c r="K384" s="125">
        <f t="shared" si="68"/>
        <v>1</v>
      </c>
      <c r="L384" s="135"/>
      <c r="M384" s="125">
        <f t="shared" si="69"/>
        <v>1</v>
      </c>
      <c r="N384" s="135"/>
      <c r="O384" s="125">
        <f t="shared" si="70"/>
        <v>1</v>
      </c>
      <c r="P384" s="135"/>
      <c r="Q384" s="125">
        <f t="shared" si="71"/>
        <v>1</v>
      </c>
      <c r="R384" s="125">
        <f t="shared" si="72"/>
        <v>0</v>
      </c>
      <c r="S384" s="124">
        <f t="shared" si="63"/>
        <v>0</v>
      </c>
    </row>
    <row r="385" spans="1:19">
      <c r="A385" s="133"/>
      <c r="B385" s="134"/>
      <c r="C385" s="125">
        <f t="shared" si="64"/>
        <v>1</v>
      </c>
      <c r="D385" s="135"/>
      <c r="E385" s="125">
        <f t="shared" si="65"/>
        <v>1</v>
      </c>
      <c r="F385" s="135"/>
      <c r="G385" s="125">
        <f t="shared" si="66"/>
        <v>1</v>
      </c>
      <c r="H385" s="135"/>
      <c r="I385" s="125">
        <f t="shared" si="67"/>
        <v>1</v>
      </c>
      <c r="J385" s="135"/>
      <c r="K385" s="125">
        <f t="shared" si="68"/>
        <v>1</v>
      </c>
      <c r="L385" s="135"/>
      <c r="M385" s="125">
        <f t="shared" si="69"/>
        <v>1</v>
      </c>
      <c r="N385" s="135"/>
      <c r="O385" s="125">
        <f t="shared" si="70"/>
        <v>1</v>
      </c>
      <c r="P385" s="135"/>
      <c r="Q385" s="125">
        <f t="shared" si="71"/>
        <v>1</v>
      </c>
      <c r="R385" s="125">
        <f t="shared" si="72"/>
        <v>0</v>
      </c>
      <c r="S385" s="124">
        <f t="shared" ref="S385:S422" si="73">ROUND(R385*B385/10000,0)</f>
        <v>0</v>
      </c>
    </row>
    <row r="386" spans="1:19">
      <c r="A386" s="133"/>
      <c r="B386" s="134"/>
      <c r="C386" s="125">
        <f t="shared" si="64"/>
        <v>1</v>
      </c>
      <c r="D386" s="135"/>
      <c r="E386" s="125">
        <f t="shared" si="65"/>
        <v>1</v>
      </c>
      <c r="F386" s="135"/>
      <c r="G386" s="125">
        <f t="shared" si="66"/>
        <v>1</v>
      </c>
      <c r="H386" s="135"/>
      <c r="I386" s="125">
        <f t="shared" si="67"/>
        <v>1</v>
      </c>
      <c r="J386" s="135"/>
      <c r="K386" s="125">
        <f t="shared" si="68"/>
        <v>1</v>
      </c>
      <c r="L386" s="135"/>
      <c r="M386" s="125">
        <f t="shared" si="69"/>
        <v>1</v>
      </c>
      <c r="N386" s="135"/>
      <c r="O386" s="125">
        <f t="shared" si="70"/>
        <v>1</v>
      </c>
      <c r="P386" s="135"/>
      <c r="Q386" s="125">
        <f t="shared" si="71"/>
        <v>1</v>
      </c>
      <c r="R386" s="125">
        <f t="shared" si="72"/>
        <v>0</v>
      </c>
      <c r="S386" s="124">
        <f t="shared" si="73"/>
        <v>0</v>
      </c>
    </row>
    <row r="387" spans="1:19">
      <c r="A387" s="133"/>
      <c r="B387" s="134"/>
      <c r="C387" s="125">
        <f t="shared" si="64"/>
        <v>1</v>
      </c>
      <c r="D387" s="135"/>
      <c r="E387" s="125">
        <f t="shared" si="65"/>
        <v>1</v>
      </c>
      <c r="F387" s="135"/>
      <c r="G387" s="125">
        <f t="shared" si="66"/>
        <v>1</v>
      </c>
      <c r="H387" s="135"/>
      <c r="I387" s="125">
        <f t="shared" si="67"/>
        <v>1</v>
      </c>
      <c r="J387" s="135"/>
      <c r="K387" s="125">
        <f t="shared" si="68"/>
        <v>1</v>
      </c>
      <c r="L387" s="135"/>
      <c r="M387" s="125">
        <f t="shared" si="69"/>
        <v>1</v>
      </c>
      <c r="N387" s="135"/>
      <c r="O387" s="125">
        <f t="shared" si="70"/>
        <v>1</v>
      </c>
      <c r="P387" s="135"/>
      <c r="Q387" s="125">
        <f t="shared" si="71"/>
        <v>1</v>
      </c>
      <c r="R387" s="125">
        <f t="shared" si="72"/>
        <v>0</v>
      </c>
      <c r="S387" s="124">
        <f t="shared" si="73"/>
        <v>0</v>
      </c>
    </row>
    <row r="388" spans="1:19">
      <c r="A388" s="133"/>
      <c r="B388" s="134"/>
      <c r="C388" s="125">
        <f t="shared" si="64"/>
        <v>1</v>
      </c>
      <c r="D388" s="135"/>
      <c r="E388" s="125">
        <f t="shared" si="65"/>
        <v>1</v>
      </c>
      <c r="F388" s="135"/>
      <c r="G388" s="125">
        <f t="shared" si="66"/>
        <v>1</v>
      </c>
      <c r="H388" s="135"/>
      <c r="I388" s="125">
        <f t="shared" si="67"/>
        <v>1</v>
      </c>
      <c r="J388" s="135"/>
      <c r="K388" s="125">
        <f t="shared" si="68"/>
        <v>1</v>
      </c>
      <c r="L388" s="135"/>
      <c r="M388" s="125">
        <f t="shared" si="69"/>
        <v>1</v>
      </c>
      <c r="N388" s="135"/>
      <c r="O388" s="125">
        <f t="shared" si="70"/>
        <v>1</v>
      </c>
      <c r="P388" s="135"/>
      <c r="Q388" s="125">
        <f t="shared" si="71"/>
        <v>1</v>
      </c>
      <c r="R388" s="125">
        <f t="shared" si="72"/>
        <v>0</v>
      </c>
      <c r="S388" s="124">
        <f t="shared" si="73"/>
        <v>0</v>
      </c>
    </row>
    <row r="389" spans="1:19">
      <c r="A389" s="133"/>
      <c r="B389" s="134"/>
      <c r="C389" s="125">
        <f t="shared" si="64"/>
        <v>1</v>
      </c>
      <c r="D389" s="135"/>
      <c r="E389" s="125">
        <f t="shared" si="65"/>
        <v>1</v>
      </c>
      <c r="F389" s="135"/>
      <c r="G389" s="125">
        <f t="shared" si="66"/>
        <v>1</v>
      </c>
      <c r="H389" s="135"/>
      <c r="I389" s="125">
        <f t="shared" si="67"/>
        <v>1</v>
      </c>
      <c r="J389" s="135"/>
      <c r="K389" s="125">
        <f t="shared" si="68"/>
        <v>1</v>
      </c>
      <c r="L389" s="135"/>
      <c r="M389" s="125">
        <f t="shared" si="69"/>
        <v>1</v>
      </c>
      <c r="N389" s="135"/>
      <c r="O389" s="125">
        <f t="shared" si="70"/>
        <v>1</v>
      </c>
      <c r="P389" s="135"/>
      <c r="Q389" s="125">
        <f t="shared" si="71"/>
        <v>1</v>
      </c>
      <c r="R389" s="125">
        <f t="shared" si="72"/>
        <v>0</v>
      </c>
      <c r="S389" s="124">
        <f t="shared" si="73"/>
        <v>0</v>
      </c>
    </row>
    <row r="390" spans="1:19">
      <c r="A390" s="133"/>
      <c r="B390" s="134"/>
      <c r="C390" s="125">
        <f t="shared" si="64"/>
        <v>1</v>
      </c>
      <c r="D390" s="135"/>
      <c r="E390" s="125">
        <f t="shared" si="65"/>
        <v>1</v>
      </c>
      <c r="F390" s="135"/>
      <c r="G390" s="125">
        <f t="shared" si="66"/>
        <v>1</v>
      </c>
      <c r="H390" s="135"/>
      <c r="I390" s="125">
        <f t="shared" si="67"/>
        <v>1</v>
      </c>
      <c r="J390" s="135"/>
      <c r="K390" s="125">
        <f t="shared" si="68"/>
        <v>1</v>
      </c>
      <c r="L390" s="135"/>
      <c r="M390" s="125">
        <f t="shared" si="69"/>
        <v>1</v>
      </c>
      <c r="N390" s="135"/>
      <c r="O390" s="125">
        <f t="shared" si="70"/>
        <v>1</v>
      </c>
      <c r="P390" s="135"/>
      <c r="Q390" s="125">
        <f t="shared" si="71"/>
        <v>1</v>
      </c>
      <c r="R390" s="125">
        <f t="shared" si="72"/>
        <v>0</v>
      </c>
      <c r="S390" s="124">
        <f t="shared" si="73"/>
        <v>0</v>
      </c>
    </row>
    <row r="391" spans="1:19">
      <c r="A391" s="133"/>
      <c r="B391" s="134"/>
      <c r="C391" s="125">
        <f t="shared" si="64"/>
        <v>1</v>
      </c>
      <c r="D391" s="135"/>
      <c r="E391" s="125">
        <f t="shared" si="65"/>
        <v>1</v>
      </c>
      <c r="F391" s="135"/>
      <c r="G391" s="125">
        <f t="shared" si="66"/>
        <v>1</v>
      </c>
      <c r="H391" s="135"/>
      <c r="I391" s="125">
        <f t="shared" si="67"/>
        <v>1</v>
      </c>
      <c r="J391" s="135"/>
      <c r="K391" s="125">
        <f t="shared" si="68"/>
        <v>1</v>
      </c>
      <c r="L391" s="135"/>
      <c r="M391" s="125">
        <f t="shared" si="69"/>
        <v>1</v>
      </c>
      <c r="N391" s="135"/>
      <c r="O391" s="125">
        <f t="shared" si="70"/>
        <v>1</v>
      </c>
      <c r="P391" s="135"/>
      <c r="Q391" s="125">
        <f t="shared" si="71"/>
        <v>1</v>
      </c>
      <c r="R391" s="125">
        <f t="shared" si="72"/>
        <v>0</v>
      </c>
      <c r="S391" s="124">
        <f t="shared" si="73"/>
        <v>0</v>
      </c>
    </row>
    <row r="392" spans="1:19">
      <c r="A392" s="133"/>
      <c r="B392" s="134"/>
      <c r="C392" s="125">
        <f t="shared" si="64"/>
        <v>1</v>
      </c>
      <c r="D392" s="135"/>
      <c r="E392" s="125">
        <f t="shared" si="65"/>
        <v>1</v>
      </c>
      <c r="F392" s="135"/>
      <c r="G392" s="125">
        <f t="shared" si="66"/>
        <v>1</v>
      </c>
      <c r="H392" s="135"/>
      <c r="I392" s="125">
        <f t="shared" si="67"/>
        <v>1</v>
      </c>
      <c r="J392" s="135"/>
      <c r="K392" s="125">
        <f t="shared" si="68"/>
        <v>1</v>
      </c>
      <c r="L392" s="135"/>
      <c r="M392" s="125">
        <f t="shared" si="69"/>
        <v>1</v>
      </c>
      <c r="N392" s="135"/>
      <c r="O392" s="125">
        <f t="shared" si="70"/>
        <v>1</v>
      </c>
      <c r="P392" s="135"/>
      <c r="Q392" s="125">
        <f t="shared" si="71"/>
        <v>1</v>
      </c>
      <c r="R392" s="125">
        <f t="shared" si="72"/>
        <v>0</v>
      </c>
      <c r="S392" s="124">
        <f t="shared" si="73"/>
        <v>0</v>
      </c>
    </row>
    <row r="393" spans="1:19">
      <c r="A393" s="133"/>
      <c r="B393" s="134"/>
      <c r="C393" s="125">
        <f t="shared" si="64"/>
        <v>1</v>
      </c>
      <c r="D393" s="135"/>
      <c r="E393" s="125">
        <f t="shared" si="65"/>
        <v>1</v>
      </c>
      <c r="F393" s="135"/>
      <c r="G393" s="125">
        <f t="shared" si="66"/>
        <v>1</v>
      </c>
      <c r="H393" s="135"/>
      <c r="I393" s="125">
        <f t="shared" si="67"/>
        <v>1</v>
      </c>
      <c r="J393" s="135"/>
      <c r="K393" s="125">
        <f t="shared" si="68"/>
        <v>1</v>
      </c>
      <c r="L393" s="135"/>
      <c r="M393" s="125">
        <f t="shared" si="69"/>
        <v>1</v>
      </c>
      <c r="N393" s="135"/>
      <c r="O393" s="125">
        <f t="shared" si="70"/>
        <v>1</v>
      </c>
      <c r="P393" s="135"/>
      <c r="Q393" s="125">
        <f t="shared" si="71"/>
        <v>1</v>
      </c>
      <c r="R393" s="125">
        <f t="shared" si="72"/>
        <v>0</v>
      </c>
      <c r="S393" s="124">
        <f t="shared" si="73"/>
        <v>0</v>
      </c>
    </row>
    <row r="394" spans="1:19">
      <c r="A394" s="133"/>
      <c r="B394" s="134"/>
      <c r="C394" s="125">
        <f t="shared" si="64"/>
        <v>1</v>
      </c>
      <c r="D394" s="135"/>
      <c r="E394" s="125">
        <f t="shared" si="65"/>
        <v>1</v>
      </c>
      <c r="F394" s="135"/>
      <c r="G394" s="125">
        <f t="shared" si="66"/>
        <v>1</v>
      </c>
      <c r="H394" s="135"/>
      <c r="I394" s="125">
        <f t="shared" si="67"/>
        <v>1</v>
      </c>
      <c r="J394" s="135"/>
      <c r="K394" s="125">
        <f t="shared" si="68"/>
        <v>1</v>
      </c>
      <c r="L394" s="135"/>
      <c r="M394" s="125">
        <f t="shared" si="69"/>
        <v>1</v>
      </c>
      <c r="N394" s="135"/>
      <c r="O394" s="125">
        <f t="shared" si="70"/>
        <v>1</v>
      </c>
      <c r="P394" s="135"/>
      <c r="Q394" s="125">
        <f t="shared" si="71"/>
        <v>1</v>
      </c>
      <c r="R394" s="125">
        <f t="shared" si="72"/>
        <v>0</v>
      </c>
      <c r="S394" s="124">
        <f t="shared" si="73"/>
        <v>0</v>
      </c>
    </row>
    <row r="395" spans="1:19">
      <c r="A395" s="133"/>
      <c r="B395" s="134"/>
      <c r="C395" s="125">
        <f t="shared" si="64"/>
        <v>1</v>
      </c>
      <c r="D395" s="135"/>
      <c r="E395" s="125">
        <f t="shared" si="65"/>
        <v>1</v>
      </c>
      <c r="F395" s="135"/>
      <c r="G395" s="125">
        <f t="shared" si="66"/>
        <v>1</v>
      </c>
      <c r="H395" s="135"/>
      <c r="I395" s="125">
        <f t="shared" si="67"/>
        <v>1</v>
      </c>
      <c r="J395" s="135"/>
      <c r="K395" s="125">
        <f t="shared" si="68"/>
        <v>1</v>
      </c>
      <c r="L395" s="135"/>
      <c r="M395" s="125">
        <f t="shared" si="69"/>
        <v>1</v>
      </c>
      <c r="N395" s="135"/>
      <c r="O395" s="125">
        <f t="shared" si="70"/>
        <v>1</v>
      </c>
      <c r="P395" s="135"/>
      <c r="Q395" s="125">
        <f t="shared" si="71"/>
        <v>1</v>
      </c>
      <c r="R395" s="125">
        <f t="shared" si="72"/>
        <v>0</v>
      </c>
      <c r="S395" s="124">
        <f t="shared" si="73"/>
        <v>0</v>
      </c>
    </row>
    <row r="396" spans="1:19">
      <c r="A396" s="133"/>
      <c r="B396" s="134"/>
      <c r="C396" s="125">
        <f t="shared" si="64"/>
        <v>1</v>
      </c>
      <c r="D396" s="135"/>
      <c r="E396" s="125">
        <f t="shared" si="65"/>
        <v>1</v>
      </c>
      <c r="F396" s="135"/>
      <c r="G396" s="125">
        <f t="shared" si="66"/>
        <v>1</v>
      </c>
      <c r="H396" s="135"/>
      <c r="I396" s="125">
        <f t="shared" si="67"/>
        <v>1</v>
      </c>
      <c r="J396" s="135"/>
      <c r="K396" s="125">
        <f t="shared" si="68"/>
        <v>1</v>
      </c>
      <c r="L396" s="135"/>
      <c r="M396" s="125">
        <f t="shared" si="69"/>
        <v>1</v>
      </c>
      <c r="N396" s="135"/>
      <c r="O396" s="125">
        <f t="shared" si="70"/>
        <v>1</v>
      </c>
      <c r="P396" s="135"/>
      <c r="Q396" s="125">
        <f t="shared" si="71"/>
        <v>1</v>
      </c>
      <c r="R396" s="125">
        <f t="shared" si="72"/>
        <v>0</v>
      </c>
      <c r="S396" s="124">
        <f t="shared" si="73"/>
        <v>0</v>
      </c>
    </row>
    <row r="397" spans="1:19">
      <c r="A397" s="133"/>
      <c r="B397" s="134"/>
      <c r="C397" s="125">
        <f t="shared" si="64"/>
        <v>1</v>
      </c>
      <c r="D397" s="135"/>
      <c r="E397" s="125">
        <f t="shared" si="65"/>
        <v>1</v>
      </c>
      <c r="F397" s="135"/>
      <c r="G397" s="125">
        <f t="shared" si="66"/>
        <v>1</v>
      </c>
      <c r="H397" s="135"/>
      <c r="I397" s="125">
        <f t="shared" si="67"/>
        <v>1</v>
      </c>
      <c r="J397" s="135"/>
      <c r="K397" s="125">
        <f t="shared" si="68"/>
        <v>1</v>
      </c>
      <c r="L397" s="135"/>
      <c r="M397" s="125">
        <f t="shared" si="69"/>
        <v>1</v>
      </c>
      <c r="N397" s="135"/>
      <c r="O397" s="125">
        <f t="shared" si="70"/>
        <v>1</v>
      </c>
      <c r="P397" s="135"/>
      <c r="Q397" s="125">
        <f t="shared" si="71"/>
        <v>1</v>
      </c>
      <c r="R397" s="125">
        <f t="shared" si="72"/>
        <v>0</v>
      </c>
      <c r="S397" s="124">
        <f t="shared" si="73"/>
        <v>0</v>
      </c>
    </row>
    <row r="398" spans="1:19">
      <c r="A398" s="133"/>
      <c r="B398" s="134"/>
      <c r="C398" s="125">
        <f t="shared" si="64"/>
        <v>1</v>
      </c>
      <c r="D398" s="135"/>
      <c r="E398" s="125">
        <f t="shared" si="65"/>
        <v>1</v>
      </c>
      <c r="F398" s="135"/>
      <c r="G398" s="125">
        <f t="shared" si="66"/>
        <v>1</v>
      </c>
      <c r="H398" s="135"/>
      <c r="I398" s="125">
        <f t="shared" si="67"/>
        <v>1</v>
      </c>
      <c r="J398" s="135"/>
      <c r="K398" s="125">
        <f t="shared" si="68"/>
        <v>1</v>
      </c>
      <c r="L398" s="135"/>
      <c r="M398" s="125">
        <f t="shared" si="69"/>
        <v>1</v>
      </c>
      <c r="N398" s="135"/>
      <c r="O398" s="125">
        <f t="shared" si="70"/>
        <v>1</v>
      </c>
      <c r="P398" s="135"/>
      <c r="Q398" s="125">
        <f t="shared" si="71"/>
        <v>1</v>
      </c>
      <c r="R398" s="125">
        <f t="shared" si="72"/>
        <v>0</v>
      </c>
      <c r="S398" s="124">
        <f t="shared" si="73"/>
        <v>0</v>
      </c>
    </row>
    <row r="399" spans="1:19">
      <c r="A399" s="133"/>
      <c r="B399" s="134"/>
      <c r="C399" s="125">
        <f t="shared" si="64"/>
        <v>1</v>
      </c>
      <c r="D399" s="135"/>
      <c r="E399" s="125">
        <f t="shared" si="65"/>
        <v>1</v>
      </c>
      <c r="F399" s="135"/>
      <c r="G399" s="125">
        <f t="shared" si="66"/>
        <v>1</v>
      </c>
      <c r="H399" s="135"/>
      <c r="I399" s="125">
        <f t="shared" si="67"/>
        <v>1</v>
      </c>
      <c r="J399" s="135"/>
      <c r="K399" s="125">
        <f t="shared" si="68"/>
        <v>1</v>
      </c>
      <c r="L399" s="135"/>
      <c r="M399" s="125">
        <f t="shared" si="69"/>
        <v>1</v>
      </c>
      <c r="N399" s="135"/>
      <c r="O399" s="125">
        <f t="shared" si="70"/>
        <v>1</v>
      </c>
      <c r="P399" s="135"/>
      <c r="Q399" s="125">
        <f t="shared" si="71"/>
        <v>1</v>
      </c>
      <c r="R399" s="125">
        <f t="shared" si="72"/>
        <v>0</v>
      </c>
      <c r="S399" s="124">
        <f t="shared" si="73"/>
        <v>0</v>
      </c>
    </row>
    <row r="400" spans="1:19">
      <c r="A400" s="133"/>
      <c r="B400" s="134"/>
      <c r="C400" s="125">
        <f t="shared" si="64"/>
        <v>1</v>
      </c>
      <c r="D400" s="135"/>
      <c r="E400" s="125">
        <f t="shared" si="65"/>
        <v>1</v>
      </c>
      <c r="F400" s="135"/>
      <c r="G400" s="125">
        <f t="shared" si="66"/>
        <v>1</v>
      </c>
      <c r="H400" s="135"/>
      <c r="I400" s="125">
        <f t="shared" si="67"/>
        <v>1</v>
      </c>
      <c r="J400" s="135"/>
      <c r="K400" s="125">
        <f t="shared" si="68"/>
        <v>1</v>
      </c>
      <c r="L400" s="135"/>
      <c r="M400" s="125">
        <f t="shared" si="69"/>
        <v>1</v>
      </c>
      <c r="N400" s="135"/>
      <c r="O400" s="125">
        <f t="shared" si="70"/>
        <v>1</v>
      </c>
      <c r="P400" s="135"/>
      <c r="Q400" s="125">
        <f t="shared" si="71"/>
        <v>1</v>
      </c>
      <c r="R400" s="125">
        <f t="shared" si="72"/>
        <v>0</v>
      </c>
      <c r="S400" s="124">
        <f t="shared" si="73"/>
        <v>0</v>
      </c>
    </row>
    <row r="401" spans="1:19">
      <c r="A401" s="133"/>
      <c r="B401" s="134"/>
      <c r="C401" s="125">
        <f t="shared" si="64"/>
        <v>1</v>
      </c>
      <c r="D401" s="135"/>
      <c r="E401" s="125">
        <f t="shared" si="65"/>
        <v>1</v>
      </c>
      <c r="F401" s="135"/>
      <c r="G401" s="125">
        <f t="shared" si="66"/>
        <v>1</v>
      </c>
      <c r="H401" s="135"/>
      <c r="I401" s="125">
        <f t="shared" si="67"/>
        <v>1</v>
      </c>
      <c r="J401" s="135"/>
      <c r="K401" s="125">
        <f t="shared" si="68"/>
        <v>1</v>
      </c>
      <c r="L401" s="135"/>
      <c r="M401" s="125">
        <f t="shared" si="69"/>
        <v>1</v>
      </c>
      <c r="N401" s="135"/>
      <c r="O401" s="125">
        <f t="shared" si="70"/>
        <v>1</v>
      </c>
      <c r="P401" s="135"/>
      <c r="Q401" s="125">
        <f t="shared" si="71"/>
        <v>1</v>
      </c>
      <c r="R401" s="125">
        <f t="shared" si="72"/>
        <v>0</v>
      </c>
      <c r="S401" s="124">
        <f t="shared" si="73"/>
        <v>0</v>
      </c>
    </row>
    <row r="402" spans="1:19">
      <c r="A402" s="133"/>
      <c r="B402" s="134"/>
      <c r="C402" s="125">
        <f t="shared" si="64"/>
        <v>1</v>
      </c>
      <c r="D402" s="135"/>
      <c r="E402" s="125">
        <f t="shared" si="65"/>
        <v>1</v>
      </c>
      <c r="F402" s="135"/>
      <c r="G402" s="125">
        <f t="shared" si="66"/>
        <v>1</v>
      </c>
      <c r="H402" s="135"/>
      <c r="I402" s="125">
        <f t="shared" si="67"/>
        <v>1</v>
      </c>
      <c r="J402" s="135"/>
      <c r="K402" s="125">
        <f t="shared" si="68"/>
        <v>1</v>
      </c>
      <c r="L402" s="135"/>
      <c r="M402" s="125">
        <f t="shared" si="69"/>
        <v>1</v>
      </c>
      <c r="N402" s="135"/>
      <c r="O402" s="125">
        <f t="shared" si="70"/>
        <v>1</v>
      </c>
      <c r="P402" s="135"/>
      <c r="Q402" s="125">
        <f t="shared" si="71"/>
        <v>1</v>
      </c>
      <c r="R402" s="125">
        <f t="shared" si="72"/>
        <v>0</v>
      </c>
      <c r="S402" s="124">
        <f t="shared" si="73"/>
        <v>0</v>
      </c>
    </row>
    <row r="403" spans="1:19">
      <c r="A403" s="133"/>
      <c r="B403" s="134"/>
      <c r="C403" s="125">
        <f t="shared" si="64"/>
        <v>1</v>
      </c>
      <c r="D403" s="135"/>
      <c r="E403" s="125">
        <f t="shared" si="65"/>
        <v>1</v>
      </c>
      <c r="F403" s="135"/>
      <c r="G403" s="125">
        <f t="shared" si="66"/>
        <v>1</v>
      </c>
      <c r="H403" s="135"/>
      <c r="I403" s="125">
        <f t="shared" si="67"/>
        <v>1</v>
      </c>
      <c r="J403" s="135"/>
      <c r="K403" s="125">
        <f t="shared" si="68"/>
        <v>1</v>
      </c>
      <c r="L403" s="135"/>
      <c r="M403" s="125">
        <f t="shared" si="69"/>
        <v>1</v>
      </c>
      <c r="N403" s="135"/>
      <c r="O403" s="125">
        <f t="shared" si="70"/>
        <v>1</v>
      </c>
      <c r="P403" s="135"/>
      <c r="Q403" s="125">
        <f t="shared" si="71"/>
        <v>1</v>
      </c>
      <c r="R403" s="125">
        <f t="shared" si="72"/>
        <v>0</v>
      </c>
      <c r="S403" s="124">
        <f t="shared" si="73"/>
        <v>0</v>
      </c>
    </row>
    <row r="404" spans="1:19">
      <c r="A404" s="133"/>
      <c r="B404" s="134"/>
      <c r="C404" s="125">
        <f t="shared" si="64"/>
        <v>1</v>
      </c>
      <c r="D404" s="135"/>
      <c r="E404" s="125">
        <f t="shared" si="65"/>
        <v>1</v>
      </c>
      <c r="F404" s="135"/>
      <c r="G404" s="125">
        <f t="shared" si="66"/>
        <v>1</v>
      </c>
      <c r="H404" s="135"/>
      <c r="I404" s="125">
        <f t="shared" si="67"/>
        <v>1</v>
      </c>
      <c r="J404" s="135"/>
      <c r="K404" s="125">
        <f t="shared" si="68"/>
        <v>1</v>
      </c>
      <c r="L404" s="135"/>
      <c r="M404" s="125">
        <f t="shared" si="69"/>
        <v>1</v>
      </c>
      <c r="N404" s="135"/>
      <c r="O404" s="125">
        <f t="shared" si="70"/>
        <v>1</v>
      </c>
      <c r="P404" s="135"/>
      <c r="Q404" s="125">
        <f t="shared" si="71"/>
        <v>1</v>
      </c>
      <c r="R404" s="125">
        <f t="shared" si="72"/>
        <v>0</v>
      </c>
      <c r="S404" s="124">
        <f t="shared" si="73"/>
        <v>0</v>
      </c>
    </row>
    <row r="405" spans="1:19">
      <c r="A405" s="133"/>
      <c r="B405" s="134"/>
      <c r="C405" s="125">
        <f t="shared" si="64"/>
        <v>1</v>
      </c>
      <c r="D405" s="135"/>
      <c r="E405" s="125">
        <f t="shared" si="65"/>
        <v>1</v>
      </c>
      <c r="F405" s="135"/>
      <c r="G405" s="125">
        <f t="shared" si="66"/>
        <v>1</v>
      </c>
      <c r="H405" s="135"/>
      <c r="I405" s="125">
        <f t="shared" si="67"/>
        <v>1</v>
      </c>
      <c r="J405" s="135"/>
      <c r="K405" s="125">
        <f t="shared" si="68"/>
        <v>1</v>
      </c>
      <c r="L405" s="135"/>
      <c r="M405" s="125">
        <f t="shared" si="69"/>
        <v>1</v>
      </c>
      <c r="N405" s="135"/>
      <c r="O405" s="125">
        <f t="shared" si="70"/>
        <v>1</v>
      </c>
      <c r="P405" s="135"/>
      <c r="Q405" s="125">
        <f t="shared" si="71"/>
        <v>1</v>
      </c>
      <c r="R405" s="125">
        <f t="shared" si="72"/>
        <v>0</v>
      </c>
      <c r="S405" s="124">
        <f t="shared" si="73"/>
        <v>0</v>
      </c>
    </row>
    <row r="406" spans="1:19">
      <c r="A406" s="133"/>
      <c r="B406" s="134"/>
      <c r="C406" s="125">
        <f t="shared" si="64"/>
        <v>1</v>
      </c>
      <c r="D406" s="135"/>
      <c r="E406" s="125">
        <f t="shared" si="65"/>
        <v>1</v>
      </c>
      <c r="F406" s="135"/>
      <c r="G406" s="125">
        <f t="shared" si="66"/>
        <v>1</v>
      </c>
      <c r="H406" s="135"/>
      <c r="I406" s="125">
        <f t="shared" si="67"/>
        <v>1</v>
      </c>
      <c r="J406" s="135"/>
      <c r="K406" s="125">
        <f t="shared" si="68"/>
        <v>1</v>
      </c>
      <c r="L406" s="135"/>
      <c r="M406" s="125">
        <f t="shared" si="69"/>
        <v>1</v>
      </c>
      <c r="N406" s="135"/>
      <c r="O406" s="125">
        <f t="shared" si="70"/>
        <v>1</v>
      </c>
      <c r="P406" s="135"/>
      <c r="Q406" s="125">
        <f t="shared" si="71"/>
        <v>1</v>
      </c>
      <c r="R406" s="125">
        <f t="shared" si="72"/>
        <v>0</v>
      </c>
      <c r="S406" s="124">
        <f t="shared" si="73"/>
        <v>0</v>
      </c>
    </row>
    <row r="407" spans="1:19">
      <c r="A407" s="133"/>
      <c r="B407" s="134"/>
      <c r="C407" s="125">
        <f t="shared" si="64"/>
        <v>1</v>
      </c>
      <c r="D407" s="135"/>
      <c r="E407" s="125">
        <f t="shared" si="65"/>
        <v>1</v>
      </c>
      <c r="F407" s="135"/>
      <c r="G407" s="125">
        <f t="shared" si="66"/>
        <v>1</v>
      </c>
      <c r="H407" s="135"/>
      <c r="I407" s="125">
        <f t="shared" si="67"/>
        <v>1</v>
      </c>
      <c r="J407" s="135"/>
      <c r="K407" s="125">
        <f t="shared" si="68"/>
        <v>1</v>
      </c>
      <c r="L407" s="135"/>
      <c r="M407" s="125">
        <f t="shared" si="69"/>
        <v>1</v>
      </c>
      <c r="N407" s="135"/>
      <c r="O407" s="125">
        <f t="shared" si="70"/>
        <v>1</v>
      </c>
      <c r="P407" s="135"/>
      <c r="Q407" s="125">
        <f t="shared" si="71"/>
        <v>1</v>
      </c>
      <c r="R407" s="125">
        <f t="shared" si="72"/>
        <v>0</v>
      </c>
      <c r="S407" s="124">
        <f t="shared" si="73"/>
        <v>0</v>
      </c>
    </row>
    <row r="408" spans="1:19">
      <c r="A408" s="133"/>
      <c r="B408" s="134"/>
      <c r="C408" s="125">
        <f t="shared" si="64"/>
        <v>1</v>
      </c>
      <c r="D408" s="135"/>
      <c r="E408" s="125">
        <f t="shared" si="65"/>
        <v>1</v>
      </c>
      <c r="F408" s="135"/>
      <c r="G408" s="125">
        <f t="shared" si="66"/>
        <v>1</v>
      </c>
      <c r="H408" s="135"/>
      <c r="I408" s="125">
        <f t="shared" si="67"/>
        <v>1</v>
      </c>
      <c r="J408" s="135"/>
      <c r="K408" s="125">
        <f t="shared" si="68"/>
        <v>1</v>
      </c>
      <c r="L408" s="135"/>
      <c r="M408" s="125">
        <f t="shared" si="69"/>
        <v>1</v>
      </c>
      <c r="N408" s="135"/>
      <c r="O408" s="125">
        <f t="shared" si="70"/>
        <v>1</v>
      </c>
      <c r="P408" s="135"/>
      <c r="Q408" s="125">
        <f t="shared" si="71"/>
        <v>1</v>
      </c>
      <c r="R408" s="125">
        <f t="shared" si="72"/>
        <v>0</v>
      </c>
      <c r="S408" s="124">
        <f t="shared" si="73"/>
        <v>0</v>
      </c>
    </row>
    <row r="409" spans="1:19">
      <c r="A409" s="133"/>
      <c r="B409" s="134"/>
      <c r="C409" s="125">
        <f t="shared" si="64"/>
        <v>1</v>
      </c>
      <c r="D409" s="135"/>
      <c r="E409" s="125">
        <f t="shared" si="65"/>
        <v>1</v>
      </c>
      <c r="F409" s="135"/>
      <c r="G409" s="125">
        <f t="shared" si="66"/>
        <v>1</v>
      </c>
      <c r="H409" s="135"/>
      <c r="I409" s="125">
        <f t="shared" si="67"/>
        <v>1</v>
      </c>
      <c r="J409" s="135"/>
      <c r="K409" s="125">
        <f t="shared" si="68"/>
        <v>1</v>
      </c>
      <c r="L409" s="135"/>
      <c r="M409" s="125">
        <f t="shared" si="69"/>
        <v>1</v>
      </c>
      <c r="N409" s="135"/>
      <c r="O409" s="125">
        <f t="shared" si="70"/>
        <v>1</v>
      </c>
      <c r="P409" s="135"/>
      <c r="Q409" s="125">
        <f t="shared" si="71"/>
        <v>1</v>
      </c>
      <c r="R409" s="125">
        <f t="shared" si="72"/>
        <v>0</v>
      </c>
      <c r="S409" s="124">
        <f t="shared" si="73"/>
        <v>0</v>
      </c>
    </row>
    <row r="410" spans="1:19">
      <c r="A410" s="133"/>
      <c r="B410" s="134"/>
      <c r="C410" s="125">
        <f t="shared" ref="C410:C473" si="74">IF(B410="",1,(LOOKUP(B410,$3:$3,$4:$4)-LOOKUP($B$24,$3:$3,$4:$4)+100)/100)</f>
        <v>1</v>
      </c>
      <c r="D410" s="135"/>
      <c r="E410" s="125">
        <f t="shared" ref="E410:E473" si="75">(SUMIF($5:$5,D410,$6:$6)-SUMIF($5:$5,$D$24,$6:$6)+100)/100</f>
        <v>1</v>
      </c>
      <c r="F410" s="135"/>
      <c r="G410" s="125">
        <f t="shared" ref="G410:G473" si="76">(SUMIF($7:$7,F410,$8:$8)-SUMIF($7:$7,$F$24,$8:$8)+100)/100</f>
        <v>1</v>
      </c>
      <c r="H410" s="135"/>
      <c r="I410" s="125">
        <f t="shared" ref="I410:I473" si="77">(SUMIF($9:$9,H410,$10:$10)-SUMIF($9:$9,$H$24,$10:$10)+100)/100</f>
        <v>1</v>
      </c>
      <c r="J410" s="135"/>
      <c r="K410" s="125">
        <f t="shared" ref="K410:K473" si="78">(SUMIF($11:$11,J410,$12:$12)-SUMIF($11:$11,$J$24,$12:$12)+100)/100</f>
        <v>1</v>
      </c>
      <c r="L410" s="135"/>
      <c r="M410" s="125">
        <f t="shared" ref="M410:M473" si="79">(SUMIF($13:$13,L410,$14:$14)-SUMIF($13:$13,$L$24,$14:$14)+100)/100</f>
        <v>1</v>
      </c>
      <c r="N410" s="135"/>
      <c r="O410" s="125">
        <f t="shared" ref="O410:O473" si="80">(SUMIF($15:$15,N410,$16:$16)-SUMIF($15:$15,$N$24,$16:$16)+100)/100</f>
        <v>1</v>
      </c>
      <c r="P410" s="135"/>
      <c r="Q410" s="125">
        <f t="shared" ref="Q410:Q473" si="81">(SUMIF($17:$17,P410,$18:$18)-SUMIF($17:$17,$P$24,$18:$18)+100)/100</f>
        <v>1</v>
      </c>
      <c r="R410" s="125">
        <f t="shared" ref="R410:R473" si="82">IF(B410="",0,ROUND($R$24*C410*E410*G410*I410*K410*M410*O410*Q410,0))</f>
        <v>0</v>
      </c>
      <c r="S410" s="124">
        <f t="shared" si="73"/>
        <v>0</v>
      </c>
    </row>
    <row r="411" spans="1:19">
      <c r="A411" s="133"/>
      <c r="B411" s="134"/>
      <c r="C411" s="125">
        <f t="shared" si="74"/>
        <v>1</v>
      </c>
      <c r="D411" s="135"/>
      <c r="E411" s="125">
        <f t="shared" si="75"/>
        <v>1</v>
      </c>
      <c r="F411" s="135"/>
      <c r="G411" s="125">
        <f t="shared" si="76"/>
        <v>1</v>
      </c>
      <c r="H411" s="135"/>
      <c r="I411" s="125">
        <f t="shared" si="77"/>
        <v>1</v>
      </c>
      <c r="J411" s="135"/>
      <c r="K411" s="125">
        <f t="shared" si="78"/>
        <v>1</v>
      </c>
      <c r="L411" s="135"/>
      <c r="M411" s="125">
        <f t="shared" si="79"/>
        <v>1</v>
      </c>
      <c r="N411" s="135"/>
      <c r="O411" s="125">
        <f t="shared" si="80"/>
        <v>1</v>
      </c>
      <c r="P411" s="135"/>
      <c r="Q411" s="125">
        <f t="shared" si="81"/>
        <v>1</v>
      </c>
      <c r="R411" s="125">
        <f t="shared" si="82"/>
        <v>0</v>
      </c>
      <c r="S411" s="124">
        <f t="shared" si="73"/>
        <v>0</v>
      </c>
    </row>
    <row r="412" spans="1:19">
      <c r="A412" s="133"/>
      <c r="B412" s="134"/>
      <c r="C412" s="125">
        <f t="shared" si="74"/>
        <v>1</v>
      </c>
      <c r="D412" s="135"/>
      <c r="E412" s="125">
        <f t="shared" si="75"/>
        <v>1</v>
      </c>
      <c r="F412" s="135"/>
      <c r="G412" s="125">
        <f t="shared" si="76"/>
        <v>1</v>
      </c>
      <c r="H412" s="135"/>
      <c r="I412" s="125">
        <f t="shared" si="77"/>
        <v>1</v>
      </c>
      <c r="J412" s="135"/>
      <c r="K412" s="125">
        <f t="shared" si="78"/>
        <v>1</v>
      </c>
      <c r="L412" s="135"/>
      <c r="M412" s="125">
        <f t="shared" si="79"/>
        <v>1</v>
      </c>
      <c r="N412" s="135"/>
      <c r="O412" s="125">
        <f t="shared" si="80"/>
        <v>1</v>
      </c>
      <c r="P412" s="135"/>
      <c r="Q412" s="125">
        <f t="shared" si="81"/>
        <v>1</v>
      </c>
      <c r="R412" s="125">
        <f t="shared" si="82"/>
        <v>0</v>
      </c>
      <c r="S412" s="124">
        <f t="shared" si="73"/>
        <v>0</v>
      </c>
    </row>
    <row r="413" spans="1:19">
      <c r="A413" s="133"/>
      <c r="B413" s="134"/>
      <c r="C413" s="125">
        <f t="shared" si="74"/>
        <v>1</v>
      </c>
      <c r="D413" s="135"/>
      <c r="E413" s="125">
        <f t="shared" si="75"/>
        <v>1</v>
      </c>
      <c r="F413" s="135"/>
      <c r="G413" s="125">
        <f t="shared" si="76"/>
        <v>1</v>
      </c>
      <c r="H413" s="135"/>
      <c r="I413" s="125">
        <f t="shared" si="77"/>
        <v>1</v>
      </c>
      <c r="J413" s="135"/>
      <c r="K413" s="125">
        <f t="shared" si="78"/>
        <v>1</v>
      </c>
      <c r="L413" s="135"/>
      <c r="M413" s="125">
        <f t="shared" si="79"/>
        <v>1</v>
      </c>
      <c r="N413" s="135"/>
      <c r="O413" s="125">
        <f t="shared" si="80"/>
        <v>1</v>
      </c>
      <c r="P413" s="135"/>
      <c r="Q413" s="125">
        <f t="shared" si="81"/>
        <v>1</v>
      </c>
      <c r="R413" s="125">
        <f t="shared" si="82"/>
        <v>0</v>
      </c>
      <c r="S413" s="124">
        <f t="shared" si="73"/>
        <v>0</v>
      </c>
    </row>
    <row r="414" spans="1:19">
      <c r="A414" s="133"/>
      <c r="B414" s="134"/>
      <c r="C414" s="125">
        <f t="shared" si="74"/>
        <v>1</v>
      </c>
      <c r="D414" s="135"/>
      <c r="E414" s="125">
        <f t="shared" si="75"/>
        <v>1</v>
      </c>
      <c r="F414" s="135"/>
      <c r="G414" s="125">
        <f t="shared" si="76"/>
        <v>1</v>
      </c>
      <c r="H414" s="135"/>
      <c r="I414" s="125">
        <f t="shared" si="77"/>
        <v>1</v>
      </c>
      <c r="J414" s="135"/>
      <c r="K414" s="125">
        <f t="shared" si="78"/>
        <v>1</v>
      </c>
      <c r="L414" s="135"/>
      <c r="M414" s="125">
        <f t="shared" si="79"/>
        <v>1</v>
      </c>
      <c r="N414" s="135"/>
      <c r="O414" s="125">
        <f t="shared" si="80"/>
        <v>1</v>
      </c>
      <c r="P414" s="135"/>
      <c r="Q414" s="125">
        <f t="shared" si="81"/>
        <v>1</v>
      </c>
      <c r="R414" s="125">
        <f t="shared" si="82"/>
        <v>0</v>
      </c>
      <c r="S414" s="124">
        <f t="shared" si="73"/>
        <v>0</v>
      </c>
    </row>
    <row r="415" spans="1:19">
      <c r="A415" s="133"/>
      <c r="B415" s="134"/>
      <c r="C415" s="125">
        <f t="shared" si="74"/>
        <v>1</v>
      </c>
      <c r="D415" s="135"/>
      <c r="E415" s="125">
        <f t="shared" si="75"/>
        <v>1</v>
      </c>
      <c r="F415" s="135"/>
      <c r="G415" s="125">
        <f t="shared" si="76"/>
        <v>1</v>
      </c>
      <c r="H415" s="135"/>
      <c r="I415" s="125">
        <f t="shared" si="77"/>
        <v>1</v>
      </c>
      <c r="J415" s="135"/>
      <c r="K415" s="125">
        <f t="shared" si="78"/>
        <v>1</v>
      </c>
      <c r="L415" s="135"/>
      <c r="M415" s="125">
        <f t="shared" si="79"/>
        <v>1</v>
      </c>
      <c r="N415" s="135"/>
      <c r="O415" s="125">
        <f t="shared" si="80"/>
        <v>1</v>
      </c>
      <c r="P415" s="135"/>
      <c r="Q415" s="125">
        <f t="shared" si="81"/>
        <v>1</v>
      </c>
      <c r="R415" s="125">
        <f t="shared" si="82"/>
        <v>0</v>
      </c>
      <c r="S415" s="124">
        <f t="shared" si="73"/>
        <v>0</v>
      </c>
    </row>
    <row r="416" spans="1:19">
      <c r="A416" s="133"/>
      <c r="B416" s="134"/>
      <c r="C416" s="125">
        <f t="shared" si="74"/>
        <v>1</v>
      </c>
      <c r="D416" s="135"/>
      <c r="E416" s="125">
        <f t="shared" si="75"/>
        <v>1</v>
      </c>
      <c r="F416" s="135"/>
      <c r="G416" s="125">
        <f t="shared" si="76"/>
        <v>1</v>
      </c>
      <c r="H416" s="135"/>
      <c r="I416" s="125">
        <f t="shared" si="77"/>
        <v>1</v>
      </c>
      <c r="J416" s="135"/>
      <c r="K416" s="125">
        <f t="shared" si="78"/>
        <v>1</v>
      </c>
      <c r="L416" s="135"/>
      <c r="M416" s="125">
        <f t="shared" si="79"/>
        <v>1</v>
      </c>
      <c r="N416" s="135"/>
      <c r="O416" s="125">
        <f t="shared" si="80"/>
        <v>1</v>
      </c>
      <c r="P416" s="135"/>
      <c r="Q416" s="125">
        <f t="shared" si="81"/>
        <v>1</v>
      </c>
      <c r="R416" s="125">
        <f t="shared" si="82"/>
        <v>0</v>
      </c>
      <c r="S416" s="124">
        <f t="shared" si="73"/>
        <v>0</v>
      </c>
    </row>
    <row r="417" spans="1:19">
      <c r="A417" s="133"/>
      <c r="B417" s="134"/>
      <c r="C417" s="125">
        <f t="shared" si="74"/>
        <v>1</v>
      </c>
      <c r="D417" s="135"/>
      <c r="E417" s="125">
        <f t="shared" si="75"/>
        <v>1</v>
      </c>
      <c r="F417" s="135"/>
      <c r="G417" s="125">
        <f t="shared" si="76"/>
        <v>1</v>
      </c>
      <c r="H417" s="135"/>
      <c r="I417" s="125">
        <f t="shared" si="77"/>
        <v>1</v>
      </c>
      <c r="J417" s="135"/>
      <c r="K417" s="125">
        <f t="shared" si="78"/>
        <v>1</v>
      </c>
      <c r="L417" s="135"/>
      <c r="M417" s="125">
        <f t="shared" si="79"/>
        <v>1</v>
      </c>
      <c r="N417" s="135"/>
      <c r="O417" s="125">
        <f t="shared" si="80"/>
        <v>1</v>
      </c>
      <c r="P417" s="135"/>
      <c r="Q417" s="125">
        <f t="shared" si="81"/>
        <v>1</v>
      </c>
      <c r="R417" s="125">
        <f t="shared" si="82"/>
        <v>0</v>
      </c>
      <c r="S417" s="124">
        <f t="shared" si="73"/>
        <v>0</v>
      </c>
    </row>
    <row r="418" spans="1:19">
      <c r="A418" s="133"/>
      <c r="B418" s="134"/>
      <c r="C418" s="125">
        <f t="shared" si="74"/>
        <v>1</v>
      </c>
      <c r="D418" s="135"/>
      <c r="E418" s="125">
        <f t="shared" si="75"/>
        <v>1</v>
      </c>
      <c r="F418" s="135"/>
      <c r="G418" s="125">
        <f t="shared" si="76"/>
        <v>1</v>
      </c>
      <c r="H418" s="135"/>
      <c r="I418" s="125">
        <f t="shared" si="77"/>
        <v>1</v>
      </c>
      <c r="J418" s="135"/>
      <c r="K418" s="125">
        <f t="shared" si="78"/>
        <v>1</v>
      </c>
      <c r="L418" s="135"/>
      <c r="M418" s="125">
        <f t="shared" si="79"/>
        <v>1</v>
      </c>
      <c r="N418" s="135"/>
      <c r="O418" s="125">
        <f t="shared" si="80"/>
        <v>1</v>
      </c>
      <c r="P418" s="135"/>
      <c r="Q418" s="125">
        <f t="shared" si="81"/>
        <v>1</v>
      </c>
      <c r="R418" s="125">
        <f t="shared" si="82"/>
        <v>0</v>
      </c>
      <c r="S418" s="124">
        <f t="shared" si="73"/>
        <v>0</v>
      </c>
    </row>
    <row r="419" spans="1:19">
      <c r="A419" s="133"/>
      <c r="B419" s="134"/>
      <c r="C419" s="125">
        <f t="shared" si="74"/>
        <v>1</v>
      </c>
      <c r="D419" s="135"/>
      <c r="E419" s="125">
        <f t="shared" si="75"/>
        <v>1</v>
      </c>
      <c r="F419" s="135"/>
      <c r="G419" s="125">
        <f t="shared" si="76"/>
        <v>1</v>
      </c>
      <c r="H419" s="135"/>
      <c r="I419" s="125">
        <f t="shared" si="77"/>
        <v>1</v>
      </c>
      <c r="J419" s="135"/>
      <c r="K419" s="125">
        <f t="shared" si="78"/>
        <v>1</v>
      </c>
      <c r="L419" s="135"/>
      <c r="M419" s="125">
        <f t="shared" si="79"/>
        <v>1</v>
      </c>
      <c r="N419" s="135"/>
      <c r="O419" s="125">
        <f t="shared" si="80"/>
        <v>1</v>
      </c>
      <c r="P419" s="135"/>
      <c r="Q419" s="125">
        <f t="shared" si="81"/>
        <v>1</v>
      </c>
      <c r="R419" s="125">
        <f t="shared" si="82"/>
        <v>0</v>
      </c>
      <c r="S419" s="124">
        <f t="shared" si="73"/>
        <v>0</v>
      </c>
    </row>
    <row r="420" spans="1:19">
      <c r="A420" s="133"/>
      <c r="B420" s="134"/>
      <c r="C420" s="125">
        <f t="shared" si="74"/>
        <v>1</v>
      </c>
      <c r="D420" s="135"/>
      <c r="E420" s="125">
        <f t="shared" si="75"/>
        <v>1</v>
      </c>
      <c r="F420" s="135"/>
      <c r="G420" s="125">
        <f t="shared" si="76"/>
        <v>1</v>
      </c>
      <c r="H420" s="135"/>
      <c r="I420" s="125">
        <f t="shared" si="77"/>
        <v>1</v>
      </c>
      <c r="J420" s="135"/>
      <c r="K420" s="125">
        <f t="shared" si="78"/>
        <v>1</v>
      </c>
      <c r="L420" s="135"/>
      <c r="M420" s="125">
        <f t="shared" si="79"/>
        <v>1</v>
      </c>
      <c r="N420" s="135"/>
      <c r="O420" s="125">
        <f t="shared" si="80"/>
        <v>1</v>
      </c>
      <c r="P420" s="135"/>
      <c r="Q420" s="125">
        <f t="shared" si="81"/>
        <v>1</v>
      </c>
      <c r="R420" s="125">
        <f t="shared" si="82"/>
        <v>0</v>
      </c>
      <c r="S420" s="124">
        <f t="shared" si="73"/>
        <v>0</v>
      </c>
    </row>
    <row r="421" spans="1:19">
      <c r="A421" s="133"/>
      <c r="B421" s="134"/>
      <c r="C421" s="125">
        <f t="shared" si="74"/>
        <v>1</v>
      </c>
      <c r="D421" s="135"/>
      <c r="E421" s="125">
        <f t="shared" si="75"/>
        <v>1</v>
      </c>
      <c r="F421" s="135"/>
      <c r="G421" s="125">
        <f t="shared" si="76"/>
        <v>1</v>
      </c>
      <c r="H421" s="135"/>
      <c r="I421" s="125">
        <f t="shared" si="77"/>
        <v>1</v>
      </c>
      <c r="J421" s="135"/>
      <c r="K421" s="125">
        <f t="shared" si="78"/>
        <v>1</v>
      </c>
      <c r="L421" s="135"/>
      <c r="M421" s="125">
        <f t="shared" si="79"/>
        <v>1</v>
      </c>
      <c r="N421" s="135"/>
      <c r="O421" s="125">
        <f t="shared" si="80"/>
        <v>1</v>
      </c>
      <c r="P421" s="135"/>
      <c r="Q421" s="125">
        <f t="shared" si="81"/>
        <v>1</v>
      </c>
      <c r="R421" s="125">
        <f t="shared" si="82"/>
        <v>0</v>
      </c>
      <c r="S421" s="124">
        <f t="shared" si="73"/>
        <v>0</v>
      </c>
    </row>
    <row r="422" spans="1:19">
      <c r="A422" s="133"/>
      <c r="B422" s="134"/>
      <c r="C422" s="125">
        <f t="shared" si="74"/>
        <v>1</v>
      </c>
      <c r="D422" s="135"/>
      <c r="E422" s="125">
        <f t="shared" si="75"/>
        <v>1</v>
      </c>
      <c r="F422" s="135"/>
      <c r="G422" s="125">
        <f t="shared" si="76"/>
        <v>1</v>
      </c>
      <c r="H422" s="135"/>
      <c r="I422" s="125">
        <f t="shared" si="77"/>
        <v>1</v>
      </c>
      <c r="J422" s="135"/>
      <c r="K422" s="125">
        <f t="shared" si="78"/>
        <v>1</v>
      </c>
      <c r="L422" s="135"/>
      <c r="M422" s="125">
        <f t="shared" si="79"/>
        <v>1</v>
      </c>
      <c r="N422" s="135"/>
      <c r="O422" s="125">
        <f t="shared" si="80"/>
        <v>1</v>
      </c>
      <c r="P422" s="135"/>
      <c r="Q422" s="125">
        <f t="shared" si="81"/>
        <v>1</v>
      </c>
      <c r="R422" s="125">
        <f t="shared" si="82"/>
        <v>0</v>
      </c>
      <c r="S422" s="124">
        <f t="shared" si="73"/>
        <v>0</v>
      </c>
    </row>
    <row r="423" spans="1:19">
      <c r="A423" s="133"/>
      <c r="B423" s="134"/>
      <c r="C423" s="125">
        <f t="shared" si="74"/>
        <v>1</v>
      </c>
      <c r="D423" s="135"/>
      <c r="E423" s="125">
        <f t="shared" si="75"/>
        <v>1</v>
      </c>
      <c r="F423" s="135"/>
      <c r="G423" s="125">
        <f t="shared" si="76"/>
        <v>1</v>
      </c>
      <c r="H423" s="135"/>
      <c r="I423" s="125">
        <f t="shared" si="77"/>
        <v>1</v>
      </c>
      <c r="J423" s="135"/>
      <c r="K423" s="125">
        <f t="shared" si="78"/>
        <v>1</v>
      </c>
      <c r="L423" s="135"/>
      <c r="M423" s="125">
        <f t="shared" si="79"/>
        <v>1</v>
      </c>
      <c r="N423" s="135"/>
      <c r="O423" s="125">
        <f t="shared" si="80"/>
        <v>1</v>
      </c>
      <c r="P423" s="135"/>
      <c r="Q423" s="125">
        <f t="shared" si="81"/>
        <v>1</v>
      </c>
      <c r="R423" s="125">
        <f t="shared" si="82"/>
        <v>0</v>
      </c>
      <c r="S423" s="124">
        <f t="shared" ref="S423:S467" si="83">ROUND(R423*B423/10000,0)</f>
        <v>0</v>
      </c>
    </row>
    <row r="424" spans="1:19">
      <c r="A424" s="133"/>
      <c r="B424" s="134"/>
      <c r="C424" s="125">
        <f t="shared" si="74"/>
        <v>1</v>
      </c>
      <c r="D424" s="135"/>
      <c r="E424" s="125">
        <f t="shared" si="75"/>
        <v>1</v>
      </c>
      <c r="F424" s="135"/>
      <c r="G424" s="125">
        <f t="shared" si="76"/>
        <v>1</v>
      </c>
      <c r="H424" s="135"/>
      <c r="I424" s="125">
        <f t="shared" si="77"/>
        <v>1</v>
      </c>
      <c r="J424" s="135"/>
      <c r="K424" s="125">
        <f t="shared" si="78"/>
        <v>1</v>
      </c>
      <c r="L424" s="135"/>
      <c r="M424" s="125">
        <f t="shared" si="79"/>
        <v>1</v>
      </c>
      <c r="N424" s="135"/>
      <c r="O424" s="125">
        <f t="shared" si="80"/>
        <v>1</v>
      </c>
      <c r="P424" s="135"/>
      <c r="Q424" s="125">
        <f t="shared" si="81"/>
        <v>1</v>
      </c>
      <c r="R424" s="125">
        <f t="shared" si="82"/>
        <v>0</v>
      </c>
      <c r="S424" s="124">
        <f t="shared" si="83"/>
        <v>0</v>
      </c>
    </row>
    <row r="425" spans="1:19">
      <c r="A425" s="133"/>
      <c r="B425" s="134"/>
      <c r="C425" s="125">
        <f t="shared" si="74"/>
        <v>1</v>
      </c>
      <c r="D425" s="135"/>
      <c r="E425" s="125">
        <f t="shared" si="75"/>
        <v>1</v>
      </c>
      <c r="F425" s="135"/>
      <c r="G425" s="125">
        <f t="shared" si="76"/>
        <v>1</v>
      </c>
      <c r="H425" s="135"/>
      <c r="I425" s="125">
        <f t="shared" si="77"/>
        <v>1</v>
      </c>
      <c r="J425" s="135"/>
      <c r="K425" s="125">
        <f t="shared" si="78"/>
        <v>1</v>
      </c>
      <c r="L425" s="135"/>
      <c r="M425" s="125">
        <f t="shared" si="79"/>
        <v>1</v>
      </c>
      <c r="N425" s="135"/>
      <c r="O425" s="125">
        <f t="shared" si="80"/>
        <v>1</v>
      </c>
      <c r="P425" s="135"/>
      <c r="Q425" s="125">
        <f t="shared" si="81"/>
        <v>1</v>
      </c>
      <c r="R425" s="125">
        <f t="shared" si="82"/>
        <v>0</v>
      </c>
      <c r="S425" s="124">
        <f t="shared" si="83"/>
        <v>0</v>
      </c>
    </row>
    <row r="426" spans="1:19">
      <c r="A426" s="133"/>
      <c r="B426" s="134"/>
      <c r="C426" s="125">
        <f t="shared" si="74"/>
        <v>1</v>
      </c>
      <c r="D426" s="135"/>
      <c r="E426" s="125">
        <f t="shared" si="75"/>
        <v>1</v>
      </c>
      <c r="F426" s="135"/>
      <c r="G426" s="125">
        <f t="shared" si="76"/>
        <v>1</v>
      </c>
      <c r="H426" s="135"/>
      <c r="I426" s="125">
        <f t="shared" si="77"/>
        <v>1</v>
      </c>
      <c r="J426" s="135"/>
      <c r="K426" s="125">
        <f t="shared" si="78"/>
        <v>1</v>
      </c>
      <c r="L426" s="135"/>
      <c r="M426" s="125">
        <f t="shared" si="79"/>
        <v>1</v>
      </c>
      <c r="N426" s="135"/>
      <c r="O426" s="125">
        <f t="shared" si="80"/>
        <v>1</v>
      </c>
      <c r="P426" s="135"/>
      <c r="Q426" s="125">
        <f t="shared" si="81"/>
        <v>1</v>
      </c>
      <c r="R426" s="125">
        <f t="shared" si="82"/>
        <v>0</v>
      </c>
      <c r="S426" s="124">
        <f t="shared" si="83"/>
        <v>0</v>
      </c>
    </row>
    <row r="427" spans="1:19">
      <c r="A427" s="133"/>
      <c r="B427" s="134"/>
      <c r="C427" s="125">
        <f t="shared" si="74"/>
        <v>1</v>
      </c>
      <c r="D427" s="135"/>
      <c r="E427" s="125">
        <f t="shared" si="75"/>
        <v>1</v>
      </c>
      <c r="F427" s="135"/>
      <c r="G427" s="125">
        <f t="shared" si="76"/>
        <v>1</v>
      </c>
      <c r="H427" s="135"/>
      <c r="I427" s="125">
        <f t="shared" si="77"/>
        <v>1</v>
      </c>
      <c r="J427" s="135"/>
      <c r="K427" s="125">
        <f t="shared" si="78"/>
        <v>1</v>
      </c>
      <c r="L427" s="135"/>
      <c r="M427" s="125">
        <f t="shared" si="79"/>
        <v>1</v>
      </c>
      <c r="N427" s="135"/>
      <c r="O427" s="125">
        <f t="shared" si="80"/>
        <v>1</v>
      </c>
      <c r="P427" s="135"/>
      <c r="Q427" s="125">
        <f t="shared" si="81"/>
        <v>1</v>
      </c>
      <c r="R427" s="125">
        <f t="shared" si="82"/>
        <v>0</v>
      </c>
      <c r="S427" s="124">
        <f t="shared" si="83"/>
        <v>0</v>
      </c>
    </row>
    <row r="428" spans="1:19">
      <c r="A428" s="133"/>
      <c r="B428" s="134"/>
      <c r="C428" s="125">
        <f t="shared" si="74"/>
        <v>1</v>
      </c>
      <c r="D428" s="135"/>
      <c r="E428" s="125">
        <f t="shared" si="75"/>
        <v>1</v>
      </c>
      <c r="F428" s="135"/>
      <c r="G428" s="125">
        <f t="shared" si="76"/>
        <v>1</v>
      </c>
      <c r="H428" s="135"/>
      <c r="I428" s="125">
        <f t="shared" si="77"/>
        <v>1</v>
      </c>
      <c r="J428" s="135"/>
      <c r="K428" s="125">
        <f t="shared" si="78"/>
        <v>1</v>
      </c>
      <c r="L428" s="135"/>
      <c r="M428" s="125">
        <f t="shared" si="79"/>
        <v>1</v>
      </c>
      <c r="N428" s="135"/>
      <c r="O428" s="125">
        <f t="shared" si="80"/>
        <v>1</v>
      </c>
      <c r="P428" s="135"/>
      <c r="Q428" s="125">
        <f t="shared" si="81"/>
        <v>1</v>
      </c>
      <c r="R428" s="125">
        <f t="shared" si="82"/>
        <v>0</v>
      </c>
      <c r="S428" s="124">
        <f t="shared" si="83"/>
        <v>0</v>
      </c>
    </row>
    <row r="429" spans="1:19">
      <c r="A429" s="133"/>
      <c r="B429" s="134"/>
      <c r="C429" s="125">
        <f t="shared" si="74"/>
        <v>1</v>
      </c>
      <c r="D429" s="135"/>
      <c r="E429" s="125">
        <f t="shared" si="75"/>
        <v>1</v>
      </c>
      <c r="F429" s="135"/>
      <c r="G429" s="125">
        <f t="shared" si="76"/>
        <v>1</v>
      </c>
      <c r="H429" s="135"/>
      <c r="I429" s="125">
        <f t="shared" si="77"/>
        <v>1</v>
      </c>
      <c r="J429" s="135"/>
      <c r="K429" s="125">
        <f t="shared" si="78"/>
        <v>1</v>
      </c>
      <c r="L429" s="135"/>
      <c r="M429" s="125">
        <f t="shared" si="79"/>
        <v>1</v>
      </c>
      <c r="N429" s="135"/>
      <c r="O429" s="125">
        <f t="shared" si="80"/>
        <v>1</v>
      </c>
      <c r="P429" s="135"/>
      <c r="Q429" s="125">
        <f t="shared" si="81"/>
        <v>1</v>
      </c>
      <c r="R429" s="125">
        <f t="shared" si="82"/>
        <v>0</v>
      </c>
      <c r="S429" s="124">
        <f t="shared" si="83"/>
        <v>0</v>
      </c>
    </row>
    <row r="430" spans="1:19">
      <c r="A430" s="133"/>
      <c r="B430" s="134"/>
      <c r="C430" s="125">
        <f t="shared" si="74"/>
        <v>1</v>
      </c>
      <c r="D430" s="135"/>
      <c r="E430" s="125">
        <f t="shared" si="75"/>
        <v>1</v>
      </c>
      <c r="F430" s="135"/>
      <c r="G430" s="125">
        <f t="shared" si="76"/>
        <v>1</v>
      </c>
      <c r="H430" s="135"/>
      <c r="I430" s="125">
        <f t="shared" si="77"/>
        <v>1</v>
      </c>
      <c r="J430" s="135"/>
      <c r="K430" s="125">
        <f t="shared" si="78"/>
        <v>1</v>
      </c>
      <c r="L430" s="135"/>
      <c r="M430" s="125">
        <f t="shared" si="79"/>
        <v>1</v>
      </c>
      <c r="N430" s="135"/>
      <c r="O430" s="125">
        <f t="shared" si="80"/>
        <v>1</v>
      </c>
      <c r="P430" s="135"/>
      <c r="Q430" s="125">
        <f t="shared" si="81"/>
        <v>1</v>
      </c>
      <c r="R430" s="125">
        <f t="shared" si="82"/>
        <v>0</v>
      </c>
      <c r="S430" s="124">
        <f t="shared" si="83"/>
        <v>0</v>
      </c>
    </row>
    <row r="431" spans="1:19">
      <c r="A431" s="133"/>
      <c r="B431" s="134"/>
      <c r="C431" s="125">
        <f t="shared" si="74"/>
        <v>1</v>
      </c>
      <c r="D431" s="135"/>
      <c r="E431" s="125">
        <f t="shared" si="75"/>
        <v>1</v>
      </c>
      <c r="F431" s="135"/>
      <c r="G431" s="125">
        <f t="shared" si="76"/>
        <v>1</v>
      </c>
      <c r="H431" s="135"/>
      <c r="I431" s="125">
        <f t="shared" si="77"/>
        <v>1</v>
      </c>
      <c r="J431" s="135"/>
      <c r="K431" s="125">
        <f t="shared" si="78"/>
        <v>1</v>
      </c>
      <c r="L431" s="135"/>
      <c r="M431" s="125">
        <f t="shared" si="79"/>
        <v>1</v>
      </c>
      <c r="N431" s="135"/>
      <c r="O431" s="125">
        <f t="shared" si="80"/>
        <v>1</v>
      </c>
      <c r="P431" s="135"/>
      <c r="Q431" s="125">
        <f t="shared" si="81"/>
        <v>1</v>
      </c>
      <c r="R431" s="125">
        <f t="shared" si="82"/>
        <v>0</v>
      </c>
      <c r="S431" s="124">
        <f t="shared" si="83"/>
        <v>0</v>
      </c>
    </row>
    <row r="432" spans="1:19">
      <c r="A432" s="133"/>
      <c r="B432" s="134"/>
      <c r="C432" s="125">
        <f t="shared" si="74"/>
        <v>1</v>
      </c>
      <c r="D432" s="135"/>
      <c r="E432" s="125">
        <f t="shared" si="75"/>
        <v>1</v>
      </c>
      <c r="F432" s="135"/>
      <c r="G432" s="125">
        <f t="shared" si="76"/>
        <v>1</v>
      </c>
      <c r="H432" s="135"/>
      <c r="I432" s="125">
        <f t="shared" si="77"/>
        <v>1</v>
      </c>
      <c r="J432" s="135"/>
      <c r="K432" s="125">
        <f t="shared" si="78"/>
        <v>1</v>
      </c>
      <c r="L432" s="135"/>
      <c r="M432" s="125">
        <f t="shared" si="79"/>
        <v>1</v>
      </c>
      <c r="N432" s="135"/>
      <c r="O432" s="125">
        <f t="shared" si="80"/>
        <v>1</v>
      </c>
      <c r="P432" s="135"/>
      <c r="Q432" s="125">
        <f t="shared" si="81"/>
        <v>1</v>
      </c>
      <c r="R432" s="125">
        <f t="shared" si="82"/>
        <v>0</v>
      </c>
      <c r="S432" s="124">
        <f t="shared" si="83"/>
        <v>0</v>
      </c>
    </row>
    <row r="433" spans="1:19">
      <c r="A433" s="133"/>
      <c r="B433" s="134"/>
      <c r="C433" s="125">
        <f t="shared" si="74"/>
        <v>1</v>
      </c>
      <c r="D433" s="135"/>
      <c r="E433" s="125">
        <f t="shared" si="75"/>
        <v>1</v>
      </c>
      <c r="F433" s="135"/>
      <c r="G433" s="125">
        <f t="shared" si="76"/>
        <v>1</v>
      </c>
      <c r="H433" s="135"/>
      <c r="I433" s="125">
        <f t="shared" si="77"/>
        <v>1</v>
      </c>
      <c r="J433" s="135"/>
      <c r="K433" s="125">
        <f t="shared" si="78"/>
        <v>1</v>
      </c>
      <c r="L433" s="135"/>
      <c r="M433" s="125">
        <f t="shared" si="79"/>
        <v>1</v>
      </c>
      <c r="N433" s="135"/>
      <c r="O433" s="125">
        <f t="shared" si="80"/>
        <v>1</v>
      </c>
      <c r="P433" s="135"/>
      <c r="Q433" s="125">
        <f t="shared" si="81"/>
        <v>1</v>
      </c>
      <c r="R433" s="125">
        <f t="shared" si="82"/>
        <v>0</v>
      </c>
      <c r="S433" s="124">
        <f t="shared" si="83"/>
        <v>0</v>
      </c>
    </row>
    <row r="434" spans="1:19">
      <c r="A434" s="133"/>
      <c r="B434" s="134"/>
      <c r="C434" s="125">
        <f t="shared" si="74"/>
        <v>1</v>
      </c>
      <c r="D434" s="135"/>
      <c r="E434" s="125">
        <f t="shared" si="75"/>
        <v>1</v>
      </c>
      <c r="F434" s="135"/>
      <c r="G434" s="125">
        <f t="shared" si="76"/>
        <v>1</v>
      </c>
      <c r="H434" s="135"/>
      <c r="I434" s="125">
        <f t="shared" si="77"/>
        <v>1</v>
      </c>
      <c r="J434" s="135"/>
      <c r="K434" s="125">
        <f t="shared" si="78"/>
        <v>1</v>
      </c>
      <c r="L434" s="135"/>
      <c r="M434" s="125">
        <f t="shared" si="79"/>
        <v>1</v>
      </c>
      <c r="N434" s="135"/>
      <c r="O434" s="125">
        <f t="shared" si="80"/>
        <v>1</v>
      </c>
      <c r="P434" s="135"/>
      <c r="Q434" s="125">
        <f t="shared" si="81"/>
        <v>1</v>
      </c>
      <c r="R434" s="125">
        <f t="shared" si="82"/>
        <v>0</v>
      </c>
      <c r="S434" s="124">
        <f t="shared" si="83"/>
        <v>0</v>
      </c>
    </row>
    <row r="435" spans="1:19">
      <c r="A435" s="133"/>
      <c r="B435" s="134"/>
      <c r="C435" s="125">
        <f t="shared" si="74"/>
        <v>1</v>
      </c>
      <c r="D435" s="135"/>
      <c r="E435" s="125">
        <f t="shared" si="75"/>
        <v>1</v>
      </c>
      <c r="F435" s="135"/>
      <c r="G435" s="125">
        <f t="shared" si="76"/>
        <v>1</v>
      </c>
      <c r="H435" s="135"/>
      <c r="I435" s="125">
        <f t="shared" si="77"/>
        <v>1</v>
      </c>
      <c r="J435" s="135"/>
      <c r="K435" s="125">
        <f t="shared" si="78"/>
        <v>1</v>
      </c>
      <c r="L435" s="135"/>
      <c r="M435" s="125">
        <f t="shared" si="79"/>
        <v>1</v>
      </c>
      <c r="N435" s="135"/>
      <c r="O435" s="125">
        <f t="shared" si="80"/>
        <v>1</v>
      </c>
      <c r="P435" s="135"/>
      <c r="Q435" s="125">
        <f t="shared" si="81"/>
        <v>1</v>
      </c>
      <c r="R435" s="125">
        <f t="shared" si="82"/>
        <v>0</v>
      </c>
      <c r="S435" s="124">
        <f t="shared" si="83"/>
        <v>0</v>
      </c>
    </row>
    <row r="436" spans="1:19">
      <c r="A436" s="133"/>
      <c r="B436" s="134"/>
      <c r="C436" s="125">
        <f t="shared" si="74"/>
        <v>1</v>
      </c>
      <c r="D436" s="135"/>
      <c r="E436" s="125">
        <f t="shared" si="75"/>
        <v>1</v>
      </c>
      <c r="F436" s="135"/>
      <c r="G436" s="125">
        <f t="shared" si="76"/>
        <v>1</v>
      </c>
      <c r="H436" s="135"/>
      <c r="I436" s="125">
        <f t="shared" si="77"/>
        <v>1</v>
      </c>
      <c r="J436" s="135"/>
      <c r="K436" s="125">
        <f t="shared" si="78"/>
        <v>1</v>
      </c>
      <c r="L436" s="135"/>
      <c r="M436" s="125">
        <f t="shared" si="79"/>
        <v>1</v>
      </c>
      <c r="N436" s="135"/>
      <c r="O436" s="125">
        <f t="shared" si="80"/>
        <v>1</v>
      </c>
      <c r="P436" s="135"/>
      <c r="Q436" s="125">
        <f t="shared" si="81"/>
        <v>1</v>
      </c>
      <c r="R436" s="125">
        <f t="shared" si="82"/>
        <v>0</v>
      </c>
      <c r="S436" s="124">
        <f t="shared" si="83"/>
        <v>0</v>
      </c>
    </row>
    <row r="437" spans="1:19">
      <c r="A437" s="133"/>
      <c r="B437" s="134"/>
      <c r="C437" s="125">
        <f t="shared" si="74"/>
        <v>1</v>
      </c>
      <c r="D437" s="135"/>
      <c r="E437" s="125">
        <f t="shared" si="75"/>
        <v>1</v>
      </c>
      <c r="F437" s="135"/>
      <c r="G437" s="125">
        <f t="shared" si="76"/>
        <v>1</v>
      </c>
      <c r="H437" s="135"/>
      <c r="I437" s="125">
        <f t="shared" si="77"/>
        <v>1</v>
      </c>
      <c r="J437" s="135"/>
      <c r="K437" s="125">
        <f t="shared" si="78"/>
        <v>1</v>
      </c>
      <c r="L437" s="135"/>
      <c r="M437" s="125">
        <f t="shared" si="79"/>
        <v>1</v>
      </c>
      <c r="N437" s="135"/>
      <c r="O437" s="125">
        <f t="shared" si="80"/>
        <v>1</v>
      </c>
      <c r="P437" s="135"/>
      <c r="Q437" s="125">
        <f t="shared" si="81"/>
        <v>1</v>
      </c>
      <c r="R437" s="125">
        <f t="shared" si="82"/>
        <v>0</v>
      </c>
      <c r="S437" s="124">
        <f t="shared" si="83"/>
        <v>0</v>
      </c>
    </row>
    <row r="438" spans="1:19">
      <c r="A438" s="133"/>
      <c r="B438" s="134"/>
      <c r="C438" s="125">
        <f t="shared" si="74"/>
        <v>1</v>
      </c>
      <c r="D438" s="135"/>
      <c r="E438" s="125">
        <f t="shared" si="75"/>
        <v>1</v>
      </c>
      <c r="F438" s="135"/>
      <c r="G438" s="125">
        <f t="shared" si="76"/>
        <v>1</v>
      </c>
      <c r="H438" s="135"/>
      <c r="I438" s="125">
        <f t="shared" si="77"/>
        <v>1</v>
      </c>
      <c r="J438" s="135"/>
      <c r="K438" s="125">
        <f t="shared" si="78"/>
        <v>1</v>
      </c>
      <c r="L438" s="135"/>
      <c r="M438" s="125">
        <f t="shared" si="79"/>
        <v>1</v>
      </c>
      <c r="N438" s="135"/>
      <c r="O438" s="125">
        <f t="shared" si="80"/>
        <v>1</v>
      </c>
      <c r="P438" s="135"/>
      <c r="Q438" s="125">
        <f t="shared" si="81"/>
        <v>1</v>
      </c>
      <c r="R438" s="125">
        <f t="shared" si="82"/>
        <v>0</v>
      </c>
      <c r="S438" s="124">
        <f t="shared" si="83"/>
        <v>0</v>
      </c>
    </row>
    <row r="439" spans="1:19">
      <c r="A439" s="133"/>
      <c r="B439" s="134"/>
      <c r="C439" s="125">
        <f t="shared" si="74"/>
        <v>1</v>
      </c>
      <c r="D439" s="135"/>
      <c r="E439" s="125">
        <f t="shared" si="75"/>
        <v>1</v>
      </c>
      <c r="F439" s="135"/>
      <c r="G439" s="125">
        <f t="shared" si="76"/>
        <v>1</v>
      </c>
      <c r="H439" s="135"/>
      <c r="I439" s="125">
        <f t="shared" si="77"/>
        <v>1</v>
      </c>
      <c r="J439" s="135"/>
      <c r="K439" s="125">
        <f t="shared" si="78"/>
        <v>1</v>
      </c>
      <c r="L439" s="135"/>
      <c r="M439" s="125">
        <f t="shared" si="79"/>
        <v>1</v>
      </c>
      <c r="N439" s="135"/>
      <c r="O439" s="125">
        <f t="shared" si="80"/>
        <v>1</v>
      </c>
      <c r="P439" s="135"/>
      <c r="Q439" s="125">
        <f t="shared" si="81"/>
        <v>1</v>
      </c>
      <c r="R439" s="125">
        <f t="shared" si="82"/>
        <v>0</v>
      </c>
      <c r="S439" s="124">
        <f t="shared" si="83"/>
        <v>0</v>
      </c>
    </row>
    <row r="440" spans="1:19">
      <c r="A440" s="133"/>
      <c r="B440" s="134"/>
      <c r="C440" s="125">
        <f t="shared" si="74"/>
        <v>1</v>
      </c>
      <c r="D440" s="135"/>
      <c r="E440" s="125">
        <f t="shared" si="75"/>
        <v>1</v>
      </c>
      <c r="F440" s="135"/>
      <c r="G440" s="125">
        <f t="shared" si="76"/>
        <v>1</v>
      </c>
      <c r="H440" s="135"/>
      <c r="I440" s="125">
        <f t="shared" si="77"/>
        <v>1</v>
      </c>
      <c r="J440" s="135"/>
      <c r="K440" s="125">
        <f t="shared" si="78"/>
        <v>1</v>
      </c>
      <c r="L440" s="135"/>
      <c r="M440" s="125">
        <f t="shared" si="79"/>
        <v>1</v>
      </c>
      <c r="N440" s="135"/>
      <c r="O440" s="125">
        <f t="shared" si="80"/>
        <v>1</v>
      </c>
      <c r="P440" s="135"/>
      <c r="Q440" s="125">
        <f t="shared" si="81"/>
        <v>1</v>
      </c>
      <c r="R440" s="125">
        <f t="shared" si="82"/>
        <v>0</v>
      </c>
      <c r="S440" s="124">
        <f t="shared" si="83"/>
        <v>0</v>
      </c>
    </row>
    <row r="441" spans="1:19">
      <c r="A441" s="133"/>
      <c r="B441" s="134"/>
      <c r="C441" s="125">
        <f t="shared" si="74"/>
        <v>1</v>
      </c>
      <c r="D441" s="135"/>
      <c r="E441" s="125">
        <f t="shared" si="75"/>
        <v>1</v>
      </c>
      <c r="F441" s="135"/>
      <c r="G441" s="125">
        <f t="shared" si="76"/>
        <v>1</v>
      </c>
      <c r="H441" s="135"/>
      <c r="I441" s="125">
        <f t="shared" si="77"/>
        <v>1</v>
      </c>
      <c r="J441" s="135"/>
      <c r="K441" s="125">
        <f t="shared" si="78"/>
        <v>1</v>
      </c>
      <c r="L441" s="135"/>
      <c r="M441" s="125">
        <f t="shared" si="79"/>
        <v>1</v>
      </c>
      <c r="N441" s="135"/>
      <c r="O441" s="125">
        <f t="shared" si="80"/>
        <v>1</v>
      </c>
      <c r="P441" s="135"/>
      <c r="Q441" s="125">
        <f t="shared" si="81"/>
        <v>1</v>
      </c>
      <c r="R441" s="125">
        <f t="shared" si="82"/>
        <v>0</v>
      </c>
      <c r="S441" s="124">
        <f t="shared" si="83"/>
        <v>0</v>
      </c>
    </row>
    <row r="442" spans="1:19">
      <c r="A442" s="133"/>
      <c r="B442" s="134"/>
      <c r="C442" s="125">
        <f t="shared" si="74"/>
        <v>1</v>
      </c>
      <c r="D442" s="135"/>
      <c r="E442" s="125">
        <f t="shared" si="75"/>
        <v>1</v>
      </c>
      <c r="F442" s="135"/>
      <c r="G442" s="125">
        <f t="shared" si="76"/>
        <v>1</v>
      </c>
      <c r="H442" s="135"/>
      <c r="I442" s="125">
        <f t="shared" si="77"/>
        <v>1</v>
      </c>
      <c r="J442" s="135"/>
      <c r="K442" s="125">
        <f t="shared" si="78"/>
        <v>1</v>
      </c>
      <c r="L442" s="135"/>
      <c r="M442" s="125">
        <f t="shared" si="79"/>
        <v>1</v>
      </c>
      <c r="N442" s="135"/>
      <c r="O442" s="125">
        <f t="shared" si="80"/>
        <v>1</v>
      </c>
      <c r="P442" s="135"/>
      <c r="Q442" s="125">
        <f t="shared" si="81"/>
        <v>1</v>
      </c>
      <c r="R442" s="125">
        <f t="shared" si="82"/>
        <v>0</v>
      </c>
      <c r="S442" s="124">
        <f t="shared" si="83"/>
        <v>0</v>
      </c>
    </row>
    <row r="443" spans="1:19">
      <c r="A443" s="133"/>
      <c r="B443" s="134"/>
      <c r="C443" s="125">
        <f t="shared" si="74"/>
        <v>1</v>
      </c>
      <c r="D443" s="135"/>
      <c r="E443" s="125">
        <f t="shared" si="75"/>
        <v>1</v>
      </c>
      <c r="F443" s="135"/>
      <c r="G443" s="125">
        <f t="shared" si="76"/>
        <v>1</v>
      </c>
      <c r="H443" s="135"/>
      <c r="I443" s="125">
        <f t="shared" si="77"/>
        <v>1</v>
      </c>
      <c r="J443" s="135"/>
      <c r="K443" s="125">
        <f t="shared" si="78"/>
        <v>1</v>
      </c>
      <c r="L443" s="135"/>
      <c r="M443" s="125">
        <f t="shared" si="79"/>
        <v>1</v>
      </c>
      <c r="N443" s="135"/>
      <c r="O443" s="125">
        <f t="shared" si="80"/>
        <v>1</v>
      </c>
      <c r="P443" s="135"/>
      <c r="Q443" s="125">
        <f t="shared" si="81"/>
        <v>1</v>
      </c>
      <c r="R443" s="125">
        <f t="shared" si="82"/>
        <v>0</v>
      </c>
      <c r="S443" s="124">
        <f t="shared" si="83"/>
        <v>0</v>
      </c>
    </row>
    <row r="444" spans="1:19">
      <c r="A444" s="133"/>
      <c r="B444" s="134"/>
      <c r="C444" s="125">
        <f t="shared" si="74"/>
        <v>1</v>
      </c>
      <c r="D444" s="135"/>
      <c r="E444" s="125">
        <f t="shared" si="75"/>
        <v>1</v>
      </c>
      <c r="F444" s="135"/>
      <c r="G444" s="125">
        <f t="shared" si="76"/>
        <v>1</v>
      </c>
      <c r="H444" s="135"/>
      <c r="I444" s="125">
        <f t="shared" si="77"/>
        <v>1</v>
      </c>
      <c r="J444" s="135"/>
      <c r="K444" s="125">
        <f t="shared" si="78"/>
        <v>1</v>
      </c>
      <c r="L444" s="135"/>
      <c r="M444" s="125">
        <f t="shared" si="79"/>
        <v>1</v>
      </c>
      <c r="N444" s="135"/>
      <c r="O444" s="125">
        <f t="shared" si="80"/>
        <v>1</v>
      </c>
      <c r="P444" s="135"/>
      <c r="Q444" s="125">
        <f t="shared" si="81"/>
        <v>1</v>
      </c>
      <c r="R444" s="125">
        <f t="shared" si="82"/>
        <v>0</v>
      </c>
      <c r="S444" s="124">
        <f t="shared" si="83"/>
        <v>0</v>
      </c>
    </row>
    <row r="445" spans="1:19">
      <c r="A445" s="133"/>
      <c r="B445" s="134"/>
      <c r="C445" s="125">
        <f t="shared" si="74"/>
        <v>1</v>
      </c>
      <c r="D445" s="135"/>
      <c r="E445" s="125">
        <f t="shared" si="75"/>
        <v>1</v>
      </c>
      <c r="F445" s="135"/>
      <c r="G445" s="125">
        <f t="shared" si="76"/>
        <v>1</v>
      </c>
      <c r="H445" s="135"/>
      <c r="I445" s="125">
        <f t="shared" si="77"/>
        <v>1</v>
      </c>
      <c r="J445" s="135"/>
      <c r="K445" s="125">
        <f t="shared" si="78"/>
        <v>1</v>
      </c>
      <c r="L445" s="135"/>
      <c r="M445" s="125">
        <f t="shared" si="79"/>
        <v>1</v>
      </c>
      <c r="N445" s="135"/>
      <c r="O445" s="125">
        <f t="shared" si="80"/>
        <v>1</v>
      </c>
      <c r="P445" s="135"/>
      <c r="Q445" s="125">
        <f t="shared" si="81"/>
        <v>1</v>
      </c>
      <c r="R445" s="125">
        <f t="shared" si="82"/>
        <v>0</v>
      </c>
      <c r="S445" s="124">
        <f t="shared" si="83"/>
        <v>0</v>
      </c>
    </row>
    <row r="446" spans="1:19">
      <c r="A446" s="133"/>
      <c r="B446" s="134"/>
      <c r="C446" s="125">
        <f t="shared" si="74"/>
        <v>1</v>
      </c>
      <c r="D446" s="135"/>
      <c r="E446" s="125">
        <f t="shared" si="75"/>
        <v>1</v>
      </c>
      <c r="F446" s="135"/>
      <c r="G446" s="125">
        <f t="shared" si="76"/>
        <v>1</v>
      </c>
      <c r="H446" s="135"/>
      <c r="I446" s="125">
        <f t="shared" si="77"/>
        <v>1</v>
      </c>
      <c r="J446" s="135"/>
      <c r="K446" s="125">
        <f t="shared" si="78"/>
        <v>1</v>
      </c>
      <c r="L446" s="135"/>
      <c r="M446" s="125">
        <f t="shared" si="79"/>
        <v>1</v>
      </c>
      <c r="N446" s="135"/>
      <c r="O446" s="125">
        <f t="shared" si="80"/>
        <v>1</v>
      </c>
      <c r="P446" s="135"/>
      <c r="Q446" s="125">
        <f t="shared" si="81"/>
        <v>1</v>
      </c>
      <c r="R446" s="125">
        <f t="shared" si="82"/>
        <v>0</v>
      </c>
      <c r="S446" s="124">
        <f t="shared" si="83"/>
        <v>0</v>
      </c>
    </row>
    <row r="447" spans="1:19">
      <c r="A447" s="133"/>
      <c r="B447" s="134"/>
      <c r="C447" s="125">
        <f t="shared" si="74"/>
        <v>1</v>
      </c>
      <c r="D447" s="135"/>
      <c r="E447" s="125">
        <f t="shared" si="75"/>
        <v>1</v>
      </c>
      <c r="F447" s="135"/>
      <c r="G447" s="125">
        <f t="shared" si="76"/>
        <v>1</v>
      </c>
      <c r="H447" s="135"/>
      <c r="I447" s="125">
        <f t="shared" si="77"/>
        <v>1</v>
      </c>
      <c r="J447" s="135"/>
      <c r="K447" s="125">
        <f t="shared" si="78"/>
        <v>1</v>
      </c>
      <c r="L447" s="135"/>
      <c r="M447" s="125">
        <f t="shared" si="79"/>
        <v>1</v>
      </c>
      <c r="N447" s="135"/>
      <c r="O447" s="125">
        <f t="shared" si="80"/>
        <v>1</v>
      </c>
      <c r="P447" s="135"/>
      <c r="Q447" s="125">
        <f t="shared" si="81"/>
        <v>1</v>
      </c>
      <c r="R447" s="125">
        <f t="shared" si="82"/>
        <v>0</v>
      </c>
      <c r="S447" s="124">
        <f t="shared" si="83"/>
        <v>0</v>
      </c>
    </row>
    <row r="448" spans="1:19">
      <c r="A448" s="133"/>
      <c r="B448" s="134"/>
      <c r="C448" s="125">
        <f t="shared" si="74"/>
        <v>1</v>
      </c>
      <c r="D448" s="135"/>
      <c r="E448" s="125">
        <f t="shared" si="75"/>
        <v>1</v>
      </c>
      <c r="F448" s="135"/>
      <c r="G448" s="125">
        <f t="shared" si="76"/>
        <v>1</v>
      </c>
      <c r="H448" s="135"/>
      <c r="I448" s="125">
        <f t="shared" si="77"/>
        <v>1</v>
      </c>
      <c r="J448" s="135"/>
      <c r="K448" s="125">
        <f t="shared" si="78"/>
        <v>1</v>
      </c>
      <c r="L448" s="135"/>
      <c r="M448" s="125">
        <f t="shared" si="79"/>
        <v>1</v>
      </c>
      <c r="N448" s="135"/>
      <c r="O448" s="125">
        <f t="shared" si="80"/>
        <v>1</v>
      </c>
      <c r="P448" s="135"/>
      <c r="Q448" s="125">
        <f t="shared" si="81"/>
        <v>1</v>
      </c>
      <c r="R448" s="125">
        <f t="shared" si="82"/>
        <v>0</v>
      </c>
      <c r="S448" s="124">
        <f t="shared" si="83"/>
        <v>0</v>
      </c>
    </row>
    <row r="449" spans="1:19">
      <c r="A449" s="133"/>
      <c r="B449" s="134"/>
      <c r="C449" s="125">
        <f t="shared" si="74"/>
        <v>1</v>
      </c>
      <c r="D449" s="135"/>
      <c r="E449" s="125">
        <f t="shared" si="75"/>
        <v>1</v>
      </c>
      <c r="F449" s="135"/>
      <c r="G449" s="125">
        <f t="shared" si="76"/>
        <v>1</v>
      </c>
      <c r="H449" s="135"/>
      <c r="I449" s="125">
        <f t="shared" si="77"/>
        <v>1</v>
      </c>
      <c r="J449" s="135"/>
      <c r="K449" s="125">
        <f t="shared" si="78"/>
        <v>1</v>
      </c>
      <c r="L449" s="135"/>
      <c r="M449" s="125">
        <f t="shared" si="79"/>
        <v>1</v>
      </c>
      <c r="N449" s="135"/>
      <c r="O449" s="125">
        <f t="shared" si="80"/>
        <v>1</v>
      </c>
      <c r="P449" s="135"/>
      <c r="Q449" s="125">
        <f t="shared" si="81"/>
        <v>1</v>
      </c>
      <c r="R449" s="125">
        <f t="shared" si="82"/>
        <v>0</v>
      </c>
      <c r="S449" s="124">
        <f t="shared" si="83"/>
        <v>0</v>
      </c>
    </row>
    <row r="450" spans="1:19">
      <c r="A450" s="133"/>
      <c r="B450" s="134"/>
      <c r="C450" s="125">
        <f t="shared" si="74"/>
        <v>1</v>
      </c>
      <c r="D450" s="135"/>
      <c r="E450" s="125">
        <f t="shared" si="75"/>
        <v>1</v>
      </c>
      <c r="F450" s="135"/>
      <c r="G450" s="125">
        <f t="shared" si="76"/>
        <v>1</v>
      </c>
      <c r="H450" s="135"/>
      <c r="I450" s="125">
        <f t="shared" si="77"/>
        <v>1</v>
      </c>
      <c r="J450" s="135"/>
      <c r="K450" s="125">
        <f t="shared" si="78"/>
        <v>1</v>
      </c>
      <c r="L450" s="135"/>
      <c r="M450" s="125">
        <f t="shared" si="79"/>
        <v>1</v>
      </c>
      <c r="N450" s="135"/>
      <c r="O450" s="125">
        <f t="shared" si="80"/>
        <v>1</v>
      </c>
      <c r="P450" s="135"/>
      <c r="Q450" s="125">
        <f t="shared" si="81"/>
        <v>1</v>
      </c>
      <c r="R450" s="125">
        <f t="shared" si="82"/>
        <v>0</v>
      </c>
      <c r="S450" s="124">
        <f t="shared" si="83"/>
        <v>0</v>
      </c>
    </row>
    <row r="451" spans="1:19">
      <c r="A451" s="133"/>
      <c r="B451" s="134"/>
      <c r="C451" s="125">
        <f t="shared" si="74"/>
        <v>1</v>
      </c>
      <c r="D451" s="135"/>
      <c r="E451" s="125">
        <f t="shared" si="75"/>
        <v>1</v>
      </c>
      <c r="F451" s="135"/>
      <c r="G451" s="125">
        <f t="shared" si="76"/>
        <v>1</v>
      </c>
      <c r="H451" s="135"/>
      <c r="I451" s="125">
        <f t="shared" si="77"/>
        <v>1</v>
      </c>
      <c r="J451" s="135"/>
      <c r="K451" s="125">
        <f t="shared" si="78"/>
        <v>1</v>
      </c>
      <c r="L451" s="135"/>
      <c r="M451" s="125">
        <f t="shared" si="79"/>
        <v>1</v>
      </c>
      <c r="N451" s="135"/>
      <c r="O451" s="125">
        <f t="shared" si="80"/>
        <v>1</v>
      </c>
      <c r="P451" s="135"/>
      <c r="Q451" s="125">
        <f t="shared" si="81"/>
        <v>1</v>
      </c>
      <c r="R451" s="125">
        <f t="shared" si="82"/>
        <v>0</v>
      </c>
      <c r="S451" s="124">
        <f t="shared" si="83"/>
        <v>0</v>
      </c>
    </row>
    <row r="452" spans="1:19">
      <c r="A452" s="133"/>
      <c r="B452" s="134"/>
      <c r="C452" s="125">
        <f t="shared" si="74"/>
        <v>1</v>
      </c>
      <c r="D452" s="135"/>
      <c r="E452" s="125">
        <f t="shared" si="75"/>
        <v>1</v>
      </c>
      <c r="F452" s="135"/>
      <c r="G452" s="125">
        <f t="shared" si="76"/>
        <v>1</v>
      </c>
      <c r="H452" s="135"/>
      <c r="I452" s="125">
        <f t="shared" si="77"/>
        <v>1</v>
      </c>
      <c r="J452" s="135"/>
      <c r="K452" s="125">
        <f t="shared" si="78"/>
        <v>1</v>
      </c>
      <c r="L452" s="135"/>
      <c r="M452" s="125">
        <f t="shared" si="79"/>
        <v>1</v>
      </c>
      <c r="N452" s="135"/>
      <c r="O452" s="125">
        <f t="shared" si="80"/>
        <v>1</v>
      </c>
      <c r="P452" s="135"/>
      <c r="Q452" s="125">
        <f t="shared" si="81"/>
        <v>1</v>
      </c>
      <c r="R452" s="125">
        <f t="shared" si="82"/>
        <v>0</v>
      </c>
      <c r="S452" s="124">
        <f t="shared" si="83"/>
        <v>0</v>
      </c>
    </row>
    <row r="453" spans="1:19">
      <c r="A453" s="133"/>
      <c r="B453" s="134"/>
      <c r="C453" s="125">
        <f t="shared" si="74"/>
        <v>1</v>
      </c>
      <c r="D453" s="135"/>
      <c r="E453" s="125">
        <f t="shared" si="75"/>
        <v>1</v>
      </c>
      <c r="F453" s="135"/>
      <c r="G453" s="125">
        <f t="shared" si="76"/>
        <v>1</v>
      </c>
      <c r="H453" s="135"/>
      <c r="I453" s="125">
        <f t="shared" si="77"/>
        <v>1</v>
      </c>
      <c r="J453" s="135"/>
      <c r="K453" s="125">
        <f t="shared" si="78"/>
        <v>1</v>
      </c>
      <c r="L453" s="135"/>
      <c r="M453" s="125">
        <f t="shared" si="79"/>
        <v>1</v>
      </c>
      <c r="N453" s="135"/>
      <c r="O453" s="125">
        <f t="shared" si="80"/>
        <v>1</v>
      </c>
      <c r="P453" s="135"/>
      <c r="Q453" s="125">
        <f t="shared" si="81"/>
        <v>1</v>
      </c>
      <c r="R453" s="125">
        <f t="shared" si="82"/>
        <v>0</v>
      </c>
      <c r="S453" s="124">
        <f t="shared" si="83"/>
        <v>0</v>
      </c>
    </row>
    <row r="454" spans="1:19">
      <c r="A454" s="133"/>
      <c r="B454" s="134"/>
      <c r="C454" s="125">
        <f t="shared" si="74"/>
        <v>1</v>
      </c>
      <c r="D454" s="135"/>
      <c r="E454" s="125">
        <f t="shared" si="75"/>
        <v>1</v>
      </c>
      <c r="F454" s="135"/>
      <c r="G454" s="125">
        <f t="shared" si="76"/>
        <v>1</v>
      </c>
      <c r="H454" s="135"/>
      <c r="I454" s="125">
        <f t="shared" si="77"/>
        <v>1</v>
      </c>
      <c r="J454" s="135"/>
      <c r="K454" s="125">
        <f t="shared" si="78"/>
        <v>1</v>
      </c>
      <c r="L454" s="135"/>
      <c r="M454" s="125">
        <f t="shared" si="79"/>
        <v>1</v>
      </c>
      <c r="N454" s="135"/>
      <c r="O454" s="125">
        <f t="shared" si="80"/>
        <v>1</v>
      </c>
      <c r="P454" s="135"/>
      <c r="Q454" s="125">
        <f t="shared" si="81"/>
        <v>1</v>
      </c>
      <c r="R454" s="125">
        <f t="shared" si="82"/>
        <v>0</v>
      </c>
      <c r="S454" s="124">
        <f t="shared" si="83"/>
        <v>0</v>
      </c>
    </row>
    <row r="455" spans="1:19">
      <c r="A455" s="133"/>
      <c r="B455" s="134"/>
      <c r="C455" s="125">
        <f t="shared" si="74"/>
        <v>1</v>
      </c>
      <c r="D455" s="135"/>
      <c r="E455" s="125">
        <f t="shared" si="75"/>
        <v>1</v>
      </c>
      <c r="F455" s="135"/>
      <c r="G455" s="125">
        <f t="shared" si="76"/>
        <v>1</v>
      </c>
      <c r="H455" s="135"/>
      <c r="I455" s="125">
        <f t="shared" si="77"/>
        <v>1</v>
      </c>
      <c r="J455" s="135"/>
      <c r="K455" s="125">
        <f t="shared" si="78"/>
        <v>1</v>
      </c>
      <c r="L455" s="135"/>
      <c r="M455" s="125">
        <f t="shared" si="79"/>
        <v>1</v>
      </c>
      <c r="N455" s="135"/>
      <c r="O455" s="125">
        <f t="shared" si="80"/>
        <v>1</v>
      </c>
      <c r="P455" s="135"/>
      <c r="Q455" s="125">
        <f t="shared" si="81"/>
        <v>1</v>
      </c>
      <c r="R455" s="125">
        <f t="shared" si="82"/>
        <v>0</v>
      </c>
      <c r="S455" s="124">
        <f t="shared" si="83"/>
        <v>0</v>
      </c>
    </row>
    <row r="456" spans="1:19">
      <c r="A456" s="133"/>
      <c r="B456" s="134"/>
      <c r="C456" s="125">
        <f t="shared" si="74"/>
        <v>1</v>
      </c>
      <c r="D456" s="135"/>
      <c r="E456" s="125">
        <f t="shared" si="75"/>
        <v>1</v>
      </c>
      <c r="F456" s="135"/>
      <c r="G456" s="125">
        <f t="shared" si="76"/>
        <v>1</v>
      </c>
      <c r="H456" s="135"/>
      <c r="I456" s="125">
        <f t="shared" si="77"/>
        <v>1</v>
      </c>
      <c r="J456" s="135"/>
      <c r="K456" s="125">
        <f t="shared" si="78"/>
        <v>1</v>
      </c>
      <c r="L456" s="135"/>
      <c r="M456" s="125">
        <f t="shared" si="79"/>
        <v>1</v>
      </c>
      <c r="N456" s="135"/>
      <c r="O456" s="125">
        <f t="shared" si="80"/>
        <v>1</v>
      </c>
      <c r="P456" s="135"/>
      <c r="Q456" s="125">
        <f t="shared" si="81"/>
        <v>1</v>
      </c>
      <c r="R456" s="125">
        <f t="shared" si="82"/>
        <v>0</v>
      </c>
      <c r="S456" s="124">
        <f t="shared" si="83"/>
        <v>0</v>
      </c>
    </row>
    <row r="457" spans="1:19">
      <c r="A457" s="133"/>
      <c r="B457" s="134"/>
      <c r="C457" s="125">
        <f t="shared" si="74"/>
        <v>1</v>
      </c>
      <c r="D457" s="135"/>
      <c r="E457" s="125">
        <f t="shared" si="75"/>
        <v>1</v>
      </c>
      <c r="F457" s="135"/>
      <c r="G457" s="125">
        <f t="shared" si="76"/>
        <v>1</v>
      </c>
      <c r="H457" s="135"/>
      <c r="I457" s="125">
        <f t="shared" si="77"/>
        <v>1</v>
      </c>
      <c r="J457" s="135"/>
      <c r="K457" s="125">
        <f t="shared" si="78"/>
        <v>1</v>
      </c>
      <c r="L457" s="135"/>
      <c r="M457" s="125">
        <f t="shared" si="79"/>
        <v>1</v>
      </c>
      <c r="N457" s="135"/>
      <c r="O457" s="125">
        <f t="shared" si="80"/>
        <v>1</v>
      </c>
      <c r="P457" s="135"/>
      <c r="Q457" s="125">
        <f t="shared" si="81"/>
        <v>1</v>
      </c>
      <c r="R457" s="125">
        <f t="shared" si="82"/>
        <v>0</v>
      </c>
      <c r="S457" s="124">
        <f t="shared" si="83"/>
        <v>0</v>
      </c>
    </row>
    <row r="458" spans="1:19">
      <c r="A458" s="133"/>
      <c r="B458" s="134"/>
      <c r="C458" s="125">
        <f t="shared" si="74"/>
        <v>1</v>
      </c>
      <c r="D458" s="135"/>
      <c r="E458" s="125">
        <f t="shared" si="75"/>
        <v>1</v>
      </c>
      <c r="F458" s="135"/>
      <c r="G458" s="125">
        <f t="shared" si="76"/>
        <v>1</v>
      </c>
      <c r="H458" s="135"/>
      <c r="I458" s="125">
        <f t="shared" si="77"/>
        <v>1</v>
      </c>
      <c r="J458" s="135"/>
      <c r="K458" s="125">
        <f t="shared" si="78"/>
        <v>1</v>
      </c>
      <c r="L458" s="135"/>
      <c r="M458" s="125">
        <f t="shared" si="79"/>
        <v>1</v>
      </c>
      <c r="N458" s="135"/>
      <c r="O458" s="125">
        <f t="shared" si="80"/>
        <v>1</v>
      </c>
      <c r="P458" s="135"/>
      <c r="Q458" s="125">
        <f t="shared" si="81"/>
        <v>1</v>
      </c>
      <c r="R458" s="125">
        <f t="shared" si="82"/>
        <v>0</v>
      </c>
      <c r="S458" s="124">
        <f t="shared" si="83"/>
        <v>0</v>
      </c>
    </row>
    <row r="459" spans="1:19">
      <c r="A459" s="133"/>
      <c r="B459" s="134"/>
      <c r="C459" s="125">
        <f t="shared" si="74"/>
        <v>1</v>
      </c>
      <c r="D459" s="135"/>
      <c r="E459" s="125">
        <f t="shared" si="75"/>
        <v>1</v>
      </c>
      <c r="F459" s="135"/>
      <c r="G459" s="125">
        <f t="shared" si="76"/>
        <v>1</v>
      </c>
      <c r="H459" s="135"/>
      <c r="I459" s="125">
        <f t="shared" si="77"/>
        <v>1</v>
      </c>
      <c r="J459" s="135"/>
      <c r="K459" s="125">
        <f t="shared" si="78"/>
        <v>1</v>
      </c>
      <c r="L459" s="135"/>
      <c r="M459" s="125">
        <f t="shared" si="79"/>
        <v>1</v>
      </c>
      <c r="N459" s="135"/>
      <c r="O459" s="125">
        <f t="shared" si="80"/>
        <v>1</v>
      </c>
      <c r="P459" s="135"/>
      <c r="Q459" s="125">
        <f t="shared" si="81"/>
        <v>1</v>
      </c>
      <c r="R459" s="125">
        <f t="shared" si="82"/>
        <v>0</v>
      </c>
      <c r="S459" s="124">
        <f t="shared" si="83"/>
        <v>0</v>
      </c>
    </row>
    <row r="460" spans="1:19">
      <c r="A460" s="133"/>
      <c r="B460" s="134"/>
      <c r="C460" s="125">
        <f t="shared" si="74"/>
        <v>1</v>
      </c>
      <c r="D460" s="135"/>
      <c r="E460" s="125">
        <f t="shared" si="75"/>
        <v>1</v>
      </c>
      <c r="F460" s="135"/>
      <c r="G460" s="125">
        <f t="shared" si="76"/>
        <v>1</v>
      </c>
      <c r="H460" s="135"/>
      <c r="I460" s="125">
        <f t="shared" si="77"/>
        <v>1</v>
      </c>
      <c r="J460" s="135"/>
      <c r="K460" s="125">
        <f t="shared" si="78"/>
        <v>1</v>
      </c>
      <c r="L460" s="135"/>
      <c r="M460" s="125">
        <f t="shared" si="79"/>
        <v>1</v>
      </c>
      <c r="N460" s="135"/>
      <c r="O460" s="125">
        <f t="shared" si="80"/>
        <v>1</v>
      </c>
      <c r="P460" s="135"/>
      <c r="Q460" s="125">
        <f t="shared" si="81"/>
        <v>1</v>
      </c>
      <c r="R460" s="125">
        <f t="shared" si="82"/>
        <v>0</v>
      </c>
      <c r="S460" s="124">
        <f t="shared" si="83"/>
        <v>0</v>
      </c>
    </row>
    <row r="461" spans="1:19">
      <c r="A461" s="133"/>
      <c r="B461" s="134"/>
      <c r="C461" s="125">
        <f t="shared" si="74"/>
        <v>1</v>
      </c>
      <c r="D461" s="135"/>
      <c r="E461" s="125">
        <f t="shared" si="75"/>
        <v>1</v>
      </c>
      <c r="F461" s="135"/>
      <c r="G461" s="125">
        <f t="shared" si="76"/>
        <v>1</v>
      </c>
      <c r="H461" s="135"/>
      <c r="I461" s="125">
        <f t="shared" si="77"/>
        <v>1</v>
      </c>
      <c r="J461" s="135"/>
      <c r="K461" s="125">
        <f t="shared" si="78"/>
        <v>1</v>
      </c>
      <c r="L461" s="135"/>
      <c r="M461" s="125">
        <f t="shared" si="79"/>
        <v>1</v>
      </c>
      <c r="N461" s="135"/>
      <c r="O461" s="125">
        <f t="shared" si="80"/>
        <v>1</v>
      </c>
      <c r="P461" s="135"/>
      <c r="Q461" s="125">
        <f t="shared" si="81"/>
        <v>1</v>
      </c>
      <c r="R461" s="125">
        <f t="shared" si="82"/>
        <v>0</v>
      </c>
      <c r="S461" s="124">
        <f t="shared" si="83"/>
        <v>0</v>
      </c>
    </row>
    <row r="462" spans="1:19">
      <c r="A462" s="133"/>
      <c r="B462" s="134"/>
      <c r="C462" s="125">
        <f t="shared" si="74"/>
        <v>1</v>
      </c>
      <c r="D462" s="135"/>
      <c r="E462" s="125">
        <f t="shared" si="75"/>
        <v>1</v>
      </c>
      <c r="F462" s="135"/>
      <c r="G462" s="125">
        <f t="shared" si="76"/>
        <v>1</v>
      </c>
      <c r="H462" s="135"/>
      <c r="I462" s="125">
        <f t="shared" si="77"/>
        <v>1</v>
      </c>
      <c r="J462" s="135"/>
      <c r="K462" s="125">
        <f t="shared" si="78"/>
        <v>1</v>
      </c>
      <c r="L462" s="135"/>
      <c r="M462" s="125">
        <f t="shared" si="79"/>
        <v>1</v>
      </c>
      <c r="N462" s="135"/>
      <c r="O462" s="125">
        <f t="shared" si="80"/>
        <v>1</v>
      </c>
      <c r="P462" s="135"/>
      <c r="Q462" s="125">
        <f t="shared" si="81"/>
        <v>1</v>
      </c>
      <c r="R462" s="125">
        <f t="shared" si="82"/>
        <v>0</v>
      </c>
      <c r="S462" s="124">
        <f t="shared" si="83"/>
        <v>0</v>
      </c>
    </row>
    <row r="463" spans="1:19">
      <c r="A463" s="133"/>
      <c r="B463" s="134"/>
      <c r="C463" s="125">
        <f t="shared" si="74"/>
        <v>1</v>
      </c>
      <c r="D463" s="135"/>
      <c r="E463" s="125">
        <f t="shared" si="75"/>
        <v>1</v>
      </c>
      <c r="F463" s="135"/>
      <c r="G463" s="125">
        <f t="shared" si="76"/>
        <v>1</v>
      </c>
      <c r="H463" s="135"/>
      <c r="I463" s="125">
        <f t="shared" si="77"/>
        <v>1</v>
      </c>
      <c r="J463" s="135"/>
      <c r="K463" s="125">
        <f t="shared" si="78"/>
        <v>1</v>
      </c>
      <c r="L463" s="135"/>
      <c r="M463" s="125">
        <f t="shared" si="79"/>
        <v>1</v>
      </c>
      <c r="N463" s="135"/>
      <c r="O463" s="125">
        <f t="shared" si="80"/>
        <v>1</v>
      </c>
      <c r="P463" s="135"/>
      <c r="Q463" s="125">
        <f t="shared" si="81"/>
        <v>1</v>
      </c>
      <c r="R463" s="125">
        <f t="shared" si="82"/>
        <v>0</v>
      </c>
      <c r="S463" s="124">
        <f t="shared" si="83"/>
        <v>0</v>
      </c>
    </row>
    <row r="464" spans="1:19">
      <c r="A464" s="133"/>
      <c r="B464" s="134"/>
      <c r="C464" s="125">
        <f t="shared" si="74"/>
        <v>1</v>
      </c>
      <c r="D464" s="135"/>
      <c r="E464" s="125">
        <f t="shared" si="75"/>
        <v>1</v>
      </c>
      <c r="F464" s="135"/>
      <c r="G464" s="125">
        <f t="shared" si="76"/>
        <v>1</v>
      </c>
      <c r="H464" s="135"/>
      <c r="I464" s="125">
        <f t="shared" si="77"/>
        <v>1</v>
      </c>
      <c r="J464" s="135"/>
      <c r="K464" s="125">
        <f t="shared" si="78"/>
        <v>1</v>
      </c>
      <c r="L464" s="135"/>
      <c r="M464" s="125">
        <f t="shared" si="79"/>
        <v>1</v>
      </c>
      <c r="N464" s="135"/>
      <c r="O464" s="125">
        <f t="shared" si="80"/>
        <v>1</v>
      </c>
      <c r="P464" s="135"/>
      <c r="Q464" s="125">
        <f t="shared" si="81"/>
        <v>1</v>
      </c>
      <c r="R464" s="125">
        <f t="shared" si="82"/>
        <v>0</v>
      </c>
      <c r="S464" s="124">
        <f t="shared" si="83"/>
        <v>0</v>
      </c>
    </row>
    <row r="465" spans="1:19">
      <c r="A465" s="133"/>
      <c r="B465" s="134"/>
      <c r="C465" s="125">
        <f t="shared" si="74"/>
        <v>1</v>
      </c>
      <c r="D465" s="135"/>
      <c r="E465" s="125">
        <f t="shared" si="75"/>
        <v>1</v>
      </c>
      <c r="F465" s="135"/>
      <c r="G465" s="125">
        <f t="shared" si="76"/>
        <v>1</v>
      </c>
      <c r="H465" s="135"/>
      <c r="I465" s="125">
        <f t="shared" si="77"/>
        <v>1</v>
      </c>
      <c r="J465" s="135"/>
      <c r="K465" s="125">
        <f t="shared" si="78"/>
        <v>1</v>
      </c>
      <c r="L465" s="135"/>
      <c r="M465" s="125">
        <f t="shared" si="79"/>
        <v>1</v>
      </c>
      <c r="N465" s="135"/>
      <c r="O465" s="125">
        <f t="shared" si="80"/>
        <v>1</v>
      </c>
      <c r="P465" s="135"/>
      <c r="Q465" s="125">
        <f t="shared" si="81"/>
        <v>1</v>
      </c>
      <c r="R465" s="125">
        <f t="shared" si="82"/>
        <v>0</v>
      </c>
      <c r="S465" s="124">
        <f t="shared" si="83"/>
        <v>0</v>
      </c>
    </row>
    <row r="466" spans="1:19">
      <c r="A466" s="133"/>
      <c r="B466" s="134"/>
      <c r="C466" s="125">
        <f t="shared" si="74"/>
        <v>1</v>
      </c>
      <c r="D466" s="135"/>
      <c r="E466" s="125">
        <f t="shared" si="75"/>
        <v>1</v>
      </c>
      <c r="F466" s="135"/>
      <c r="G466" s="125">
        <f t="shared" si="76"/>
        <v>1</v>
      </c>
      <c r="H466" s="135"/>
      <c r="I466" s="125">
        <f t="shared" si="77"/>
        <v>1</v>
      </c>
      <c r="J466" s="135"/>
      <c r="K466" s="125">
        <f t="shared" si="78"/>
        <v>1</v>
      </c>
      <c r="L466" s="135"/>
      <c r="M466" s="125">
        <f t="shared" si="79"/>
        <v>1</v>
      </c>
      <c r="N466" s="135"/>
      <c r="O466" s="125">
        <f t="shared" si="80"/>
        <v>1</v>
      </c>
      <c r="P466" s="135"/>
      <c r="Q466" s="125">
        <f t="shared" si="81"/>
        <v>1</v>
      </c>
      <c r="R466" s="125">
        <f t="shared" si="82"/>
        <v>0</v>
      </c>
      <c r="S466" s="124">
        <f t="shared" si="83"/>
        <v>0</v>
      </c>
    </row>
    <row r="467" spans="1:19">
      <c r="A467" s="133"/>
      <c r="B467" s="134"/>
      <c r="C467" s="125">
        <f t="shared" si="74"/>
        <v>1</v>
      </c>
      <c r="D467" s="135"/>
      <c r="E467" s="125">
        <f t="shared" si="75"/>
        <v>1</v>
      </c>
      <c r="F467" s="135"/>
      <c r="G467" s="125">
        <f t="shared" si="76"/>
        <v>1</v>
      </c>
      <c r="H467" s="135"/>
      <c r="I467" s="125">
        <f t="shared" si="77"/>
        <v>1</v>
      </c>
      <c r="J467" s="135"/>
      <c r="K467" s="125">
        <f t="shared" si="78"/>
        <v>1</v>
      </c>
      <c r="L467" s="135"/>
      <c r="M467" s="125">
        <f t="shared" si="79"/>
        <v>1</v>
      </c>
      <c r="N467" s="135"/>
      <c r="O467" s="125">
        <f t="shared" si="80"/>
        <v>1</v>
      </c>
      <c r="P467" s="135"/>
      <c r="Q467" s="125">
        <f t="shared" si="81"/>
        <v>1</v>
      </c>
      <c r="R467" s="125">
        <f t="shared" si="82"/>
        <v>0</v>
      </c>
      <c r="S467" s="124">
        <f t="shared" si="83"/>
        <v>0</v>
      </c>
    </row>
    <row r="468" spans="1:19">
      <c r="A468" s="133"/>
      <c r="B468" s="134"/>
      <c r="C468" s="125">
        <f t="shared" si="74"/>
        <v>1</v>
      </c>
      <c r="D468" s="135"/>
      <c r="E468" s="125">
        <f t="shared" si="75"/>
        <v>1</v>
      </c>
      <c r="F468" s="135"/>
      <c r="G468" s="125">
        <f t="shared" si="76"/>
        <v>1</v>
      </c>
      <c r="H468" s="135"/>
      <c r="I468" s="125">
        <f t="shared" si="77"/>
        <v>1</v>
      </c>
      <c r="J468" s="135"/>
      <c r="K468" s="125">
        <f t="shared" si="78"/>
        <v>1</v>
      </c>
      <c r="L468" s="135"/>
      <c r="M468" s="125">
        <f t="shared" si="79"/>
        <v>1</v>
      </c>
      <c r="N468" s="135"/>
      <c r="O468" s="125">
        <f t="shared" si="80"/>
        <v>1</v>
      </c>
      <c r="P468" s="135"/>
      <c r="Q468" s="125">
        <f t="shared" si="81"/>
        <v>1</v>
      </c>
      <c r="R468" s="125">
        <f t="shared" si="82"/>
        <v>0</v>
      </c>
      <c r="S468" s="124">
        <f t="shared" ref="S468:S497" si="84">ROUND(R468*B468/10000,0)</f>
        <v>0</v>
      </c>
    </row>
    <row r="469" spans="1:19">
      <c r="A469" s="133"/>
      <c r="B469" s="134"/>
      <c r="C469" s="125">
        <f t="shared" si="74"/>
        <v>1</v>
      </c>
      <c r="D469" s="135"/>
      <c r="E469" s="125">
        <f t="shared" si="75"/>
        <v>1</v>
      </c>
      <c r="F469" s="135"/>
      <c r="G469" s="125">
        <f t="shared" si="76"/>
        <v>1</v>
      </c>
      <c r="H469" s="135"/>
      <c r="I469" s="125">
        <f t="shared" si="77"/>
        <v>1</v>
      </c>
      <c r="J469" s="135"/>
      <c r="K469" s="125">
        <f t="shared" si="78"/>
        <v>1</v>
      </c>
      <c r="L469" s="135"/>
      <c r="M469" s="125">
        <f t="shared" si="79"/>
        <v>1</v>
      </c>
      <c r="N469" s="135"/>
      <c r="O469" s="125">
        <f t="shared" si="80"/>
        <v>1</v>
      </c>
      <c r="P469" s="135"/>
      <c r="Q469" s="125">
        <f t="shared" si="81"/>
        <v>1</v>
      </c>
      <c r="R469" s="125">
        <f t="shared" si="82"/>
        <v>0</v>
      </c>
      <c r="S469" s="124">
        <f t="shared" si="84"/>
        <v>0</v>
      </c>
    </row>
    <row r="470" spans="1:19">
      <c r="A470" s="133"/>
      <c r="B470" s="134"/>
      <c r="C470" s="125">
        <f t="shared" si="74"/>
        <v>1</v>
      </c>
      <c r="D470" s="135"/>
      <c r="E470" s="125">
        <f t="shared" si="75"/>
        <v>1</v>
      </c>
      <c r="F470" s="135"/>
      <c r="G470" s="125">
        <f t="shared" si="76"/>
        <v>1</v>
      </c>
      <c r="H470" s="135"/>
      <c r="I470" s="125">
        <f t="shared" si="77"/>
        <v>1</v>
      </c>
      <c r="J470" s="135"/>
      <c r="K470" s="125">
        <f t="shared" si="78"/>
        <v>1</v>
      </c>
      <c r="L470" s="135"/>
      <c r="M470" s="125">
        <f t="shared" si="79"/>
        <v>1</v>
      </c>
      <c r="N470" s="135"/>
      <c r="O470" s="125">
        <f t="shared" si="80"/>
        <v>1</v>
      </c>
      <c r="P470" s="135"/>
      <c r="Q470" s="125">
        <f t="shared" si="81"/>
        <v>1</v>
      </c>
      <c r="R470" s="125">
        <f t="shared" si="82"/>
        <v>0</v>
      </c>
      <c r="S470" s="124">
        <f t="shared" si="84"/>
        <v>0</v>
      </c>
    </row>
    <row r="471" spans="1:19">
      <c r="A471" s="133"/>
      <c r="B471" s="134"/>
      <c r="C471" s="125">
        <f t="shared" si="74"/>
        <v>1</v>
      </c>
      <c r="D471" s="135"/>
      <c r="E471" s="125">
        <f t="shared" si="75"/>
        <v>1</v>
      </c>
      <c r="F471" s="135"/>
      <c r="G471" s="125">
        <f t="shared" si="76"/>
        <v>1</v>
      </c>
      <c r="H471" s="135"/>
      <c r="I471" s="125">
        <f t="shared" si="77"/>
        <v>1</v>
      </c>
      <c r="J471" s="135"/>
      <c r="K471" s="125">
        <f t="shared" si="78"/>
        <v>1</v>
      </c>
      <c r="L471" s="135"/>
      <c r="M471" s="125">
        <f t="shared" si="79"/>
        <v>1</v>
      </c>
      <c r="N471" s="135"/>
      <c r="O471" s="125">
        <f t="shared" si="80"/>
        <v>1</v>
      </c>
      <c r="P471" s="135"/>
      <c r="Q471" s="125">
        <f t="shared" si="81"/>
        <v>1</v>
      </c>
      <c r="R471" s="125">
        <f t="shared" si="82"/>
        <v>0</v>
      </c>
      <c r="S471" s="124">
        <f t="shared" si="84"/>
        <v>0</v>
      </c>
    </row>
    <row r="472" spans="1:19">
      <c r="A472" s="133"/>
      <c r="B472" s="134"/>
      <c r="C472" s="125">
        <f t="shared" si="74"/>
        <v>1</v>
      </c>
      <c r="D472" s="135"/>
      <c r="E472" s="125">
        <f t="shared" si="75"/>
        <v>1</v>
      </c>
      <c r="F472" s="135"/>
      <c r="G472" s="125">
        <f t="shared" si="76"/>
        <v>1</v>
      </c>
      <c r="H472" s="135"/>
      <c r="I472" s="125">
        <f t="shared" si="77"/>
        <v>1</v>
      </c>
      <c r="J472" s="135"/>
      <c r="K472" s="125">
        <f t="shared" si="78"/>
        <v>1</v>
      </c>
      <c r="L472" s="135"/>
      <c r="M472" s="125">
        <f t="shared" si="79"/>
        <v>1</v>
      </c>
      <c r="N472" s="135"/>
      <c r="O472" s="125">
        <f t="shared" si="80"/>
        <v>1</v>
      </c>
      <c r="P472" s="135"/>
      <c r="Q472" s="125">
        <f t="shared" si="81"/>
        <v>1</v>
      </c>
      <c r="R472" s="125">
        <f t="shared" si="82"/>
        <v>0</v>
      </c>
      <c r="S472" s="124">
        <f t="shared" si="84"/>
        <v>0</v>
      </c>
    </row>
    <row r="473" spans="1:19">
      <c r="A473" s="133"/>
      <c r="B473" s="134"/>
      <c r="C473" s="125">
        <f t="shared" si="74"/>
        <v>1</v>
      </c>
      <c r="D473" s="135"/>
      <c r="E473" s="125">
        <f t="shared" si="75"/>
        <v>1</v>
      </c>
      <c r="F473" s="135"/>
      <c r="G473" s="125">
        <f t="shared" si="76"/>
        <v>1</v>
      </c>
      <c r="H473" s="135"/>
      <c r="I473" s="125">
        <f t="shared" si="77"/>
        <v>1</v>
      </c>
      <c r="J473" s="135"/>
      <c r="K473" s="125">
        <f t="shared" si="78"/>
        <v>1</v>
      </c>
      <c r="L473" s="135"/>
      <c r="M473" s="125">
        <f t="shared" si="79"/>
        <v>1</v>
      </c>
      <c r="N473" s="135"/>
      <c r="O473" s="125">
        <f t="shared" si="80"/>
        <v>1</v>
      </c>
      <c r="P473" s="135"/>
      <c r="Q473" s="125">
        <f t="shared" si="81"/>
        <v>1</v>
      </c>
      <c r="R473" s="125">
        <f t="shared" si="82"/>
        <v>0</v>
      </c>
      <c r="S473" s="124">
        <f t="shared" si="84"/>
        <v>0</v>
      </c>
    </row>
    <row r="474" spans="1:19">
      <c r="A474" s="133"/>
      <c r="B474" s="134"/>
      <c r="C474" s="125">
        <f t="shared" ref="C474:C524" si="85">IF(B474="",1,(LOOKUP(B474,$3:$3,$4:$4)-LOOKUP($B$24,$3:$3,$4:$4)+100)/100)</f>
        <v>1</v>
      </c>
      <c r="D474" s="135"/>
      <c r="E474" s="125">
        <f t="shared" ref="E474:E524" si="86">(SUMIF($5:$5,D474,$6:$6)-SUMIF($5:$5,$D$24,$6:$6)+100)/100</f>
        <v>1</v>
      </c>
      <c r="F474" s="135"/>
      <c r="G474" s="125">
        <f t="shared" ref="G474:G524" si="87">(SUMIF($7:$7,F474,$8:$8)-SUMIF($7:$7,$F$24,$8:$8)+100)/100</f>
        <v>1</v>
      </c>
      <c r="H474" s="135"/>
      <c r="I474" s="125">
        <f t="shared" ref="I474:I524" si="88">(SUMIF($9:$9,H474,$10:$10)-SUMIF($9:$9,$H$24,$10:$10)+100)/100</f>
        <v>1</v>
      </c>
      <c r="J474" s="135"/>
      <c r="K474" s="125">
        <f t="shared" ref="K474:K524" si="89">(SUMIF($11:$11,J474,$12:$12)-SUMIF($11:$11,$J$24,$12:$12)+100)/100</f>
        <v>1</v>
      </c>
      <c r="L474" s="135"/>
      <c r="M474" s="125">
        <f t="shared" ref="M474:M524" si="90">(SUMIF($13:$13,L474,$14:$14)-SUMIF($13:$13,$L$24,$14:$14)+100)/100</f>
        <v>1</v>
      </c>
      <c r="N474" s="135"/>
      <c r="O474" s="125">
        <f t="shared" ref="O474:O524" si="91">(SUMIF($15:$15,N474,$16:$16)-SUMIF($15:$15,$N$24,$16:$16)+100)/100</f>
        <v>1</v>
      </c>
      <c r="P474" s="135"/>
      <c r="Q474" s="125">
        <f t="shared" ref="Q474:Q524" si="92">(SUMIF($17:$17,P474,$18:$18)-SUMIF($17:$17,$P$24,$18:$18)+100)/100</f>
        <v>1</v>
      </c>
      <c r="R474" s="125">
        <f t="shared" ref="R474:R524" si="93">IF(B474="",0,ROUND($R$24*C474*E474*G474*I474*K474*M474*O474*Q474,0))</f>
        <v>0</v>
      </c>
      <c r="S474" s="124">
        <f t="shared" si="84"/>
        <v>0</v>
      </c>
    </row>
    <row r="475" spans="1:19">
      <c r="A475" s="133"/>
      <c r="B475" s="134"/>
      <c r="C475" s="125">
        <f t="shared" si="85"/>
        <v>1</v>
      </c>
      <c r="D475" s="135"/>
      <c r="E475" s="125">
        <f t="shared" si="86"/>
        <v>1</v>
      </c>
      <c r="F475" s="135"/>
      <c r="G475" s="125">
        <f t="shared" si="87"/>
        <v>1</v>
      </c>
      <c r="H475" s="135"/>
      <c r="I475" s="125">
        <f t="shared" si="88"/>
        <v>1</v>
      </c>
      <c r="J475" s="135"/>
      <c r="K475" s="125">
        <f t="shared" si="89"/>
        <v>1</v>
      </c>
      <c r="L475" s="135"/>
      <c r="M475" s="125">
        <f t="shared" si="90"/>
        <v>1</v>
      </c>
      <c r="N475" s="135"/>
      <c r="O475" s="125">
        <f t="shared" si="91"/>
        <v>1</v>
      </c>
      <c r="P475" s="135"/>
      <c r="Q475" s="125">
        <f t="shared" si="92"/>
        <v>1</v>
      </c>
      <c r="R475" s="125">
        <f t="shared" si="93"/>
        <v>0</v>
      </c>
      <c r="S475" s="124">
        <f t="shared" si="84"/>
        <v>0</v>
      </c>
    </row>
    <row r="476" spans="1:19">
      <c r="A476" s="133"/>
      <c r="B476" s="134"/>
      <c r="C476" s="125">
        <f t="shared" si="85"/>
        <v>1</v>
      </c>
      <c r="D476" s="135"/>
      <c r="E476" s="125">
        <f t="shared" si="86"/>
        <v>1</v>
      </c>
      <c r="F476" s="135"/>
      <c r="G476" s="125">
        <f t="shared" si="87"/>
        <v>1</v>
      </c>
      <c r="H476" s="135"/>
      <c r="I476" s="125">
        <f t="shared" si="88"/>
        <v>1</v>
      </c>
      <c r="J476" s="135"/>
      <c r="K476" s="125">
        <f t="shared" si="89"/>
        <v>1</v>
      </c>
      <c r="L476" s="135"/>
      <c r="M476" s="125">
        <f t="shared" si="90"/>
        <v>1</v>
      </c>
      <c r="N476" s="135"/>
      <c r="O476" s="125">
        <f t="shared" si="91"/>
        <v>1</v>
      </c>
      <c r="P476" s="135"/>
      <c r="Q476" s="125">
        <f t="shared" si="92"/>
        <v>1</v>
      </c>
      <c r="R476" s="125">
        <f t="shared" si="93"/>
        <v>0</v>
      </c>
      <c r="S476" s="124">
        <f t="shared" si="84"/>
        <v>0</v>
      </c>
    </row>
    <row r="477" spans="1:19">
      <c r="A477" s="133"/>
      <c r="B477" s="134"/>
      <c r="C477" s="125">
        <f t="shared" si="85"/>
        <v>1</v>
      </c>
      <c r="D477" s="135"/>
      <c r="E477" s="125">
        <f t="shared" si="86"/>
        <v>1</v>
      </c>
      <c r="F477" s="135"/>
      <c r="G477" s="125">
        <f t="shared" si="87"/>
        <v>1</v>
      </c>
      <c r="H477" s="135"/>
      <c r="I477" s="125">
        <f t="shared" si="88"/>
        <v>1</v>
      </c>
      <c r="J477" s="135"/>
      <c r="K477" s="125">
        <f t="shared" si="89"/>
        <v>1</v>
      </c>
      <c r="L477" s="135"/>
      <c r="M477" s="125">
        <f t="shared" si="90"/>
        <v>1</v>
      </c>
      <c r="N477" s="135"/>
      <c r="O477" s="125">
        <f t="shared" si="91"/>
        <v>1</v>
      </c>
      <c r="P477" s="135"/>
      <c r="Q477" s="125">
        <f t="shared" si="92"/>
        <v>1</v>
      </c>
      <c r="R477" s="125">
        <f t="shared" si="93"/>
        <v>0</v>
      </c>
      <c r="S477" s="124">
        <f t="shared" si="84"/>
        <v>0</v>
      </c>
    </row>
    <row r="478" spans="1:19">
      <c r="A478" s="133"/>
      <c r="B478" s="134"/>
      <c r="C478" s="125">
        <f t="shared" si="85"/>
        <v>1</v>
      </c>
      <c r="D478" s="135"/>
      <c r="E478" s="125">
        <f t="shared" si="86"/>
        <v>1</v>
      </c>
      <c r="F478" s="135"/>
      <c r="G478" s="125">
        <f t="shared" si="87"/>
        <v>1</v>
      </c>
      <c r="H478" s="135"/>
      <c r="I478" s="125">
        <f t="shared" si="88"/>
        <v>1</v>
      </c>
      <c r="J478" s="135"/>
      <c r="K478" s="125">
        <f t="shared" si="89"/>
        <v>1</v>
      </c>
      <c r="L478" s="135"/>
      <c r="M478" s="125">
        <f t="shared" si="90"/>
        <v>1</v>
      </c>
      <c r="N478" s="135"/>
      <c r="O478" s="125">
        <f t="shared" si="91"/>
        <v>1</v>
      </c>
      <c r="P478" s="135"/>
      <c r="Q478" s="125">
        <f t="shared" si="92"/>
        <v>1</v>
      </c>
      <c r="R478" s="125">
        <f t="shared" si="93"/>
        <v>0</v>
      </c>
      <c r="S478" s="124">
        <f t="shared" si="84"/>
        <v>0</v>
      </c>
    </row>
    <row r="479" spans="1:19">
      <c r="A479" s="133"/>
      <c r="B479" s="134"/>
      <c r="C479" s="125">
        <f t="shared" si="85"/>
        <v>1</v>
      </c>
      <c r="D479" s="135"/>
      <c r="E479" s="125">
        <f t="shared" si="86"/>
        <v>1</v>
      </c>
      <c r="F479" s="135"/>
      <c r="G479" s="125">
        <f t="shared" si="87"/>
        <v>1</v>
      </c>
      <c r="H479" s="135"/>
      <c r="I479" s="125">
        <f t="shared" si="88"/>
        <v>1</v>
      </c>
      <c r="J479" s="135"/>
      <c r="K479" s="125">
        <f t="shared" si="89"/>
        <v>1</v>
      </c>
      <c r="L479" s="135"/>
      <c r="M479" s="125">
        <f t="shared" si="90"/>
        <v>1</v>
      </c>
      <c r="N479" s="135"/>
      <c r="O479" s="125">
        <f t="shared" si="91"/>
        <v>1</v>
      </c>
      <c r="P479" s="135"/>
      <c r="Q479" s="125">
        <f t="shared" si="92"/>
        <v>1</v>
      </c>
      <c r="R479" s="125">
        <f t="shared" si="93"/>
        <v>0</v>
      </c>
      <c r="S479" s="124">
        <f t="shared" si="84"/>
        <v>0</v>
      </c>
    </row>
    <row r="480" spans="1:19">
      <c r="A480" s="133"/>
      <c r="B480" s="134"/>
      <c r="C480" s="125">
        <f t="shared" si="85"/>
        <v>1</v>
      </c>
      <c r="D480" s="135"/>
      <c r="E480" s="125">
        <f t="shared" si="86"/>
        <v>1</v>
      </c>
      <c r="F480" s="135"/>
      <c r="G480" s="125">
        <f t="shared" si="87"/>
        <v>1</v>
      </c>
      <c r="H480" s="135"/>
      <c r="I480" s="125">
        <f t="shared" si="88"/>
        <v>1</v>
      </c>
      <c r="J480" s="135"/>
      <c r="K480" s="125">
        <f t="shared" si="89"/>
        <v>1</v>
      </c>
      <c r="L480" s="135"/>
      <c r="M480" s="125">
        <f t="shared" si="90"/>
        <v>1</v>
      </c>
      <c r="N480" s="135"/>
      <c r="O480" s="125">
        <f t="shared" si="91"/>
        <v>1</v>
      </c>
      <c r="P480" s="135"/>
      <c r="Q480" s="125">
        <f t="shared" si="92"/>
        <v>1</v>
      </c>
      <c r="R480" s="125">
        <f t="shared" si="93"/>
        <v>0</v>
      </c>
      <c r="S480" s="124">
        <f t="shared" si="84"/>
        <v>0</v>
      </c>
    </row>
    <row r="481" spans="1:19">
      <c r="A481" s="133"/>
      <c r="B481" s="134"/>
      <c r="C481" s="125">
        <f t="shared" si="85"/>
        <v>1</v>
      </c>
      <c r="D481" s="135"/>
      <c r="E481" s="125">
        <f t="shared" si="86"/>
        <v>1</v>
      </c>
      <c r="F481" s="135"/>
      <c r="G481" s="125">
        <f t="shared" si="87"/>
        <v>1</v>
      </c>
      <c r="H481" s="135"/>
      <c r="I481" s="125">
        <f t="shared" si="88"/>
        <v>1</v>
      </c>
      <c r="J481" s="135"/>
      <c r="K481" s="125">
        <f t="shared" si="89"/>
        <v>1</v>
      </c>
      <c r="L481" s="135"/>
      <c r="M481" s="125">
        <f t="shared" si="90"/>
        <v>1</v>
      </c>
      <c r="N481" s="135"/>
      <c r="O481" s="125">
        <f t="shared" si="91"/>
        <v>1</v>
      </c>
      <c r="P481" s="135"/>
      <c r="Q481" s="125">
        <f t="shared" si="92"/>
        <v>1</v>
      </c>
      <c r="R481" s="125">
        <f t="shared" si="93"/>
        <v>0</v>
      </c>
      <c r="S481" s="124">
        <f t="shared" si="84"/>
        <v>0</v>
      </c>
    </row>
    <row r="482" spans="1:19">
      <c r="A482" s="133"/>
      <c r="B482" s="134"/>
      <c r="C482" s="125">
        <f t="shared" si="85"/>
        <v>1</v>
      </c>
      <c r="D482" s="135"/>
      <c r="E482" s="125">
        <f t="shared" si="86"/>
        <v>1</v>
      </c>
      <c r="F482" s="135"/>
      <c r="G482" s="125">
        <f t="shared" si="87"/>
        <v>1</v>
      </c>
      <c r="H482" s="135"/>
      <c r="I482" s="125">
        <f t="shared" si="88"/>
        <v>1</v>
      </c>
      <c r="J482" s="135"/>
      <c r="K482" s="125">
        <f t="shared" si="89"/>
        <v>1</v>
      </c>
      <c r="L482" s="135"/>
      <c r="M482" s="125">
        <f t="shared" si="90"/>
        <v>1</v>
      </c>
      <c r="N482" s="135"/>
      <c r="O482" s="125">
        <f t="shared" si="91"/>
        <v>1</v>
      </c>
      <c r="P482" s="135"/>
      <c r="Q482" s="125">
        <f t="shared" si="92"/>
        <v>1</v>
      </c>
      <c r="R482" s="125">
        <f t="shared" si="93"/>
        <v>0</v>
      </c>
      <c r="S482" s="124">
        <f t="shared" si="84"/>
        <v>0</v>
      </c>
    </row>
    <row r="483" spans="1:19">
      <c r="A483" s="133"/>
      <c r="B483" s="134"/>
      <c r="C483" s="125">
        <f t="shared" si="85"/>
        <v>1</v>
      </c>
      <c r="D483" s="135"/>
      <c r="E483" s="125">
        <f t="shared" si="86"/>
        <v>1</v>
      </c>
      <c r="F483" s="135"/>
      <c r="G483" s="125">
        <f t="shared" si="87"/>
        <v>1</v>
      </c>
      <c r="H483" s="135"/>
      <c r="I483" s="125">
        <f t="shared" si="88"/>
        <v>1</v>
      </c>
      <c r="J483" s="135"/>
      <c r="K483" s="125">
        <f t="shared" si="89"/>
        <v>1</v>
      </c>
      <c r="L483" s="135"/>
      <c r="M483" s="125">
        <f t="shared" si="90"/>
        <v>1</v>
      </c>
      <c r="N483" s="135"/>
      <c r="O483" s="125">
        <f t="shared" si="91"/>
        <v>1</v>
      </c>
      <c r="P483" s="135"/>
      <c r="Q483" s="125">
        <f t="shared" si="92"/>
        <v>1</v>
      </c>
      <c r="R483" s="125">
        <f t="shared" si="93"/>
        <v>0</v>
      </c>
      <c r="S483" s="124">
        <f t="shared" si="84"/>
        <v>0</v>
      </c>
    </row>
    <row r="484" spans="1:19">
      <c r="A484" s="133"/>
      <c r="B484" s="134"/>
      <c r="C484" s="125">
        <f t="shared" si="85"/>
        <v>1</v>
      </c>
      <c r="D484" s="135"/>
      <c r="E484" s="125">
        <f t="shared" si="86"/>
        <v>1</v>
      </c>
      <c r="F484" s="135"/>
      <c r="G484" s="125">
        <f t="shared" si="87"/>
        <v>1</v>
      </c>
      <c r="H484" s="135"/>
      <c r="I484" s="125">
        <f t="shared" si="88"/>
        <v>1</v>
      </c>
      <c r="J484" s="135"/>
      <c r="K484" s="125">
        <f t="shared" si="89"/>
        <v>1</v>
      </c>
      <c r="L484" s="135"/>
      <c r="M484" s="125">
        <f t="shared" si="90"/>
        <v>1</v>
      </c>
      <c r="N484" s="135"/>
      <c r="O484" s="125">
        <f t="shared" si="91"/>
        <v>1</v>
      </c>
      <c r="P484" s="135"/>
      <c r="Q484" s="125">
        <f t="shared" si="92"/>
        <v>1</v>
      </c>
      <c r="R484" s="125">
        <f t="shared" si="93"/>
        <v>0</v>
      </c>
      <c r="S484" s="124">
        <f t="shared" si="84"/>
        <v>0</v>
      </c>
    </row>
    <row r="485" spans="1:19">
      <c r="A485" s="133"/>
      <c r="B485" s="134"/>
      <c r="C485" s="125">
        <f t="shared" si="85"/>
        <v>1</v>
      </c>
      <c r="D485" s="135"/>
      <c r="E485" s="125">
        <f t="shared" si="86"/>
        <v>1</v>
      </c>
      <c r="F485" s="135"/>
      <c r="G485" s="125">
        <f t="shared" si="87"/>
        <v>1</v>
      </c>
      <c r="H485" s="135"/>
      <c r="I485" s="125">
        <f t="shared" si="88"/>
        <v>1</v>
      </c>
      <c r="J485" s="135"/>
      <c r="K485" s="125">
        <f t="shared" si="89"/>
        <v>1</v>
      </c>
      <c r="L485" s="135"/>
      <c r="M485" s="125">
        <f t="shared" si="90"/>
        <v>1</v>
      </c>
      <c r="N485" s="135"/>
      <c r="O485" s="125">
        <f t="shared" si="91"/>
        <v>1</v>
      </c>
      <c r="P485" s="135"/>
      <c r="Q485" s="125">
        <f t="shared" si="92"/>
        <v>1</v>
      </c>
      <c r="R485" s="125">
        <f t="shared" si="93"/>
        <v>0</v>
      </c>
      <c r="S485" s="124">
        <f t="shared" si="84"/>
        <v>0</v>
      </c>
    </row>
    <row r="486" spans="1:19">
      <c r="A486" s="133"/>
      <c r="B486" s="134"/>
      <c r="C486" s="125">
        <f t="shared" si="85"/>
        <v>1</v>
      </c>
      <c r="D486" s="135"/>
      <c r="E486" s="125">
        <f t="shared" si="86"/>
        <v>1</v>
      </c>
      <c r="F486" s="135"/>
      <c r="G486" s="125">
        <f t="shared" si="87"/>
        <v>1</v>
      </c>
      <c r="H486" s="135"/>
      <c r="I486" s="125">
        <f t="shared" si="88"/>
        <v>1</v>
      </c>
      <c r="J486" s="135"/>
      <c r="K486" s="125">
        <f t="shared" si="89"/>
        <v>1</v>
      </c>
      <c r="L486" s="135"/>
      <c r="M486" s="125">
        <f t="shared" si="90"/>
        <v>1</v>
      </c>
      <c r="N486" s="135"/>
      <c r="O486" s="125">
        <f t="shared" si="91"/>
        <v>1</v>
      </c>
      <c r="P486" s="135"/>
      <c r="Q486" s="125">
        <f t="shared" si="92"/>
        <v>1</v>
      </c>
      <c r="R486" s="125">
        <f t="shared" si="93"/>
        <v>0</v>
      </c>
      <c r="S486" s="124">
        <f t="shared" si="84"/>
        <v>0</v>
      </c>
    </row>
    <row r="487" spans="1:19">
      <c r="A487" s="133"/>
      <c r="B487" s="134"/>
      <c r="C487" s="125">
        <f t="shared" si="85"/>
        <v>1</v>
      </c>
      <c r="D487" s="135"/>
      <c r="E487" s="125">
        <f t="shared" si="86"/>
        <v>1</v>
      </c>
      <c r="F487" s="135"/>
      <c r="G487" s="125">
        <f t="shared" si="87"/>
        <v>1</v>
      </c>
      <c r="H487" s="135"/>
      <c r="I487" s="125">
        <f t="shared" si="88"/>
        <v>1</v>
      </c>
      <c r="J487" s="135"/>
      <c r="K487" s="125">
        <f t="shared" si="89"/>
        <v>1</v>
      </c>
      <c r="L487" s="135"/>
      <c r="M487" s="125">
        <f t="shared" si="90"/>
        <v>1</v>
      </c>
      <c r="N487" s="135"/>
      <c r="O487" s="125">
        <f t="shared" si="91"/>
        <v>1</v>
      </c>
      <c r="P487" s="135"/>
      <c r="Q487" s="125">
        <f t="shared" si="92"/>
        <v>1</v>
      </c>
      <c r="R487" s="125">
        <f t="shared" si="93"/>
        <v>0</v>
      </c>
      <c r="S487" s="124">
        <f t="shared" si="84"/>
        <v>0</v>
      </c>
    </row>
    <row r="488" spans="1:19">
      <c r="A488" s="133"/>
      <c r="B488" s="134"/>
      <c r="C488" s="125">
        <f t="shared" si="85"/>
        <v>1</v>
      </c>
      <c r="D488" s="135"/>
      <c r="E488" s="125">
        <f t="shared" si="86"/>
        <v>1</v>
      </c>
      <c r="F488" s="135"/>
      <c r="G488" s="125">
        <f t="shared" si="87"/>
        <v>1</v>
      </c>
      <c r="H488" s="135"/>
      <c r="I488" s="125">
        <f t="shared" si="88"/>
        <v>1</v>
      </c>
      <c r="J488" s="135"/>
      <c r="K488" s="125">
        <f t="shared" si="89"/>
        <v>1</v>
      </c>
      <c r="L488" s="135"/>
      <c r="M488" s="125">
        <f t="shared" si="90"/>
        <v>1</v>
      </c>
      <c r="N488" s="135"/>
      <c r="O488" s="125">
        <f t="shared" si="91"/>
        <v>1</v>
      </c>
      <c r="P488" s="135"/>
      <c r="Q488" s="125">
        <f t="shared" si="92"/>
        <v>1</v>
      </c>
      <c r="R488" s="125">
        <f t="shared" si="93"/>
        <v>0</v>
      </c>
      <c r="S488" s="124">
        <f t="shared" si="84"/>
        <v>0</v>
      </c>
    </row>
    <row r="489" spans="1:19">
      <c r="A489" s="133"/>
      <c r="B489" s="134"/>
      <c r="C489" s="125">
        <f t="shared" si="85"/>
        <v>1</v>
      </c>
      <c r="D489" s="135"/>
      <c r="E489" s="125">
        <f t="shared" si="86"/>
        <v>1</v>
      </c>
      <c r="F489" s="135"/>
      <c r="G489" s="125">
        <f t="shared" si="87"/>
        <v>1</v>
      </c>
      <c r="H489" s="135"/>
      <c r="I489" s="125">
        <f t="shared" si="88"/>
        <v>1</v>
      </c>
      <c r="J489" s="135"/>
      <c r="K489" s="125">
        <f t="shared" si="89"/>
        <v>1</v>
      </c>
      <c r="L489" s="135"/>
      <c r="M489" s="125">
        <f t="shared" si="90"/>
        <v>1</v>
      </c>
      <c r="N489" s="135"/>
      <c r="O489" s="125">
        <f t="shared" si="91"/>
        <v>1</v>
      </c>
      <c r="P489" s="135"/>
      <c r="Q489" s="125">
        <f t="shared" si="92"/>
        <v>1</v>
      </c>
      <c r="R489" s="125">
        <f t="shared" si="93"/>
        <v>0</v>
      </c>
      <c r="S489" s="124">
        <f t="shared" si="84"/>
        <v>0</v>
      </c>
    </row>
    <row r="490" spans="1:19">
      <c r="A490" s="133"/>
      <c r="B490" s="134"/>
      <c r="C490" s="125">
        <f t="shared" si="85"/>
        <v>1</v>
      </c>
      <c r="D490" s="135"/>
      <c r="E490" s="125">
        <f t="shared" si="86"/>
        <v>1</v>
      </c>
      <c r="F490" s="135"/>
      <c r="G490" s="125">
        <f t="shared" si="87"/>
        <v>1</v>
      </c>
      <c r="H490" s="135"/>
      <c r="I490" s="125">
        <f t="shared" si="88"/>
        <v>1</v>
      </c>
      <c r="J490" s="135"/>
      <c r="K490" s="125">
        <f t="shared" si="89"/>
        <v>1</v>
      </c>
      <c r="L490" s="135"/>
      <c r="M490" s="125">
        <f t="shared" si="90"/>
        <v>1</v>
      </c>
      <c r="N490" s="135"/>
      <c r="O490" s="125">
        <f t="shared" si="91"/>
        <v>1</v>
      </c>
      <c r="P490" s="135"/>
      <c r="Q490" s="125">
        <f t="shared" si="92"/>
        <v>1</v>
      </c>
      <c r="R490" s="125">
        <f t="shared" si="93"/>
        <v>0</v>
      </c>
      <c r="S490" s="124">
        <f t="shared" si="84"/>
        <v>0</v>
      </c>
    </row>
    <row r="491" spans="1:19">
      <c r="A491" s="133"/>
      <c r="B491" s="134"/>
      <c r="C491" s="125">
        <f t="shared" si="85"/>
        <v>1</v>
      </c>
      <c r="D491" s="135"/>
      <c r="E491" s="125">
        <f t="shared" si="86"/>
        <v>1</v>
      </c>
      <c r="F491" s="135"/>
      <c r="G491" s="125">
        <f t="shared" si="87"/>
        <v>1</v>
      </c>
      <c r="H491" s="135"/>
      <c r="I491" s="125">
        <f t="shared" si="88"/>
        <v>1</v>
      </c>
      <c r="J491" s="135"/>
      <c r="K491" s="125">
        <f t="shared" si="89"/>
        <v>1</v>
      </c>
      <c r="L491" s="135"/>
      <c r="M491" s="125">
        <f t="shared" si="90"/>
        <v>1</v>
      </c>
      <c r="N491" s="135"/>
      <c r="O491" s="125">
        <f t="shared" si="91"/>
        <v>1</v>
      </c>
      <c r="P491" s="135"/>
      <c r="Q491" s="125">
        <f t="shared" si="92"/>
        <v>1</v>
      </c>
      <c r="R491" s="125">
        <f t="shared" si="93"/>
        <v>0</v>
      </c>
      <c r="S491" s="124">
        <f t="shared" si="84"/>
        <v>0</v>
      </c>
    </row>
    <row r="492" spans="1:19">
      <c r="A492" s="133"/>
      <c r="B492" s="134"/>
      <c r="C492" s="125">
        <f t="shared" si="85"/>
        <v>1</v>
      </c>
      <c r="D492" s="135"/>
      <c r="E492" s="125">
        <f t="shared" si="86"/>
        <v>1</v>
      </c>
      <c r="F492" s="135"/>
      <c r="G492" s="125">
        <f t="shared" si="87"/>
        <v>1</v>
      </c>
      <c r="H492" s="135"/>
      <c r="I492" s="125">
        <f t="shared" si="88"/>
        <v>1</v>
      </c>
      <c r="J492" s="135"/>
      <c r="K492" s="125">
        <f t="shared" si="89"/>
        <v>1</v>
      </c>
      <c r="L492" s="135"/>
      <c r="M492" s="125">
        <f t="shared" si="90"/>
        <v>1</v>
      </c>
      <c r="N492" s="135"/>
      <c r="O492" s="125">
        <f t="shared" si="91"/>
        <v>1</v>
      </c>
      <c r="P492" s="135"/>
      <c r="Q492" s="125">
        <f t="shared" si="92"/>
        <v>1</v>
      </c>
      <c r="R492" s="125">
        <f t="shared" si="93"/>
        <v>0</v>
      </c>
      <c r="S492" s="124">
        <f t="shared" si="84"/>
        <v>0</v>
      </c>
    </row>
    <row r="493" spans="1:19">
      <c r="A493" s="133"/>
      <c r="B493" s="134"/>
      <c r="C493" s="125">
        <f t="shared" si="85"/>
        <v>1</v>
      </c>
      <c r="D493" s="135"/>
      <c r="E493" s="125">
        <f t="shared" si="86"/>
        <v>1</v>
      </c>
      <c r="F493" s="135"/>
      <c r="G493" s="125">
        <f t="shared" si="87"/>
        <v>1</v>
      </c>
      <c r="H493" s="135"/>
      <c r="I493" s="125">
        <f t="shared" si="88"/>
        <v>1</v>
      </c>
      <c r="J493" s="135"/>
      <c r="K493" s="125">
        <f t="shared" si="89"/>
        <v>1</v>
      </c>
      <c r="L493" s="135"/>
      <c r="M493" s="125">
        <f t="shared" si="90"/>
        <v>1</v>
      </c>
      <c r="N493" s="135"/>
      <c r="O493" s="125">
        <f t="shared" si="91"/>
        <v>1</v>
      </c>
      <c r="P493" s="135"/>
      <c r="Q493" s="125">
        <f t="shared" si="92"/>
        <v>1</v>
      </c>
      <c r="R493" s="125">
        <f t="shared" si="93"/>
        <v>0</v>
      </c>
      <c r="S493" s="124">
        <f t="shared" si="84"/>
        <v>0</v>
      </c>
    </row>
    <row r="494" spans="1:19">
      <c r="A494" s="133"/>
      <c r="B494" s="134"/>
      <c r="C494" s="125">
        <f t="shared" si="85"/>
        <v>1</v>
      </c>
      <c r="D494" s="135"/>
      <c r="E494" s="125">
        <f t="shared" si="86"/>
        <v>1</v>
      </c>
      <c r="F494" s="135"/>
      <c r="G494" s="125">
        <f t="shared" si="87"/>
        <v>1</v>
      </c>
      <c r="H494" s="135"/>
      <c r="I494" s="125">
        <f t="shared" si="88"/>
        <v>1</v>
      </c>
      <c r="J494" s="135"/>
      <c r="K494" s="125">
        <f t="shared" si="89"/>
        <v>1</v>
      </c>
      <c r="L494" s="135"/>
      <c r="M494" s="125">
        <f t="shared" si="90"/>
        <v>1</v>
      </c>
      <c r="N494" s="135"/>
      <c r="O494" s="125">
        <f t="shared" si="91"/>
        <v>1</v>
      </c>
      <c r="P494" s="135"/>
      <c r="Q494" s="125">
        <f t="shared" si="92"/>
        <v>1</v>
      </c>
      <c r="R494" s="125">
        <f t="shared" si="93"/>
        <v>0</v>
      </c>
      <c r="S494" s="124">
        <f t="shared" si="84"/>
        <v>0</v>
      </c>
    </row>
    <row r="495" spans="1:19">
      <c r="A495" s="133"/>
      <c r="B495" s="134"/>
      <c r="C495" s="125">
        <f t="shared" si="85"/>
        <v>1</v>
      </c>
      <c r="D495" s="135"/>
      <c r="E495" s="125">
        <f t="shared" si="86"/>
        <v>1</v>
      </c>
      <c r="F495" s="135"/>
      <c r="G495" s="125">
        <f t="shared" si="87"/>
        <v>1</v>
      </c>
      <c r="H495" s="135"/>
      <c r="I495" s="125">
        <f t="shared" si="88"/>
        <v>1</v>
      </c>
      <c r="J495" s="135"/>
      <c r="K495" s="125">
        <f t="shared" si="89"/>
        <v>1</v>
      </c>
      <c r="L495" s="135"/>
      <c r="M495" s="125">
        <f t="shared" si="90"/>
        <v>1</v>
      </c>
      <c r="N495" s="135"/>
      <c r="O495" s="125">
        <f t="shared" si="91"/>
        <v>1</v>
      </c>
      <c r="P495" s="135"/>
      <c r="Q495" s="125">
        <f t="shared" si="92"/>
        <v>1</v>
      </c>
      <c r="R495" s="125">
        <f t="shared" si="93"/>
        <v>0</v>
      </c>
      <c r="S495" s="124">
        <f t="shared" si="84"/>
        <v>0</v>
      </c>
    </row>
    <row r="496" spans="1:19">
      <c r="A496" s="133"/>
      <c r="B496" s="134"/>
      <c r="C496" s="125">
        <f t="shared" si="85"/>
        <v>1</v>
      </c>
      <c r="D496" s="135"/>
      <c r="E496" s="125">
        <f t="shared" si="86"/>
        <v>1</v>
      </c>
      <c r="F496" s="135"/>
      <c r="G496" s="125">
        <f t="shared" si="87"/>
        <v>1</v>
      </c>
      <c r="H496" s="135"/>
      <c r="I496" s="125">
        <f t="shared" si="88"/>
        <v>1</v>
      </c>
      <c r="J496" s="135"/>
      <c r="K496" s="125">
        <f t="shared" si="89"/>
        <v>1</v>
      </c>
      <c r="L496" s="135"/>
      <c r="M496" s="125">
        <f t="shared" si="90"/>
        <v>1</v>
      </c>
      <c r="N496" s="135"/>
      <c r="O496" s="125">
        <f t="shared" si="91"/>
        <v>1</v>
      </c>
      <c r="P496" s="135"/>
      <c r="Q496" s="125">
        <f t="shared" si="92"/>
        <v>1</v>
      </c>
      <c r="R496" s="125">
        <f t="shared" si="93"/>
        <v>0</v>
      </c>
      <c r="S496" s="124">
        <f t="shared" si="84"/>
        <v>0</v>
      </c>
    </row>
    <row r="497" spans="1:19">
      <c r="A497" s="133"/>
      <c r="B497" s="134"/>
      <c r="C497" s="125">
        <f t="shared" si="85"/>
        <v>1</v>
      </c>
      <c r="D497" s="135"/>
      <c r="E497" s="125">
        <f t="shared" si="86"/>
        <v>1</v>
      </c>
      <c r="F497" s="135"/>
      <c r="G497" s="125">
        <f t="shared" si="87"/>
        <v>1</v>
      </c>
      <c r="H497" s="135"/>
      <c r="I497" s="125">
        <f t="shared" si="88"/>
        <v>1</v>
      </c>
      <c r="J497" s="135"/>
      <c r="K497" s="125">
        <f t="shared" si="89"/>
        <v>1</v>
      </c>
      <c r="L497" s="135"/>
      <c r="M497" s="125">
        <f t="shared" si="90"/>
        <v>1</v>
      </c>
      <c r="N497" s="135"/>
      <c r="O497" s="125">
        <f t="shared" si="91"/>
        <v>1</v>
      </c>
      <c r="P497" s="135"/>
      <c r="Q497" s="125">
        <f t="shared" si="92"/>
        <v>1</v>
      </c>
      <c r="R497" s="125">
        <f t="shared" si="93"/>
        <v>0</v>
      </c>
      <c r="S497" s="124">
        <f t="shared" si="84"/>
        <v>0</v>
      </c>
    </row>
    <row r="498" spans="1:19">
      <c r="A498" s="133"/>
      <c r="B498" s="134"/>
      <c r="C498" s="125">
        <f t="shared" si="85"/>
        <v>1</v>
      </c>
      <c r="D498" s="135"/>
      <c r="E498" s="125">
        <f t="shared" si="86"/>
        <v>1</v>
      </c>
      <c r="F498" s="135"/>
      <c r="G498" s="125">
        <f t="shared" si="87"/>
        <v>1</v>
      </c>
      <c r="H498" s="135"/>
      <c r="I498" s="125">
        <f t="shared" si="88"/>
        <v>1</v>
      </c>
      <c r="J498" s="135"/>
      <c r="K498" s="125">
        <f t="shared" si="89"/>
        <v>1</v>
      </c>
      <c r="L498" s="135"/>
      <c r="M498" s="125">
        <f t="shared" si="90"/>
        <v>1</v>
      </c>
      <c r="N498" s="135"/>
      <c r="O498" s="125">
        <f t="shared" si="91"/>
        <v>1</v>
      </c>
      <c r="P498" s="135"/>
      <c r="Q498" s="125">
        <f t="shared" si="92"/>
        <v>1</v>
      </c>
      <c r="R498" s="125">
        <f t="shared" si="93"/>
        <v>0</v>
      </c>
      <c r="S498" s="124">
        <f t="shared" ref="S498:S524" si="94">ROUND(R498*B498/10000,0)</f>
        <v>0</v>
      </c>
    </row>
    <row r="499" spans="1:19">
      <c r="A499" s="133"/>
      <c r="B499" s="134"/>
      <c r="C499" s="125">
        <f t="shared" si="85"/>
        <v>1</v>
      </c>
      <c r="D499" s="135"/>
      <c r="E499" s="125">
        <f t="shared" si="86"/>
        <v>1</v>
      </c>
      <c r="F499" s="135"/>
      <c r="G499" s="125">
        <f t="shared" si="87"/>
        <v>1</v>
      </c>
      <c r="H499" s="135"/>
      <c r="I499" s="125">
        <f t="shared" si="88"/>
        <v>1</v>
      </c>
      <c r="J499" s="135"/>
      <c r="K499" s="125">
        <f t="shared" si="89"/>
        <v>1</v>
      </c>
      <c r="L499" s="135"/>
      <c r="M499" s="125">
        <f t="shared" si="90"/>
        <v>1</v>
      </c>
      <c r="N499" s="135"/>
      <c r="O499" s="125">
        <f t="shared" si="91"/>
        <v>1</v>
      </c>
      <c r="P499" s="135"/>
      <c r="Q499" s="125">
        <f t="shared" si="92"/>
        <v>1</v>
      </c>
      <c r="R499" s="125">
        <f t="shared" si="93"/>
        <v>0</v>
      </c>
      <c r="S499" s="124">
        <f t="shared" si="94"/>
        <v>0</v>
      </c>
    </row>
    <row r="500" spans="1:19">
      <c r="A500" s="133"/>
      <c r="B500" s="134"/>
      <c r="C500" s="125">
        <f t="shared" si="85"/>
        <v>1</v>
      </c>
      <c r="D500" s="135"/>
      <c r="E500" s="125">
        <f t="shared" si="86"/>
        <v>1</v>
      </c>
      <c r="F500" s="135"/>
      <c r="G500" s="125">
        <f t="shared" si="87"/>
        <v>1</v>
      </c>
      <c r="H500" s="135"/>
      <c r="I500" s="125">
        <f t="shared" si="88"/>
        <v>1</v>
      </c>
      <c r="J500" s="135"/>
      <c r="K500" s="125">
        <f t="shared" si="89"/>
        <v>1</v>
      </c>
      <c r="L500" s="135"/>
      <c r="M500" s="125">
        <f t="shared" si="90"/>
        <v>1</v>
      </c>
      <c r="N500" s="135"/>
      <c r="O500" s="125">
        <f t="shared" si="91"/>
        <v>1</v>
      </c>
      <c r="P500" s="135"/>
      <c r="Q500" s="125">
        <f t="shared" si="92"/>
        <v>1</v>
      </c>
      <c r="R500" s="125">
        <f t="shared" si="93"/>
        <v>0</v>
      </c>
      <c r="S500" s="124">
        <f t="shared" si="94"/>
        <v>0</v>
      </c>
    </row>
    <row r="501" spans="1:19">
      <c r="A501" s="133"/>
      <c r="B501" s="134"/>
      <c r="C501" s="125">
        <f t="shared" si="85"/>
        <v>1</v>
      </c>
      <c r="D501" s="135"/>
      <c r="E501" s="125">
        <f t="shared" si="86"/>
        <v>1</v>
      </c>
      <c r="F501" s="135"/>
      <c r="G501" s="125">
        <f t="shared" si="87"/>
        <v>1</v>
      </c>
      <c r="H501" s="135"/>
      <c r="I501" s="125">
        <f t="shared" si="88"/>
        <v>1</v>
      </c>
      <c r="J501" s="135"/>
      <c r="K501" s="125">
        <f t="shared" si="89"/>
        <v>1</v>
      </c>
      <c r="L501" s="135"/>
      <c r="M501" s="125">
        <f t="shared" si="90"/>
        <v>1</v>
      </c>
      <c r="N501" s="135"/>
      <c r="O501" s="125">
        <f t="shared" si="91"/>
        <v>1</v>
      </c>
      <c r="P501" s="135"/>
      <c r="Q501" s="125">
        <f t="shared" si="92"/>
        <v>1</v>
      </c>
      <c r="R501" s="125">
        <f t="shared" si="93"/>
        <v>0</v>
      </c>
      <c r="S501" s="124">
        <f t="shared" si="94"/>
        <v>0</v>
      </c>
    </row>
    <row r="502" spans="1:19">
      <c r="A502" s="133"/>
      <c r="B502" s="134"/>
      <c r="C502" s="125">
        <f t="shared" si="85"/>
        <v>1</v>
      </c>
      <c r="D502" s="135"/>
      <c r="E502" s="125">
        <f t="shared" si="86"/>
        <v>1</v>
      </c>
      <c r="F502" s="135"/>
      <c r="G502" s="125">
        <f t="shared" si="87"/>
        <v>1</v>
      </c>
      <c r="H502" s="135"/>
      <c r="I502" s="125">
        <f t="shared" si="88"/>
        <v>1</v>
      </c>
      <c r="J502" s="135"/>
      <c r="K502" s="125">
        <f t="shared" si="89"/>
        <v>1</v>
      </c>
      <c r="L502" s="135"/>
      <c r="M502" s="125">
        <f t="shared" si="90"/>
        <v>1</v>
      </c>
      <c r="N502" s="135"/>
      <c r="O502" s="125">
        <f t="shared" si="91"/>
        <v>1</v>
      </c>
      <c r="P502" s="135"/>
      <c r="Q502" s="125">
        <f t="shared" si="92"/>
        <v>1</v>
      </c>
      <c r="R502" s="125">
        <f t="shared" si="93"/>
        <v>0</v>
      </c>
      <c r="S502" s="124">
        <f t="shared" si="94"/>
        <v>0</v>
      </c>
    </row>
    <row r="503" spans="1:19">
      <c r="A503" s="133"/>
      <c r="B503" s="134"/>
      <c r="C503" s="125">
        <f t="shared" si="85"/>
        <v>1</v>
      </c>
      <c r="D503" s="135"/>
      <c r="E503" s="125">
        <f t="shared" si="86"/>
        <v>1</v>
      </c>
      <c r="F503" s="135"/>
      <c r="G503" s="125">
        <f t="shared" si="87"/>
        <v>1</v>
      </c>
      <c r="H503" s="135"/>
      <c r="I503" s="125">
        <f t="shared" si="88"/>
        <v>1</v>
      </c>
      <c r="J503" s="135"/>
      <c r="K503" s="125">
        <f t="shared" si="89"/>
        <v>1</v>
      </c>
      <c r="L503" s="135"/>
      <c r="M503" s="125">
        <f t="shared" si="90"/>
        <v>1</v>
      </c>
      <c r="N503" s="135"/>
      <c r="O503" s="125">
        <f t="shared" si="91"/>
        <v>1</v>
      </c>
      <c r="P503" s="135"/>
      <c r="Q503" s="125">
        <f t="shared" si="92"/>
        <v>1</v>
      </c>
      <c r="R503" s="125">
        <f t="shared" si="93"/>
        <v>0</v>
      </c>
      <c r="S503" s="124">
        <f t="shared" si="94"/>
        <v>0</v>
      </c>
    </row>
    <row r="504" spans="1:19">
      <c r="A504" s="133"/>
      <c r="B504" s="134"/>
      <c r="C504" s="125">
        <f t="shared" si="85"/>
        <v>1</v>
      </c>
      <c r="D504" s="135"/>
      <c r="E504" s="125">
        <f t="shared" si="86"/>
        <v>1</v>
      </c>
      <c r="F504" s="135"/>
      <c r="G504" s="125">
        <f t="shared" si="87"/>
        <v>1</v>
      </c>
      <c r="H504" s="135"/>
      <c r="I504" s="125">
        <f t="shared" si="88"/>
        <v>1</v>
      </c>
      <c r="J504" s="135"/>
      <c r="K504" s="125">
        <f t="shared" si="89"/>
        <v>1</v>
      </c>
      <c r="L504" s="135"/>
      <c r="M504" s="125">
        <f t="shared" si="90"/>
        <v>1</v>
      </c>
      <c r="N504" s="135"/>
      <c r="O504" s="125">
        <f t="shared" si="91"/>
        <v>1</v>
      </c>
      <c r="P504" s="135"/>
      <c r="Q504" s="125">
        <f t="shared" si="92"/>
        <v>1</v>
      </c>
      <c r="R504" s="125">
        <f t="shared" si="93"/>
        <v>0</v>
      </c>
      <c r="S504" s="124">
        <f t="shared" si="94"/>
        <v>0</v>
      </c>
    </row>
    <row r="505" spans="1:19">
      <c r="A505" s="133"/>
      <c r="B505" s="134"/>
      <c r="C505" s="125">
        <f t="shared" si="85"/>
        <v>1</v>
      </c>
      <c r="D505" s="135"/>
      <c r="E505" s="125">
        <f t="shared" si="86"/>
        <v>1</v>
      </c>
      <c r="F505" s="135"/>
      <c r="G505" s="125">
        <f t="shared" si="87"/>
        <v>1</v>
      </c>
      <c r="H505" s="135"/>
      <c r="I505" s="125">
        <f t="shared" si="88"/>
        <v>1</v>
      </c>
      <c r="J505" s="135"/>
      <c r="K505" s="125">
        <f t="shared" si="89"/>
        <v>1</v>
      </c>
      <c r="L505" s="135"/>
      <c r="M505" s="125">
        <f t="shared" si="90"/>
        <v>1</v>
      </c>
      <c r="N505" s="135"/>
      <c r="O505" s="125">
        <f t="shared" si="91"/>
        <v>1</v>
      </c>
      <c r="P505" s="135"/>
      <c r="Q505" s="125">
        <f t="shared" si="92"/>
        <v>1</v>
      </c>
      <c r="R505" s="125">
        <f t="shared" si="93"/>
        <v>0</v>
      </c>
      <c r="S505" s="124">
        <f t="shared" si="94"/>
        <v>0</v>
      </c>
    </row>
    <row r="506" spans="1:19">
      <c r="A506" s="133"/>
      <c r="B506" s="134"/>
      <c r="C506" s="125">
        <f t="shared" si="85"/>
        <v>1</v>
      </c>
      <c r="D506" s="135"/>
      <c r="E506" s="125">
        <f t="shared" si="86"/>
        <v>1</v>
      </c>
      <c r="F506" s="135"/>
      <c r="G506" s="125">
        <f t="shared" si="87"/>
        <v>1</v>
      </c>
      <c r="H506" s="135"/>
      <c r="I506" s="125">
        <f t="shared" si="88"/>
        <v>1</v>
      </c>
      <c r="J506" s="135"/>
      <c r="K506" s="125">
        <f t="shared" si="89"/>
        <v>1</v>
      </c>
      <c r="L506" s="135"/>
      <c r="M506" s="125">
        <f t="shared" si="90"/>
        <v>1</v>
      </c>
      <c r="N506" s="135"/>
      <c r="O506" s="125">
        <f t="shared" si="91"/>
        <v>1</v>
      </c>
      <c r="P506" s="135"/>
      <c r="Q506" s="125">
        <f t="shared" si="92"/>
        <v>1</v>
      </c>
      <c r="R506" s="125">
        <f t="shared" si="93"/>
        <v>0</v>
      </c>
      <c r="S506" s="124">
        <f t="shared" si="94"/>
        <v>0</v>
      </c>
    </row>
    <row r="507" spans="1:19">
      <c r="A507" s="133"/>
      <c r="B507" s="134"/>
      <c r="C507" s="125">
        <f t="shared" si="85"/>
        <v>1</v>
      </c>
      <c r="D507" s="135"/>
      <c r="E507" s="125">
        <f t="shared" si="86"/>
        <v>1</v>
      </c>
      <c r="F507" s="135"/>
      <c r="G507" s="125">
        <f t="shared" si="87"/>
        <v>1</v>
      </c>
      <c r="H507" s="135"/>
      <c r="I507" s="125">
        <f t="shared" si="88"/>
        <v>1</v>
      </c>
      <c r="J507" s="135"/>
      <c r="K507" s="125">
        <f t="shared" si="89"/>
        <v>1</v>
      </c>
      <c r="L507" s="135"/>
      <c r="M507" s="125">
        <f t="shared" si="90"/>
        <v>1</v>
      </c>
      <c r="N507" s="135"/>
      <c r="O507" s="125">
        <f t="shared" si="91"/>
        <v>1</v>
      </c>
      <c r="P507" s="135"/>
      <c r="Q507" s="125">
        <f t="shared" si="92"/>
        <v>1</v>
      </c>
      <c r="R507" s="125">
        <f t="shared" si="93"/>
        <v>0</v>
      </c>
      <c r="S507" s="124">
        <f t="shared" si="94"/>
        <v>0</v>
      </c>
    </row>
    <row r="508" spans="1:19">
      <c r="A508" s="133"/>
      <c r="B508" s="134"/>
      <c r="C508" s="125">
        <f t="shared" si="85"/>
        <v>1</v>
      </c>
      <c r="D508" s="135"/>
      <c r="E508" s="125">
        <f t="shared" si="86"/>
        <v>1</v>
      </c>
      <c r="F508" s="135"/>
      <c r="G508" s="125">
        <f t="shared" si="87"/>
        <v>1</v>
      </c>
      <c r="H508" s="135"/>
      <c r="I508" s="125">
        <f t="shared" si="88"/>
        <v>1</v>
      </c>
      <c r="J508" s="135"/>
      <c r="K508" s="125">
        <f t="shared" si="89"/>
        <v>1</v>
      </c>
      <c r="L508" s="135"/>
      <c r="M508" s="125">
        <f t="shared" si="90"/>
        <v>1</v>
      </c>
      <c r="N508" s="135"/>
      <c r="O508" s="125">
        <f t="shared" si="91"/>
        <v>1</v>
      </c>
      <c r="P508" s="135"/>
      <c r="Q508" s="125">
        <f t="shared" si="92"/>
        <v>1</v>
      </c>
      <c r="R508" s="125">
        <f t="shared" si="93"/>
        <v>0</v>
      </c>
      <c r="S508" s="124">
        <f t="shared" si="94"/>
        <v>0</v>
      </c>
    </row>
    <row r="509" spans="1:19">
      <c r="A509" s="133"/>
      <c r="B509" s="134"/>
      <c r="C509" s="125">
        <f t="shared" si="85"/>
        <v>1</v>
      </c>
      <c r="D509" s="135"/>
      <c r="E509" s="125">
        <f t="shared" si="86"/>
        <v>1</v>
      </c>
      <c r="F509" s="135"/>
      <c r="G509" s="125">
        <f t="shared" si="87"/>
        <v>1</v>
      </c>
      <c r="H509" s="135"/>
      <c r="I509" s="125">
        <f t="shared" si="88"/>
        <v>1</v>
      </c>
      <c r="J509" s="135"/>
      <c r="K509" s="125">
        <f t="shared" si="89"/>
        <v>1</v>
      </c>
      <c r="L509" s="135"/>
      <c r="M509" s="125">
        <f t="shared" si="90"/>
        <v>1</v>
      </c>
      <c r="N509" s="135"/>
      <c r="O509" s="125">
        <f t="shared" si="91"/>
        <v>1</v>
      </c>
      <c r="P509" s="135"/>
      <c r="Q509" s="125">
        <f t="shared" si="92"/>
        <v>1</v>
      </c>
      <c r="R509" s="125">
        <f t="shared" si="93"/>
        <v>0</v>
      </c>
      <c r="S509" s="124">
        <f t="shared" si="94"/>
        <v>0</v>
      </c>
    </row>
    <row r="510" spans="1:19">
      <c r="A510" s="133"/>
      <c r="B510" s="134"/>
      <c r="C510" s="125">
        <f t="shared" si="85"/>
        <v>1</v>
      </c>
      <c r="D510" s="135"/>
      <c r="E510" s="125">
        <f t="shared" si="86"/>
        <v>1</v>
      </c>
      <c r="F510" s="135"/>
      <c r="G510" s="125">
        <f t="shared" si="87"/>
        <v>1</v>
      </c>
      <c r="H510" s="135"/>
      <c r="I510" s="125">
        <f t="shared" si="88"/>
        <v>1</v>
      </c>
      <c r="J510" s="135"/>
      <c r="K510" s="125">
        <f t="shared" si="89"/>
        <v>1</v>
      </c>
      <c r="L510" s="135"/>
      <c r="M510" s="125">
        <f t="shared" si="90"/>
        <v>1</v>
      </c>
      <c r="N510" s="135"/>
      <c r="O510" s="125">
        <f t="shared" si="91"/>
        <v>1</v>
      </c>
      <c r="P510" s="135"/>
      <c r="Q510" s="125">
        <f t="shared" si="92"/>
        <v>1</v>
      </c>
      <c r="R510" s="125">
        <f t="shared" si="93"/>
        <v>0</v>
      </c>
      <c r="S510" s="124">
        <f t="shared" si="94"/>
        <v>0</v>
      </c>
    </row>
    <row r="511" spans="1:19">
      <c r="A511" s="133"/>
      <c r="B511" s="134"/>
      <c r="C511" s="125">
        <f t="shared" si="85"/>
        <v>1</v>
      </c>
      <c r="D511" s="135"/>
      <c r="E511" s="125">
        <f t="shared" si="86"/>
        <v>1</v>
      </c>
      <c r="F511" s="135"/>
      <c r="G511" s="125">
        <f t="shared" si="87"/>
        <v>1</v>
      </c>
      <c r="H511" s="135"/>
      <c r="I511" s="125">
        <f t="shared" si="88"/>
        <v>1</v>
      </c>
      <c r="J511" s="135"/>
      <c r="K511" s="125">
        <f t="shared" si="89"/>
        <v>1</v>
      </c>
      <c r="L511" s="135"/>
      <c r="M511" s="125">
        <f t="shared" si="90"/>
        <v>1</v>
      </c>
      <c r="N511" s="135"/>
      <c r="O511" s="125">
        <f t="shared" si="91"/>
        <v>1</v>
      </c>
      <c r="P511" s="135"/>
      <c r="Q511" s="125">
        <f t="shared" si="92"/>
        <v>1</v>
      </c>
      <c r="R511" s="125">
        <f t="shared" si="93"/>
        <v>0</v>
      </c>
      <c r="S511" s="124">
        <f t="shared" si="94"/>
        <v>0</v>
      </c>
    </row>
    <row r="512" spans="1:19">
      <c r="A512" s="133"/>
      <c r="B512" s="134"/>
      <c r="C512" s="125">
        <f t="shared" si="85"/>
        <v>1</v>
      </c>
      <c r="D512" s="135"/>
      <c r="E512" s="125">
        <f t="shared" si="86"/>
        <v>1</v>
      </c>
      <c r="F512" s="135"/>
      <c r="G512" s="125">
        <f t="shared" si="87"/>
        <v>1</v>
      </c>
      <c r="H512" s="135"/>
      <c r="I512" s="125">
        <f t="shared" si="88"/>
        <v>1</v>
      </c>
      <c r="J512" s="135"/>
      <c r="K512" s="125">
        <f t="shared" si="89"/>
        <v>1</v>
      </c>
      <c r="L512" s="135"/>
      <c r="M512" s="125">
        <f t="shared" si="90"/>
        <v>1</v>
      </c>
      <c r="N512" s="135"/>
      <c r="O512" s="125">
        <f t="shared" si="91"/>
        <v>1</v>
      </c>
      <c r="P512" s="135"/>
      <c r="Q512" s="125">
        <f t="shared" si="92"/>
        <v>1</v>
      </c>
      <c r="R512" s="125">
        <f t="shared" si="93"/>
        <v>0</v>
      </c>
      <c r="S512" s="124">
        <f t="shared" si="94"/>
        <v>0</v>
      </c>
    </row>
    <row r="513" spans="1:19">
      <c r="A513" s="133"/>
      <c r="B513" s="134"/>
      <c r="C513" s="125">
        <f t="shared" si="85"/>
        <v>1</v>
      </c>
      <c r="D513" s="135"/>
      <c r="E513" s="125">
        <f t="shared" si="86"/>
        <v>1</v>
      </c>
      <c r="F513" s="135"/>
      <c r="G513" s="125">
        <f t="shared" si="87"/>
        <v>1</v>
      </c>
      <c r="H513" s="135"/>
      <c r="I513" s="125">
        <f t="shared" si="88"/>
        <v>1</v>
      </c>
      <c r="J513" s="135"/>
      <c r="K513" s="125">
        <f t="shared" si="89"/>
        <v>1</v>
      </c>
      <c r="L513" s="135"/>
      <c r="M513" s="125">
        <f t="shared" si="90"/>
        <v>1</v>
      </c>
      <c r="N513" s="135"/>
      <c r="O513" s="125">
        <f t="shared" si="91"/>
        <v>1</v>
      </c>
      <c r="P513" s="135"/>
      <c r="Q513" s="125">
        <f t="shared" si="92"/>
        <v>1</v>
      </c>
      <c r="R513" s="125">
        <f t="shared" si="93"/>
        <v>0</v>
      </c>
      <c r="S513" s="124">
        <f t="shared" si="94"/>
        <v>0</v>
      </c>
    </row>
    <row r="514" spans="1:19">
      <c r="A514" s="133"/>
      <c r="B514" s="134"/>
      <c r="C514" s="125">
        <f t="shared" si="85"/>
        <v>1</v>
      </c>
      <c r="D514" s="135"/>
      <c r="E514" s="125">
        <f t="shared" si="86"/>
        <v>1</v>
      </c>
      <c r="F514" s="135"/>
      <c r="G514" s="125">
        <f t="shared" si="87"/>
        <v>1</v>
      </c>
      <c r="H514" s="135"/>
      <c r="I514" s="125">
        <f t="shared" si="88"/>
        <v>1</v>
      </c>
      <c r="J514" s="135"/>
      <c r="K514" s="125">
        <f t="shared" si="89"/>
        <v>1</v>
      </c>
      <c r="L514" s="135"/>
      <c r="M514" s="125">
        <f t="shared" si="90"/>
        <v>1</v>
      </c>
      <c r="N514" s="135"/>
      <c r="O514" s="125">
        <f t="shared" si="91"/>
        <v>1</v>
      </c>
      <c r="P514" s="135"/>
      <c r="Q514" s="125">
        <f t="shared" si="92"/>
        <v>1</v>
      </c>
      <c r="R514" s="125">
        <f t="shared" si="93"/>
        <v>0</v>
      </c>
      <c r="S514" s="124">
        <f t="shared" si="94"/>
        <v>0</v>
      </c>
    </row>
    <row r="515" spans="1:19">
      <c r="A515" s="133"/>
      <c r="B515" s="134"/>
      <c r="C515" s="125">
        <f t="shared" si="85"/>
        <v>1</v>
      </c>
      <c r="D515" s="135"/>
      <c r="E515" s="125">
        <f t="shared" si="86"/>
        <v>1</v>
      </c>
      <c r="F515" s="135"/>
      <c r="G515" s="125">
        <f t="shared" si="87"/>
        <v>1</v>
      </c>
      <c r="H515" s="135"/>
      <c r="I515" s="125">
        <f t="shared" si="88"/>
        <v>1</v>
      </c>
      <c r="J515" s="135"/>
      <c r="K515" s="125">
        <f t="shared" si="89"/>
        <v>1</v>
      </c>
      <c r="L515" s="135"/>
      <c r="M515" s="125">
        <f t="shared" si="90"/>
        <v>1</v>
      </c>
      <c r="N515" s="135"/>
      <c r="O515" s="125">
        <f t="shared" si="91"/>
        <v>1</v>
      </c>
      <c r="P515" s="135"/>
      <c r="Q515" s="125">
        <f t="shared" si="92"/>
        <v>1</v>
      </c>
      <c r="R515" s="125">
        <f t="shared" si="93"/>
        <v>0</v>
      </c>
      <c r="S515" s="124">
        <f t="shared" si="94"/>
        <v>0</v>
      </c>
    </row>
    <row r="516" spans="1:19">
      <c r="A516" s="133"/>
      <c r="B516" s="134"/>
      <c r="C516" s="125">
        <f t="shared" si="85"/>
        <v>1</v>
      </c>
      <c r="D516" s="135"/>
      <c r="E516" s="125">
        <f t="shared" si="86"/>
        <v>1</v>
      </c>
      <c r="F516" s="135"/>
      <c r="G516" s="125">
        <f t="shared" si="87"/>
        <v>1</v>
      </c>
      <c r="H516" s="135"/>
      <c r="I516" s="125">
        <f t="shared" si="88"/>
        <v>1</v>
      </c>
      <c r="J516" s="135"/>
      <c r="K516" s="125">
        <f t="shared" si="89"/>
        <v>1</v>
      </c>
      <c r="L516" s="135"/>
      <c r="M516" s="125">
        <f t="shared" si="90"/>
        <v>1</v>
      </c>
      <c r="N516" s="135"/>
      <c r="O516" s="125">
        <f t="shared" si="91"/>
        <v>1</v>
      </c>
      <c r="P516" s="135"/>
      <c r="Q516" s="125">
        <f t="shared" si="92"/>
        <v>1</v>
      </c>
      <c r="R516" s="125">
        <f t="shared" si="93"/>
        <v>0</v>
      </c>
      <c r="S516" s="124">
        <f t="shared" si="94"/>
        <v>0</v>
      </c>
    </row>
    <row r="517" spans="1:19">
      <c r="A517" s="133"/>
      <c r="B517" s="134"/>
      <c r="C517" s="125">
        <f t="shared" si="85"/>
        <v>1</v>
      </c>
      <c r="D517" s="135"/>
      <c r="E517" s="125">
        <f t="shared" si="86"/>
        <v>1</v>
      </c>
      <c r="F517" s="135"/>
      <c r="G517" s="125">
        <f t="shared" si="87"/>
        <v>1</v>
      </c>
      <c r="H517" s="135"/>
      <c r="I517" s="125">
        <f t="shared" si="88"/>
        <v>1</v>
      </c>
      <c r="J517" s="135"/>
      <c r="K517" s="125">
        <f t="shared" si="89"/>
        <v>1</v>
      </c>
      <c r="L517" s="135"/>
      <c r="M517" s="125">
        <f t="shared" si="90"/>
        <v>1</v>
      </c>
      <c r="N517" s="135"/>
      <c r="O517" s="125">
        <f t="shared" si="91"/>
        <v>1</v>
      </c>
      <c r="P517" s="135"/>
      <c r="Q517" s="125">
        <f t="shared" si="92"/>
        <v>1</v>
      </c>
      <c r="R517" s="125">
        <f t="shared" si="93"/>
        <v>0</v>
      </c>
      <c r="S517" s="124">
        <f t="shared" si="94"/>
        <v>0</v>
      </c>
    </row>
    <row r="518" spans="1:19">
      <c r="A518" s="133"/>
      <c r="B518" s="134"/>
      <c r="C518" s="125">
        <f t="shared" si="85"/>
        <v>1</v>
      </c>
      <c r="D518" s="135"/>
      <c r="E518" s="125">
        <f t="shared" si="86"/>
        <v>1</v>
      </c>
      <c r="F518" s="135"/>
      <c r="G518" s="125">
        <f t="shared" si="87"/>
        <v>1</v>
      </c>
      <c r="H518" s="135"/>
      <c r="I518" s="125">
        <f t="shared" si="88"/>
        <v>1</v>
      </c>
      <c r="J518" s="135"/>
      <c r="K518" s="125">
        <f t="shared" si="89"/>
        <v>1</v>
      </c>
      <c r="L518" s="135"/>
      <c r="M518" s="125">
        <f t="shared" si="90"/>
        <v>1</v>
      </c>
      <c r="N518" s="135"/>
      <c r="O518" s="125">
        <f t="shared" si="91"/>
        <v>1</v>
      </c>
      <c r="P518" s="135"/>
      <c r="Q518" s="125">
        <f t="shared" si="92"/>
        <v>1</v>
      </c>
      <c r="R518" s="125">
        <f t="shared" si="93"/>
        <v>0</v>
      </c>
      <c r="S518" s="124">
        <f t="shared" si="94"/>
        <v>0</v>
      </c>
    </row>
    <row r="519" spans="1:19">
      <c r="A519" s="133"/>
      <c r="B519" s="134"/>
      <c r="C519" s="125">
        <f t="shared" si="85"/>
        <v>1</v>
      </c>
      <c r="D519" s="135"/>
      <c r="E519" s="125">
        <f t="shared" si="86"/>
        <v>1</v>
      </c>
      <c r="F519" s="135"/>
      <c r="G519" s="125">
        <f t="shared" si="87"/>
        <v>1</v>
      </c>
      <c r="H519" s="135"/>
      <c r="I519" s="125">
        <f t="shared" si="88"/>
        <v>1</v>
      </c>
      <c r="J519" s="135"/>
      <c r="K519" s="125">
        <f t="shared" si="89"/>
        <v>1</v>
      </c>
      <c r="L519" s="135"/>
      <c r="M519" s="125">
        <f t="shared" si="90"/>
        <v>1</v>
      </c>
      <c r="N519" s="135"/>
      <c r="O519" s="125">
        <f t="shared" si="91"/>
        <v>1</v>
      </c>
      <c r="P519" s="135"/>
      <c r="Q519" s="125">
        <f t="shared" si="92"/>
        <v>1</v>
      </c>
      <c r="R519" s="125">
        <f t="shared" si="93"/>
        <v>0</v>
      </c>
      <c r="S519" s="124">
        <f t="shared" si="94"/>
        <v>0</v>
      </c>
    </row>
    <row r="520" spans="1:19">
      <c r="A520" s="133"/>
      <c r="B520" s="134"/>
      <c r="C520" s="125">
        <f t="shared" si="85"/>
        <v>1</v>
      </c>
      <c r="D520" s="135"/>
      <c r="E520" s="125">
        <f t="shared" si="86"/>
        <v>1</v>
      </c>
      <c r="F520" s="135"/>
      <c r="G520" s="125">
        <f t="shared" si="87"/>
        <v>1</v>
      </c>
      <c r="H520" s="135"/>
      <c r="I520" s="125">
        <f t="shared" si="88"/>
        <v>1</v>
      </c>
      <c r="J520" s="135"/>
      <c r="K520" s="125">
        <f t="shared" si="89"/>
        <v>1</v>
      </c>
      <c r="L520" s="135"/>
      <c r="M520" s="125">
        <f t="shared" si="90"/>
        <v>1</v>
      </c>
      <c r="N520" s="135"/>
      <c r="O520" s="125">
        <f t="shared" si="91"/>
        <v>1</v>
      </c>
      <c r="P520" s="135"/>
      <c r="Q520" s="125">
        <f t="shared" si="92"/>
        <v>1</v>
      </c>
      <c r="R520" s="125">
        <f t="shared" si="93"/>
        <v>0</v>
      </c>
      <c r="S520" s="124">
        <f t="shared" si="94"/>
        <v>0</v>
      </c>
    </row>
    <row r="521" spans="1:19">
      <c r="A521" s="133"/>
      <c r="B521" s="134"/>
      <c r="C521" s="125">
        <f t="shared" si="85"/>
        <v>1</v>
      </c>
      <c r="D521" s="135"/>
      <c r="E521" s="125">
        <f t="shared" si="86"/>
        <v>1</v>
      </c>
      <c r="F521" s="135"/>
      <c r="G521" s="125">
        <f t="shared" si="87"/>
        <v>1</v>
      </c>
      <c r="H521" s="135"/>
      <c r="I521" s="125">
        <f t="shared" si="88"/>
        <v>1</v>
      </c>
      <c r="J521" s="135"/>
      <c r="K521" s="125">
        <f t="shared" si="89"/>
        <v>1</v>
      </c>
      <c r="L521" s="135"/>
      <c r="M521" s="125">
        <f t="shared" si="90"/>
        <v>1</v>
      </c>
      <c r="N521" s="135"/>
      <c r="O521" s="125">
        <f t="shared" si="91"/>
        <v>1</v>
      </c>
      <c r="P521" s="135"/>
      <c r="Q521" s="125">
        <f t="shared" si="92"/>
        <v>1</v>
      </c>
      <c r="R521" s="125">
        <f t="shared" si="93"/>
        <v>0</v>
      </c>
      <c r="S521" s="124">
        <f t="shared" si="94"/>
        <v>0</v>
      </c>
    </row>
    <row r="522" spans="1:19">
      <c r="A522" s="133"/>
      <c r="B522" s="134"/>
      <c r="C522" s="125">
        <f t="shared" si="85"/>
        <v>1</v>
      </c>
      <c r="D522" s="135"/>
      <c r="E522" s="125">
        <f t="shared" si="86"/>
        <v>1</v>
      </c>
      <c r="F522" s="135"/>
      <c r="G522" s="125">
        <f t="shared" si="87"/>
        <v>1</v>
      </c>
      <c r="H522" s="135"/>
      <c r="I522" s="125">
        <f t="shared" si="88"/>
        <v>1</v>
      </c>
      <c r="J522" s="135"/>
      <c r="K522" s="125">
        <f t="shared" si="89"/>
        <v>1</v>
      </c>
      <c r="L522" s="135"/>
      <c r="M522" s="125">
        <f t="shared" si="90"/>
        <v>1</v>
      </c>
      <c r="N522" s="135"/>
      <c r="O522" s="125">
        <f t="shared" si="91"/>
        <v>1</v>
      </c>
      <c r="P522" s="135"/>
      <c r="Q522" s="125">
        <f t="shared" si="92"/>
        <v>1</v>
      </c>
      <c r="R522" s="125">
        <f t="shared" si="93"/>
        <v>0</v>
      </c>
      <c r="S522" s="124">
        <f t="shared" si="94"/>
        <v>0</v>
      </c>
    </row>
    <row r="523" spans="1:19">
      <c r="A523" s="133"/>
      <c r="B523" s="134"/>
      <c r="C523" s="125">
        <f t="shared" si="85"/>
        <v>1</v>
      </c>
      <c r="D523" s="135"/>
      <c r="E523" s="125">
        <f t="shared" si="86"/>
        <v>1</v>
      </c>
      <c r="F523" s="135"/>
      <c r="G523" s="125">
        <f t="shared" si="87"/>
        <v>1</v>
      </c>
      <c r="H523" s="135"/>
      <c r="I523" s="125">
        <f t="shared" si="88"/>
        <v>1</v>
      </c>
      <c r="J523" s="135"/>
      <c r="K523" s="125">
        <f t="shared" si="89"/>
        <v>1</v>
      </c>
      <c r="L523" s="135"/>
      <c r="M523" s="125">
        <f t="shared" si="90"/>
        <v>1</v>
      </c>
      <c r="N523" s="135"/>
      <c r="O523" s="125">
        <f t="shared" si="91"/>
        <v>1</v>
      </c>
      <c r="P523" s="135"/>
      <c r="Q523" s="125">
        <f t="shared" si="92"/>
        <v>1</v>
      </c>
      <c r="R523" s="125">
        <f t="shared" si="93"/>
        <v>0</v>
      </c>
      <c r="S523" s="124">
        <f t="shared" si="94"/>
        <v>0</v>
      </c>
    </row>
    <row r="524" spans="1:19">
      <c r="A524" s="133"/>
      <c r="B524" s="134"/>
      <c r="C524" s="125">
        <f t="shared" si="85"/>
        <v>1</v>
      </c>
      <c r="D524" s="135"/>
      <c r="E524" s="125">
        <f t="shared" si="86"/>
        <v>1</v>
      </c>
      <c r="F524" s="135"/>
      <c r="G524" s="125">
        <f t="shared" si="87"/>
        <v>1</v>
      </c>
      <c r="H524" s="135"/>
      <c r="I524" s="125">
        <f t="shared" si="88"/>
        <v>1</v>
      </c>
      <c r="J524" s="135"/>
      <c r="K524" s="125">
        <f t="shared" si="89"/>
        <v>1</v>
      </c>
      <c r="L524" s="135"/>
      <c r="M524" s="125">
        <f t="shared" si="90"/>
        <v>1</v>
      </c>
      <c r="N524" s="135"/>
      <c r="O524" s="125">
        <f t="shared" si="91"/>
        <v>1</v>
      </c>
      <c r="P524" s="135"/>
      <c r="Q524" s="125">
        <f t="shared" si="92"/>
        <v>1</v>
      </c>
      <c r="R524" s="125">
        <f t="shared" si="93"/>
        <v>0</v>
      </c>
      <c r="S524" s="124">
        <f t="shared" si="94"/>
        <v>0</v>
      </c>
    </row>
    <row r="525" spans="1:19">
      <c r="A525" s="72"/>
      <c r="B525" s="75"/>
      <c r="C525" s="75"/>
      <c r="D525" s="75"/>
      <c r="E525" s="75"/>
      <c r="F525" s="75"/>
      <c r="G525" s="75"/>
      <c r="H525" s="75"/>
      <c r="I525" s="75"/>
      <c r="J525" s="75"/>
      <c r="K525" s="75"/>
      <c r="L525" s="75"/>
      <c r="M525" s="75"/>
      <c r="N525" s="75"/>
      <c r="O525" s="75"/>
      <c r="P525" s="75"/>
      <c r="Q525" s="75"/>
      <c r="R525" s="75"/>
      <c r="S525" s="72"/>
    </row>
    <row r="526" spans="1:19">
      <c r="A526" s="72"/>
      <c r="B526" s="75"/>
      <c r="C526" s="75"/>
      <c r="D526" s="75"/>
      <c r="E526" s="75"/>
      <c r="F526" s="75"/>
      <c r="G526" s="75"/>
      <c r="H526" s="75"/>
      <c r="I526" s="75"/>
      <c r="J526" s="75"/>
      <c r="K526" s="75"/>
      <c r="L526" s="75"/>
      <c r="M526" s="75"/>
      <c r="N526" s="75"/>
      <c r="O526" s="75"/>
      <c r="P526" s="75"/>
      <c r="Q526" s="75"/>
      <c r="R526" s="75"/>
      <c r="S526" s="72"/>
    </row>
    <row r="527" spans="1:19">
      <c r="A527" s="72"/>
      <c r="B527" s="75"/>
      <c r="C527" s="75"/>
      <c r="D527" s="75"/>
      <c r="E527" s="75"/>
      <c r="F527" s="75"/>
      <c r="G527" s="75"/>
      <c r="H527" s="75"/>
      <c r="I527" s="75"/>
      <c r="J527" s="75"/>
      <c r="K527" s="75"/>
      <c r="L527" s="75"/>
      <c r="M527" s="75"/>
      <c r="N527" s="75"/>
      <c r="O527" s="75"/>
      <c r="P527" s="75"/>
      <c r="Q527" s="75"/>
      <c r="R527" s="75"/>
      <c r="S527" s="72"/>
    </row>
    <row r="528" spans="1:19">
      <c r="A528" s="72"/>
      <c r="B528" s="75"/>
      <c r="C528" s="75"/>
      <c r="D528" s="75"/>
      <c r="E528" s="75"/>
      <c r="F528" s="75"/>
      <c r="G528" s="75"/>
      <c r="H528" s="75"/>
      <c r="I528" s="75"/>
      <c r="J528" s="75"/>
      <c r="K528" s="75"/>
      <c r="L528" s="75"/>
      <c r="M528" s="75"/>
      <c r="N528" s="75"/>
      <c r="O528" s="75"/>
      <c r="P528" s="75"/>
      <c r="Q528" s="75"/>
      <c r="R528" s="75"/>
      <c r="S528" s="72"/>
    </row>
    <row r="529" spans="1:19">
      <c r="A529" s="72"/>
      <c r="B529" s="75"/>
      <c r="C529" s="75"/>
      <c r="D529" s="75"/>
      <c r="E529" s="75"/>
      <c r="F529" s="75"/>
      <c r="G529" s="75"/>
      <c r="H529" s="75"/>
      <c r="I529" s="75"/>
      <c r="J529" s="75"/>
      <c r="K529" s="75"/>
      <c r="L529" s="75"/>
      <c r="M529" s="75"/>
      <c r="N529" s="75"/>
      <c r="O529" s="75"/>
      <c r="P529" s="75"/>
      <c r="Q529" s="75"/>
      <c r="R529" s="75"/>
      <c r="S529" s="72"/>
    </row>
    <row r="530" spans="1:19">
      <c r="A530" s="72"/>
      <c r="B530" s="75"/>
      <c r="C530" s="75"/>
      <c r="D530" s="75"/>
      <c r="E530" s="75"/>
      <c r="F530" s="75"/>
      <c r="G530" s="75"/>
      <c r="H530" s="75"/>
      <c r="I530" s="75"/>
      <c r="J530" s="75"/>
      <c r="K530" s="75"/>
      <c r="L530" s="75"/>
      <c r="M530" s="75"/>
      <c r="N530" s="75"/>
      <c r="O530" s="75"/>
      <c r="P530" s="75"/>
      <c r="Q530" s="75"/>
      <c r="R530" s="75"/>
      <c r="S530" s="72"/>
    </row>
    <row r="531" spans="1:19">
      <c r="A531" s="72"/>
      <c r="B531" s="75"/>
      <c r="C531" s="75"/>
      <c r="D531" s="75"/>
      <c r="E531" s="75"/>
      <c r="F531" s="75"/>
      <c r="G531" s="75"/>
      <c r="H531" s="75"/>
      <c r="I531" s="75"/>
      <c r="J531" s="75"/>
      <c r="K531" s="75"/>
      <c r="L531" s="75"/>
      <c r="M531" s="75"/>
      <c r="N531" s="75"/>
      <c r="O531" s="75"/>
      <c r="P531" s="75"/>
      <c r="Q531" s="75"/>
      <c r="R531" s="75"/>
      <c r="S531" s="72"/>
    </row>
    <row r="532" spans="1:19">
      <c r="A532" s="72"/>
      <c r="B532" s="75"/>
      <c r="C532" s="75"/>
      <c r="D532" s="75"/>
      <c r="E532" s="75"/>
      <c r="F532" s="75"/>
      <c r="G532" s="75"/>
      <c r="H532" s="75"/>
      <c r="I532" s="75"/>
      <c r="J532" s="75"/>
      <c r="K532" s="75"/>
      <c r="L532" s="75"/>
      <c r="M532" s="75"/>
      <c r="N532" s="75"/>
      <c r="O532" s="75"/>
      <c r="P532" s="75"/>
      <c r="Q532" s="75"/>
      <c r="R532" s="75"/>
      <c r="S532" s="72"/>
    </row>
    <row r="533" spans="1:19">
      <c r="A533" s="72"/>
      <c r="B533" s="75"/>
      <c r="C533" s="75"/>
      <c r="D533" s="75"/>
      <c r="E533" s="75"/>
      <c r="F533" s="75"/>
      <c r="G533" s="75"/>
      <c r="H533" s="75"/>
      <c r="I533" s="75"/>
      <c r="J533" s="75"/>
      <c r="K533" s="75"/>
      <c r="L533" s="75"/>
      <c r="M533" s="75"/>
      <c r="N533" s="75"/>
      <c r="O533" s="75"/>
      <c r="P533" s="75"/>
      <c r="Q533" s="75"/>
      <c r="R533" s="75"/>
      <c r="S533" s="72"/>
    </row>
    <row r="534" spans="1:19">
      <c r="A534" s="72"/>
      <c r="B534" s="75"/>
      <c r="C534" s="75"/>
      <c r="D534" s="75"/>
      <c r="E534" s="75"/>
      <c r="F534" s="75"/>
      <c r="G534" s="75"/>
      <c r="H534" s="75"/>
      <c r="I534" s="75"/>
      <c r="J534" s="75"/>
      <c r="K534" s="75"/>
      <c r="L534" s="75"/>
      <c r="M534" s="75"/>
      <c r="N534" s="75"/>
      <c r="O534" s="75"/>
      <c r="P534" s="75"/>
      <c r="Q534" s="75"/>
      <c r="R534" s="75"/>
      <c r="S534" s="72"/>
    </row>
    <row r="535" spans="1:19">
      <c r="A535" s="72"/>
      <c r="B535" s="75"/>
      <c r="C535" s="75"/>
      <c r="D535" s="75"/>
      <c r="E535" s="75"/>
      <c r="F535" s="75"/>
      <c r="G535" s="75"/>
      <c r="H535" s="75"/>
      <c r="I535" s="75"/>
      <c r="J535" s="75"/>
      <c r="K535" s="75"/>
      <c r="L535" s="75"/>
      <c r="M535" s="75"/>
      <c r="N535" s="75"/>
      <c r="O535" s="75"/>
      <c r="P535" s="75"/>
      <c r="Q535" s="75"/>
      <c r="R535" s="75"/>
      <c r="S535" s="72"/>
    </row>
    <row r="536" spans="1:19">
      <c r="A536" s="72"/>
      <c r="B536" s="75"/>
      <c r="C536" s="75"/>
      <c r="D536" s="75"/>
      <c r="E536" s="75"/>
      <c r="F536" s="75"/>
      <c r="G536" s="75"/>
      <c r="H536" s="75"/>
      <c r="I536" s="75"/>
      <c r="J536" s="75"/>
      <c r="K536" s="75"/>
      <c r="L536" s="75"/>
      <c r="M536" s="75"/>
      <c r="N536" s="75"/>
      <c r="O536" s="75"/>
      <c r="P536" s="75"/>
      <c r="Q536" s="75"/>
      <c r="R536" s="75"/>
      <c r="S536" s="72"/>
    </row>
    <row r="537" spans="1:19">
      <c r="A537" s="72"/>
      <c r="B537" s="75"/>
      <c r="C537" s="75"/>
      <c r="D537" s="75"/>
      <c r="E537" s="75"/>
      <c r="F537" s="75"/>
      <c r="G537" s="75"/>
      <c r="H537" s="75"/>
      <c r="I537" s="75"/>
      <c r="J537" s="75"/>
      <c r="K537" s="75"/>
      <c r="L537" s="75"/>
      <c r="M537" s="75"/>
      <c r="N537" s="75"/>
      <c r="O537" s="75"/>
      <c r="P537" s="75"/>
      <c r="Q537" s="75"/>
      <c r="R537" s="75"/>
      <c r="S537" s="72"/>
    </row>
    <row r="538" spans="1:19">
      <c r="A538" s="72"/>
      <c r="B538" s="75"/>
      <c r="C538" s="75"/>
      <c r="D538" s="75"/>
      <c r="E538" s="75"/>
      <c r="F538" s="75"/>
      <c r="G538" s="75"/>
      <c r="H538" s="75"/>
      <c r="I538" s="75"/>
      <c r="J538" s="75"/>
      <c r="K538" s="75"/>
      <c r="L538" s="75"/>
      <c r="M538" s="75"/>
      <c r="N538" s="75"/>
      <c r="O538" s="75"/>
      <c r="P538" s="75"/>
      <c r="Q538" s="75"/>
      <c r="R538" s="75"/>
      <c r="S538" s="72"/>
    </row>
    <row r="539" spans="1:19">
      <c r="A539" s="72"/>
      <c r="B539" s="75"/>
      <c r="C539" s="75"/>
      <c r="D539" s="75"/>
      <c r="E539" s="75"/>
      <c r="F539" s="75"/>
      <c r="G539" s="75"/>
      <c r="H539" s="75"/>
      <c r="I539" s="75"/>
      <c r="J539" s="75"/>
      <c r="K539" s="75"/>
      <c r="L539" s="75"/>
      <c r="M539" s="75"/>
      <c r="N539" s="75"/>
      <c r="O539" s="75"/>
      <c r="P539" s="75"/>
      <c r="Q539" s="75"/>
      <c r="R539" s="75"/>
      <c r="S539" s="72"/>
    </row>
    <row r="540" spans="1:19">
      <c r="A540" s="72"/>
      <c r="B540" s="75"/>
      <c r="C540" s="75"/>
      <c r="D540" s="75"/>
      <c r="E540" s="75"/>
      <c r="F540" s="75"/>
      <c r="G540" s="75"/>
      <c r="H540" s="75"/>
      <c r="I540" s="75"/>
      <c r="J540" s="75"/>
      <c r="K540" s="75"/>
      <c r="L540" s="75"/>
      <c r="M540" s="75"/>
      <c r="N540" s="75"/>
      <c r="O540" s="75"/>
      <c r="P540" s="75"/>
      <c r="Q540" s="75"/>
      <c r="R540" s="75"/>
      <c r="S540" s="72"/>
    </row>
    <row r="541" spans="1:19">
      <c r="A541" s="72"/>
      <c r="B541" s="75"/>
      <c r="C541" s="75"/>
      <c r="D541" s="75"/>
      <c r="E541" s="75"/>
      <c r="F541" s="75"/>
      <c r="G541" s="75"/>
      <c r="H541" s="75"/>
      <c r="I541" s="75"/>
      <c r="J541" s="75"/>
      <c r="K541" s="75"/>
      <c r="L541" s="75"/>
      <c r="M541" s="75"/>
      <c r="N541" s="75"/>
      <c r="O541" s="75"/>
      <c r="P541" s="75"/>
      <c r="Q541" s="75"/>
      <c r="R541" s="75"/>
      <c r="S541" s="72"/>
    </row>
    <row r="542" spans="1:19">
      <c r="A542" s="72"/>
      <c r="B542" s="75"/>
      <c r="C542" s="75"/>
      <c r="D542" s="75"/>
      <c r="E542" s="75"/>
      <c r="F542" s="75"/>
      <c r="G542" s="75"/>
      <c r="H542" s="75"/>
      <c r="I542" s="75"/>
      <c r="J542" s="75"/>
      <c r="K542" s="75"/>
      <c r="L542" s="75"/>
      <c r="M542" s="75"/>
      <c r="N542" s="75"/>
      <c r="O542" s="75"/>
      <c r="P542" s="75"/>
      <c r="Q542" s="75"/>
      <c r="R542" s="75"/>
      <c r="S542" s="72"/>
    </row>
    <row r="543" spans="1:19">
      <c r="A543" s="72"/>
      <c r="B543" s="75"/>
      <c r="C543" s="75"/>
      <c r="D543" s="75"/>
      <c r="E543" s="75"/>
      <c r="F543" s="75"/>
      <c r="G543" s="75"/>
      <c r="H543" s="75"/>
      <c r="I543" s="75"/>
      <c r="J543" s="75"/>
      <c r="K543" s="75"/>
      <c r="L543" s="75"/>
      <c r="M543" s="75"/>
      <c r="N543" s="75"/>
      <c r="O543" s="75"/>
      <c r="P543" s="75"/>
      <c r="Q543" s="75"/>
      <c r="R543" s="75"/>
      <c r="S543" s="72"/>
    </row>
    <row r="544" spans="1:19">
      <c r="A544" s="72"/>
      <c r="B544" s="75"/>
      <c r="C544" s="75"/>
      <c r="D544" s="75"/>
      <c r="E544" s="75"/>
      <c r="F544" s="75"/>
      <c r="G544" s="75"/>
      <c r="H544" s="75"/>
      <c r="I544" s="75"/>
      <c r="J544" s="75"/>
      <c r="K544" s="75"/>
      <c r="L544" s="75"/>
      <c r="M544" s="75"/>
      <c r="N544" s="75"/>
      <c r="O544" s="75"/>
      <c r="P544" s="75"/>
      <c r="Q544" s="75"/>
      <c r="R544" s="75"/>
      <c r="S544" s="72"/>
    </row>
    <row r="545" spans="1:19">
      <c r="A545" s="72"/>
      <c r="B545" s="75"/>
      <c r="C545" s="75"/>
      <c r="D545" s="75"/>
      <c r="E545" s="75"/>
      <c r="F545" s="75"/>
      <c r="G545" s="75"/>
      <c r="H545" s="75"/>
      <c r="I545" s="75"/>
      <c r="J545" s="75"/>
      <c r="K545" s="75"/>
      <c r="L545" s="75"/>
      <c r="M545" s="75"/>
      <c r="N545" s="75"/>
      <c r="O545" s="75"/>
      <c r="P545" s="75"/>
      <c r="Q545" s="75"/>
      <c r="R545" s="75"/>
      <c r="S545" s="72"/>
    </row>
    <row r="546" spans="1:19">
      <c r="A546" s="72"/>
      <c r="B546" s="75"/>
      <c r="C546" s="75"/>
      <c r="D546" s="75"/>
      <c r="E546" s="75"/>
      <c r="F546" s="75"/>
      <c r="G546" s="75"/>
      <c r="H546" s="75"/>
      <c r="I546" s="75"/>
      <c r="J546" s="75"/>
      <c r="K546" s="75"/>
      <c r="L546" s="75"/>
      <c r="M546" s="75"/>
      <c r="N546" s="75"/>
      <c r="O546" s="75"/>
      <c r="P546" s="75"/>
      <c r="Q546" s="75"/>
      <c r="R546" s="75"/>
      <c r="S546" s="72"/>
    </row>
    <row r="547" spans="1:19">
      <c r="A547" s="72"/>
      <c r="B547" s="75"/>
      <c r="C547" s="75"/>
      <c r="D547" s="75"/>
      <c r="E547" s="75"/>
      <c r="F547" s="75"/>
      <c r="G547" s="75"/>
      <c r="H547" s="75"/>
      <c r="I547" s="75"/>
      <c r="J547" s="75"/>
      <c r="K547" s="75"/>
      <c r="L547" s="75"/>
      <c r="M547" s="75"/>
      <c r="N547" s="75"/>
      <c r="O547" s="75"/>
      <c r="P547" s="75"/>
      <c r="Q547" s="75"/>
      <c r="R547" s="75"/>
      <c r="S547" s="72"/>
    </row>
    <row r="548" spans="1:19">
      <c r="A548" s="72"/>
      <c r="B548" s="75"/>
      <c r="C548" s="75"/>
      <c r="D548" s="75"/>
      <c r="E548" s="75"/>
      <c r="F548" s="75"/>
      <c r="G548" s="75"/>
      <c r="H548" s="75"/>
      <c r="I548" s="75"/>
      <c r="J548" s="75"/>
      <c r="K548" s="75"/>
      <c r="L548" s="75"/>
      <c r="M548" s="75"/>
      <c r="N548" s="75"/>
      <c r="O548" s="75"/>
      <c r="P548" s="75"/>
      <c r="Q548" s="75"/>
      <c r="R548" s="75"/>
      <c r="S548" s="72"/>
    </row>
    <row r="549" spans="1:19">
      <c r="A549" s="72"/>
      <c r="B549" s="75"/>
      <c r="C549" s="75"/>
      <c r="D549" s="75"/>
      <c r="E549" s="75"/>
      <c r="F549" s="75"/>
      <c r="G549" s="75"/>
      <c r="H549" s="75"/>
      <c r="I549" s="75"/>
      <c r="J549" s="75"/>
      <c r="K549" s="75"/>
      <c r="L549" s="75"/>
      <c r="M549" s="75"/>
      <c r="N549" s="75"/>
      <c r="O549" s="75"/>
      <c r="P549" s="75"/>
      <c r="Q549" s="75"/>
      <c r="R549" s="75"/>
      <c r="S549" s="72"/>
    </row>
    <row r="550" spans="1:19">
      <c r="A550" s="72"/>
      <c r="B550" s="75"/>
      <c r="C550" s="75"/>
      <c r="D550" s="75"/>
      <c r="E550" s="75"/>
      <c r="F550" s="75"/>
      <c r="G550" s="75"/>
      <c r="H550" s="75"/>
      <c r="I550" s="75"/>
      <c r="J550" s="75"/>
      <c r="K550" s="75"/>
      <c r="L550" s="75"/>
      <c r="M550" s="75"/>
      <c r="N550" s="75"/>
      <c r="O550" s="75"/>
      <c r="P550" s="75"/>
      <c r="Q550" s="75"/>
      <c r="R550" s="75"/>
      <c r="S550" s="72"/>
    </row>
    <row r="551" spans="1:19">
      <c r="A551" s="72"/>
      <c r="B551" s="75"/>
      <c r="C551" s="75"/>
      <c r="D551" s="75"/>
      <c r="E551" s="75"/>
      <c r="F551" s="75"/>
      <c r="G551" s="75"/>
      <c r="H551" s="75"/>
      <c r="I551" s="75"/>
      <c r="J551" s="75"/>
      <c r="K551" s="75"/>
      <c r="L551" s="75"/>
      <c r="M551" s="75"/>
      <c r="N551" s="75"/>
      <c r="O551" s="75"/>
      <c r="P551" s="75"/>
      <c r="Q551" s="75"/>
      <c r="R551" s="75"/>
      <c r="S551" s="72"/>
    </row>
    <row r="552" spans="1:19">
      <c r="A552" s="72"/>
      <c r="B552" s="75"/>
      <c r="C552" s="75"/>
      <c r="D552" s="75"/>
      <c r="E552" s="75"/>
      <c r="F552" s="75"/>
      <c r="G552" s="75"/>
      <c r="H552" s="75"/>
      <c r="I552" s="75"/>
      <c r="J552" s="75"/>
      <c r="K552" s="75"/>
      <c r="L552" s="75"/>
      <c r="M552" s="75"/>
      <c r="N552" s="75"/>
      <c r="O552" s="75"/>
      <c r="P552" s="75"/>
      <c r="Q552" s="75"/>
      <c r="R552" s="75"/>
      <c r="S552" s="72"/>
    </row>
    <row r="553" spans="1:19">
      <c r="A553" s="72"/>
      <c r="B553" s="75"/>
      <c r="C553" s="75"/>
      <c r="D553" s="75"/>
      <c r="E553" s="75"/>
      <c r="F553" s="75"/>
      <c r="G553" s="75"/>
      <c r="H553" s="75"/>
      <c r="I553" s="75"/>
      <c r="J553" s="75"/>
      <c r="K553" s="75"/>
      <c r="L553" s="75"/>
      <c r="M553" s="75"/>
      <c r="N553" s="75"/>
      <c r="O553" s="75"/>
      <c r="P553" s="75"/>
      <c r="Q553" s="75"/>
      <c r="R553" s="75"/>
      <c r="S553" s="72"/>
    </row>
    <row r="554" spans="1:19">
      <c r="A554" s="72"/>
      <c r="B554" s="75"/>
      <c r="C554" s="75"/>
      <c r="D554" s="75"/>
      <c r="E554" s="75"/>
      <c r="F554" s="75"/>
      <c r="G554" s="75"/>
      <c r="H554" s="75"/>
      <c r="I554" s="75"/>
      <c r="J554" s="75"/>
      <c r="K554" s="75"/>
      <c r="L554" s="75"/>
      <c r="M554" s="75"/>
      <c r="N554" s="75"/>
      <c r="O554" s="75"/>
      <c r="P554" s="75"/>
      <c r="Q554" s="75"/>
      <c r="R554" s="75"/>
      <c r="S554" s="72"/>
    </row>
    <row r="555" spans="1:19">
      <c r="A555" s="72"/>
      <c r="B555" s="75"/>
      <c r="C555" s="75"/>
      <c r="D555" s="75"/>
      <c r="E555" s="75"/>
      <c r="F555" s="75"/>
      <c r="G555" s="75"/>
      <c r="H555" s="75"/>
      <c r="I555" s="75"/>
      <c r="J555" s="75"/>
      <c r="K555" s="75"/>
      <c r="L555" s="75"/>
      <c r="M555" s="75"/>
      <c r="N555" s="75"/>
      <c r="O555" s="75"/>
      <c r="P555" s="75"/>
      <c r="Q555" s="75"/>
      <c r="R555" s="75"/>
      <c r="S555" s="72"/>
    </row>
    <row r="556" spans="1:19">
      <c r="A556" s="72"/>
      <c r="B556" s="75"/>
      <c r="C556" s="75"/>
      <c r="D556" s="75"/>
      <c r="E556" s="75"/>
      <c r="F556" s="75"/>
      <c r="G556" s="75"/>
      <c r="H556" s="75"/>
      <c r="I556" s="75"/>
      <c r="J556" s="75"/>
      <c r="K556" s="75"/>
      <c r="L556" s="75"/>
      <c r="M556" s="75"/>
      <c r="N556" s="75"/>
      <c r="O556" s="75"/>
      <c r="P556" s="75"/>
      <c r="Q556" s="75"/>
      <c r="R556" s="75"/>
      <c r="S556" s="72"/>
    </row>
    <row r="557" spans="1:19">
      <c r="A557" s="72"/>
      <c r="B557" s="75"/>
      <c r="C557" s="75"/>
      <c r="D557" s="75"/>
      <c r="E557" s="75"/>
      <c r="F557" s="75"/>
      <c r="G557" s="75"/>
      <c r="H557" s="75"/>
      <c r="I557" s="75"/>
      <c r="J557" s="75"/>
      <c r="K557" s="75"/>
      <c r="L557" s="75"/>
      <c r="M557" s="75"/>
      <c r="N557" s="75"/>
      <c r="O557" s="75"/>
      <c r="P557" s="75"/>
      <c r="Q557" s="75"/>
      <c r="R557" s="75"/>
      <c r="S557" s="72"/>
    </row>
    <row r="558" spans="1:19">
      <c r="A558" s="72"/>
      <c r="B558" s="75"/>
      <c r="C558" s="75"/>
      <c r="D558" s="75"/>
      <c r="E558" s="75"/>
      <c r="F558" s="75"/>
      <c r="G558" s="75"/>
      <c r="H558" s="75"/>
      <c r="I558" s="75"/>
      <c r="J558" s="75"/>
      <c r="K558" s="75"/>
      <c r="L558" s="75"/>
      <c r="M558" s="75"/>
      <c r="N558" s="75"/>
      <c r="O558" s="75"/>
      <c r="P558" s="75"/>
      <c r="Q558" s="75"/>
      <c r="R558" s="75"/>
      <c r="S558" s="72"/>
    </row>
    <row r="559" spans="1:19">
      <c r="A559" s="72"/>
      <c r="B559" s="75"/>
      <c r="C559" s="75"/>
      <c r="D559" s="75"/>
      <c r="E559" s="75"/>
      <c r="F559" s="75"/>
      <c r="G559" s="75"/>
      <c r="H559" s="75"/>
      <c r="I559" s="75"/>
      <c r="J559" s="75"/>
      <c r="K559" s="75"/>
      <c r="L559" s="75"/>
      <c r="M559" s="75"/>
      <c r="N559" s="75"/>
      <c r="O559" s="75"/>
      <c r="P559" s="75"/>
      <c r="Q559" s="75"/>
      <c r="R559" s="75"/>
      <c r="S559" s="72"/>
    </row>
    <row r="560" spans="1:19">
      <c r="A560" s="72"/>
      <c r="B560" s="75"/>
      <c r="C560" s="75"/>
      <c r="D560" s="75"/>
      <c r="E560" s="75"/>
      <c r="F560" s="75"/>
      <c r="G560" s="75"/>
      <c r="H560" s="75"/>
      <c r="I560" s="75"/>
      <c r="J560" s="75"/>
      <c r="K560" s="75"/>
      <c r="L560" s="75"/>
      <c r="M560" s="75"/>
      <c r="N560" s="75"/>
      <c r="O560" s="75"/>
      <c r="P560" s="75"/>
      <c r="Q560" s="75"/>
      <c r="R560" s="75"/>
      <c r="S560" s="72"/>
    </row>
    <row r="561" spans="1:19">
      <c r="A561" s="72"/>
      <c r="B561" s="75"/>
      <c r="C561" s="75"/>
      <c r="D561" s="75"/>
      <c r="E561" s="75"/>
      <c r="F561" s="75"/>
      <c r="G561" s="75"/>
      <c r="H561" s="75"/>
      <c r="I561" s="75"/>
      <c r="J561" s="75"/>
      <c r="K561" s="75"/>
      <c r="L561" s="75"/>
      <c r="M561" s="75"/>
      <c r="N561" s="75"/>
      <c r="O561" s="75"/>
      <c r="P561" s="75"/>
      <c r="Q561" s="75"/>
      <c r="R561" s="75"/>
      <c r="S561" s="72"/>
    </row>
    <row r="562" spans="1:19">
      <c r="A562" s="72"/>
      <c r="B562" s="75"/>
      <c r="C562" s="75"/>
      <c r="D562" s="75"/>
      <c r="E562" s="75"/>
      <c r="F562" s="75"/>
      <c r="G562" s="75"/>
      <c r="H562" s="75"/>
      <c r="I562" s="75"/>
      <c r="J562" s="75"/>
      <c r="K562" s="75"/>
      <c r="L562" s="75"/>
      <c r="M562" s="75"/>
      <c r="N562" s="75"/>
      <c r="O562" s="75"/>
      <c r="P562" s="75"/>
      <c r="Q562" s="75"/>
      <c r="R562" s="75"/>
      <c r="S562" s="72"/>
    </row>
    <row r="563" spans="1:19">
      <c r="A563" s="72"/>
      <c r="B563" s="75"/>
      <c r="C563" s="75"/>
      <c r="D563" s="75"/>
      <c r="E563" s="75"/>
      <c r="F563" s="75"/>
      <c r="G563" s="75"/>
      <c r="H563" s="75"/>
      <c r="I563" s="75"/>
      <c r="J563" s="75"/>
      <c r="K563" s="75"/>
      <c r="L563" s="75"/>
      <c r="M563" s="75"/>
      <c r="N563" s="75"/>
      <c r="O563" s="75"/>
      <c r="P563" s="75"/>
      <c r="Q563" s="75"/>
      <c r="R563" s="75"/>
      <c r="S563" s="72"/>
    </row>
    <row r="564" spans="1:19">
      <c r="A564" s="72"/>
      <c r="B564" s="75"/>
      <c r="C564" s="75"/>
      <c r="D564" s="75"/>
      <c r="E564" s="75"/>
      <c r="F564" s="75"/>
      <c r="G564" s="75"/>
      <c r="H564" s="75"/>
      <c r="I564" s="75"/>
      <c r="J564" s="75"/>
      <c r="K564" s="75"/>
      <c r="L564" s="75"/>
      <c r="M564" s="75"/>
      <c r="N564" s="75"/>
      <c r="O564" s="75"/>
      <c r="P564" s="75"/>
      <c r="Q564" s="75"/>
      <c r="R564" s="75"/>
      <c r="S564" s="72"/>
    </row>
    <row r="565" spans="1:19">
      <c r="A565" s="72"/>
      <c r="B565" s="75"/>
      <c r="C565" s="75"/>
      <c r="D565" s="75"/>
      <c r="E565" s="75"/>
      <c r="F565" s="75"/>
      <c r="G565" s="75"/>
      <c r="H565" s="75"/>
      <c r="I565" s="75"/>
      <c r="J565" s="75"/>
      <c r="K565" s="75"/>
      <c r="L565" s="75"/>
      <c r="M565" s="75"/>
      <c r="N565" s="75"/>
      <c r="O565" s="75"/>
      <c r="P565" s="75"/>
      <c r="Q565" s="75"/>
      <c r="R565" s="75"/>
      <c r="S565" s="72"/>
    </row>
    <row r="566" spans="1:19">
      <c r="A566" s="72"/>
      <c r="B566" s="75"/>
      <c r="C566" s="75"/>
      <c r="D566" s="75"/>
      <c r="E566" s="75"/>
      <c r="F566" s="75"/>
      <c r="G566" s="75"/>
      <c r="H566" s="75"/>
      <c r="I566" s="75"/>
      <c r="J566" s="75"/>
      <c r="K566" s="75"/>
      <c r="L566" s="75"/>
      <c r="M566" s="75"/>
      <c r="N566" s="75"/>
      <c r="O566" s="75"/>
      <c r="P566" s="75"/>
      <c r="Q566" s="75"/>
      <c r="R566" s="75"/>
      <c r="S566" s="72"/>
    </row>
    <row r="567" spans="1:19">
      <c r="A567" s="72"/>
      <c r="B567" s="75"/>
      <c r="C567" s="75"/>
      <c r="D567" s="75"/>
      <c r="E567" s="75"/>
      <c r="F567" s="75"/>
      <c r="G567" s="75"/>
      <c r="H567" s="75"/>
      <c r="I567" s="75"/>
      <c r="J567" s="75"/>
      <c r="K567" s="75"/>
      <c r="L567" s="75"/>
      <c r="M567" s="75"/>
      <c r="N567" s="75"/>
      <c r="O567" s="75"/>
      <c r="P567" s="75"/>
      <c r="Q567" s="75"/>
      <c r="R567" s="75"/>
      <c r="S567" s="72"/>
    </row>
    <row r="568" spans="1:19">
      <c r="A568" s="72"/>
      <c r="B568" s="75"/>
      <c r="C568" s="75"/>
      <c r="D568" s="75"/>
      <c r="E568" s="75"/>
      <c r="F568" s="75"/>
      <c r="G568" s="75"/>
      <c r="H568" s="75"/>
      <c r="I568" s="75"/>
      <c r="J568" s="75"/>
      <c r="K568" s="75"/>
      <c r="L568" s="75"/>
      <c r="M568" s="75"/>
      <c r="N568" s="75"/>
      <c r="O568" s="75"/>
      <c r="P568" s="75"/>
      <c r="Q568" s="75"/>
      <c r="R568" s="75"/>
      <c r="S568" s="72"/>
    </row>
    <row r="569" spans="1:19">
      <c r="A569" s="72"/>
      <c r="B569" s="75"/>
      <c r="C569" s="75"/>
      <c r="D569" s="75"/>
      <c r="E569" s="75"/>
      <c r="F569" s="75"/>
      <c r="G569" s="75"/>
      <c r="H569" s="75"/>
      <c r="I569" s="75"/>
      <c r="J569" s="75"/>
      <c r="K569" s="75"/>
      <c r="L569" s="75"/>
      <c r="M569" s="75"/>
      <c r="N569" s="75"/>
      <c r="O569" s="75"/>
      <c r="P569" s="75"/>
      <c r="Q569" s="75"/>
      <c r="R569" s="75"/>
      <c r="S569" s="72"/>
    </row>
    <row r="570" spans="1:19">
      <c r="A570" s="72"/>
      <c r="B570" s="75"/>
      <c r="C570" s="75"/>
      <c r="D570" s="75"/>
      <c r="E570" s="75"/>
      <c r="F570" s="75"/>
      <c r="G570" s="75"/>
      <c r="H570" s="75"/>
      <c r="I570" s="75"/>
      <c r="J570" s="75"/>
      <c r="K570" s="75"/>
      <c r="L570" s="75"/>
      <c r="M570" s="75"/>
      <c r="N570" s="75"/>
      <c r="O570" s="75"/>
      <c r="P570" s="75"/>
      <c r="Q570" s="75"/>
      <c r="R570" s="75"/>
      <c r="S570" s="72"/>
    </row>
    <row r="571" spans="1:19">
      <c r="A571" s="72"/>
      <c r="B571" s="75"/>
      <c r="C571" s="75"/>
      <c r="D571" s="75"/>
      <c r="E571" s="75"/>
      <c r="F571" s="75"/>
      <c r="G571" s="75"/>
      <c r="H571" s="75"/>
      <c r="I571" s="75"/>
      <c r="J571" s="75"/>
      <c r="K571" s="75"/>
      <c r="L571" s="75"/>
      <c r="M571" s="75"/>
      <c r="N571" s="75"/>
      <c r="O571" s="75"/>
      <c r="P571" s="75"/>
      <c r="Q571" s="75"/>
      <c r="R571" s="75"/>
      <c r="S571" s="72"/>
    </row>
    <row r="572" spans="1:19">
      <c r="A572" s="72"/>
      <c r="B572" s="75"/>
      <c r="C572" s="75"/>
      <c r="D572" s="75"/>
      <c r="E572" s="75"/>
      <c r="F572" s="75"/>
      <c r="G572" s="75"/>
      <c r="H572" s="75"/>
      <c r="I572" s="75"/>
      <c r="J572" s="75"/>
      <c r="K572" s="75"/>
      <c r="L572" s="75"/>
      <c r="M572" s="75"/>
      <c r="N572" s="75"/>
      <c r="O572" s="75"/>
      <c r="P572" s="75"/>
      <c r="Q572" s="75"/>
      <c r="R572" s="75"/>
      <c r="S572" s="72"/>
    </row>
    <row r="573" spans="1:19">
      <c r="A573" s="72"/>
      <c r="B573" s="75"/>
      <c r="C573" s="75"/>
      <c r="D573" s="75"/>
      <c r="E573" s="75"/>
      <c r="F573" s="75"/>
      <c r="G573" s="75"/>
      <c r="H573" s="75"/>
      <c r="I573" s="75"/>
      <c r="J573" s="75"/>
      <c r="K573" s="75"/>
      <c r="L573" s="75"/>
      <c r="M573" s="75"/>
      <c r="N573" s="75"/>
      <c r="O573" s="75"/>
      <c r="P573" s="75"/>
      <c r="Q573" s="75"/>
      <c r="R573" s="75"/>
      <c r="S573" s="72"/>
    </row>
    <row r="574" spans="1:19">
      <c r="A574" s="72"/>
      <c r="B574" s="75"/>
      <c r="C574" s="75"/>
      <c r="D574" s="75"/>
      <c r="E574" s="75"/>
      <c r="F574" s="75"/>
      <c r="G574" s="75"/>
      <c r="H574" s="75"/>
      <c r="I574" s="75"/>
      <c r="J574" s="75"/>
      <c r="K574" s="75"/>
      <c r="L574" s="75"/>
      <c r="M574" s="75"/>
      <c r="N574" s="75"/>
      <c r="O574" s="75"/>
      <c r="P574" s="75"/>
      <c r="Q574" s="75"/>
      <c r="R574" s="75"/>
      <c r="S574" s="72"/>
    </row>
    <row r="575" spans="1:19">
      <c r="A575" s="72"/>
      <c r="B575" s="75"/>
      <c r="C575" s="75"/>
      <c r="D575" s="75"/>
      <c r="E575" s="75"/>
      <c r="F575" s="75"/>
      <c r="G575" s="75"/>
      <c r="H575" s="75"/>
      <c r="I575" s="75"/>
      <c r="J575" s="75"/>
      <c r="K575" s="75"/>
      <c r="L575" s="75"/>
      <c r="M575" s="75"/>
      <c r="N575" s="75"/>
      <c r="O575" s="75"/>
      <c r="P575" s="75"/>
      <c r="Q575" s="75"/>
      <c r="R575" s="75"/>
      <c r="S575" s="72"/>
    </row>
    <row r="576" spans="1:19">
      <c r="A576" s="72"/>
      <c r="B576" s="75"/>
      <c r="C576" s="75"/>
      <c r="D576" s="75"/>
      <c r="E576" s="75"/>
      <c r="F576" s="75"/>
      <c r="G576" s="75"/>
      <c r="H576" s="75"/>
      <c r="I576" s="75"/>
      <c r="J576" s="75"/>
      <c r="K576" s="75"/>
      <c r="L576" s="75"/>
      <c r="M576" s="75"/>
      <c r="N576" s="75"/>
      <c r="O576" s="75"/>
      <c r="P576" s="75"/>
      <c r="Q576" s="75"/>
      <c r="R576" s="75"/>
      <c r="S576" s="72"/>
    </row>
    <row r="577" spans="1:19">
      <c r="A577" s="72"/>
      <c r="B577" s="75"/>
      <c r="C577" s="75"/>
      <c r="D577" s="75"/>
      <c r="E577" s="75"/>
      <c r="F577" s="75"/>
      <c r="G577" s="75"/>
      <c r="H577" s="75"/>
      <c r="I577" s="75"/>
      <c r="J577" s="75"/>
      <c r="K577" s="75"/>
      <c r="L577" s="75"/>
      <c r="M577" s="75"/>
      <c r="N577" s="75"/>
      <c r="O577" s="75"/>
      <c r="P577" s="75"/>
      <c r="Q577" s="75"/>
      <c r="R577" s="75"/>
      <c r="S577" s="72"/>
    </row>
    <row r="578" spans="1:19">
      <c r="A578" s="72"/>
      <c r="B578" s="75"/>
      <c r="C578" s="75"/>
      <c r="D578" s="75"/>
      <c r="E578" s="75"/>
      <c r="F578" s="75"/>
      <c r="G578" s="75"/>
      <c r="H578" s="75"/>
      <c r="I578" s="75"/>
      <c r="J578" s="75"/>
      <c r="K578" s="75"/>
      <c r="L578" s="75"/>
      <c r="M578" s="75"/>
      <c r="N578" s="75"/>
      <c r="O578" s="75"/>
      <c r="P578" s="75"/>
      <c r="Q578" s="75"/>
      <c r="R578" s="75"/>
      <c r="S578" s="72"/>
    </row>
    <row r="579" spans="1:19">
      <c r="A579" s="72"/>
      <c r="B579" s="75"/>
      <c r="C579" s="75"/>
      <c r="D579" s="75"/>
      <c r="E579" s="75"/>
      <c r="F579" s="75"/>
      <c r="G579" s="75"/>
      <c r="H579" s="75"/>
      <c r="I579" s="75"/>
      <c r="J579" s="75"/>
      <c r="K579" s="75"/>
      <c r="L579" s="75"/>
      <c r="M579" s="75"/>
      <c r="N579" s="75"/>
      <c r="O579" s="75"/>
      <c r="P579" s="75"/>
      <c r="Q579" s="75"/>
      <c r="R579" s="75"/>
      <c r="S579" s="72"/>
    </row>
    <row r="580" spans="1:19">
      <c r="A580" s="72"/>
      <c r="B580" s="75"/>
      <c r="C580" s="75"/>
      <c r="D580" s="75"/>
      <c r="E580" s="75"/>
      <c r="F580" s="75"/>
      <c r="G580" s="75"/>
      <c r="H580" s="75"/>
      <c r="I580" s="75"/>
      <c r="J580" s="75"/>
      <c r="K580" s="75"/>
      <c r="L580" s="75"/>
      <c r="M580" s="75"/>
      <c r="N580" s="75"/>
      <c r="O580" s="75"/>
      <c r="P580" s="75"/>
      <c r="Q580" s="75"/>
      <c r="R580" s="75"/>
      <c r="S580" s="72"/>
    </row>
    <row r="581" spans="1:19">
      <c r="A581" s="72"/>
      <c r="B581" s="75"/>
      <c r="C581" s="75"/>
      <c r="D581" s="75"/>
      <c r="E581" s="75"/>
      <c r="F581" s="75"/>
      <c r="G581" s="75"/>
      <c r="H581" s="75"/>
      <c r="I581" s="75"/>
      <c r="J581" s="75"/>
      <c r="K581" s="75"/>
      <c r="L581" s="75"/>
      <c r="M581" s="75"/>
      <c r="N581" s="75"/>
      <c r="O581" s="75"/>
      <c r="P581" s="75"/>
      <c r="Q581" s="75"/>
      <c r="R581" s="75"/>
      <c r="S581" s="72"/>
    </row>
    <row r="582" spans="1:19">
      <c r="A582" s="72"/>
      <c r="B582" s="75"/>
      <c r="C582" s="75"/>
      <c r="D582" s="75"/>
      <c r="E582" s="75"/>
      <c r="F582" s="75"/>
      <c r="G582" s="75"/>
      <c r="H582" s="75"/>
      <c r="I582" s="75"/>
      <c r="J582" s="75"/>
      <c r="K582" s="75"/>
      <c r="L582" s="75"/>
      <c r="M582" s="75"/>
      <c r="N582" s="75"/>
      <c r="O582" s="75"/>
      <c r="P582" s="75"/>
      <c r="Q582" s="75"/>
      <c r="R582" s="75"/>
      <c r="S582" s="72"/>
    </row>
    <row r="583" spans="1:19">
      <c r="A583" s="72"/>
      <c r="B583" s="75"/>
      <c r="C583" s="75"/>
      <c r="D583" s="75"/>
      <c r="E583" s="75"/>
      <c r="F583" s="75"/>
      <c r="G583" s="75"/>
      <c r="H583" s="75"/>
      <c r="I583" s="75"/>
      <c r="J583" s="75"/>
      <c r="K583" s="75"/>
      <c r="L583" s="75"/>
      <c r="M583" s="75"/>
      <c r="N583" s="75"/>
      <c r="O583" s="75"/>
      <c r="P583" s="75"/>
      <c r="Q583" s="75"/>
      <c r="R583" s="75"/>
      <c r="S583" s="72"/>
    </row>
    <row r="584" spans="1:19">
      <c r="A584" s="72"/>
      <c r="B584" s="75"/>
      <c r="C584" s="75"/>
      <c r="D584" s="75"/>
      <c r="E584" s="75"/>
      <c r="F584" s="75"/>
      <c r="G584" s="75"/>
      <c r="H584" s="75"/>
      <c r="I584" s="75"/>
      <c r="J584" s="75"/>
      <c r="K584" s="75"/>
      <c r="L584" s="75"/>
      <c r="M584" s="75"/>
      <c r="N584" s="75"/>
      <c r="O584" s="75"/>
      <c r="P584" s="75"/>
      <c r="Q584" s="75"/>
      <c r="R584" s="75"/>
      <c r="S584" s="72"/>
    </row>
    <row r="585" spans="1:19">
      <c r="A585" s="72"/>
      <c r="B585" s="75"/>
      <c r="C585" s="75"/>
      <c r="D585" s="75"/>
      <c r="E585" s="75"/>
      <c r="F585" s="75"/>
      <c r="G585" s="75"/>
      <c r="H585" s="75"/>
      <c r="I585" s="75"/>
      <c r="J585" s="75"/>
      <c r="K585" s="75"/>
      <c r="L585" s="75"/>
      <c r="M585" s="75"/>
      <c r="N585" s="75"/>
      <c r="O585" s="75"/>
      <c r="P585" s="75"/>
      <c r="Q585" s="75"/>
      <c r="R585" s="75"/>
      <c r="S585" s="72"/>
    </row>
    <row r="586" spans="1:19">
      <c r="A586" s="72"/>
      <c r="B586" s="75"/>
      <c r="C586" s="75"/>
      <c r="D586" s="75"/>
      <c r="E586" s="75"/>
      <c r="F586" s="75"/>
      <c r="G586" s="75"/>
      <c r="H586" s="75"/>
      <c r="I586" s="75"/>
      <c r="J586" s="75"/>
      <c r="K586" s="75"/>
      <c r="L586" s="75"/>
      <c r="M586" s="75"/>
      <c r="N586" s="75"/>
      <c r="O586" s="75"/>
      <c r="P586" s="75"/>
      <c r="Q586" s="75"/>
      <c r="R586" s="75"/>
      <c r="S586" s="72"/>
    </row>
    <row r="587" spans="1:19">
      <c r="A587" s="72"/>
      <c r="B587" s="75"/>
      <c r="C587" s="75"/>
      <c r="D587" s="75"/>
      <c r="E587" s="75"/>
      <c r="F587" s="75"/>
      <c r="G587" s="75"/>
      <c r="H587" s="75"/>
      <c r="I587" s="75"/>
      <c r="J587" s="75"/>
      <c r="K587" s="75"/>
      <c r="L587" s="75"/>
      <c r="M587" s="75"/>
      <c r="N587" s="75"/>
      <c r="O587" s="75"/>
      <c r="P587" s="75"/>
      <c r="Q587" s="75"/>
      <c r="R587" s="75"/>
      <c r="S587" s="72"/>
    </row>
    <row r="588" spans="1:19">
      <c r="A588" s="72"/>
      <c r="B588" s="75"/>
      <c r="C588" s="75"/>
      <c r="D588" s="75"/>
      <c r="E588" s="75"/>
      <c r="F588" s="75"/>
      <c r="G588" s="75"/>
      <c r="H588" s="75"/>
      <c r="I588" s="75"/>
      <c r="J588" s="75"/>
      <c r="K588" s="75"/>
      <c r="L588" s="75"/>
      <c r="M588" s="75"/>
      <c r="N588" s="75"/>
      <c r="O588" s="75"/>
      <c r="P588" s="75"/>
      <c r="Q588" s="75"/>
      <c r="R588" s="75"/>
      <c r="S588" s="72"/>
    </row>
    <row r="589" spans="1:19">
      <c r="A589" s="72"/>
      <c r="B589" s="75"/>
      <c r="C589" s="75"/>
      <c r="D589" s="75"/>
      <c r="E589" s="75"/>
      <c r="F589" s="75"/>
      <c r="G589" s="75"/>
      <c r="H589" s="75"/>
      <c r="I589" s="75"/>
      <c r="J589" s="75"/>
      <c r="K589" s="75"/>
      <c r="L589" s="75"/>
      <c r="M589" s="75"/>
      <c r="N589" s="75"/>
      <c r="O589" s="75"/>
      <c r="P589" s="75"/>
      <c r="Q589" s="75"/>
      <c r="R589" s="75"/>
      <c r="S589" s="72"/>
    </row>
    <row r="590" spans="1:19">
      <c r="A590" s="72"/>
      <c r="B590" s="75"/>
      <c r="C590" s="75"/>
      <c r="D590" s="75"/>
      <c r="E590" s="75"/>
      <c r="F590" s="75"/>
      <c r="G590" s="75"/>
      <c r="H590" s="75"/>
      <c r="I590" s="75"/>
      <c r="J590" s="75"/>
      <c r="K590" s="75"/>
      <c r="L590" s="75"/>
      <c r="M590" s="75"/>
      <c r="N590" s="75"/>
      <c r="O590" s="75"/>
      <c r="P590" s="75"/>
      <c r="Q590" s="75"/>
      <c r="R590" s="75"/>
      <c r="S590" s="72"/>
    </row>
    <row r="591" spans="1:19">
      <c r="A591" s="72"/>
      <c r="B591" s="75"/>
      <c r="C591" s="75"/>
      <c r="D591" s="75"/>
      <c r="E591" s="75"/>
      <c r="F591" s="75"/>
      <c r="G591" s="75"/>
      <c r="H591" s="75"/>
      <c r="I591" s="75"/>
      <c r="J591" s="75"/>
      <c r="K591" s="75"/>
      <c r="L591" s="75"/>
      <c r="M591" s="75"/>
      <c r="N591" s="75"/>
      <c r="O591" s="75"/>
      <c r="P591" s="75"/>
      <c r="Q591" s="75"/>
      <c r="R591" s="75"/>
      <c r="S591" s="72"/>
    </row>
    <row r="592" spans="1:19">
      <c r="A592" s="72"/>
      <c r="B592" s="75"/>
      <c r="C592" s="75"/>
      <c r="D592" s="75"/>
      <c r="E592" s="75"/>
      <c r="F592" s="75"/>
      <c r="G592" s="75"/>
      <c r="H592" s="75"/>
      <c r="I592" s="75"/>
      <c r="J592" s="75"/>
      <c r="K592" s="75"/>
      <c r="L592" s="75"/>
      <c r="M592" s="75"/>
      <c r="N592" s="75"/>
      <c r="O592" s="75"/>
      <c r="P592" s="75"/>
      <c r="Q592" s="75"/>
      <c r="R592" s="75"/>
      <c r="S592" s="72"/>
    </row>
    <row r="593" spans="1:19">
      <c r="A593" s="72"/>
      <c r="B593" s="75"/>
      <c r="C593" s="75"/>
      <c r="D593" s="75"/>
      <c r="E593" s="75"/>
      <c r="F593" s="75"/>
      <c r="G593" s="75"/>
      <c r="H593" s="75"/>
      <c r="I593" s="75"/>
      <c r="J593" s="75"/>
      <c r="K593" s="75"/>
      <c r="L593" s="75"/>
      <c r="M593" s="75"/>
      <c r="N593" s="75"/>
      <c r="O593" s="75"/>
      <c r="P593" s="75"/>
      <c r="Q593" s="75"/>
      <c r="R593" s="75"/>
      <c r="S593" s="72"/>
    </row>
    <row r="594" spans="1:19">
      <c r="A594" s="72"/>
      <c r="B594" s="75"/>
      <c r="C594" s="75"/>
      <c r="D594" s="75"/>
      <c r="E594" s="75"/>
      <c r="F594" s="75"/>
      <c r="G594" s="75"/>
      <c r="H594" s="75"/>
      <c r="I594" s="75"/>
      <c r="J594" s="75"/>
      <c r="K594" s="75"/>
      <c r="L594" s="75"/>
      <c r="M594" s="75"/>
      <c r="N594" s="75"/>
      <c r="O594" s="75"/>
      <c r="P594" s="75"/>
      <c r="Q594" s="75"/>
      <c r="R594" s="75"/>
      <c r="S594" s="72"/>
    </row>
    <row r="595" spans="1:19">
      <c r="A595" s="72"/>
      <c r="B595" s="75"/>
      <c r="C595" s="75"/>
      <c r="D595" s="75"/>
      <c r="E595" s="75"/>
      <c r="F595" s="75"/>
      <c r="G595" s="75"/>
      <c r="H595" s="75"/>
      <c r="I595" s="75"/>
      <c r="J595" s="75"/>
      <c r="K595" s="75"/>
      <c r="L595" s="75"/>
      <c r="M595" s="75"/>
      <c r="N595" s="75"/>
      <c r="O595" s="75"/>
      <c r="P595" s="75"/>
      <c r="Q595" s="75"/>
      <c r="R595" s="75"/>
      <c r="S595" s="72"/>
    </row>
    <row r="596" spans="1:19">
      <c r="A596" s="72"/>
      <c r="B596" s="75"/>
      <c r="C596" s="75"/>
      <c r="D596" s="75"/>
      <c r="E596" s="75"/>
      <c r="F596" s="75"/>
      <c r="G596" s="75"/>
      <c r="H596" s="75"/>
      <c r="I596" s="75"/>
      <c r="J596" s="75"/>
      <c r="K596" s="75"/>
      <c r="L596" s="75"/>
      <c r="M596" s="75"/>
      <c r="N596" s="75"/>
      <c r="O596" s="75"/>
      <c r="P596" s="75"/>
      <c r="Q596" s="75"/>
      <c r="R596" s="75"/>
      <c r="S596" s="72"/>
    </row>
    <row r="597" spans="1:19">
      <c r="A597" s="72"/>
      <c r="B597" s="75"/>
      <c r="C597" s="75"/>
      <c r="D597" s="75"/>
      <c r="E597" s="75"/>
      <c r="F597" s="75"/>
      <c r="G597" s="75"/>
      <c r="H597" s="75"/>
      <c r="I597" s="75"/>
      <c r="J597" s="75"/>
      <c r="K597" s="75"/>
      <c r="L597" s="75"/>
      <c r="M597" s="75"/>
      <c r="N597" s="75"/>
      <c r="O597" s="75"/>
      <c r="P597" s="75"/>
      <c r="Q597" s="75"/>
      <c r="R597" s="75"/>
      <c r="S597" s="72"/>
    </row>
    <row r="598" spans="1:19">
      <c r="A598" s="72"/>
      <c r="B598" s="75"/>
      <c r="C598" s="75"/>
      <c r="D598" s="75"/>
      <c r="E598" s="75"/>
      <c r="F598" s="75"/>
      <c r="G598" s="75"/>
      <c r="H598" s="75"/>
      <c r="I598" s="75"/>
      <c r="J598" s="75"/>
      <c r="K598" s="75"/>
      <c r="L598" s="75"/>
      <c r="M598" s="75"/>
      <c r="N598" s="75"/>
      <c r="O598" s="75"/>
      <c r="P598" s="75"/>
      <c r="Q598" s="75"/>
      <c r="R598" s="75"/>
      <c r="S598" s="72"/>
    </row>
    <row r="599" spans="1:19">
      <c r="A599" s="72"/>
      <c r="B599" s="75"/>
      <c r="C599" s="75"/>
      <c r="D599" s="75"/>
      <c r="E599" s="75"/>
      <c r="F599" s="75"/>
      <c r="G599" s="75"/>
      <c r="H599" s="75"/>
      <c r="I599" s="75"/>
      <c r="J599" s="75"/>
      <c r="K599" s="75"/>
      <c r="L599" s="75"/>
      <c r="M599" s="75"/>
      <c r="N599" s="75"/>
      <c r="O599" s="75"/>
      <c r="P599" s="75"/>
      <c r="Q599" s="75"/>
      <c r="R599" s="75"/>
      <c r="S599" s="72"/>
    </row>
    <row r="600" spans="1:19">
      <c r="A600" s="72"/>
      <c r="B600" s="75"/>
      <c r="C600" s="75"/>
      <c r="D600" s="75"/>
      <c r="E600" s="75"/>
      <c r="F600" s="75"/>
      <c r="G600" s="75"/>
      <c r="H600" s="75"/>
      <c r="I600" s="75"/>
      <c r="J600" s="75"/>
      <c r="K600" s="75"/>
      <c r="L600" s="75"/>
      <c r="M600" s="75"/>
      <c r="N600" s="75"/>
      <c r="O600" s="75"/>
      <c r="P600" s="75"/>
      <c r="Q600" s="75"/>
      <c r="R600" s="75"/>
      <c r="S600" s="72"/>
    </row>
    <row r="601" spans="1:19">
      <c r="A601" s="72"/>
      <c r="B601" s="75"/>
      <c r="C601" s="75"/>
      <c r="D601" s="75"/>
      <c r="E601" s="75"/>
      <c r="F601" s="75"/>
      <c r="G601" s="75"/>
      <c r="H601" s="75"/>
      <c r="I601" s="75"/>
      <c r="J601" s="75"/>
      <c r="K601" s="75"/>
      <c r="L601" s="75"/>
      <c r="M601" s="75"/>
      <c r="N601" s="75"/>
      <c r="O601" s="75"/>
      <c r="P601" s="75"/>
      <c r="Q601" s="75"/>
      <c r="R601" s="75"/>
      <c r="S601" s="72"/>
    </row>
    <row r="602" spans="1:19">
      <c r="A602" s="72"/>
      <c r="B602" s="75"/>
      <c r="C602" s="75"/>
      <c r="D602" s="75"/>
      <c r="E602" s="75"/>
      <c r="F602" s="75"/>
      <c r="G602" s="75"/>
      <c r="H602" s="75"/>
      <c r="I602" s="75"/>
      <c r="J602" s="75"/>
      <c r="K602" s="75"/>
      <c r="L602" s="75"/>
      <c r="M602" s="75"/>
      <c r="N602" s="75"/>
      <c r="O602" s="75"/>
      <c r="P602" s="75"/>
      <c r="Q602" s="75"/>
      <c r="R602" s="75"/>
      <c r="S602" s="72"/>
    </row>
    <row r="603" spans="1:19">
      <c r="A603" s="72"/>
      <c r="B603" s="75"/>
      <c r="C603" s="75"/>
      <c r="D603" s="75"/>
      <c r="E603" s="75"/>
      <c r="F603" s="75"/>
      <c r="G603" s="75"/>
      <c r="H603" s="75"/>
      <c r="I603" s="75"/>
      <c r="J603" s="75"/>
      <c r="K603" s="75"/>
      <c r="L603" s="75"/>
      <c r="M603" s="75"/>
      <c r="N603" s="75"/>
      <c r="O603" s="75"/>
      <c r="P603" s="75"/>
      <c r="Q603" s="75"/>
      <c r="R603" s="75"/>
      <c r="S603" s="72"/>
    </row>
    <row r="604" spans="1:19">
      <c r="A604" s="72"/>
      <c r="B604" s="75"/>
      <c r="C604" s="75"/>
      <c r="D604" s="75"/>
      <c r="E604" s="75"/>
      <c r="F604" s="75"/>
      <c r="G604" s="75"/>
      <c r="H604" s="75"/>
      <c r="I604" s="75"/>
      <c r="J604" s="75"/>
      <c r="K604" s="75"/>
      <c r="L604" s="75"/>
      <c r="M604" s="75"/>
      <c r="N604" s="75"/>
      <c r="O604" s="75"/>
      <c r="P604" s="75"/>
      <c r="Q604" s="75"/>
      <c r="R604" s="75"/>
      <c r="S604" s="72"/>
    </row>
    <row r="605" spans="1:19">
      <c r="A605" s="72"/>
      <c r="B605" s="75"/>
      <c r="C605" s="75"/>
      <c r="D605" s="75"/>
      <c r="E605" s="75"/>
      <c r="F605" s="75"/>
      <c r="G605" s="75"/>
      <c r="H605" s="75"/>
      <c r="I605" s="75"/>
      <c r="J605" s="75"/>
      <c r="K605" s="75"/>
      <c r="L605" s="75"/>
      <c r="M605" s="75"/>
      <c r="N605" s="75"/>
      <c r="O605" s="75"/>
      <c r="P605" s="75"/>
      <c r="Q605" s="75"/>
      <c r="R605" s="75"/>
      <c r="S605" s="72"/>
    </row>
    <row r="606" spans="1:19">
      <c r="A606" s="72"/>
      <c r="B606" s="75"/>
      <c r="C606" s="75"/>
      <c r="D606" s="75"/>
      <c r="E606" s="75"/>
      <c r="F606" s="75"/>
      <c r="G606" s="75"/>
      <c r="H606" s="75"/>
      <c r="I606" s="75"/>
      <c r="J606" s="75"/>
      <c r="K606" s="75"/>
      <c r="L606" s="75"/>
      <c r="M606" s="75"/>
      <c r="N606" s="75"/>
      <c r="O606" s="75"/>
      <c r="P606" s="75"/>
      <c r="Q606" s="75"/>
      <c r="R606" s="75"/>
      <c r="S606" s="72"/>
    </row>
    <row r="607" spans="1:19">
      <c r="A607" s="72"/>
      <c r="B607" s="75"/>
      <c r="C607" s="75"/>
      <c r="D607" s="75"/>
      <c r="E607" s="75"/>
      <c r="F607" s="75"/>
      <c r="G607" s="75"/>
      <c r="H607" s="75"/>
      <c r="I607" s="75"/>
      <c r="J607" s="75"/>
      <c r="K607" s="75"/>
      <c r="L607" s="75"/>
      <c r="M607" s="75"/>
      <c r="N607" s="75"/>
      <c r="O607" s="75"/>
      <c r="P607" s="75"/>
      <c r="Q607" s="75"/>
      <c r="R607" s="75"/>
      <c r="S607" s="72"/>
    </row>
    <row r="608" spans="1:19">
      <c r="A608" s="72"/>
      <c r="B608" s="75"/>
      <c r="C608" s="75"/>
      <c r="D608" s="75"/>
      <c r="E608" s="75"/>
      <c r="F608" s="75"/>
      <c r="G608" s="75"/>
      <c r="H608" s="75"/>
      <c r="I608" s="75"/>
      <c r="J608" s="75"/>
      <c r="K608" s="75"/>
      <c r="L608" s="75"/>
      <c r="M608" s="75"/>
      <c r="N608" s="75"/>
      <c r="O608" s="75"/>
      <c r="P608" s="75"/>
      <c r="Q608" s="75"/>
      <c r="R608" s="75"/>
      <c r="S608" s="72"/>
    </row>
    <row r="609" spans="1:19">
      <c r="A609" s="72"/>
      <c r="B609" s="75"/>
      <c r="C609" s="75"/>
      <c r="D609" s="75"/>
      <c r="E609" s="75"/>
      <c r="F609" s="75"/>
      <c r="G609" s="75"/>
      <c r="H609" s="75"/>
      <c r="I609" s="75"/>
      <c r="J609" s="75"/>
      <c r="K609" s="75"/>
      <c r="L609" s="75"/>
      <c r="M609" s="75"/>
      <c r="N609" s="75"/>
      <c r="O609" s="75"/>
      <c r="P609" s="75"/>
      <c r="Q609" s="75"/>
      <c r="R609" s="75"/>
      <c r="S609" s="72"/>
    </row>
    <row r="610" spans="1:19">
      <c r="A610" s="72"/>
      <c r="B610" s="75"/>
      <c r="C610" s="75"/>
      <c r="D610" s="75"/>
      <c r="E610" s="75"/>
      <c r="F610" s="75"/>
      <c r="G610" s="75"/>
      <c r="H610" s="75"/>
      <c r="I610" s="75"/>
      <c r="J610" s="75"/>
      <c r="K610" s="75"/>
      <c r="L610" s="75"/>
      <c r="M610" s="75"/>
      <c r="N610" s="75"/>
      <c r="O610" s="75"/>
      <c r="P610" s="75"/>
      <c r="Q610" s="75"/>
      <c r="R610" s="75"/>
      <c r="S610" s="72"/>
    </row>
    <row r="611" spans="1:19">
      <c r="A611" s="72"/>
      <c r="B611" s="75"/>
      <c r="C611" s="75"/>
      <c r="D611" s="75"/>
      <c r="E611" s="75"/>
      <c r="F611" s="75"/>
      <c r="G611" s="75"/>
      <c r="H611" s="75"/>
      <c r="I611" s="75"/>
      <c r="J611" s="75"/>
      <c r="K611" s="75"/>
      <c r="L611" s="75"/>
      <c r="M611" s="75"/>
      <c r="N611" s="75"/>
      <c r="O611" s="75"/>
      <c r="P611" s="75"/>
      <c r="Q611" s="75"/>
      <c r="R611" s="75"/>
      <c r="S611" s="72"/>
    </row>
    <row r="612" spans="1:19">
      <c r="A612" s="72"/>
      <c r="B612" s="75"/>
      <c r="C612" s="75"/>
      <c r="D612" s="75"/>
      <c r="E612" s="75"/>
      <c r="F612" s="75"/>
      <c r="G612" s="75"/>
      <c r="H612" s="75"/>
      <c r="I612" s="75"/>
      <c r="J612" s="75"/>
      <c r="K612" s="75"/>
      <c r="L612" s="75"/>
      <c r="M612" s="75"/>
      <c r="N612" s="75"/>
      <c r="O612" s="75"/>
      <c r="P612" s="75"/>
      <c r="Q612" s="75"/>
      <c r="R612" s="75"/>
      <c r="S612" s="72"/>
    </row>
    <row r="613" spans="1:19">
      <c r="A613" s="72"/>
      <c r="B613" s="75"/>
      <c r="C613" s="75"/>
      <c r="D613" s="75"/>
      <c r="E613" s="75"/>
      <c r="F613" s="75"/>
      <c r="G613" s="75"/>
      <c r="H613" s="75"/>
      <c r="I613" s="75"/>
      <c r="J613" s="75"/>
      <c r="K613" s="75"/>
      <c r="L613" s="75"/>
      <c r="M613" s="75"/>
      <c r="N613" s="75"/>
      <c r="O613" s="75"/>
      <c r="P613" s="75"/>
      <c r="Q613" s="75"/>
      <c r="R613" s="75"/>
      <c r="S613" s="72"/>
    </row>
    <row r="614" spans="1:19">
      <c r="A614" s="72"/>
      <c r="B614" s="75"/>
      <c r="C614" s="75"/>
      <c r="D614" s="75"/>
      <c r="E614" s="75"/>
      <c r="F614" s="75"/>
      <c r="G614" s="75"/>
      <c r="H614" s="75"/>
      <c r="I614" s="75"/>
      <c r="J614" s="75"/>
      <c r="K614" s="75"/>
      <c r="L614" s="75"/>
      <c r="M614" s="75"/>
      <c r="N614" s="75"/>
      <c r="O614" s="75"/>
      <c r="P614" s="75"/>
      <c r="Q614" s="75"/>
      <c r="R614" s="75"/>
      <c r="S614" s="72"/>
    </row>
    <row r="615" spans="1:19">
      <c r="A615" s="72"/>
      <c r="B615" s="75"/>
      <c r="C615" s="75"/>
      <c r="D615" s="75"/>
      <c r="E615" s="75"/>
      <c r="F615" s="75"/>
      <c r="G615" s="75"/>
      <c r="H615" s="75"/>
      <c r="I615" s="75"/>
      <c r="J615" s="75"/>
      <c r="K615" s="75"/>
      <c r="L615" s="75"/>
      <c r="M615" s="75"/>
      <c r="N615" s="75"/>
      <c r="O615" s="75"/>
      <c r="P615" s="75"/>
      <c r="Q615" s="75"/>
      <c r="R615" s="75"/>
      <c r="S615" s="72"/>
    </row>
    <row r="616" spans="1:19">
      <c r="A616" s="72"/>
      <c r="B616" s="75"/>
      <c r="C616" s="75"/>
      <c r="D616" s="75"/>
      <c r="E616" s="75"/>
      <c r="F616" s="75"/>
      <c r="G616" s="75"/>
      <c r="H616" s="75"/>
      <c r="I616" s="75"/>
      <c r="J616" s="75"/>
      <c r="K616" s="75"/>
      <c r="L616" s="75"/>
      <c r="M616" s="75"/>
      <c r="N616" s="75"/>
      <c r="O616" s="75"/>
      <c r="P616" s="75"/>
      <c r="Q616" s="75"/>
      <c r="R616" s="75"/>
      <c r="S616" s="72"/>
    </row>
    <row r="617" spans="1:19">
      <c r="A617" s="72"/>
      <c r="B617" s="75"/>
      <c r="C617" s="75"/>
      <c r="D617" s="75"/>
      <c r="E617" s="75"/>
      <c r="F617" s="75"/>
      <c r="G617" s="75"/>
      <c r="H617" s="75"/>
      <c r="I617" s="75"/>
      <c r="J617" s="75"/>
      <c r="K617" s="75"/>
      <c r="L617" s="75"/>
      <c r="M617" s="75"/>
      <c r="N617" s="75"/>
      <c r="O617" s="75"/>
      <c r="P617" s="75"/>
      <c r="Q617" s="75"/>
      <c r="R617" s="75"/>
      <c r="S617" s="72"/>
    </row>
    <row r="618" spans="1:19">
      <c r="A618" s="72"/>
      <c r="B618" s="75"/>
      <c r="C618" s="75"/>
      <c r="D618" s="75"/>
      <c r="E618" s="75"/>
      <c r="F618" s="75"/>
      <c r="G618" s="75"/>
      <c r="H618" s="75"/>
      <c r="I618" s="75"/>
      <c r="J618" s="75"/>
      <c r="K618" s="75"/>
      <c r="L618" s="75"/>
      <c r="M618" s="75"/>
      <c r="N618" s="75"/>
      <c r="O618" s="75"/>
      <c r="P618" s="75"/>
      <c r="Q618" s="75"/>
      <c r="R618" s="75"/>
      <c r="S618" s="72"/>
    </row>
    <row r="619" spans="1:19">
      <c r="A619" s="72"/>
      <c r="B619" s="75"/>
      <c r="C619" s="75"/>
      <c r="D619" s="75"/>
      <c r="E619" s="75"/>
      <c r="F619" s="75"/>
      <c r="G619" s="75"/>
      <c r="H619" s="75"/>
      <c r="I619" s="75"/>
      <c r="J619" s="75"/>
      <c r="K619" s="75"/>
      <c r="L619" s="75"/>
      <c r="M619" s="75"/>
      <c r="N619" s="75"/>
      <c r="O619" s="75"/>
      <c r="P619" s="75"/>
      <c r="Q619" s="75"/>
      <c r="R619" s="75"/>
      <c r="S619" s="72"/>
    </row>
    <row r="620" spans="1:19">
      <c r="A620" s="72"/>
      <c r="B620" s="75"/>
      <c r="C620" s="75"/>
      <c r="D620" s="75"/>
      <c r="E620" s="75"/>
      <c r="F620" s="75"/>
      <c r="G620" s="75"/>
      <c r="H620" s="75"/>
      <c r="I620" s="75"/>
      <c r="J620" s="75"/>
      <c r="K620" s="75"/>
      <c r="L620" s="75"/>
      <c r="M620" s="75"/>
      <c r="N620" s="75"/>
      <c r="O620" s="75"/>
      <c r="P620" s="75"/>
      <c r="Q620" s="75"/>
      <c r="R620" s="75"/>
      <c r="S620" s="72"/>
    </row>
    <row r="621" spans="1:19">
      <c r="A621" s="72"/>
      <c r="B621" s="75"/>
      <c r="C621" s="75"/>
      <c r="D621" s="75"/>
      <c r="E621" s="75"/>
      <c r="F621" s="75"/>
      <c r="G621" s="75"/>
      <c r="H621" s="75"/>
      <c r="I621" s="75"/>
      <c r="J621" s="75"/>
      <c r="K621" s="75"/>
      <c r="L621" s="75"/>
      <c r="M621" s="75"/>
      <c r="N621" s="75"/>
      <c r="O621" s="75"/>
      <c r="P621" s="75"/>
      <c r="Q621" s="75"/>
      <c r="R621" s="75"/>
      <c r="S621" s="72"/>
    </row>
    <row r="622" spans="1:19">
      <c r="A622" s="72"/>
      <c r="B622" s="75"/>
      <c r="C622" s="75"/>
      <c r="D622" s="75"/>
      <c r="E622" s="75"/>
      <c r="F622" s="75"/>
      <c r="G622" s="75"/>
      <c r="H622" s="75"/>
      <c r="I622" s="75"/>
      <c r="J622" s="75"/>
      <c r="K622" s="75"/>
      <c r="L622" s="75"/>
      <c r="M622" s="75"/>
      <c r="N622" s="75"/>
      <c r="O622" s="75"/>
      <c r="P622" s="75"/>
      <c r="Q622" s="75"/>
      <c r="R622" s="75"/>
      <c r="S622" s="72"/>
    </row>
    <row r="623" spans="1:19">
      <c r="A623" s="72"/>
      <c r="B623" s="75"/>
      <c r="C623" s="75"/>
      <c r="D623" s="75"/>
      <c r="E623" s="75"/>
      <c r="F623" s="75"/>
      <c r="G623" s="75"/>
      <c r="H623" s="75"/>
      <c r="I623" s="75"/>
      <c r="J623" s="75"/>
      <c r="K623" s="75"/>
      <c r="L623" s="75"/>
      <c r="M623" s="75"/>
      <c r="N623" s="75"/>
      <c r="O623" s="75"/>
      <c r="P623" s="75"/>
      <c r="Q623" s="75"/>
      <c r="R623" s="75"/>
      <c r="S623" s="72"/>
    </row>
    <row r="624" spans="1:19">
      <c r="A624" s="72"/>
      <c r="B624" s="75"/>
      <c r="C624" s="75"/>
      <c r="D624" s="75"/>
      <c r="E624" s="75"/>
      <c r="F624" s="75"/>
      <c r="G624" s="75"/>
      <c r="H624" s="75"/>
      <c r="I624" s="75"/>
      <c r="J624" s="75"/>
      <c r="K624" s="75"/>
      <c r="L624" s="75"/>
      <c r="M624" s="75"/>
      <c r="N624" s="75"/>
      <c r="O624" s="75"/>
      <c r="P624" s="75"/>
      <c r="Q624" s="75"/>
      <c r="R624" s="75"/>
      <c r="S624" s="72"/>
    </row>
    <row r="625" spans="1:19">
      <c r="A625" s="72"/>
      <c r="B625" s="75"/>
      <c r="C625" s="75"/>
      <c r="D625" s="75"/>
      <c r="E625" s="75"/>
      <c r="F625" s="75"/>
      <c r="G625" s="75"/>
      <c r="H625" s="75"/>
      <c r="I625" s="75"/>
      <c r="J625" s="75"/>
      <c r="K625" s="75"/>
      <c r="L625" s="75"/>
      <c r="M625" s="75"/>
      <c r="N625" s="75"/>
      <c r="O625" s="75"/>
      <c r="P625" s="75"/>
      <c r="Q625" s="75"/>
      <c r="R625" s="75"/>
      <c r="S625" s="72"/>
    </row>
    <row r="626" spans="1:19">
      <c r="A626" s="72"/>
      <c r="B626" s="75"/>
      <c r="C626" s="75"/>
      <c r="D626" s="75"/>
      <c r="E626" s="75"/>
      <c r="F626" s="75"/>
      <c r="G626" s="75"/>
      <c r="H626" s="75"/>
      <c r="I626" s="75"/>
      <c r="J626" s="75"/>
      <c r="K626" s="75"/>
      <c r="L626" s="75"/>
      <c r="M626" s="75"/>
      <c r="N626" s="75"/>
      <c r="O626" s="75"/>
      <c r="P626" s="75"/>
      <c r="Q626" s="75"/>
      <c r="R626" s="75"/>
      <c r="S626" s="72"/>
    </row>
    <row r="627" spans="1:19">
      <c r="A627" s="72"/>
      <c r="B627" s="75"/>
      <c r="C627" s="75"/>
      <c r="D627" s="75"/>
      <c r="E627" s="75"/>
      <c r="F627" s="75"/>
      <c r="G627" s="75"/>
      <c r="H627" s="75"/>
      <c r="I627" s="75"/>
      <c r="J627" s="75"/>
      <c r="K627" s="75"/>
      <c r="L627" s="75"/>
      <c r="M627" s="75"/>
      <c r="N627" s="75"/>
      <c r="O627" s="75"/>
      <c r="P627" s="75"/>
      <c r="Q627" s="75"/>
      <c r="R627" s="75"/>
      <c r="S627" s="72"/>
    </row>
    <row r="628" spans="1:19">
      <c r="A628" s="72"/>
      <c r="B628" s="75"/>
      <c r="C628" s="75"/>
      <c r="D628" s="75"/>
      <c r="E628" s="75"/>
      <c r="F628" s="75"/>
      <c r="G628" s="75"/>
      <c r="H628" s="75"/>
      <c r="I628" s="75"/>
      <c r="J628" s="75"/>
      <c r="K628" s="75"/>
      <c r="L628" s="75"/>
      <c r="M628" s="75"/>
      <c r="N628" s="75"/>
      <c r="O628" s="75"/>
      <c r="P628" s="75"/>
      <c r="Q628" s="75"/>
      <c r="R628" s="75"/>
      <c r="S628" s="72"/>
    </row>
    <row r="629" spans="1:19">
      <c r="A629" s="72"/>
      <c r="B629" s="75"/>
      <c r="C629" s="75"/>
      <c r="D629" s="75"/>
      <c r="E629" s="75"/>
      <c r="F629" s="75"/>
      <c r="G629" s="75"/>
      <c r="H629" s="75"/>
      <c r="I629" s="75"/>
      <c r="J629" s="75"/>
      <c r="K629" s="75"/>
      <c r="L629" s="75"/>
      <c r="M629" s="75"/>
      <c r="N629" s="75"/>
      <c r="O629" s="75"/>
      <c r="P629" s="75"/>
      <c r="Q629" s="75"/>
      <c r="R629" s="75"/>
      <c r="S629" s="72"/>
    </row>
    <row r="630" spans="1:19">
      <c r="A630" s="72"/>
      <c r="B630" s="75"/>
      <c r="C630" s="75"/>
      <c r="D630" s="75"/>
      <c r="E630" s="75"/>
      <c r="F630" s="75"/>
      <c r="G630" s="75"/>
      <c r="H630" s="75"/>
      <c r="I630" s="75"/>
      <c r="J630" s="75"/>
      <c r="K630" s="75"/>
      <c r="L630" s="75"/>
      <c r="M630" s="75"/>
      <c r="N630" s="75"/>
      <c r="O630" s="75"/>
      <c r="P630" s="75"/>
      <c r="Q630" s="75"/>
      <c r="R630" s="75"/>
      <c r="S630" s="72"/>
    </row>
    <row r="631" spans="1:19">
      <c r="A631" s="72"/>
      <c r="B631" s="75"/>
      <c r="C631" s="75"/>
      <c r="D631" s="75"/>
      <c r="E631" s="75"/>
      <c r="F631" s="75"/>
      <c r="G631" s="75"/>
      <c r="H631" s="75"/>
      <c r="I631" s="75"/>
      <c r="J631" s="75"/>
      <c r="K631" s="75"/>
      <c r="L631" s="75"/>
      <c r="M631" s="75"/>
      <c r="N631" s="75"/>
      <c r="O631" s="75"/>
      <c r="P631" s="75"/>
      <c r="Q631" s="75"/>
      <c r="R631" s="75"/>
      <c r="S631" s="72"/>
    </row>
    <row r="632" spans="1:19">
      <c r="A632" s="72"/>
      <c r="B632" s="75"/>
      <c r="C632" s="75"/>
      <c r="D632" s="75"/>
      <c r="E632" s="75"/>
      <c r="F632" s="75"/>
      <c r="G632" s="75"/>
      <c r="H632" s="75"/>
      <c r="I632" s="75"/>
      <c r="J632" s="75"/>
      <c r="K632" s="75"/>
      <c r="L632" s="75"/>
      <c r="M632" s="75"/>
      <c r="N632" s="75"/>
      <c r="O632" s="75"/>
      <c r="P632" s="75"/>
      <c r="Q632" s="75"/>
      <c r="R632" s="75"/>
      <c r="S632" s="72"/>
    </row>
    <row r="633" spans="1:19">
      <c r="A633" s="72"/>
      <c r="B633" s="75"/>
      <c r="C633" s="75"/>
      <c r="D633" s="75"/>
      <c r="E633" s="75"/>
      <c r="F633" s="75"/>
      <c r="G633" s="75"/>
      <c r="H633" s="75"/>
      <c r="I633" s="75"/>
      <c r="J633" s="75"/>
      <c r="K633" s="75"/>
      <c r="L633" s="75"/>
      <c r="M633" s="75"/>
      <c r="N633" s="75"/>
      <c r="O633" s="75"/>
      <c r="P633" s="75"/>
      <c r="Q633" s="75"/>
      <c r="R633" s="75"/>
      <c r="S633" s="72"/>
    </row>
    <row r="634" spans="1:19">
      <c r="A634" s="72"/>
      <c r="B634" s="75"/>
      <c r="C634" s="75"/>
      <c r="D634" s="75"/>
      <c r="E634" s="75"/>
      <c r="F634" s="75"/>
      <c r="G634" s="75"/>
      <c r="H634" s="75"/>
      <c r="I634" s="75"/>
      <c r="J634" s="75"/>
      <c r="K634" s="75"/>
      <c r="L634" s="75"/>
      <c r="M634" s="75"/>
      <c r="N634" s="75"/>
      <c r="O634" s="75"/>
      <c r="P634" s="75"/>
      <c r="Q634" s="75"/>
      <c r="R634" s="75"/>
      <c r="S634" s="72"/>
    </row>
    <row r="635" spans="1:19">
      <c r="A635" s="72"/>
      <c r="B635" s="75"/>
      <c r="C635" s="75"/>
      <c r="D635" s="75"/>
      <c r="E635" s="75"/>
      <c r="F635" s="75"/>
      <c r="G635" s="75"/>
      <c r="H635" s="75"/>
      <c r="I635" s="75"/>
      <c r="J635" s="75"/>
      <c r="K635" s="75"/>
      <c r="L635" s="75"/>
      <c r="M635" s="75"/>
      <c r="N635" s="75"/>
      <c r="O635" s="75"/>
      <c r="P635" s="75"/>
      <c r="Q635" s="75"/>
      <c r="R635" s="75"/>
      <c r="S635" s="72"/>
    </row>
    <row r="636" spans="1:19">
      <c r="A636" s="72"/>
      <c r="B636" s="75"/>
      <c r="C636" s="75"/>
      <c r="D636" s="75"/>
      <c r="E636" s="75"/>
      <c r="F636" s="75"/>
      <c r="G636" s="75"/>
      <c r="H636" s="75"/>
      <c r="I636" s="75"/>
      <c r="J636" s="75"/>
      <c r="K636" s="75"/>
      <c r="L636" s="75"/>
      <c r="M636" s="75"/>
      <c r="N636" s="75"/>
      <c r="O636" s="75"/>
      <c r="P636" s="75"/>
      <c r="Q636" s="75"/>
      <c r="R636" s="75"/>
      <c r="S636" s="72"/>
    </row>
    <row r="637" spans="1:19">
      <c r="A637" s="72"/>
      <c r="B637" s="75"/>
      <c r="C637" s="75"/>
      <c r="D637" s="75"/>
      <c r="E637" s="75"/>
      <c r="F637" s="75"/>
      <c r="G637" s="75"/>
      <c r="H637" s="75"/>
      <c r="I637" s="75"/>
      <c r="J637" s="75"/>
      <c r="K637" s="75"/>
      <c r="L637" s="75"/>
      <c r="M637" s="75"/>
      <c r="N637" s="75"/>
      <c r="O637" s="75"/>
      <c r="P637" s="75"/>
      <c r="Q637" s="75"/>
      <c r="R637" s="75"/>
      <c r="S637" s="72"/>
    </row>
    <row r="638" spans="1:19">
      <c r="A638" s="72"/>
      <c r="B638" s="75"/>
      <c r="C638" s="75"/>
      <c r="D638" s="75"/>
      <c r="E638" s="75"/>
      <c r="F638" s="75"/>
      <c r="G638" s="75"/>
      <c r="H638" s="75"/>
      <c r="I638" s="75"/>
      <c r="J638" s="75"/>
      <c r="K638" s="75"/>
      <c r="L638" s="75"/>
      <c r="M638" s="75"/>
      <c r="N638" s="75"/>
      <c r="O638" s="75"/>
      <c r="P638" s="75"/>
      <c r="Q638" s="75"/>
      <c r="R638" s="75"/>
      <c r="S638" s="72"/>
    </row>
    <row r="639" spans="1:19">
      <c r="A639" s="72"/>
      <c r="B639" s="75"/>
      <c r="C639" s="75"/>
      <c r="D639" s="75"/>
      <c r="E639" s="75"/>
      <c r="F639" s="75"/>
      <c r="G639" s="75"/>
      <c r="H639" s="75"/>
      <c r="I639" s="75"/>
      <c r="J639" s="75"/>
      <c r="K639" s="75"/>
      <c r="L639" s="75"/>
      <c r="M639" s="75"/>
      <c r="N639" s="75"/>
      <c r="O639" s="75"/>
      <c r="P639" s="75"/>
      <c r="Q639" s="75"/>
      <c r="R639" s="75"/>
      <c r="S639" s="72"/>
    </row>
    <row r="640" spans="1:19">
      <c r="A640" s="72"/>
      <c r="B640" s="75"/>
      <c r="C640" s="75"/>
      <c r="D640" s="75"/>
      <c r="E640" s="75"/>
      <c r="F640" s="75"/>
      <c r="G640" s="75"/>
      <c r="H640" s="75"/>
      <c r="I640" s="75"/>
      <c r="J640" s="75"/>
      <c r="K640" s="75"/>
      <c r="L640" s="75"/>
      <c r="M640" s="75"/>
      <c r="N640" s="75"/>
      <c r="O640" s="75"/>
      <c r="P640" s="75"/>
      <c r="Q640" s="75"/>
      <c r="R640" s="75"/>
      <c r="S640" s="72"/>
    </row>
    <row r="641" spans="1:19">
      <c r="A641" s="72"/>
      <c r="B641" s="75"/>
      <c r="C641" s="75"/>
      <c r="D641" s="75"/>
      <c r="E641" s="75"/>
      <c r="F641" s="75"/>
      <c r="G641" s="75"/>
      <c r="H641" s="75"/>
      <c r="I641" s="75"/>
      <c r="J641" s="75"/>
      <c r="K641" s="75"/>
      <c r="L641" s="75"/>
      <c r="M641" s="75"/>
      <c r="N641" s="75"/>
      <c r="O641" s="75"/>
      <c r="P641" s="75"/>
      <c r="Q641" s="75"/>
      <c r="R641" s="75"/>
      <c r="S641" s="72"/>
    </row>
    <row r="642" spans="1:19">
      <c r="A642" s="72"/>
      <c r="B642" s="75"/>
      <c r="C642" s="75"/>
      <c r="D642" s="75"/>
      <c r="E642" s="75"/>
      <c r="F642" s="75"/>
      <c r="G642" s="75"/>
      <c r="H642" s="75"/>
      <c r="I642" s="75"/>
      <c r="J642" s="75"/>
      <c r="K642" s="75"/>
      <c r="L642" s="75"/>
      <c r="M642" s="75"/>
      <c r="N642" s="75"/>
      <c r="O642" s="75"/>
      <c r="P642" s="75"/>
      <c r="Q642" s="75"/>
      <c r="R642" s="75"/>
      <c r="S642" s="72"/>
    </row>
    <row r="643" spans="1:19">
      <c r="A643" s="72"/>
      <c r="B643" s="75"/>
      <c r="C643" s="75"/>
      <c r="D643" s="75"/>
      <c r="E643" s="75"/>
      <c r="F643" s="75"/>
      <c r="G643" s="75"/>
      <c r="H643" s="75"/>
      <c r="I643" s="75"/>
      <c r="J643" s="75"/>
      <c r="K643" s="75"/>
      <c r="L643" s="75"/>
      <c r="M643" s="75"/>
      <c r="N643" s="75"/>
      <c r="O643" s="75"/>
      <c r="P643" s="75"/>
      <c r="Q643" s="75"/>
      <c r="R643" s="75"/>
      <c r="S643" s="72"/>
    </row>
    <row r="644" spans="1:19">
      <c r="A644" s="72"/>
      <c r="B644" s="75"/>
      <c r="C644" s="75"/>
      <c r="D644" s="75"/>
      <c r="E644" s="75"/>
      <c r="F644" s="75"/>
      <c r="G644" s="75"/>
      <c r="H644" s="75"/>
      <c r="I644" s="75"/>
      <c r="J644" s="75"/>
      <c r="K644" s="75"/>
      <c r="L644" s="75"/>
      <c r="M644" s="75"/>
      <c r="N644" s="75"/>
      <c r="O644" s="75"/>
      <c r="P644" s="75"/>
      <c r="Q644" s="75"/>
      <c r="R644" s="75"/>
      <c r="S644" s="72"/>
    </row>
    <row r="645" spans="1:19">
      <c r="A645" s="72"/>
      <c r="B645" s="75"/>
      <c r="C645" s="75"/>
      <c r="D645" s="75"/>
      <c r="E645" s="75"/>
      <c r="F645" s="75"/>
      <c r="G645" s="75"/>
      <c r="H645" s="75"/>
      <c r="I645" s="75"/>
      <c r="J645" s="75"/>
      <c r="K645" s="75"/>
      <c r="L645" s="75"/>
      <c r="M645" s="75"/>
      <c r="N645" s="75"/>
      <c r="O645" s="75"/>
      <c r="P645" s="75"/>
      <c r="Q645" s="75"/>
      <c r="R645" s="75"/>
      <c r="S645" s="72"/>
    </row>
    <row r="646" spans="1:19">
      <c r="A646" s="72"/>
      <c r="B646" s="75"/>
      <c r="C646" s="75"/>
      <c r="D646" s="75"/>
      <c r="E646" s="75"/>
      <c r="F646" s="75"/>
      <c r="G646" s="75"/>
      <c r="H646" s="75"/>
      <c r="I646" s="75"/>
      <c r="J646" s="75"/>
      <c r="K646" s="75"/>
      <c r="L646" s="75"/>
      <c r="M646" s="75"/>
      <c r="N646" s="75"/>
      <c r="O646" s="75"/>
      <c r="P646" s="75"/>
      <c r="Q646" s="75"/>
      <c r="R646" s="75"/>
      <c r="S646" s="72"/>
    </row>
    <row r="647" spans="1:19">
      <c r="A647" s="72"/>
      <c r="B647" s="75"/>
      <c r="C647" s="75"/>
      <c r="D647" s="75"/>
      <c r="E647" s="75"/>
      <c r="F647" s="75"/>
      <c r="G647" s="75"/>
      <c r="H647" s="75"/>
      <c r="I647" s="75"/>
      <c r="J647" s="75"/>
      <c r="K647" s="75"/>
      <c r="L647" s="75"/>
      <c r="M647" s="75"/>
      <c r="N647" s="75"/>
      <c r="O647" s="75"/>
      <c r="P647" s="75"/>
      <c r="Q647" s="75"/>
      <c r="R647" s="75"/>
      <c r="S647" s="72"/>
    </row>
    <row r="648" spans="1:19">
      <c r="A648" s="72"/>
      <c r="B648" s="75"/>
      <c r="C648" s="75"/>
      <c r="D648" s="75"/>
      <c r="E648" s="75"/>
      <c r="F648" s="75"/>
      <c r="G648" s="75"/>
      <c r="H648" s="75"/>
      <c r="I648" s="75"/>
      <c r="J648" s="75"/>
      <c r="K648" s="75"/>
      <c r="L648" s="75"/>
      <c r="M648" s="75"/>
      <c r="N648" s="75"/>
      <c r="O648" s="75"/>
      <c r="P648" s="75"/>
      <c r="Q648" s="75"/>
      <c r="R648" s="75"/>
      <c r="S648" s="72"/>
    </row>
    <row r="649" spans="1:19">
      <c r="A649" s="72"/>
      <c r="B649" s="75"/>
      <c r="C649" s="75"/>
      <c r="D649" s="75"/>
      <c r="E649" s="75"/>
      <c r="F649" s="75"/>
      <c r="G649" s="75"/>
      <c r="H649" s="75"/>
      <c r="I649" s="75"/>
      <c r="J649" s="75"/>
      <c r="K649" s="75"/>
      <c r="L649" s="75"/>
      <c r="M649" s="75"/>
      <c r="N649" s="75"/>
      <c r="O649" s="75"/>
      <c r="P649" s="75"/>
      <c r="Q649" s="75"/>
      <c r="R649" s="75"/>
      <c r="S649" s="72"/>
    </row>
    <row r="650" spans="1:19">
      <c r="A650" s="72"/>
      <c r="B650" s="75"/>
      <c r="C650" s="75"/>
      <c r="D650" s="75"/>
      <c r="E650" s="75"/>
      <c r="F650" s="75"/>
      <c r="G650" s="75"/>
      <c r="H650" s="75"/>
      <c r="I650" s="75"/>
      <c r="J650" s="75"/>
      <c r="K650" s="75"/>
      <c r="L650" s="75"/>
      <c r="M650" s="75"/>
      <c r="N650" s="75"/>
      <c r="O650" s="75"/>
      <c r="P650" s="75"/>
      <c r="Q650" s="75"/>
      <c r="R650" s="75"/>
      <c r="S650" s="72"/>
    </row>
    <row r="651" spans="1:19">
      <c r="A651" s="72"/>
      <c r="B651" s="75"/>
      <c r="C651" s="75"/>
      <c r="D651" s="75"/>
      <c r="E651" s="75"/>
      <c r="F651" s="75"/>
      <c r="G651" s="75"/>
      <c r="H651" s="75"/>
      <c r="I651" s="75"/>
      <c r="J651" s="75"/>
      <c r="K651" s="75"/>
      <c r="L651" s="75"/>
      <c r="M651" s="75"/>
      <c r="N651" s="75"/>
      <c r="O651" s="75"/>
      <c r="P651" s="75"/>
      <c r="Q651" s="75"/>
      <c r="R651" s="75"/>
      <c r="S651" s="72"/>
    </row>
    <row r="652" spans="1:19">
      <c r="A652" s="72"/>
      <c r="B652" s="75"/>
      <c r="C652" s="75"/>
      <c r="D652" s="75"/>
      <c r="E652" s="75"/>
      <c r="F652" s="75"/>
      <c r="G652" s="75"/>
      <c r="H652" s="75"/>
      <c r="I652" s="75"/>
      <c r="J652" s="75"/>
      <c r="K652" s="75"/>
      <c r="L652" s="75"/>
      <c r="M652" s="75"/>
      <c r="N652" s="75"/>
      <c r="O652" s="75"/>
      <c r="P652" s="75"/>
      <c r="Q652" s="75"/>
      <c r="R652" s="75"/>
      <c r="S652" s="72"/>
    </row>
    <row r="653" spans="1:19">
      <c r="A653" s="72"/>
      <c r="B653" s="75"/>
      <c r="C653" s="75"/>
      <c r="D653" s="75"/>
      <c r="E653" s="75"/>
      <c r="F653" s="75"/>
      <c r="G653" s="75"/>
      <c r="H653" s="75"/>
      <c r="I653" s="75"/>
      <c r="J653" s="75"/>
      <c r="K653" s="75"/>
      <c r="L653" s="75"/>
      <c r="M653" s="75"/>
      <c r="N653" s="75"/>
      <c r="O653" s="75"/>
      <c r="P653" s="75"/>
      <c r="Q653" s="75"/>
      <c r="R653" s="75"/>
      <c r="S653" s="72"/>
    </row>
    <row r="654" spans="1:19">
      <c r="A654" s="72"/>
      <c r="B654" s="75"/>
      <c r="C654" s="75"/>
      <c r="D654" s="75"/>
      <c r="E654" s="75"/>
      <c r="F654" s="75"/>
      <c r="G654" s="75"/>
      <c r="H654" s="75"/>
      <c r="I654" s="75"/>
      <c r="J654" s="75"/>
      <c r="K654" s="75"/>
      <c r="L654" s="75"/>
      <c r="M654" s="75"/>
      <c r="N654" s="75"/>
      <c r="O654" s="75"/>
      <c r="P654" s="75"/>
      <c r="Q654" s="75"/>
      <c r="R654" s="75"/>
      <c r="S654" s="72"/>
    </row>
    <row r="655" spans="1:19">
      <c r="A655" s="72"/>
      <c r="B655" s="75"/>
      <c r="C655" s="75"/>
      <c r="D655" s="75"/>
      <c r="E655" s="75"/>
      <c r="F655" s="75"/>
      <c r="G655" s="75"/>
      <c r="H655" s="75"/>
      <c r="I655" s="75"/>
      <c r="J655" s="75"/>
      <c r="K655" s="75"/>
      <c r="L655" s="75"/>
      <c r="M655" s="75"/>
      <c r="N655" s="75"/>
      <c r="O655" s="75"/>
      <c r="P655" s="75"/>
      <c r="Q655" s="75"/>
      <c r="R655" s="75"/>
      <c r="S655" s="72"/>
    </row>
    <row r="656" spans="1:19">
      <c r="A656" s="72"/>
      <c r="B656" s="75"/>
      <c r="C656" s="75"/>
      <c r="D656" s="75"/>
      <c r="E656" s="75"/>
      <c r="F656" s="75"/>
      <c r="G656" s="75"/>
      <c r="H656" s="75"/>
      <c r="I656" s="75"/>
      <c r="J656" s="75"/>
      <c r="K656" s="75"/>
      <c r="L656" s="75"/>
      <c r="M656" s="75"/>
      <c r="N656" s="75"/>
      <c r="O656" s="75"/>
      <c r="P656" s="75"/>
      <c r="Q656" s="75"/>
      <c r="R656" s="75"/>
      <c r="S656" s="72"/>
    </row>
    <row r="657" spans="1:19">
      <c r="A657" s="72"/>
      <c r="B657" s="75"/>
      <c r="C657" s="75"/>
      <c r="D657" s="75"/>
      <c r="E657" s="75"/>
      <c r="F657" s="75"/>
      <c r="G657" s="75"/>
      <c r="H657" s="75"/>
      <c r="I657" s="75"/>
      <c r="J657" s="75"/>
      <c r="K657" s="75"/>
      <c r="L657" s="75"/>
      <c r="M657" s="75"/>
      <c r="N657" s="75"/>
      <c r="O657" s="75"/>
      <c r="P657" s="75"/>
      <c r="Q657" s="75"/>
      <c r="R657" s="75"/>
      <c r="S657" s="72"/>
    </row>
    <row r="658" spans="1:19">
      <c r="A658" s="72"/>
      <c r="B658" s="75"/>
      <c r="C658" s="75"/>
      <c r="D658" s="75"/>
      <c r="E658" s="75"/>
      <c r="F658" s="75"/>
      <c r="G658" s="75"/>
      <c r="H658" s="75"/>
      <c r="I658" s="75"/>
      <c r="J658" s="75"/>
      <c r="K658" s="75"/>
      <c r="L658" s="75"/>
      <c r="M658" s="75"/>
      <c r="N658" s="75"/>
      <c r="O658" s="75"/>
      <c r="P658" s="75"/>
      <c r="Q658" s="75"/>
      <c r="R658" s="75"/>
      <c r="S658" s="72"/>
    </row>
    <row r="659" spans="1:19">
      <c r="A659" s="72"/>
      <c r="B659" s="75"/>
      <c r="C659" s="75"/>
      <c r="D659" s="75"/>
      <c r="E659" s="75"/>
      <c r="F659" s="75"/>
      <c r="G659" s="75"/>
      <c r="H659" s="75"/>
      <c r="I659" s="75"/>
      <c r="J659" s="75"/>
      <c r="K659" s="75"/>
      <c r="L659" s="75"/>
      <c r="M659" s="75"/>
      <c r="N659" s="75"/>
      <c r="O659" s="75"/>
      <c r="P659" s="75"/>
      <c r="Q659" s="75"/>
      <c r="R659" s="75"/>
      <c r="S659" s="72"/>
    </row>
    <row r="660" spans="1:19">
      <c r="A660" s="72"/>
      <c r="B660" s="75"/>
      <c r="C660" s="75"/>
      <c r="D660" s="75"/>
      <c r="E660" s="75"/>
      <c r="F660" s="75"/>
      <c r="G660" s="75"/>
      <c r="H660" s="75"/>
      <c r="I660" s="75"/>
      <c r="J660" s="75"/>
      <c r="K660" s="75"/>
      <c r="L660" s="75"/>
      <c r="M660" s="75"/>
      <c r="N660" s="75"/>
      <c r="O660" s="75"/>
      <c r="P660" s="75"/>
      <c r="Q660" s="75"/>
      <c r="R660" s="75"/>
      <c r="S660" s="72"/>
    </row>
    <row r="661" spans="1:19">
      <c r="A661" s="72"/>
      <c r="B661" s="75"/>
      <c r="C661" s="75"/>
      <c r="D661" s="75"/>
      <c r="E661" s="75"/>
      <c r="F661" s="75"/>
      <c r="G661" s="75"/>
      <c r="H661" s="75"/>
      <c r="I661" s="75"/>
      <c r="J661" s="75"/>
      <c r="K661" s="75"/>
      <c r="L661" s="75"/>
      <c r="M661" s="75"/>
      <c r="N661" s="75"/>
      <c r="O661" s="75"/>
      <c r="P661" s="75"/>
      <c r="Q661" s="75"/>
      <c r="R661" s="75"/>
      <c r="S661" s="72"/>
    </row>
    <row r="662" spans="1:19">
      <c r="A662" s="72"/>
      <c r="B662" s="75"/>
      <c r="C662" s="75"/>
      <c r="D662" s="75"/>
      <c r="E662" s="75"/>
      <c r="F662" s="75"/>
      <c r="G662" s="75"/>
      <c r="H662" s="75"/>
      <c r="I662" s="75"/>
      <c r="J662" s="75"/>
      <c r="K662" s="75"/>
      <c r="L662" s="75"/>
      <c r="M662" s="75"/>
      <c r="N662" s="75"/>
      <c r="O662" s="75"/>
      <c r="P662" s="75"/>
      <c r="Q662" s="75"/>
      <c r="R662" s="75"/>
      <c r="S662" s="72"/>
    </row>
    <row r="663" spans="1:19">
      <c r="A663" s="72"/>
      <c r="B663" s="75"/>
      <c r="C663" s="75"/>
      <c r="D663" s="75"/>
      <c r="E663" s="75"/>
      <c r="F663" s="75"/>
      <c r="G663" s="75"/>
      <c r="H663" s="75"/>
      <c r="I663" s="75"/>
      <c r="J663" s="75"/>
      <c r="K663" s="75"/>
      <c r="L663" s="75"/>
      <c r="M663" s="75"/>
      <c r="N663" s="75"/>
      <c r="O663" s="75"/>
      <c r="P663" s="75"/>
      <c r="Q663" s="75"/>
      <c r="R663" s="75"/>
      <c r="S663" s="72"/>
    </row>
    <row r="664" spans="1:19">
      <c r="A664" s="72"/>
      <c r="B664" s="75"/>
      <c r="C664" s="75"/>
      <c r="D664" s="75"/>
      <c r="E664" s="75"/>
      <c r="F664" s="75"/>
      <c r="G664" s="75"/>
      <c r="H664" s="75"/>
      <c r="I664" s="75"/>
      <c r="J664" s="75"/>
      <c r="K664" s="75"/>
      <c r="L664" s="75"/>
      <c r="M664" s="75"/>
      <c r="N664" s="75"/>
      <c r="O664" s="75"/>
      <c r="P664" s="75"/>
      <c r="Q664" s="75"/>
      <c r="R664" s="75"/>
      <c r="S664" s="72"/>
    </row>
    <row r="665" spans="1:19">
      <c r="A665" s="72"/>
      <c r="B665" s="75"/>
      <c r="C665" s="75"/>
      <c r="D665" s="75"/>
      <c r="E665" s="75"/>
      <c r="F665" s="75"/>
      <c r="G665" s="75"/>
      <c r="H665" s="75"/>
      <c r="I665" s="75"/>
      <c r="J665" s="75"/>
      <c r="K665" s="75"/>
      <c r="L665" s="75"/>
      <c r="M665" s="75"/>
      <c r="N665" s="75"/>
      <c r="O665" s="75"/>
      <c r="P665" s="75"/>
      <c r="Q665" s="75"/>
      <c r="R665" s="75"/>
      <c r="S665" s="72"/>
    </row>
    <row r="666" spans="1:19">
      <c r="A666" s="72"/>
      <c r="B666" s="75"/>
      <c r="C666" s="75"/>
      <c r="D666" s="75"/>
      <c r="E666" s="75"/>
      <c r="F666" s="75"/>
      <c r="G666" s="75"/>
      <c r="H666" s="75"/>
      <c r="I666" s="75"/>
      <c r="J666" s="75"/>
      <c r="K666" s="75"/>
      <c r="L666" s="75"/>
      <c r="M666" s="75"/>
      <c r="N666" s="75"/>
      <c r="O666" s="75"/>
      <c r="P666" s="75"/>
      <c r="Q666" s="75"/>
      <c r="R666" s="75"/>
      <c r="S666" s="72"/>
    </row>
    <row r="667" spans="1:19">
      <c r="A667" s="72"/>
      <c r="B667" s="75"/>
      <c r="C667" s="75"/>
      <c r="D667" s="75"/>
      <c r="E667" s="75"/>
      <c r="F667" s="75"/>
      <c r="G667" s="75"/>
      <c r="H667" s="75"/>
      <c r="I667" s="75"/>
      <c r="J667" s="75"/>
      <c r="K667" s="75"/>
      <c r="L667" s="75"/>
      <c r="M667" s="75"/>
      <c r="N667" s="75"/>
      <c r="O667" s="75"/>
      <c r="P667" s="75"/>
      <c r="Q667" s="75"/>
      <c r="R667" s="75"/>
      <c r="S667" s="72"/>
    </row>
    <row r="668" spans="1:19">
      <c r="A668" s="72"/>
      <c r="B668" s="75"/>
      <c r="C668" s="75"/>
      <c r="D668" s="75"/>
      <c r="E668" s="75"/>
      <c r="F668" s="75"/>
      <c r="G668" s="75"/>
      <c r="H668" s="75"/>
      <c r="I668" s="75"/>
      <c r="J668" s="75"/>
      <c r="K668" s="75"/>
      <c r="L668" s="75"/>
      <c r="M668" s="75"/>
      <c r="N668" s="75"/>
      <c r="O668" s="75"/>
      <c r="P668" s="75"/>
      <c r="Q668" s="75"/>
      <c r="R668" s="75"/>
      <c r="S668" s="72"/>
    </row>
    <row r="669" spans="1:19">
      <c r="A669" s="72"/>
      <c r="B669" s="75"/>
      <c r="C669" s="75"/>
      <c r="D669" s="75"/>
      <c r="E669" s="75"/>
      <c r="F669" s="75"/>
      <c r="G669" s="75"/>
      <c r="H669" s="75"/>
      <c r="I669" s="75"/>
      <c r="J669" s="75"/>
      <c r="K669" s="75"/>
      <c r="L669" s="75"/>
      <c r="M669" s="75"/>
      <c r="N669" s="75"/>
      <c r="O669" s="75"/>
      <c r="P669" s="75"/>
      <c r="Q669" s="75"/>
      <c r="R669" s="75"/>
      <c r="S669" s="72"/>
    </row>
    <row r="670" spans="1:19">
      <c r="A670" s="72"/>
      <c r="B670" s="75"/>
      <c r="C670" s="75"/>
      <c r="D670" s="75"/>
      <c r="E670" s="75"/>
      <c r="F670" s="75"/>
      <c r="G670" s="75"/>
      <c r="H670" s="75"/>
      <c r="I670" s="75"/>
      <c r="J670" s="75"/>
      <c r="K670" s="75"/>
      <c r="L670" s="75"/>
      <c r="M670" s="75"/>
      <c r="N670" s="75"/>
      <c r="O670" s="75"/>
      <c r="P670" s="75"/>
      <c r="Q670" s="75"/>
      <c r="R670" s="75"/>
      <c r="S670" s="72"/>
    </row>
    <row r="671" spans="1:19">
      <c r="A671" s="72"/>
      <c r="B671" s="75"/>
      <c r="C671" s="75"/>
      <c r="D671" s="75"/>
      <c r="E671" s="75"/>
      <c r="F671" s="75"/>
      <c r="G671" s="75"/>
      <c r="H671" s="75"/>
      <c r="I671" s="75"/>
      <c r="J671" s="75"/>
      <c r="K671" s="75"/>
      <c r="L671" s="75"/>
      <c r="M671" s="75"/>
      <c r="N671" s="75"/>
      <c r="O671" s="75"/>
      <c r="P671" s="75"/>
      <c r="Q671" s="75"/>
      <c r="R671" s="75"/>
      <c r="S671" s="72"/>
    </row>
    <row r="672" spans="1:19">
      <c r="A672" s="72"/>
      <c r="B672" s="75"/>
      <c r="C672" s="75"/>
      <c r="D672" s="75"/>
      <c r="E672" s="75"/>
      <c r="F672" s="75"/>
      <c r="G672" s="75"/>
      <c r="H672" s="75"/>
      <c r="I672" s="75"/>
      <c r="J672" s="75"/>
      <c r="K672" s="75"/>
      <c r="L672" s="75"/>
      <c r="M672" s="75"/>
      <c r="N672" s="75"/>
      <c r="O672" s="75"/>
      <c r="P672" s="75"/>
      <c r="Q672" s="75"/>
      <c r="R672" s="75"/>
      <c r="S672" s="72"/>
    </row>
    <row r="673" spans="1:19">
      <c r="A673" s="72"/>
      <c r="B673" s="75"/>
      <c r="C673" s="75"/>
      <c r="D673" s="75"/>
      <c r="E673" s="75"/>
      <c r="F673" s="75"/>
      <c r="G673" s="75"/>
      <c r="H673" s="75"/>
      <c r="I673" s="75"/>
      <c r="J673" s="75"/>
      <c r="K673" s="75"/>
      <c r="L673" s="75"/>
      <c r="M673" s="75"/>
      <c r="N673" s="75"/>
      <c r="O673" s="75"/>
      <c r="P673" s="75"/>
      <c r="Q673" s="75"/>
      <c r="R673" s="75"/>
      <c r="S673" s="72"/>
    </row>
    <row r="674" spans="1:19">
      <c r="A674" s="72"/>
      <c r="B674" s="75"/>
      <c r="C674" s="75"/>
      <c r="D674" s="75"/>
      <c r="E674" s="75"/>
      <c r="F674" s="75"/>
      <c r="G674" s="75"/>
      <c r="H674" s="75"/>
      <c r="I674" s="75"/>
      <c r="J674" s="75"/>
      <c r="K674" s="75"/>
      <c r="L674" s="75"/>
      <c r="M674" s="75"/>
      <c r="N674" s="75"/>
      <c r="O674" s="75"/>
      <c r="P674" s="75"/>
      <c r="Q674" s="75"/>
      <c r="R674" s="75"/>
      <c r="S674" s="72"/>
    </row>
    <row r="675" spans="1:19">
      <c r="A675" s="72"/>
      <c r="B675" s="75"/>
      <c r="C675" s="75"/>
      <c r="D675" s="75"/>
      <c r="E675" s="75"/>
      <c r="F675" s="75"/>
      <c r="G675" s="75"/>
      <c r="H675" s="75"/>
      <c r="I675" s="75"/>
      <c r="J675" s="75"/>
      <c r="K675" s="75"/>
      <c r="L675" s="75"/>
      <c r="M675" s="75"/>
      <c r="N675" s="75"/>
      <c r="O675" s="75"/>
      <c r="P675" s="75"/>
      <c r="Q675" s="75"/>
      <c r="R675" s="75"/>
      <c r="S675" s="72"/>
    </row>
    <row r="676" spans="1:19">
      <c r="A676" s="72"/>
      <c r="B676" s="75"/>
      <c r="C676" s="75"/>
      <c r="D676" s="75"/>
      <c r="E676" s="75"/>
      <c r="F676" s="75"/>
      <c r="G676" s="75"/>
      <c r="H676" s="75"/>
      <c r="I676" s="75"/>
      <c r="J676" s="75"/>
      <c r="K676" s="75"/>
      <c r="L676" s="75"/>
      <c r="M676" s="75"/>
      <c r="N676" s="75"/>
      <c r="O676" s="75"/>
      <c r="P676" s="75"/>
      <c r="Q676" s="75"/>
      <c r="R676" s="75"/>
      <c r="S676" s="72"/>
    </row>
    <row r="677" spans="1:19">
      <c r="A677" s="72"/>
      <c r="B677" s="75"/>
      <c r="C677" s="75"/>
      <c r="D677" s="75"/>
      <c r="E677" s="75"/>
      <c r="F677" s="75"/>
      <c r="G677" s="75"/>
      <c r="H677" s="75"/>
      <c r="I677" s="75"/>
      <c r="J677" s="75"/>
      <c r="K677" s="75"/>
      <c r="L677" s="75"/>
      <c r="M677" s="75"/>
      <c r="N677" s="75"/>
      <c r="O677" s="75"/>
      <c r="P677" s="75"/>
      <c r="Q677" s="75"/>
      <c r="R677" s="75"/>
      <c r="S677" s="72"/>
    </row>
    <row r="678" spans="1:19">
      <c r="A678" s="72"/>
      <c r="B678" s="75"/>
      <c r="C678" s="75"/>
      <c r="D678" s="75"/>
      <c r="E678" s="75"/>
      <c r="F678" s="75"/>
      <c r="G678" s="75"/>
      <c r="H678" s="75"/>
      <c r="I678" s="75"/>
      <c r="J678" s="75"/>
      <c r="K678" s="75"/>
      <c r="L678" s="75"/>
      <c r="M678" s="75"/>
      <c r="N678" s="75"/>
      <c r="O678" s="75"/>
      <c r="P678" s="75"/>
      <c r="Q678" s="75"/>
      <c r="R678" s="75"/>
      <c r="S678" s="72"/>
    </row>
    <row r="679" spans="1:19">
      <c r="A679" s="72"/>
      <c r="B679" s="75"/>
      <c r="C679" s="75"/>
      <c r="D679" s="75"/>
      <c r="E679" s="75"/>
      <c r="F679" s="75"/>
      <c r="G679" s="75"/>
      <c r="H679" s="75"/>
      <c r="I679" s="75"/>
      <c r="J679" s="75"/>
      <c r="K679" s="75"/>
      <c r="L679" s="75"/>
      <c r="M679" s="75"/>
      <c r="N679" s="75"/>
      <c r="O679" s="75"/>
      <c r="P679" s="75"/>
      <c r="Q679" s="75"/>
      <c r="R679" s="75"/>
      <c r="S679" s="72"/>
    </row>
    <row r="680" spans="1:19">
      <c r="A680" s="72"/>
      <c r="B680" s="75"/>
      <c r="C680" s="75"/>
      <c r="D680" s="75"/>
      <c r="E680" s="75"/>
      <c r="F680" s="75"/>
      <c r="G680" s="75"/>
      <c r="H680" s="75"/>
      <c r="I680" s="75"/>
      <c r="J680" s="75"/>
      <c r="K680" s="75"/>
      <c r="L680" s="75"/>
      <c r="M680" s="75"/>
      <c r="N680" s="75"/>
      <c r="O680" s="75"/>
      <c r="P680" s="75"/>
      <c r="Q680" s="75"/>
      <c r="R680" s="75"/>
      <c r="S680" s="72"/>
    </row>
    <row r="681" spans="1:19">
      <c r="A681" s="72"/>
      <c r="B681" s="75"/>
      <c r="C681" s="75"/>
      <c r="D681" s="75"/>
      <c r="E681" s="75"/>
      <c r="F681" s="75"/>
      <c r="G681" s="75"/>
      <c r="H681" s="75"/>
      <c r="I681" s="75"/>
      <c r="J681" s="75"/>
      <c r="K681" s="75"/>
      <c r="L681" s="75"/>
      <c r="M681" s="75"/>
      <c r="N681" s="75"/>
      <c r="O681" s="75"/>
      <c r="P681" s="75"/>
      <c r="Q681" s="75"/>
      <c r="R681" s="75"/>
      <c r="S681" s="72"/>
    </row>
    <row r="682" spans="1:19">
      <c r="A682" s="72"/>
      <c r="B682" s="75"/>
      <c r="C682" s="75"/>
      <c r="D682" s="75"/>
      <c r="E682" s="75"/>
      <c r="F682" s="75"/>
      <c r="G682" s="75"/>
      <c r="H682" s="75"/>
      <c r="I682" s="75"/>
      <c r="J682" s="75"/>
      <c r="K682" s="75"/>
      <c r="L682" s="75"/>
      <c r="M682" s="75"/>
      <c r="N682" s="75"/>
      <c r="O682" s="75"/>
      <c r="P682" s="75"/>
      <c r="Q682" s="75"/>
      <c r="R682" s="75"/>
      <c r="S682" s="72"/>
    </row>
  </sheetData>
  <sheetProtection password="C66D" sheet="1" formatCells="0" formatColumns="0" formatRows="0" objects="1" scenarios="1"/>
  <mergeCells count="2">
    <mergeCell ref="C1:S1"/>
    <mergeCell ref="C22:Q22"/>
  </mergeCells>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63"/>
  <sheetViews>
    <sheetView workbookViewId="0">
      <selection activeCell="E13" sqref="E13"/>
    </sheetView>
  </sheetViews>
  <sheetFormatPr defaultColWidth="9" defaultRowHeight="13.5"/>
  <cols>
    <col min="1" max="1" width="4.90833333333333" style="9" customWidth="1"/>
    <col min="2" max="2" width="13.2666666666667" style="10" customWidth="1"/>
    <col min="3" max="3" width="15.6333333333333" style="10" customWidth="1"/>
    <col min="4" max="4" width="9.36666666666667" style="10" customWidth="1"/>
    <col min="5" max="5" width="13.45" style="10" customWidth="1"/>
    <col min="6" max="6" width="9" style="10"/>
    <col min="7" max="7" width="9.36666666666667" style="10" customWidth="1"/>
    <col min="8" max="9" width="9" style="10"/>
    <col min="10" max="10" width="9.36666666666667" style="10" customWidth="1"/>
    <col min="11" max="11" width="4" style="9" customWidth="1"/>
    <col min="12" max="12" width="5.09166666666667" style="10" customWidth="1"/>
    <col min="13" max="13" width="13.725" style="10" customWidth="1"/>
    <col min="14" max="256" width="9" style="10"/>
    <col min="257" max="257" width="4.90833333333333" style="11" customWidth="1"/>
    <col min="258" max="258" width="13.2666666666667" style="11" customWidth="1"/>
    <col min="259" max="259" width="15.6333333333333" style="11" customWidth="1"/>
    <col min="260" max="260" width="9.36666666666667" style="11" customWidth="1"/>
    <col min="261" max="261" width="13.45" style="11" customWidth="1"/>
    <col min="262" max="262" width="9" style="11"/>
    <col min="263" max="263" width="9.36666666666667" style="11" customWidth="1"/>
    <col min="264" max="265" width="9" style="11"/>
    <col min="266" max="266" width="9.36666666666667" style="11" customWidth="1"/>
    <col min="267" max="267" width="4" style="11" customWidth="1"/>
    <col min="268" max="268" width="5.09166666666667" style="11" customWidth="1"/>
    <col min="269" max="269" width="13.725" style="11" customWidth="1"/>
    <col min="270" max="512" width="9" style="11"/>
    <col min="513" max="513" width="4.90833333333333" style="11" customWidth="1"/>
    <col min="514" max="514" width="13.2666666666667" style="11" customWidth="1"/>
    <col min="515" max="515" width="15.6333333333333" style="11" customWidth="1"/>
    <col min="516" max="516" width="9.36666666666667" style="11" customWidth="1"/>
    <col min="517" max="517" width="13.45" style="11" customWidth="1"/>
    <col min="518" max="518" width="9" style="11"/>
    <col min="519" max="519" width="9.36666666666667" style="11" customWidth="1"/>
    <col min="520" max="521" width="9" style="11"/>
    <col min="522" max="522" width="9.36666666666667" style="11" customWidth="1"/>
    <col min="523" max="523" width="4" style="11" customWidth="1"/>
    <col min="524" max="524" width="5.09166666666667" style="11" customWidth="1"/>
    <col min="525" max="525" width="13.725" style="11" customWidth="1"/>
    <col min="526" max="768" width="9" style="11"/>
    <col min="769" max="769" width="4.90833333333333" style="11" customWidth="1"/>
    <col min="770" max="770" width="13.2666666666667" style="11" customWidth="1"/>
    <col min="771" max="771" width="15.6333333333333" style="11" customWidth="1"/>
    <col min="772" max="772" width="9.36666666666667" style="11" customWidth="1"/>
    <col min="773" max="773" width="13.45" style="11" customWidth="1"/>
    <col min="774" max="774" width="9" style="11"/>
    <col min="775" max="775" width="9.36666666666667" style="11" customWidth="1"/>
    <col min="776" max="777" width="9" style="11"/>
    <col min="778" max="778" width="9.36666666666667" style="11" customWidth="1"/>
    <col min="779" max="779" width="4" style="11" customWidth="1"/>
    <col min="780" max="780" width="5.09166666666667" style="11" customWidth="1"/>
    <col min="781" max="781" width="13.725" style="11" customWidth="1"/>
    <col min="782" max="1024" width="9" style="11"/>
    <col min="1025" max="1025" width="4.90833333333333" style="11" customWidth="1"/>
    <col min="1026" max="1026" width="13.2666666666667" style="11" customWidth="1"/>
    <col min="1027" max="1027" width="15.6333333333333" style="11" customWidth="1"/>
    <col min="1028" max="1028" width="9.36666666666667" style="11" customWidth="1"/>
    <col min="1029" max="1029" width="13.45" style="11" customWidth="1"/>
    <col min="1030" max="1030" width="9" style="11"/>
    <col min="1031" max="1031" width="9.36666666666667" style="11" customWidth="1"/>
    <col min="1032" max="1033" width="9" style="11"/>
    <col min="1034" max="1034" width="9.36666666666667" style="11" customWidth="1"/>
    <col min="1035" max="1035" width="4" style="11" customWidth="1"/>
    <col min="1036" max="1036" width="5.09166666666667" style="11" customWidth="1"/>
    <col min="1037" max="1037" width="13.725" style="11" customWidth="1"/>
    <col min="1038" max="1280" width="9" style="11"/>
    <col min="1281" max="1281" width="4.90833333333333" style="11" customWidth="1"/>
    <col min="1282" max="1282" width="13.2666666666667" style="11" customWidth="1"/>
    <col min="1283" max="1283" width="15.6333333333333" style="11" customWidth="1"/>
    <col min="1284" max="1284" width="9.36666666666667" style="11" customWidth="1"/>
    <col min="1285" max="1285" width="13.45" style="11" customWidth="1"/>
    <col min="1286" max="1286" width="9" style="11"/>
    <col min="1287" max="1287" width="9.36666666666667" style="11" customWidth="1"/>
    <col min="1288" max="1289" width="9" style="11"/>
    <col min="1290" max="1290" width="9.36666666666667" style="11" customWidth="1"/>
    <col min="1291" max="1291" width="4" style="11" customWidth="1"/>
    <col min="1292" max="1292" width="5.09166666666667" style="11" customWidth="1"/>
    <col min="1293" max="1293" width="13.725" style="11" customWidth="1"/>
    <col min="1294" max="1536" width="9" style="11"/>
    <col min="1537" max="1537" width="4.90833333333333" style="11" customWidth="1"/>
    <col min="1538" max="1538" width="13.2666666666667" style="11" customWidth="1"/>
    <col min="1539" max="1539" width="15.6333333333333" style="11" customWidth="1"/>
    <col min="1540" max="1540" width="9.36666666666667" style="11" customWidth="1"/>
    <col min="1541" max="1541" width="13.45" style="11" customWidth="1"/>
    <col min="1542" max="1542" width="9" style="11"/>
    <col min="1543" max="1543" width="9.36666666666667" style="11" customWidth="1"/>
    <col min="1544" max="1545" width="9" style="11"/>
    <col min="1546" max="1546" width="9.36666666666667" style="11" customWidth="1"/>
    <col min="1547" max="1547" width="4" style="11" customWidth="1"/>
    <col min="1548" max="1548" width="5.09166666666667" style="11" customWidth="1"/>
    <col min="1549" max="1549" width="13.725" style="11" customWidth="1"/>
    <col min="1550" max="1792" width="9" style="11"/>
    <col min="1793" max="1793" width="4.90833333333333" style="11" customWidth="1"/>
    <col min="1794" max="1794" width="13.2666666666667" style="11" customWidth="1"/>
    <col min="1795" max="1795" width="15.6333333333333" style="11" customWidth="1"/>
    <col min="1796" max="1796" width="9.36666666666667" style="11" customWidth="1"/>
    <col min="1797" max="1797" width="13.45" style="11" customWidth="1"/>
    <col min="1798" max="1798" width="9" style="11"/>
    <col min="1799" max="1799" width="9.36666666666667" style="11" customWidth="1"/>
    <col min="1800" max="1801" width="9" style="11"/>
    <col min="1802" max="1802" width="9.36666666666667" style="11" customWidth="1"/>
    <col min="1803" max="1803" width="4" style="11" customWidth="1"/>
    <col min="1804" max="1804" width="5.09166666666667" style="11" customWidth="1"/>
    <col min="1805" max="1805" width="13.725" style="11" customWidth="1"/>
    <col min="1806" max="2048" width="9" style="11"/>
    <col min="2049" max="2049" width="4.90833333333333" style="11" customWidth="1"/>
    <col min="2050" max="2050" width="13.2666666666667" style="11" customWidth="1"/>
    <col min="2051" max="2051" width="15.6333333333333" style="11" customWidth="1"/>
    <col min="2052" max="2052" width="9.36666666666667" style="11" customWidth="1"/>
    <col min="2053" max="2053" width="13.45" style="11" customWidth="1"/>
    <col min="2054" max="2054" width="9" style="11"/>
    <col min="2055" max="2055" width="9.36666666666667" style="11" customWidth="1"/>
    <col min="2056" max="2057" width="9" style="11"/>
    <col min="2058" max="2058" width="9.36666666666667" style="11" customWidth="1"/>
    <col min="2059" max="2059" width="4" style="11" customWidth="1"/>
    <col min="2060" max="2060" width="5.09166666666667" style="11" customWidth="1"/>
    <col min="2061" max="2061" width="13.725" style="11" customWidth="1"/>
    <col min="2062" max="2304" width="9" style="11"/>
    <col min="2305" max="2305" width="4.90833333333333" style="11" customWidth="1"/>
    <col min="2306" max="2306" width="13.2666666666667" style="11" customWidth="1"/>
    <col min="2307" max="2307" width="15.6333333333333" style="11" customWidth="1"/>
    <col min="2308" max="2308" width="9.36666666666667" style="11" customWidth="1"/>
    <col min="2309" max="2309" width="13.45" style="11" customWidth="1"/>
    <col min="2310" max="2310" width="9" style="11"/>
    <col min="2311" max="2311" width="9.36666666666667" style="11" customWidth="1"/>
    <col min="2312" max="2313" width="9" style="11"/>
    <col min="2314" max="2314" width="9.36666666666667" style="11" customWidth="1"/>
    <col min="2315" max="2315" width="4" style="11" customWidth="1"/>
    <col min="2316" max="2316" width="5.09166666666667" style="11" customWidth="1"/>
    <col min="2317" max="2317" width="13.725" style="11" customWidth="1"/>
    <col min="2318" max="2560" width="9" style="11"/>
    <col min="2561" max="2561" width="4.90833333333333" style="11" customWidth="1"/>
    <col min="2562" max="2562" width="13.2666666666667" style="11" customWidth="1"/>
    <col min="2563" max="2563" width="15.6333333333333" style="11" customWidth="1"/>
    <col min="2564" max="2564" width="9.36666666666667" style="11" customWidth="1"/>
    <col min="2565" max="2565" width="13.45" style="11" customWidth="1"/>
    <col min="2566" max="2566" width="9" style="11"/>
    <col min="2567" max="2567" width="9.36666666666667" style="11" customWidth="1"/>
    <col min="2568" max="2569" width="9" style="11"/>
    <col min="2570" max="2570" width="9.36666666666667" style="11" customWidth="1"/>
    <col min="2571" max="2571" width="4" style="11" customWidth="1"/>
    <col min="2572" max="2572" width="5.09166666666667" style="11" customWidth="1"/>
    <col min="2573" max="2573" width="13.725" style="11" customWidth="1"/>
    <col min="2574" max="2816" width="9" style="11"/>
    <col min="2817" max="2817" width="4.90833333333333" style="11" customWidth="1"/>
    <col min="2818" max="2818" width="13.2666666666667" style="11" customWidth="1"/>
    <col min="2819" max="2819" width="15.6333333333333" style="11" customWidth="1"/>
    <col min="2820" max="2820" width="9.36666666666667" style="11" customWidth="1"/>
    <col min="2821" max="2821" width="13.45" style="11" customWidth="1"/>
    <col min="2822" max="2822" width="9" style="11"/>
    <col min="2823" max="2823" width="9.36666666666667" style="11" customWidth="1"/>
    <col min="2824" max="2825" width="9" style="11"/>
    <col min="2826" max="2826" width="9.36666666666667" style="11" customWidth="1"/>
    <col min="2827" max="2827" width="4" style="11" customWidth="1"/>
    <col min="2828" max="2828" width="5.09166666666667" style="11" customWidth="1"/>
    <col min="2829" max="2829" width="13.725" style="11" customWidth="1"/>
    <col min="2830" max="3072" width="9" style="11"/>
    <col min="3073" max="3073" width="4.90833333333333" style="11" customWidth="1"/>
    <col min="3074" max="3074" width="13.2666666666667" style="11" customWidth="1"/>
    <col min="3075" max="3075" width="15.6333333333333" style="11" customWidth="1"/>
    <col min="3076" max="3076" width="9.36666666666667" style="11" customWidth="1"/>
    <col min="3077" max="3077" width="13.45" style="11" customWidth="1"/>
    <col min="3078" max="3078" width="9" style="11"/>
    <col min="3079" max="3079" width="9.36666666666667" style="11" customWidth="1"/>
    <col min="3080" max="3081" width="9" style="11"/>
    <col min="3082" max="3082" width="9.36666666666667" style="11" customWidth="1"/>
    <col min="3083" max="3083" width="4" style="11" customWidth="1"/>
    <col min="3084" max="3084" width="5.09166666666667" style="11" customWidth="1"/>
    <col min="3085" max="3085" width="13.725" style="11" customWidth="1"/>
    <col min="3086" max="3328" width="9" style="11"/>
    <col min="3329" max="3329" width="4.90833333333333" style="11" customWidth="1"/>
    <col min="3330" max="3330" width="13.2666666666667" style="11" customWidth="1"/>
    <col min="3331" max="3331" width="15.6333333333333" style="11" customWidth="1"/>
    <col min="3332" max="3332" width="9.36666666666667" style="11" customWidth="1"/>
    <col min="3333" max="3333" width="13.45" style="11" customWidth="1"/>
    <col min="3334" max="3334" width="9" style="11"/>
    <col min="3335" max="3335" width="9.36666666666667" style="11" customWidth="1"/>
    <col min="3336" max="3337" width="9" style="11"/>
    <col min="3338" max="3338" width="9.36666666666667" style="11" customWidth="1"/>
    <col min="3339" max="3339" width="4" style="11" customWidth="1"/>
    <col min="3340" max="3340" width="5.09166666666667" style="11" customWidth="1"/>
    <col min="3341" max="3341" width="13.725" style="11" customWidth="1"/>
    <col min="3342" max="3584" width="9" style="11"/>
    <col min="3585" max="3585" width="4.90833333333333" style="11" customWidth="1"/>
    <col min="3586" max="3586" width="13.2666666666667" style="11" customWidth="1"/>
    <col min="3587" max="3587" width="15.6333333333333" style="11" customWidth="1"/>
    <col min="3588" max="3588" width="9.36666666666667" style="11" customWidth="1"/>
    <col min="3589" max="3589" width="13.45" style="11" customWidth="1"/>
    <col min="3590" max="3590" width="9" style="11"/>
    <col min="3591" max="3591" width="9.36666666666667" style="11" customWidth="1"/>
    <col min="3592" max="3593" width="9" style="11"/>
    <col min="3594" max="3594" width="9.36666666666667" style="11" customWidth="1"/>
    <col min="3595" max="3595" width="4" style="11" customWidth="1"/>
    <col min="3596" max="3596" width="5.09166666666667" style="11" customWidth="1"/>
    <col min="3597" max="3597" width="13.725" style="11" customWidth="1"/>
    <col min="3598" max="3840" width="9" style="11"/>
    <col min="3841" max="3841" width="4.90833333333333" style="11" customWidth="1"/>
    <col min="3842" max="3842" width="13.2666666666667" style="11" customWidth="1"/>
    <col min="3843" max="3843" width="15.6333333333333" style="11" customWidth="1"/>
    <col min="3844" max="3844" width="9.36666666666667" style="11" customWidth="1"/>
    <col min="3845" max="3845" width="13.45" style="11" customWidth="1"/>
    <col min="3846" max="3846" width="9" style="11"/>
    <col min="3847" max="3847" width="9.36666666666667" style="11" customWidth="1"/>
    <col min="3848" max="3849" width="9" style="11"/>
    <col min="3850" max="3850" width="9.36666666666667" style="11" customWidth="1"/>
    <col min="3851" max="3851" width="4" style="11" customWidth="1"/>
    <col min="3852" max="3852" width="5.09166666666667" style="11" customWidth="1"/>
    <col min="3853" max="3853" width="13.725" style="11" customWidth="1"/>
    <col min="3854" max="4096" width="9" style="11"/>
    <col min="4097" max="4097" width="4.90833333333333" style="11" customWidth="1"/>
    <col min="4098" max="4098" width="13.2666666666667" style="11" customWidth="1"/>
    <col min="4099" max="4099" width="15.6333333333333" style="11" customWidth="1"/>
    <col min="4100" max="4100" width="9.36666666666667" style="11" customWidth="1"/>
    <col min="4101" max="4101" width="13.45" style="11" customWidth="1"/>
    <col min="4102" max="4102" width="9" style="11"/>
    <col min="4103" max="4103" width="9.36666666666667" style="11" customWidth="1"/>
    <col min="4104" max="4105" width="9" style="11"/>
    <col min="4106" max="4106" width="9.36666666666667" style="11" customWidth="1"/>
    <col min="4107" max="4107" width="4" style="11" customWidth="1"/>
    <col min="4108" max="4108" width="5.09166666666667" style="11" customWidth="1"/>
    <col min="4109" max="4109" width="13.725" style="11" customWidth="1"/>
    <col min="4110" max="4352" width="9" style="11"/>
    <col min="4353" max="4353" width="4.90833333333333" style="11" customWidth="1"/>
    <col min="4354" max="4354" width="13.2666666666667" style="11" customWidth="1"/>
    <col min="4355" max="4355" width="15.6333333333333" style="11" customWidth="1"/>
    <col min="4356" max="4356" width="9.36666666666667" style="11" customWidth="1"/>
    <col min="4357" max="4357" width="13.45" style="11" customWidth="1"/>
    <col min="4358" max="4358" width="9" style="11"/>
    <col min="4359" max="4359" width="9.36666666666667" style="11" customWidth="1"/>
    <col min="4360" max="4361" width="9" style="11"/>
    <col min="4362" max="4362" width="9.36666666666667" style="11" customWidth="1"/>
    <col min="4363" max="4363" width="4" style="11" customWidth="1"/>
    <col min="4364" max="4364" width="5.09166666666667" style="11" customWidth="1"/>
    <col min="4365" max="4365" width="13.725" style="11" customWidth="1"/>
    <col min="4366" max="4608" width="9" style="11"/>
    <col min="4609" max="4609" width="4.90833333333333" style="11" customWidth="1"/>
    <col min="4610" max="4610" width="13.2666666666667" style="11" customWidth="1"/>
    <col min="4611" max="4611" width="15.6333333333333" style="11" customWidth="1"/>
    <col min="4612" max="4612" width="9.36666666666667" style="11" customWidth="1"/>
    <col min="4613" max="4613" width="13.45" style="11" customWidth="1"/>
    <col min="4614" max="4614" width="9" style="11"/>
    <col min="4615" max="4615" width="9.36666666666667" style="11" customWidth="1"/>
    <col min="4616" max="4617" width="9" style="11"/>
    <col min="4618" max="4618" width="9.36666666666667" style="11" customWidth="1"/>
    <col min="4619" max="4619" width="4" style="11" customWidth="1"/>
    <col min="4620" max="4620" width="5.09166666666667" style="11" customWidth="1"/>
    <col min="4621" max="4621" width="13.725" style="11" customWidth="1"/>
    <col min="4622" max="4864" width="9" style="11"/>
    <col min="4865" max="4865" width="4.90833333333333" style="11" customWidth="1"/>
    <col min="4866" max="4866" width="13.2666666666667" style="11" customWidth="1"/>
    <col min="4867" max="4867" width="15.6333333333333" style="11" customWidth="1"/>
    <col min="4868" max="4868" width="9.36666666666667" style="11" customWidth="1"/>
    <col min="4869" max="4869" width="13.45" style="11" customWidth="1"/>
    <col min="4870" max="4870" width="9" style="11"/>
    <col min="4871" max="4871" width="9.36666666666667" style="11" customWidth="1"/>
    <col min="4872" max="4873" width="9" style="11"/>
    <col min="4874" max="4874" width="9.36666666666667" style="11" customWidth="1"/>
    <col min="4875" max="4875" width="4" style="11" customWidth="1"/>
    <col min="4876" max="4876" width="5.09166666666667" style="11" customWidth="1"/>
    <col min="4877" max="4877" width="13.725" style="11" customWidth="1"/>
    <col min="4878" max="5120" width="9" style="11"/>
    <col min="5121" max="5121" width="4.90833333333333" style="11" customWidth="1"/>
    <col min="5122" max="5122" width="13.2666666666667" style="11" customWidth="1"/>
    <col min="5123" max="5123" width="15.6333333333333" style="11" customWidth="1"/>
    <col min="5124" max="5124" width="9.36666666666667" style="11" customWidth="1"/>
    <col min="5125" max="5125" width="13.45" style="11" customWidth="1"/>
    <col min="5126" max="5126" width="9" style="11"/>
    <col min="5127" max="5127" width="9.36666666666667" style="11" customWidth="1"/>
    <col min="5128" max="5129" width="9" style="11"/>
    <col min="5130" max="5130" width="9.36666666666667" style="11" customWidth="1"/>
    <col min="5131" max="5131" width="4" style="11" customWidth="1"/>
    <col min="5132" max="5132" width="5.09166666666667" style="11" customWidth="1"/>
    <col min="5133" max="5133" width="13.725" style="11" customWidth="1"/>
    <col min="5134" max="5376" width="9" style="11"/>
    <col min="5377" max="5377" width="4.90833333333333" style="11" customWidth="1"/>
    <col min="5378" max="5378" width="13.2666666666667" style="11" customWidth="1"/>
    <col min="5379" max="5379" width="15.6333333333333" style="11" customWidth="1"/>
    <col min="5380" max="5380" width="9.36666666666667" style="11" customWidth="1"/>
    <col min="5381" max="5381" width="13.45" style="11" customWidth="1"/>
    <col min="5382" max="5382" width="9" style="11"/>
    <col min="5383" max="5383" width="9.36666666666667" style="11" customWidth="1"/>
    <col min="5384" max="5385" width="9" style="11"/>
    <col min="5386" max="5386" width="9.36666666666667" style="11" customWidth="1"/>
    <col min="5387" max="5387" width="4" style="11" customWidth="1"/>
    <col min="5388" max="5388" width="5.09166666666667" style="11" customWidth="1"/>
    <col min="5389" max="5389" width="13.725" style="11" customWidth="1"/>
    <col min="5390" max="5632" width="9" style="11"/>
    <col min="5633" max="5633" width="4.90833333333333" style="11" customWidth="1"/>
    <col min="5634" max="5634" width="13.2666666666667" style="11" customWidth="1"/>
    <col min="5635" max="5635" width="15.6333333333333" style="11" customWidth="1"/>
    <col min="5636" max="5636" width="9.36666666666667" style="11" customWidth="1"/>
    <col min="5637" max="5637" width="13.45" style="11" customWidth="1"/>
    <col min="5638" max="5638" width="9" style="11"/>
    <col min="5639" max="5639" width="9.36666666666667" style="11" customWidth="1"/>
    <col min="5640" max="5641" width="9" style="11"/>
    <col min="5642" max="5642" width="9.36666666666667" style="11" customWidth="1"/>
    <col min="5643" max="5643" width="4" style="11" customWidth="1"/>
    <col min="5644" max="5644" width="5.09166666666667" style="11" customWidth="1"/>
    <col min="5645" max="5645" width="13.725" style="11" customWidth="1"/>
    <col min="5646" max="5888" width="9" style="11"/>
    <col min="5889" max="5889" width="4.90833333333333" style="11" customWidth="1"/>
    <col min="5890" max="5890" width="13.2666666666667" style="11" customWidth="1"/>
    <col min="5891" max="5891" width="15.6333333333333" style="11" customWidth="1"/>
    <col min="5892" max="5892" width="9.36666666666667" style="11" customWidth="1"/>
    <col min="5893" max="5893" width="13.45" style="11" customWidth="1"/>
    <col min="5894" max="5894" width="9" style="11"/>
    <col min="5895" max="5895" width="9.36666666666667" style="11" customWidth="1"/>
    <col min="5896" max="5897" width="9" style="11"/>
    <col min="5898" max="5898" width="9.36666666666667" style="11" customWidth="1"/>
    <col min="5899" max="5899" width="4" style="11" customWidth="1"/>
    <col min="5900" max="5900" width="5.09166666666667" style="11" customWidth="1"/>
    <col min="5901" max="5901" width="13.725" style="11" customWidth="1"/>
    <col min="5902" max="6144" width="9" style="11"/>
    <col min="6145" max="6145" width="4.90833333333333" style="11" customWidth="1"/>
    <col min="6146" max="6146" width="13.2666666666667" style="11" customWidth="1"/>
    <col min="6147" max="6147" width="15.6333333333333" style="11" customWidth="1"/>
    <col min="6148" max="6148" width="9.36666666666667" style="11" customWidth="1"/>
    <col min="6149" max="6149" width="13.45" style="11" customWidth="1"/>
    <col min="6150" max="6150" width="9" style="11"/>
    <col min="6151" max="6151" width="9.36666666666667" style="11" customWidth="1"/>
    <col min="6152" max="6153" width="9" style="11"/>
    <col min="6154" max="6154" width="9.36666666666667" style="11" customWidth="1"/>
    <col min="6155" max="6155" width="4" style="11" customWidth="1"/>
    <col min="6156" max="6156" width="5.09166666666667" style="11" customWidth="1"/>
    <col min="6157" max="6157" width="13.725" style="11" customWidth="1"/>
    <col min="6158" max="6400" width="9" style="11"/>
    <col min="6401" max="6401" width="4.90833333333333" style="11" customWidth="1"/>
    <col min="6402" max="6402" width="13.2666666666667" style="11" customWidth="1"/>
    <col min="6403" max="6403" width="15.6333333333333" style="11" customWidth="1"/>
    <col min="6404" max="6404" width="9.36666666666667" style="11" customWidth="1"/>
    <col min="6405" max="6405" width="13.45" style="11" customWidth="1"/>
    <col min="6406" max="6406" width="9" style="11"/>
    <col min="6407" max="6407" width="9.36666666666667" style="11" customWidth="1"/>
    <col min="6408" max="6409" width="9" style="11"/>
    <col min="6410" max="6410" width="9.36666666666667" style="11" customWidth="1"/>
    <col min="6411" max="6411" width="4" style="11" customWidth="1"/>
    <col min="6412" max="6412" width="5.09166666666667" style="11" customWidth="1"/>
    <col min="6413" max="6413" width="13.725" style="11" customWidth="1"/>
    <col min="6414" max="6656" width="9" style="11"/>
    <col min="6657" max="6657" width="4.90833333333333" style="11" customWidth="1"/>
    <col min="6658" max="6658" width="13.2666666666667" style="11" customWidth="1"/>
    <col min="6659" max="6659" width="15.6333333333333" style="11" customWidth="1"/>
    <col min="6660" max="6660" width="9.36666666666667" style="11" customWidth="1"/>
    <col min="6661" max="6661" width="13.45" style="11" customWidth="1"/>
    <col min="6662" max="6662" width="9" style="11"/>
    <col min="6663" max="6663" width="9.36666666666667" style="11" customWidth="1"/>
    <col min="6664" max="6665" width="9" style="11"/>
    <col min="6666" max="6666" width="9.36666666666667" style="11" customWidth="1"/>
    <col min="6667" max="6667" width="4" style="11" customWidth="1"/>
    <col min="6668" max="6668" width="5.09166666666667" style="11" customWidth="1"/>
    <col min="6669" max="6669" width="13.725" style="11" customWidth="1"/>
    <col min="6670" max="6912" width="9" style="11"/>
    <col min="6913" max="6913" width="4.90833333333333" style="11" customWidth="1"/>
    <col min="6914" max="6914" width="13.2666666666667" style="11" customWidth="1"/>
    <col min="6915" max="6915" width="15.6333333333333" style="11" customWidth="1"/>
    <col min="6916" max="6916" width="9.36666666666667" style="11" customWidth="1"/>
    <col min="6917" max="6917" width="13.45" style="11" customWidth="1"/>
    <col min="6918" max="6918" width="9" style="11"/>
    <col min="6919" max="6919" width="9.36666666666667" style="11" customWidth="1"/>
    <col min="6920" max="6921" width="9" style="11"/>
    <col min="6922" max="6922" width="9.36666666666667" style="11" customWidth="1"/>
    <col min="6923" max="6923" width="4" style="11" customWidth="1"/>
    <col min="6924" max="6924" width="5.09166666666667" style="11" customWidth="1"/>
    <col min="6925" max="6925" width="13.725" style="11" customWidth="1"/>
    <col min="6926" max="7168" width="9" style="11"/>
    <col min="7169" max="7169" width="4.90833333333333" style="11" customWidth="1"/>
    <col min="7170" max="7170" width="13.2666666666667" style="11" customWidth="1"/>
    <col min="7171" max="7171" width="15.6333333333333" style="11" customWidth="1"/>
    <col min="7172" max="7172" width="9.36666666666667" style="11" customWidth="1"/>
    <col min="7173" max="7173" width="13.45" style="11" customWidth="1"/>
    <col min="7174" max="7174" width="9" style="11"/>
    <col min="7175" max="7175" width="9.36666666666667" style="11" customWidth="1"/>
    <col min="7176" max="7177" width="9" style="11"/>
    <col min="7178" max="7178" width="9.36666666666667" style="11" customWidth="1"/>
    <col min="7179" max="7179" width="4" style="11" customWidth="1"/>
    <col min="7180" max="7180" width="5.09166666666667" style="11" customWidth="1"/>
    <col min="7181" max="7181" width="13.725" style="11" customWidth="1"/>
    <col min="7182" max="7424" width="9" style="11"/>
    <col min="7425" max="7425" width="4.90833333333333" style="11" customWidth="1"/>
    <col min="7426" max="7426" width="13.2666666666667" style="11" customWidth="1"/>
    <col min="7427" max="7427" width="15.6333333333333" style="11" customWidth="1"/>
    <col min="7428" max="7428" width="9.36666666666667" style="11" customWidth="1"/>
    <col min="7429" max="7429" width="13.45" style="11" customWidth="1"/>
    <col min="7430" max="7430" width="9" style="11"/>
    <col min="7431" max="7431" width="9.36666666666667" style="11" customWidth="1"/>
    <col min="7432" max="7433" width="9" style="11"/>
    <col min="7434" max="7434" width="9.36666666666667" style="11" customWidth="1"/>
    <col min="7435" max="7435" width="4" style="11" customWidth="1"/>
    <col min="7436" max="7436" width="5.09166666666667" style="11" customWidth="1"/>
    <col min="7437" max="7437" width="13.725" style="11" customWidth="1"/>
    <col min="7438" max="7680" width="9" style="11"/>
    <col min="7681" max="7681" width="4.90833333333333" style="11" customWidth="1"/>
    <col min="7682" max="7682" width="13.2666666666667" style="11" customWidth="1"/>
    <col min="7683" max="7683" width="15.6333333333333" style="11" customWidth="1"/>
    <col min="7684" max="7684" width="9.36666666666667" style="11" customWidth="1"/>
    <col min="7685" max="7685" width="13.45" style="11" customWidth="1"/>
    <col min="7686" max="7686" width="9" style="11"/>
    <col min="7687" max="7687" width="9.36666666666667" style="11" customWidth="1"/>
    <col min="7688" max="7689" width="9" style="11"/>
    <col min="7690" max="7690" width="9.36666666666667" style="11" customWidth="1"/>
    <col min="7691" max="7691" width="4" style="11" customWidth="1"/>
    <col min="7692" max="7692" width="5.09166666666667" style="11" customWidth="1"/>
    <col min="7693" max="7693" width="13.725" style="11" customWidth="1"/>
    <col min="7694" max="7936" width="9" style="11"/>
    <col min="7937" max="7937" width="4.90833333333333" style="11" customWidth="1"/>
    <col min="7938" max="7938" width="13.2666666666667" style="11" customWidth="1"/>
    <col min="7939" max="7939" width="15.6333333333333" style="11" customWidth="1"/>
    <col min="7940" max="7940" width="9.36666666666667" style="11" customWidth="1"/>
    <col min="7941" max="7941" width="13.45" style="11" customWidth="1"/>
    <col min="7942" max="7942" width="9" style="11"/>
    <col min="7943" max="7943" width="9.36666666666667" style="11" customWidth="1"/>
    <col min="7944" max="7945" width="9" style="11"/>
    <col min="7946" max="7946" width="9.36666666666667" style="11" customWidth="1"/>
    <col min="7947" max="7947" width="4" style="11" customWidth="1"/>
    <col min="7948" max="7948" width="5.09166666666667" style="11" customWidth="1"/>
    <col min="7949" max="7949" width="13.725" style="11" customWidth="1"/>
    <col min="7950" max="8192" width="9" style="11"/>
    <col min="8193" max="8193" width="4.90833333333333" style="11" customWidth="1"/>
    <col min="8194" max="8194" width="13.2666666666667" style="11" customWidth="1"/>
    <col min="8195" max="8195" width="15.6333333333333" style="11" customWidth="1"/>
    <col min="8196" max="8196" width="9.36666666666667" style="11" customWidth="1"/>
    <col min="8197" max="8197" width="13.45" style="11" customWidth="1"/>
    <col min="8198" max="8198" width="9" style="11"/>
    <col min="8199" max="8199" width="9.36666666666667" style="11" customWidth="1"/>
    <col min="8200" max="8201" width="9" style="11"/>
    <col min="8202" max="8202" width="9.36666666666667" style="11" customWidth="1"/>
    <col min="8203" max="8203" width="4" style="11" customWidth="1"/>
    <col min="8204" max="8204" width="5.09166666666667" style="11" customWidth="1"/>
    <col min="8205" max="8205" width="13.725" style="11" customWidth="1"/>
    <col min="8206" max="8448" width="9" style="11"/>
    <col min="8449" max="8449" width="4.90833333333333" style="11" customWidth="1"/>
    <col min="8450" max="8450" width="13.2666666666667" style="11" customWidth="1"/>
    <col min="8451" max="8451" width="15.6333333333333" style="11" customWidth="1"/>
    <col min="8452" max="8452" width="9.36666666666667" style="11" customWidth="1"/>
    <col min="8453" max="8453" width="13.45" style="11" customWidth="1"/>
    <col min="8454" max="8454" width="9" style="11"/>
    <col min="8455" max="8455" width="9.36666666666667" style="11" customWidth="1"/>
    <col min="8456" max="8457" width="9" style="11"/>
    <col min="8458" max="8458" width="9.36666666666667" style="11" customWidth="1"/>
    <col min="8459" max="8459" width="4" style="11" customWidth="1"/>
    <col min="8460" max="8460" width="5.09166666666667" style="11" customWidth="1"/>
    <col min="8461" max="8461" width="13.725" style="11" customWidth="1"/>
    <col min="8462" max="8704" width="9" style="11"/>
    <col min="8705" max="8705" width="4.90833333333333" style="11" customWidth="1"/>
    <col min="8706" max="8706" width="13.2666666666667" style="11" customWidth="1"/>
    <col min="8707" max="8707" width="15.6333333333333" style="11" customWidth="1"/>
    <col min="8708" max="8708" width="9.36666666666667" style="11" customWidth="1"/>
    <col min="8709" max="8709" width="13.45" style="11" customWidth="1"/>
    <col min="8710" max="8710" width="9" style="11"/>
    <col min="8711" max="8711" width="9.36666666666667" style="11" customWidth="1"/>
    <col min="8712" max="8713" width="9" style="11"/>
    <col min="8714" max="8714" width="9.36666666666667" style="11" customWidth="1"/>
    <col min="8715" max="8715" width="4" style="11" customWidth="1"/>
    <col min="8716" max="8716" width="5.09166666666667" style="11" customWidth="1"/>
    <col min="8717" max="8717" width="13.725" style="11" customWidth="1"/>
    <col min="8718" max="8960" width="9" style="11"/>
    <col min="8961" max="8961" width="4.90833333333333" style="11" customWidth="1"/>
    <col min="8962" max="8962" width="13.2666666666667" style="11" customWidth="1"/>
    <col min="8963" max="8963" width="15.6333333333333" style="11" customWidth="1"/>
    <col min="8964" max="8964" width="9.36666666666667" style="11" customWidth="1"/>
    <col min="8965" max="8965" width="13.45" style="11" customWidth="1"/>
    <col min="8966" max="8966" width="9" style="11"/>
    <col min="8967" max="8967" width="9.36666666666667" style="11" customWidth="1"/>
    <col min="8968" max="8969" width="9" style="11"/>
    <col min="8970" max="8970" width="9.36666666666667" style="11" customWidth="1"/>
    <col min="8971" max="8971" width="4" style="11" customWidth="1"/>
    <col min="8972" max="8972" width="5.09166666666667" style="11" customWidth="1"/>
    <col min="8973" max="8973" width="13.725" style="11" customWidth="1"/>
    <col min="8974" max="9216" width="9" style="11"/>
    <col min="9217" max="9217" width="4.90833333333333" style="11" customWidth="1"/>
    <col min="9218" max="9218" width="13.2666666666667" style="11" customWidth="1"/>
    <col min="9219" max="9219" width="15.6333333333333" style="11" customWidth="1"/>
    <col min="9220" max="9220" width="9.36666666666667" style="11" customWidth="1"/>
    <col min="9221" max="9221" width="13.45" style="11" customWidth="1"/>
    <col min="9222" max="9222" width="9" style="11"/>
    <col min="9223" max="9223" width="9.36666666666667" style="11" customWidth="1"/>
    <col min="9224" max="9225" width="9" style="11"/>
    <col min="9226" max="9226" width="9.36666666666667" style="11" customWidth="1"/>
    <col min="9227" max="9227" width="4" style="11" customWidth="1"/>
    <col min="9228" max="9228" width="5.09166666666667" style="11" customWidth="1"/>
    <col min="9229" max="9229" width="13.725" style="11" customWidth="1"/>
    <col min="9230" max="9472" width="9" style="11"/>
    <col min="9473" max="9473" width="4.90833333333333" style="11" customWidth="1"/>
    <col min="9474" max="9474" width="13.2666666666667" style="11" customWidth="1"/>
    <col min="9475" max="9475" width="15.6333333333333" style="11" customWidth="1"/>
    <col min="9476" max="9476" width="9.36666666666667" style="11" customWidth="1"/>
    <col min="9477" max="9477" width="13.45" style="11" customWidth="1"/>
    <col min="9478" max="9478" width="9" style="11"/>
    <col min="9479" max="9479" width="9.36666666666667" style="11" customWidth="1"/>
    <col min="9480" max="9481" width="9" style="11"/>
    <col min="9482" max="9482" width="9.36666666666667" style="11" customWidth="1"/>
    <col min="9483" max="9483" width="4" style="11" customWidth="1"/>
    <col min="9484" max="9484" width="5.09166666666667" style="11" customWidth="1"/>
    <col min="9485" max="9485" width="13.725" style="11" customWidth="1"/>
    <col min="9486" max="9728" width="9" style="11"/>
    <col min="9729" max="9729" width="4.90833333333333" style="11" customWidth="1"/>
    <col min="9730" max="9730" width="13.2666666666667" style="11" customWidth="1"/>
    <col min="9731" max="9731" width="15.6333333333333" style="11" customWidth="1"/>
    <col min="9732" max="9732" width="9.36666666666667" style="11" customWidth="1"/>
    <col min="9733" max="9733" width="13.45" style="11" customWidth="1"/>
    <col min="9734" max="9734" width="9" style="11"/>
    <col min="9735" max="9735" width="9.36666666666667" style="11" customWidth="1"/>
    <col min="9736" max="9737" width="9" style="11"/>
    <col min="9738" max="9738" width="9.36666666666667" style="11" customWidth="1"/>
    <col min="9739" max="9739" width="4" style="11" customWidth="1"/>
    <col min="9740" max="9740" width="5.09166666666667" style="11" customWidth="1"/>
    <col min="9741" max="9741" width="13.725" style="11" customWidth="1"/>
    <col min="9742" max="9984" width="9" style="11"/>
    <col min="9985" max="9985" width="4.90833333333333" style="11" customWidth="1"/>
    <col min="9986" max="9986" width="13.2666666666667" style="11" customWidth="1"/>
    <col min="9987" max="9987" width="15.6333333333333" style="11" customWidth="1"/>
    <col min="9988" max="9988" width="9.36666666666667" style="11" customWidth="1"/>
    <col min="9989" max="9989" width="13.45" style="11" customWidth="1"/>
    <col min="9990" max="9990" width="9" style="11"/>
    <col min="9991" max="9991" width="9.36666666666667" style="11" customWidth="1"/>
    <col min="9992" max="9993" width="9" style="11"/>
    <col min="9994" max="9994" width="9.36666666666667" style="11" customWidth="1"/>
    <col min="9995" max="9995" width="4" style="11" customWidth="1"/>
    <col min="9996" max="9996" width="5.09166666666667" style="11" customWidth="1"/>
    <col min="9997" max="9997" width="13.725" style="11" customWidth="1"/>
    <col min="9998" max="10240" width="9" style="11"/>
    <col min="10241" max="10241" width="4.90833333333333" style="11" customWidth="1"/>
    <col min="10242" max="10242" width="13.2666666666667" style="11" customWidth="1"/>
    <col min="10243" max="10243" width="15.6333333333333" style="11" customWidth="1"/>
    <col min="10244" max="10244" width="9.36666666666667" style="11" customWidth="1"/>
    <col min="10245" max="10245" width="13.45" style="11" customWidth="1"/>
    <col min="10246" max="10246" width="9" style="11"/>
    <col min="10247" max="10247" width="9.36666666666667" style="11" customWidth="1"/>
    <col min="10248" max="10249" width="9" style="11"/>
    <col min="10250" max="10250" width="9.36666666666667" style="11" customWidth="1"/>
    <col min="10251" max="10251" width="4" style="11" customWidth="1"/>
    <col min="10252" max="10252" width="5.09166666666667" style="11" customWidth="1"/>
    <col min="10253" max="10253" width="13.725" style="11" customWidth="1"/>
    <col min="10254" max="10496" width="9" style="11"/>
    <col min="10497" max="10497" width="4.90833333333333" style="11" customWidth="1"/>
    <col min="10498" max="10498" width="13.2666666666667" style="11" customWidth="1"/>
    <col min="10499" max="10499" width="15.6333333333333" style="11" customWidth="1"/>
    <col min="10500" max="10500" width="9.36666666666667" style="11" customWidth="1"/>
    <col min="10501" max="10501" width="13.45" style="11" customWidth="1"/>
    <col min="10502" max="10502" width="9" style="11"/>
    <col min="10503" max="10503" width="9.36666666666667" style="11" customWidth="1"/>
    <col min="10504" max="10505" width="9" style="11"/>
    <col min="10506" max="10506" width="9.36666666666667" style="11" customWidth="1"/>
    <col min="10507" max="10507" width="4" style="11" customWidth="1"/>
    <col min="10508" max="10508" width="5.09166666666667" style="11" customWidth="1"/>
    <col min="10509" max="10509" width="13.725" style="11" customWidth="1"/>
    <col min="10510" max="10752" width="9" style="11"/>
    <col min="10753" max="10753" width="4.90833333333333" style="11" customWidth="1"/>
    <col min="10754" max="10754" width="13.2666666666667" style="11" customWidth="1"/>
    <col min="10755" max="10755" width="15.6333333333333" style="11" customWidth="1"/>
    <col min="10756" max="10756" width="9.36666666666667" style="11" customWidth="1"/>
    <col min="10757" max="10757" width="13.45" style="11" customWidth="1"/>
    <col min="10758" max="10758" width="9" style="11"/>
    <col min="10759" max="10759" width="9.36666666666667" style="11" customWidth="1"/>
    <col min="10760" max="10761" width="9" style="11"/>
    <col min="10762" max="10762" width="9.36666666666667" style="11" customWidth="1"/>
    <col min="10763" max="10763" width="4" style="11" customWidth="1"/>
    <col min="10764" max="10764" width="5.09166666666667" style="11" customWidth="1"/>
    <col min="10765" max="10765" width="13.725" style="11" customWidth="1"/>
    <col min="10766" max="11008" width="9" style="11"/>
    <col min="11009" max="11009" width="4.90833333333333" style="11" customWidth="1"/>
    <col min="11010" max="11010" width="13.2666666666667" style="11" customWidth="1"/>
    <col min="11011" max="11011" width="15.6333333333333" style="11" customWidth="1"/>
    <col min="11012" max="11012" width="9.36666666666667" style="11" customWidth="1"/>
    <col min="11013" max="11013" width="13.45" style="11" customWidth="1"/>
    <col min="11014" max="11014" width="9" style="11"/>
    <col min="11015" max="11015" width="9.36666666666667" style="11" customWidth="1"/>
    <col min="11016" max="11017" width="9" style="11"/>
    <col min="11018" max="11018" width="9.36666666666667" style="11" customWidth="1"/>
    <col min="11019" max="11019" width="4" style="11" customWidth="1"/>
    <col min="11020" max="11020" width="5.09166666666667" style="11" customWidth="1"/>
    <col min="11021" max="11021" width="13.725" style="11" customWidth="1"/>
    <col min="11022" max="11264" width="9" style="11"/>
    <col min="11265" max="11265" width="4.90833333333333" style="11" customWidth="1"/>
    <col min="11266" max="11266" width="13.2666666666667" style="11" customWidth="1"/>
    <col min="11267" max="11267" width="15.6333333333333" style="11" customWidth="1"/>
    <col min="11268" max="11268" width="9.36666666666667" style="11" customWidth="1"/>
    <col min="11269" max="11269" width="13.45" style="11" customWidth="1"/>
    <col min="11270" max="11270" width="9" style="11"/>
    <col min="11271" max="11271" width="9.36666666666667" style="11" customWidth="1"/>
    <col min="11272" max="11273" width="9" style="11"/>
    <col min="11274" max="11274" width="9.36666666666667" style="11" customWidth="1"/>
    <col min="11275" max="11275" width="4" style="11" customWidth="1"/>
    <col min="11276" max="11276" width="5.09166666666667" style="11" customWidth="1"/>
    <col min="11277" max="11277" width="13.725" style="11" customWidth="1"/>
    <col min="11278" max="11520" width="9" style="11"/>
    <col min="11521" max="11521" width="4.90833333333333" style="11" customWidth="1"/>
    <col min="11522" max="11522" width="13.2666666666667" style="11" customWidth="1"/>
    <col min="11523" max="11523" width="15.6333333333333" style="11" customWidth="1"/>
    <col min="11524" max="11524" width="9.36666666666667" style="11" customWidth="1"/>
    <col min="11525" max="11525" width="13.45" style="11" customWidth="1"/>
    <col min="11526" max="11526" width="9" style="11"/>
    <col min="11527" max="11527" width="9.36666666666667" style="11" customWidth="1"/>
    <col min="11528" max="11529" width="9" style="11"/>
    <col min="11530" max="11530" width="9.36666666666667" style="11" customWidth="1"/>
    <col min="11531" max="11531" width="4" style="11" customWidth="1"/>
    <col min="11532" max="11532" width="5.09166666666667" style="11" customWidth="1"/>
    <col min="11533" max="11533" width="13.725" style="11" customWidth="1"/>
    <col min="11534" max="11776" width="9" style="11"/>
    <col min="11777" max="11777" width="4.90833333333333" style="11" customWidth="1"/>
    <col min="11778" max="11778" width="13.2666666666667" style="11" customWidth="1"/>
    <col min="11779" max="11779" width="15.6333333333333" style="11" customWidth="1"/>
    <col min="11780" max="11780" width="9.36666666666667" style="11" customWidth="1"/>
    <col min="11781" max="11781" width="13.45" style="11" customWidth="1"/>
    <col min="11782" max="11782" width="9" style="11"/>
    <col min="11783" max="11783" width="9.36666666666667" style="11" customWidth="1"/>
    <col min="11784" max="11785" width="9" style="11"/>
    <col min="11786" max="11786" width="9.36666666666667" style="11" customWidth="1"/>
    <col min="11787" max="11787" width="4" style="11" customWidth="1"/>
    <col min="11788" max="11788" width="5.09166666666667" style="11" customWidth="1"/>
    <col min="11789" max="11789" width="13.725" style="11" customWidth="1"/>
    <col min="11790" max="12032" width="9" style="11"/>
    <col min="12033" max="12033" width="4.90833333333333" style="11" customWidth="1"/>
    <col min="12034" max="12034" width="13.2666666666667" style="11" customWidth="1"/>
    <col min="12035" max="12035" width="15.6333333333333" style="11" customWidth="1"/>
    <col min="12036" max="12036" width="9.36666666666667" style="11" customWidth="1"/>
    <col min="12037" max="12037" width="13.45" style="11" customWidth="1"/>
    <col min="12038" max="12038" width="9" style="11"/>
    <col min="12039" max="12039" width="9.36666666666667" style="11" customWidth="1"/>
    <col min="12040" max="12041" width="9" style="11"/>
    <col min="12042" max="12042" width="9.36666666666667" style="11" customWidth="1"/>
    <col min="12043" max="12043" width="4" style="11" customWidth="1"/>
    <col min="12044" max="12044" width="5.09166666666667" style="11" customWidth="1"/>
    <col min="12045" max="12045" width="13.725" style="11" customWidth="1"/>
    <col min="12046" max="12288" width="9" style="11"/>
    <col min="12289" max="12289" width="4.90833333333333" style="11" customWidth="1"/>
    <col min="12290" max="12290" width="13.2666666666667" style="11" customWidth="1"/>
    <col min="12291" max="12291" width="15.6333333333333" style="11" customWidth="1"/>
    <col min="12292" max="12292" width="9.36666666666667" style="11" customWidth="1"/>
    <col min="12293" max="12293" width="13.45" style="11" customWidth="1"/>
    <col min="12294" max="12294" width="9" style="11"/>
    <col min="12295" max="12295" width="9.36666666666667" style="11" customWidth="1"/>
    <col min="12296" max="12297" width="9" style="11"/>
    <col min="12298" max="12298" width="9.36666666666667" style="11" customWidth="1"/>
    <col min="12299" max="12299" width="4" style="11" customWidth="1"/>
    <col min="12300" max="12300" width="5.09166666666667" style="11" customWidth="1"/>
    <col min="12301" max="12301" width="13.725" style="11" customWidth="1"/>
    <col min="12302" max="12544" width="9" style="11"/>
    <col min="12545" max="12545" width="4.90833333333333" style="11" customWidth="1"/>
    <col min="12546" max="12546" width="13.2666666666667" style="11" customWidth="1"/>
    <col min="12547" max="12547" width="15.6333333333333" style="11" customWidth="1"/>
    <col min="12548" max="12548" width="9.36666666666667" style="11" customWidth="1"/>
    <col min="12549" max="12549" width="13.45" style="11" customWidth="1"/>
    <col min="12550" max="12550" width="9" style="11"/>
    <col min="12551" max="12551" width="9.36666666666667" style="11" customWidth="1"/>
    <col min="12552" max="12553" width="9" style="11"/>
    <col min="12554" max="12554" width="9.36666666666667" style="11" customWidth="1"/>
    <col min="12555" max="12555" width="4" style="11" customWidth="1"/>
    <col min="12556" max="12556" width="5.09166666666667" style="11" customWidth="1"/>
    <col min="12557" max="12557" width="13.725" style="11" customWidth="1"/>
    <col min="12558" max="12800" width="9" style="11"/>
    <col min="12801" max="12801" width="4.90833333333333" style="11" customWidth="1"/>
    <col min="12802" max="12802" width="13.2666666666667" style="11" customWidth="1"/>
    <col min="12803" max="12803" width="15.6333333333333" style="11" customWidth="1"/>
    <col min="12804" max="12804" width="9.36666666666667" style="11" customWidth="1"/>
    <col min="12805" max="12805" width="13.45" style="11" customWidth="1"/>
    <col min="12806" max="12806" width="9" style="11"/>
    <col min="12807" max="12807" width="9.36666666666667" style="11" customWidth="1"/>
    <col min="12808" max="12809" width="9" style="11"/>
    <col min="12810" max="12810" width="9.36666666666667" style="11" customWidth="1"/>
    <col min="12811" max="12811" width="4" style="11" customWidth="1"/>
    <col min="12812" max="12812" width="5.09166666666667" style="11" customWidth="1"/>
    <col min="12813" max="12813" width="13.725" style="11" customWidth="1"/>
    <col min="12814" max="13056" width="9" style="11"/>
    <col min="13057" max="13057" width="4.90833333333333" style="11" customWidth="1"/>
    <col min="13058" max="13058" width="13.2666666666667" style="11" customWidth="1"/>
    <col min="13059" max="13059" width="15.6333333333333" style="11" customWidth="1"/>
    <col min="13060" max="13060" width="9.36666666666667" style="11" customWidth="1"/>
    <col min="13061" max="13061" width="13.45" style="11" customWidth="1"/>
    <col min="13062" max="13062" width="9" style="11"/>
    <col min="13063" max="13063" width="9.36666666666667" style="11" customWidth="1"/>
    <col min="13064" max="13065" width="9" style="11"/>
    <col min="13066" max="13066" width="9.36666666666667" style="11" customWidth="1"/>
    <col min="13067" max="13067" width="4" style="11" customWidth="1"/>
    <col min="13068" max="13068" width="5.09166666666667" style="11" customWidth="1"/>
    <col min="13069" max="13069" width="13.725" style="11" customWidth="1"/>
    <col min="13070" max="13312" width="9" style="11"/>
    <col min="13313" max="13313" width="4.90833333333333" style="11" customWidth="1"/>
    <col min="13314" max="13314" width="13.2666666666667" style="11" customWidth="1"/>
    <col min="13315" max="13315" width="15.6333333333333" style="11" customWidth="1"/>
    <col min="13316" max="13316" width="9.36666666666667" style="11" customWidth="1"/>
    <col min="13317" max="13317" width="13.45" style="11" customWidth="1"/>
    <col min="13318" max="13318" width="9" style="11"/>
    <col min="13319" max="13319" width="9.36666666666667" style="11" customWidth="1"/>
    <col min="13320" max="13321" width="9" style="11"/>
    <col min="13322" max="13322" width="9.36666666666667" style="11" customWidth="1"/>
    <col min="13323" max="13323" width="4" style="11" customWidth="1"/>
    <col min="13324" max="13324" width="5.09166666666667" style="11" customWidth="1"/>
    <col min="13325" max="13325" width="13.725" style="11" customWidth="1"/>
    <col min="13326" max="13568" width="9" style="11"/>
    <col min="13569" max="13569" width="4.90833333333333" style="11" customWidth="1"/>
    <col min="13570" max="13570" width="13.2666666666667" style="11" customWidth="1"/>
    <col min="13571" max="13571" width="15.6333333333333" style="11" customWidth="1"/>
    <col min="13572" max="13572" width="9.36666666666667" style="11" customWidth="1"/>
    <col min="13573" max="13573" width="13.45" style="11" customWidth="1"/>
    <col min="13574" max="13574" width="9" style="11"/>
    <col min="13575" max="13575" width="9.36666666666667" style="11" customWidth="1"/>
    <col min="13576" max="13577" width="9" style="11"/>
    <col min="13578" max="13578" width="9.36666666666667" style="11" customWidth="1"/>
    <col min="13579" max="13579" width="4" style="11" customWidth="1"/>
    <col min="13580" max="13580" width="5.09166666666667" style="11" customWidth="1"/>
    <col min="13581" max="13581" width="13.725" style="11" customWidth="1"/>
    <col min="13582" max="13824" width="9" style="11"/>
    <col min="13825" max="13825" width="4.90833333333333" style="11" customWidth="1"/>
    <col min="13826" max="13826" width="13.2666666666667" style="11" customWidth="1"/>
    <col min="13827" max="13827" width="15.6333333333333" style="11" customWidth="1"/>
    <col min="13828" max="13828" width="9.36666666666667" style="11" customWidth="1"/>
    <col min="13829" max="13829" width="13.45" style="11" customWidth="1"/>
    <col min="13830" max="13830" width="9" style="11"/>
    <col min="13831" max="13831" width="9.36666666666667" style="11" customWidth="1"/>
    <col min="13832" max="13833" width="9" style="11"/>
    <col min="13834" max="13834" width="9.36666666666667" style="11" customWidth="1"/>
    <col min="13835" max="13835" width="4" style="11" customWidth="1"/>
    <col min="13836" max="13836" width="5.09166666666667" style="11" customWidth="1"/>
    <col min="13837" max="13837" width="13.725" style="11" customWidth="1"/>
    <col min="13838" max="14080" width="9" style="11"/>
    <col min="14081" max="14081" width="4.90833333333333" style="11" customWidth="1"/>
    <col min="14082" max="14082" width="13.2666666666667" style="11" customWidth="1"/>
    <col min="14083" max="14083" width="15.6333333333333" style="11" customWidth="1"/>
    <col min="14084" max="14084" width="9.36666666666667" style="11" customWidth="1"/>
    <col min="14085" max="14085" width="13.45" style="11" customWidth="1"/>
    <col min="14086" max="14086" width="9" style="11"/>
    <col min="14087" max="14087" width="9.36666666666667" style="11" customWidth="1"/>
    <col min="14088" max="14089" width="9" style="11"/>
    <col min="14090" max="14090" width="9.36666666666667" style="11" customWidth="1"/>
    <col min="14091" max="14091" width="4" style="11" customWidth="1"/>
    <col min="14092" max="14092" width="5.09166666666667" style="11" customWidth="1"/>
    <col min="14093" max="14093" width="13.725" style="11" customWidth="1"/>
    <col min="14094" max="14336" width="9" style="11"/>
    <col min="14337" max="14337" width="4.90833333333333" style="11" customWidth="1"/>
    <col min="14338" max="14338" width="13.2666666666667" style="11" customWidth="1"/>
    <col min="14339" max="14339" width="15.6333333333333" style="11" customWidth="1"/>
    <col min="14340" max="14340" width="9.36666666666667" style="11" customWidth="1"/>
    <col min="14341" max="14341" width="13.45" style="11" customWidth="1"/>
    <col min="14342" max="14342" width="9" style="11"/>
    <col min="14343" max="14343" width="9.36666666666667" style="11" customWidth="1"/>
    <col min="14344" max="14345" width="9" style="11"/>
    <col min="14346" max="14346" width="9.36666666666667" style="11" customWidth="1"/>
    <col min="14347" max="14347" width="4" style="11" customWidth="1"/>
    <col min="14348" max="14348" width="5.09166666666667" style="11" customWidth="1"/>
    <col min="14349" max="14349" width="13.725" style="11" customWidth="1"/>
    <col min="14350" max="14592" width="9" style="11"/>
    <col min="14593" max="14593" width="4.90833333333333" style="11" customWidth="1"/>
    <col min="14594" max="14594" width="13.2666666666667" style="11" customWidth="1"/>
    <col min="14595" max="14595" width="15.6333333333333" style="11" customWidth="1"/>
    <col min="14596" max="14596" width="9.36666666666667" style="11" customWidth="1"/>
    <col min="14597" max="14597" width="13.45" style="11" customWidth="1"/>
    <col min="14598" max="14598" width="9" style="11"/>
    <col min="14599" max="14599" width="9.36666666666667" style="11" customWidth="1"/>
    <col min="14600" max="14601" width="9" style="11"/>
    <col min="14602" max="14602" width="9.36666666666667" style="11" customWidth="1"/>
    <col min="14603" max="14603" width="4" style="11" customWidth="1"/>
    <col min="14604" max="14604" width="5.09166666666667" style="11" customWidth="1"/>
    <col min="14605" max="14605" width="13.725" style="11" customWidth="1"/>
    <col min="14606" max="14848" width="9" style="11"/>
    <col min="14849" max="14849" width="4.90833333333333" style="11" customWidth="1"/>
    <col min="14850" max="14850" width="13.2666666666667" style="11" customWidth="1"/>
    <col min="14851" max="14851" width="15.6333333333333" style="11" customWidth="1"/>
    <col min="14852" max="14852" width="9.36666666666667" style="11" customWidth="1"/>
    <col min="14853" max="14853" width="13.45" style="11" customWidth="1"/>
    <col min="14854" max="14854" width="9" style="11"/>
    <col min="14855" max="14855" width="9.36666666666667" style="11" customWidth="1"/>
    <col min="14856" max="14857" width="9" style="11"/>
    <col min="14858" max="14858" width="9.36666666666667" style="11" customWidth="1"/>
    <col min="14859" max="14859" width="4" style="11" customWidth="1"/>
    <col min="14860" max="14860" width="5.09166666666667" style="11" customWidth="1"/>
    <col min="14861" max="14861" width="13.725" style="11" customWidth="1"/>
    <col min="14862" max="15104" width="9" style="11"/>
    <col min="15105" max="15105" width="4.90833333333333" style="11" customWidth="1"/>
    <col min="15106" max="15106" width="13.2666666666667" style="11" customWidth="1"/>
    <col min="15107" max="15107" width="15.6333333333333" style="11" customWidth="1"/>
    <col min="15108" max="15108" width="9.36666666666667" style="11" customWidth="1"/>
    <col min="15109" max="15109" width="13.45" style="11" customWidth="1"/>
    <col min="15110" max="15110" width="9" style="11"/>
    <col min="15111" max="15111" width="9.36666666666667" style="11" customWidth="1"/>
    <col min="15112" max="15113" width="9" style="11"/>
    <col min="15114" max="15114" width="9.36666666666667" style="11" customWidth="1"/>
    <col min="15115" max="15115" width="4" style="11" customWidth="1"/>
    <col min="15116" max="15116" width="5.09166666666667" style="11" customWidth="1"/>
    <col min="15117" max="15117" width="13.725" style="11" customWidth="1"/>
    <col min="15118" max="15360" width="9" style="11"/>
    <col min="15361" max="15361" width="4.90833333333333" style="11" customWidth="1"/>
    <col min="15362" max="15362" width="13.2666666666667" style="11" customWidth="1"/>
    <col min="15363" max="15363" width="15.6333333333333" style="11" customWidth="1"/>
    <col min="15364" max="15364" width="9.36666666666667" style="11" customWidth="1"/>
    <col min="15365" max="15365" width="13.45" style="11" customWidth="1"/>
    <col min="15366" max="15366" width="9" style="11"/>
    <col min="15367" max="15367" width="9.36666666666667" style="11" customWidth="1"/>
    <col min="15368" max="15369" width="9" style="11"/>
    <col min="15370" max="15370" width="9.36666666666667" style="11" customWidth="1"/>
    <col min="15371" max="15371" width="4" style="11" customWidth="1"/>
    <col min="15372" max="15372" width="5.09166666666667" style="11" customWidth="1"/>
    <col min="15373" max="15373" width="13.725" style="11" customWidth="1"/>
    <col min="15374" max="15616" width="9" style="11"/>
    <col min="15617" max="15617" width="4.90833333333333" style="11" customWidth="1"/>
    <col min="15618" max="15618" width="13.2666666666667" style="11" customWidth="1"/>
    <col min="15619" max="15619" width="15.6333333333333" style="11" customWidth="1"/>
    <col min="15620" max="15620" width="9.36666666666667" style="11" customWidth="1"/>
    <col min="15621" max="15621" width="13.45" style="11" customWidth="1"/>
    <col min="15622" max="15622" width="9" style="11"/>
    <col min="15623" max="15623" width="9.36666666666667" style="11" customWidth="1"/>
    <col min="15624" max="15625" width="9" style="11"/>
    <col min="15626" max="15626" width="9.36666666666667" style="11" customWidth="1"/>
    <col min="15627" max="15627" width="4" style="11" customWidth="1"/>
    <col min="15628" max="15628" width="5.09166666666667" style="11" customWidth="1"/>
    <col min="15629" max="15629" width="13.725" style="11" customWidth="1"/>
    <col min="15630" max="15872" width="9" style="11"/>
    <col min="15873" max="15873" width="4.90833333333333" style="11" customWidth="1"/>
    <col min="15874" max="15874" width="13.2666666666667" style="11" customWidth="1"/>
    <col min="15875" max="15875" width="15.6333333333333" style="11" customWidth="1"/>
    <col min="15876" max="15876" width="9.36666666666667" style="11" customWidth="1"/>
    <col min="15877" max="15877" width="13.45" style="11" customWidth="1"/>
    <col min="15878" max="15878" width="9" style="11"/>
    <col min="15879" max="15879" width="9.36666666666667" style="11" customWidth="1"/>
    <col min="15880" max="15881" width="9" style="11"/>
    <col min="15882" max="15882" width="9.36666666666667" style="11" customWidth="1"/>
    <col min="15883" max="15883" width="4" style="11" customWidth="1"/>
    <col min="15884" max="15884" width="5.09166666666667" style="11" customWidth="1"/>
    <col min="15885" max="15885" width="13.725" style="11" customWidth="1"/>
    <col min="15886" max="16128" width="9" style="11"/>
    <col min="16129" max="16129" width="4.90833333333333" style="11" customWidth="1"/>
    <col min="16130" max="16130" width="13.2666666666667" style="11" customWidth="1"/>
    <col min="16131" max="16131" width="15.6333333333333" style="11" customWidth="1"/>
    <col min="16132" max="16132" width="9.36666666666667" style="11" customWidth="1"/>
    <col min="16133" max="16133" width="13.45" style="11" customWidth="1"/>
    <col min="16134" max="16134" width="9" style="11"/>
    <col min="16135" max="16135" width="9.36666666666667" style="11" customWidth="1"/>
    <col min="16136" max="16137" width="9" style="11"/>
    <col min="16138" max="16138" width="9.36666666666667" style="11" customWidth="1"/>
    <col min="16139" max="16139" width="4" style="11" customWidth="1"/>
    <col min="16140" max="16140" width="5.09166666666667" style="11" customWidth="1"/>
    <col min="16141" max="16141" width="13.725" style="11" customWidth="1"/>
    <col min="16142" max="16384" width="9" style="11"/>
  </cols>
  <sheetData>
    <row r="1" s="8" customFormat="1" ht="14.25" spans="1:256">
      <c r="A1" s="9"/>
      <c r="B1" s="12" t="s">
        <v>2617</v>
      </c>
      <c r="C1" s="13">
        <f>项目基本情况!D3</f>
        <v>45252</v>
      </c>
      <c r="H1" s="14">
        <f>IF(C1&gt;C13,0,MATCH(C1,C$13:C$100,-1))+IF(SUMIF(C13:C100,C1,D13:D100)=0,13,12)</f>
        <v>13</v>
      </c>
      <c r="I1" s="14">
        <f ca="1">MATCH(C2,H3:H7,1)+IF(SUMIF(H3:H7,C2,I3:I7)=0,2,1)</f>
        <v>5</v>
      </c>
      <c r="J1" s="53">
        <f ca="1">MATCH(C3,H3:H7,1)+IF(SUMIF(H3:H7,C3,J3:J7)=0,2,1)</f>
        <v>4</v>
      </c>
      <c r="N1" s="14">
        <f>IF(C1&gt;M13,0,MATCH(C1,M$13:M$100,-1))+IF(SUMIF(M13:M100,C1,N13:N100)=0,13,12)</f>
        <v>13</v>
      </c>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9"/>
      <c r="BH1" s="9"/>
      <c r="BI1" s="9"/>
      <c r="BJ1" s="9"/>
      <c r="BK1" s="9"/>
      <c r="BL1" s="9"/>
      <c r="BM1" s="9"/>
      <c r="BN1" s="9"/>
      <c r="BO1" s="9"/>
      <c r="BP1" s="9"/>
      <c r="BQ1" s="9"/>
      <c r="BR1" s="9"/>
      <c r="BS1" s="9"/>
      <c r="BT1" s="9"/>
      <c r="BU1" s="9"/>
      <c r="BV1" s="9"/>
      <c r="BW1" s="9"/>
      <c r="BX1" s="9"/>
      <c r="BY1" s="9"/>
      <c r="BZ1" s="9"/>
      <c r="CA1" s="9"/>
      <c r="CB1" s="9"/>
      <c r="CC1" s="9"/>
      <c r="CD1" s="9"/>
      <c r="CE1" s="9"/>
      <c r="CF1" s="9"/>
      <c r="CG1" s="9"/>
      <c r="CH1" s="9"/>
      <c r="CI1" s="9"/>
      <c r="CJ1" s="9"/>
      <c r="CK1" s="9"/>
      <c r="CL1" s="9"/>
      <c r="CM1" s="9"/>
      <c r="CN1" s="9"/>
      <c r="CO1" s="9"/>
      <c r="CP1" s="9"/>
      <c r="CQ1" s="9"/>
      <c r="CR1" s="9"/>
      <c r="CS1" s="9"/>
      <c r="CT1" s="9"/>
      <c r="CU1" s="9"/>
      <c r="CV1" s="9"/>
      <c r="CW1" s="9"/>
      <c r="CX1" s="9"/>
      <c r="CY1" s="9"/>
      <c r="CZ1" s="9"/>
      <c r="DA1" s="9"/>
      <c r="DB1" s="9"/>
      <c r="DC1" s="9"/>
      <c r="DD1" s="9"/>
      <c r="DE1" s="9"/>
      <c r="DF1" s="9"/>
      <c r="DG1" s="9"/>
      <c r="DH1" s="9"/>
      <c r="DI1" s="9"/>
      <c r="DJ1" s="9"/>
      <c r="DK1" s="9"/>
      <c r="DL1" s="9"/>
      <c r="DM1" s="9"/>
      <c r="DN1" s="9"/>
      <c r="DO1" s="9"/>
      <c r="DP1" s="9"/>
      <c r="DQ1" s="9"/>
      <c r="DR1" s="9"/>
      <c r="DS1" s="9"/>
      <c r="DT1" s="9"/>
      <c r="DU1" s="9"/>
      <c r="DV1" s="9"/>
      <c r="DW1" s="9"/>
      <c r="DX1" s="9"/>
      <c r="DY1" s="9"/>
      <c r="DZ1" s="9"/>
      <c r="EA1" s="9"/>
      <c r="EB1" s="9"/>
      <c r="EC1" s="9"/>
      <c r="ED1" s="9"/>
      <c r="EE1" s="9"/>
      <c r="EF1" s="9"/>
      <c r="EG1" s="9"/>
      <c r="EH1" s="9"/>
      <c r="EI1" s="9"/>
      <c r="EJ1" s="9"/>
      <c r="EK1" s="9"/>
      <c r="EL1" s="9"/>
      <c r="EM1" s="9"/>
      <c r="EN1" s="9"/>
      <c r="EO1" s="9"/>
      <c r="EP1" s="9"/>
      <c r="EQ1" s="9"/>
      <c r="ER1" s="9"/>
      <c r="ES1" s="9"/>
      <c r="ET1" s="9"/>
      <c r="EU1" s="9"/>
      <c r="EV1" s="9"/>
      <c r="EW1" s="9"/>
      <c r="EX1" s="9"/>
      <c r="EY1" s="9"/>
      <c r="EZ1" s="9"/>
      <c r="FA1" s="9"/>
      <c r="FB1" s="9"/>
      <c r="FC1" s="9"/>
      <c r="FD1" s="9"/>
      <c r="FE1" s="9"/>
      <c r="FF1" s="9"/>
      <c r="FG1" s="9"/>
      <c r="FH1" s="9"/>
      <c r="FI1" s="9"/>
      <c r="FJ1" s="9"/>
      <c r="FK1" s="9"/>
      <c r="FL1" s="9"/>
      <c r="FM1" s="9"/>
      <c r="FN1" s="9"/>
      <c r="FO1" s="9"/>
      <c r="FP1" s="9"/>
      <c r="FQ1" s="9"/>
      <c r="FR1" s="9"/>
      <c r="FS1" s="9"/>
      <c r="FT1" s="9"/>
      <c r="FU1" s="9"/>
      <c r="FV1" s="9"/>
      <c r="FW1" s="9"/>
      <c r="FX1" s="9"/>
      <c r="FY1" s="9"/>
      <c r="FZ1" s="9"/>
      <c r="GA1" s="9"/>
      <c r="GB1" s="9"/>
      <c r="GC1" s="9"/>
      <c r="GD1" s="9"/>
      <c r="GE1" s="9"/>
      <c r="GF1" s="9"/>
      <c r="GG1" s="9"/>
      <c r="GH1" s="9"/>
      <c r="GI1" s="9"/>
      <c r="GJ1" s="9"/>
      <c r="GK1" s="9"/>
      <c r="GL1" s="9"/>
      <c r="GM1" s="9"/>
      <c r="GN1" s="9"/>
      <c r="GO1" s="9"/>
      <c r="GP1" s="9"/>
      <c r="GQ1" s="9"/>
      <c r="GR1" s="9"/>
      <c r="GS1" s="9"/>
      <c r="GT1" s="9"/>
      <c r="GU1" s="9"/>
      <c r="GV1" s="9"/>
      <c r="GW1" s="9"/>
      <c r="GX1" s="9"/>
      <c r="GY1" s="9"/>
      <c r="GZ1" s="9"/>
      <c r="HA1" s="9"/>
      <c r="HB1" s="9"/>
      <c r="HC1" s="9"/>
      <c r="HD1" s="9"/>
      <c r="HE1" s="9"/>
      <c r="HF1" s="9"/>
      <c r="HG1" s="9"/>
      <c r="HH1" s="9"/>
      <c r="HI1" s="9"/>
      <c r="HJ1" s="9"/>
      <c r="HK1" s="9"/>
      <c r="HL1" s="9"/>
      <c r="HM1" s="9"/>
      <c r="HN1" s="9"/>
      <c r="HO1" s="9"/>
      <c r="HP1" s="9"/>
      <c r="HQ1" s="9"/>
      <c r="HR1" s="9"/>
      <c r="HS1" s="9"/>
      <c r="HT1" s="9"/>
      <c r="HU1" s="9"/>
      <c r="HV1" s="9"/>
      <c r="HW1" s="9"/>
      <c r="HX1" s="9"/>
      <c r="HY1" s="9"/>
      <c r="HZ1" s="9"/>
      <c r="IA1" s="9"/>
      <c r="IB1" s="9"/>
      <c r="IC1" s="9"/>
      <c r="ID1" s="9"/>
      <c r="IE1" s="9"/>
      <c r="IF1" s="9"/>
      <c r="IG1" s="9"/>
      <c r="IH1" s="9"/>
      <c r="II1" s="9"/>
      <c r="IJ1" s="9"/>
      <c r="IK1" s="9"/>
      <c r="IL1" s="9"/>
      <c r="IM1" s="9"/>
      <c r="IN1" s="9"/>
      <c r="IO1" s="9"/>
      <c r="IP1" s="9"/>
      <c r="IQ1" s="9"/>
      <c r="IR1" s="9"/>
      <c r="IS1" s="9"/>
      <c r="IT1" s="9"/>
      <c r="IU1" s="9"/>
      <c r="IV1" s="9"/>
    </row>
    <row r="2" s="8" customFormat="1" ht="15" spans="1:257">
      <c r="A2" s="15"/>
      <c r="B2" s="16" t="s">
        <v>2618</v>
      </c>
      <c r="C2" s="17">
        <f>'数据-取费表'!B22</f>
        <v>3</v>
      </c>
      <c r="D2" s="12" t="s">
        <v>2619</v>
      </c>
      <c r="E2" s="18">
        <f ca="1">INDIRECT("I"&amp;$I$1)/100</f>
        <v>0.0475</v>
      </c>
      <c r="G2" s="15"/>
      <c r="H2" s="15"/>
      <c r="I2" s="15" t="s">
        <v>2619</v>
      </c>
      <c r="K2" s="15"/>
      <c r="L2" s="15"/>
      <c r="M2" s="15"/>
      <c r="N2" s="15" t="s">
        <v>2620</v>
      </c>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c r="BA2" s="15"/>
      <c r="BB2" s="15"/>
      <c r="BC2" s="15"/>
      <c r="BD2" s="15"/>
      <c r="BE2" s="15"/>
      <c r="BF2" s="15"/>
      <c r="BG2" s="15"/>
      <c r="BH2" s="15"/>
      <c r="BI2" s="15"/>
      <c r="BJ2" s="15"/>
      <c r="BK2" s="15"/>
      <c r="BL2" s="15"/>
      <c r="BM2" s="15"/>
      <c r="BN2" s="15"/>
      <c r="BO2" s="15"/>
      <c r="BP2" s="15"/>
      <c r="BQ2" s="15"/>
      <c r="BR2" s="15"/>
      <c r="BS2" s="15"/>
      <c r="BT2" s="15"/>
      <c r="BU2" s="15"/>
      <c r="BV2" s="15"/>
      <c r="BW2" s="15"/>
      <c r="BX2" s="15"/>
      <c r="BY2" s="15"/>
      <c r="BZ2" s="15"/>
      <c r="CA2" s="15"/>
      <c r="CB2" s="15"/>
      <c r="CC2" s="15"/>
      <c r="CD2" s="15"/>
      <c r="CE2" s="15"/>
      <c r="CF2" s="15"/>
      <c r="CG2" s="15"/>
      <c r="CH2" s="15"/>
      <c r="CI2" s="15"/>
      <c r="CJ2" s="15"/>
      <c r="CK2" s="15"/>
      <c r="CL2" s="15"/>
      <c r="CM2" s="15"/>
      <c r="CN2" s="15"/>
      <c r="CO2" s="15"/>
      <c r="CP2" s="15"/>
      <c r="CQ2" s="15"/>
      <c r="CR2" s="15"/>
      <c r="CS2" s="15"/>
      <c r="CT2" s="15"/>
      <c r="CU2" s="15"/>
      <c r="CV2" s="15"/>
      <c r="CW2" s="15"/>
      <c r="CX2" s="15"/>
      <c r="CY2" s="15"/>
      <c r="CZ2" s="15"/>
      <c r="DA2" s="15"/>
      <c r="DB2" s="15"/>
      <c r="DC2" s="15"/>
      <c r="DD2" s="15"/>
      <c r="DE2" s="15"/>
      <c r="DF2" s="15"/>
      <c r="DG2" s="15"/>
      <c r="DH2" s="15"/>
      <c r="DI2" s="15"/>
      <c r="DJ2" s="15"/>
      <c r="DK2" s="15"/>
      <c r="DL2" s="15"/>
      <c r="DM2" s="15"/>
      <c r="DN2" s="15"/>
      <c r="DO2" s="15"/>
      <c r="DP2" s="15"/>
      <c r="DQ2" s="15"/>
      <c r="DR2" s="15"/>
      <c r="DS2" s="15"/>
      <c r="DT2" s="15"/>
      <c r="DU2" s="15"/>
      <c r="DV2" s="15"/>
      <c r="DW2" s="15"/>
      <c r="DX2" s="15"/>
      <c r="DY2" s="15"/>
      <c r="DZ2" s="15"/>
      <c r="EA2" s="15"/>
      <c r="EB2" s="15"/>
      <c r="EC2" s="15"/>
      <c r="ED2" s="15"/>
      <c r="EE2" s="15"/>
      <c r="EF2" s="15"/>
      <c r="EG2" s="15"/>
      <c r="EH2" s="15"/>
      <c r="EI2" s="15"/>
      <c r="EJ2" s="15"/>
      <c r="EK2" s="15"/>
      <c r="EL2" s="15"/>
      <c r="EM2" s="15"/>
      <c r="EN2" s="15"/>
      <c r="EO2" s="15"/>
      <c r="EP2" s="15"/>
      <c r="EQ2" s="15"/>
      <c r="ER2" s="15"/>
      <c r="ES2" s="15"/>
      <c r="ET2" s="15"/>
      <c r="EU2" s="15"/>
      <c r="EV2" s="15"/>
      <c r="EW2" s="15"/>
      <c r="EX2" s="15"/>
      <c r="EY2" s="15"/>
      <c r="EZ2" s="15"/>
      <c r="FA2" s="15"/>
      <c r="FB2" s="15"/>
      <c r="FC2" s="15"/>
      <c r="FD2" s="15"/>
      <c r="FE2" s="15"/>
      <c r="FF2" s="15"/>
      <c r="FG2" s="15"/>
      <c r="FH2" s="15"/>
      <c r="FI2" s="15"/>
      <c r="FJ2" s="15"/>
      <c r="FK2" s="15"/>
      <c r="FL2" s="15"/>
      <c r="FM2" s="15"/>
      <c r="FN2" s="15"/>
      <c r="FO2" s="15"/>
      <c r="FP2" s="15"/>
      <c r="FQ2" s="15"/>
      <c r="FR2" s="15"/>
      <c r="FS2" s="15"/>
      <c r="FT2" s="15"/>
      <c r="FU2" s="15"/>
      <c r="FV2" s="15"/>
      <c r="FW2" s="15"/>
      <c r="FX2" s="15"/>
      <c r="FY2" s="15"/>
      <c r="FZ2" s="15"/>
      <c r="GA2" s="15"/>
      <c r="GB2" s="15"/>
      <c r="GC2" s="15"/>
      <c r="GD2" s="15"/>
      <c r="GE2" s="15"/>
      <c r="GF2" s="15"/>
      <c r="GG2" s="15"/>
      <c r="GH2" s="15"/>
      <c r="GI2" s="15"/>
      <c r="GJ2" s="15"/>
      <c r="GK2" s="15"/>
      <c r="GL2" s="15"/>
      <c r="GM2" s="15"/>
      <c r="GN2" s="15"/>
      <c r="GO2" s="15"/>
      <c r="GP2" s="15"/>
      <c r="GQ2" s="15"/>
      <c r="GR2" s="15"/>
      <c r="GS2" s="15"/>
      <c r="GT2" s="15"/>
      <c r="GU2" s="15"/>
      <c r="GV2" s="15"/>
      <c r="GW2" s="15"/>
      <c r="GX2" s="15"/>
      <c r="GY2" s="15"/>
      <c r="GZ2" s="15"/>
      <c r="HA2" s="15"/>
      <c r="HB2" s="15"/>
      <c r="HC2" s="15"/>
      <c r="HD2" s="15"/>
      <c r="HE2" s="15"/>
      <c r="HF2" s="15"/>
      <c r="HG2" s="15"/>
      <c r="HH2" s="15"/>
      <c r="HI2" s="15"/>
      <c r="HJ2" s="15"/>
      <c r="HK2" s="15"/>
      <c r="HL2" s="15"/>
      <c r="HM2" s="15"/>
      <c r="HN2" s="15"/>
      <c r="HO2" s="15"/>
      <c r="HP2" s="15"/>
      <c r="HQ2" s="15"/>
      <c r="HR2" s="15"/>
      <c r="HS2" s="15"/>
      <c r="HT2" s="15"/>
      <c r="HU2" s="15"/>
      <c r="HV2" s="15"/>
      <c r="HW2" s="15"/>
      <c r="HX2" s="15"/>
      <c r="HY2" s="15"/>
      <c r="HZ2" s="15"/>
      <c r="IA2" s="15"/>
      <c r="IB2" s="15"/>
      <c r="IC2" s="15"/>
      <c r="ID2" s="15"/>
      <c r="IE2" s="15"/>
      <c r="IF2" s="15"/>
      <c r="IG2" s="15"/>
      <c r="IH2" s="15"/>
      <c r="II2" s="15"/>
      <c r="IJ2" s="15"/>
      <c r="IK2" s="15"/>
      <c r="IL2" s="15"/>
      <c r="IM2" s="15"/>
      <c r="IN2" s="15"/>
      <c r="IO2" s="15"/>
      <c r="IP2" s="15"/>
      <c r="IQ2" s="15"/>
      <c r="IR2" s="15"/>
      <c r="IS2" s="15"/>
      <c r="IT2" s="15"/>
      <c r="IU2" s="15"/>
      <c r="IV2" s="15"/>
      <c r="IW2" s="15"/>
    </row>
    <row r="3" s="8" customFormat="1" spans="1:256">
      <c r="A3" s="9"/>
      <c r="B3" s="12" t="s">
        <v>2621</v>
      </c>
      <c r="C3" s="19">
        <f>'数据-取费表'!B19</f>
        <v>1</v>
      </c>
      <c r="D3" s="12" t="s">
        <v>2619</v>
      </c>
      <c r="E3" s="18">
        <f ca="1">INDIRECT("J"&amp;$J$1)/100</f>
        <v>0.0435</v>
      </c>
      <c r="G3" s="20" t="s">
        <v>2622</v>
      </c>
      <c r="H3" s="21">
        <v>0</v>
      </c>
      <c r="I3" s="54">
        <f ca="1">INDIRECT("d"&amp;$H$1)</f>
        <v>4.35</v>
      </c>
      <c r="J3" s="54">
        <f ca="1">INDIRECT("d"&amp;$H$1)</f>
        <v>4.35</v>
      </c>
      <c r="K3" s="9"/>
      <c r="L3" s="9"/>
      <c r="M3" s="55">
        <v>0.5</v>
      </c>
      <c r="N3" s="56">
        <f ca="1">INDIRECT("p"&amp;$N$1)</f>
        <v>1.3</v>
      </c>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c r="AY3" s="9"/>
      <c r="AZ3" s="9"/>
      <c r="BA3" s="9"/>
      <c r="BB3" s="9"/>
      <c r="BC3" s="9"/>
      <c r="BD3" s="9"/>
      <c r="BE3" s="9"/>
      <c r="BF3" s="9"/>
      <c r="BG3" s="9"/>
      <c r="BH3" s="9"/>
      <c r="BI3" s="9"/>
      <c r="BJ3" s="9"/>
      <c r="BK3" s="9"/>
      <c r="BL3" s="9"/>
      <c r="BM3" s="9"/>
      <c r="BN3" s="9"/>
      <c r="BO3" s="9"/>
      <c r="BP3" s="9"/>
      <c r="BQ3" s="9"/>
      <c r="BR3" s="9"/>
      <c r="BS3" s="9"/>
      <c r="BT3" s="9"/>
      <c r="BU3" s="9"/>
      <c r="BV3" s="9"/>
      <c r="BW3" s="9"/>
      <c r="BX3" s="9"/>
      <c r="BY3" s="9"/>
      <c r="BZ3" s="9"/>
      <c r="CA3" s="9"/>
      <c r="CB3" s="9"/>
      <c r="CC3" s="9"/>
      <c r="CD3" s="9"/>
      <c r="CE3" s="9"/>
      <c r="CF3" s="9"/>
      <c r="CG3" s="9"/>
      <c r="CH3" s="9"/>
      <c r="CI3" s="9"/>
      <c r="CJ3" s="9"/>
      <c r="CK3" s="9"/>
      <c r="CL3" s="9"/>
      <c r="CM3" s="9"/>
      <c r="CN3" s="9"/>
      <c r="CO3" s="9"/>
      <c r="CP3" s="9"/>
      <c r="CQ3" s="9"/>
      <c r="CR3" s="9"/>
      <c r="CS3" s="9"/>
      <c r="CT3" s="9"/>
      <c r="CU3" s="9"/>
      <c r="CV3" s="9"/>
      <c r="CW3" s="9"/>
      <c r="CX3" s="9"/>
      <c r="CY3" s="9"/>
      <c r="CZ3" s="9"/>
      <c r="DA3" s="9"/>
      <c r="DB3" s="9"/>
      <c r="DC3" s="9"/>
      <c r="DD3" s="9"/>
      <c r="DE3" s="9"/>
      <c r="DF3" s="9"/>
      <c r="DG3" s="9"/>
      <c r="DH3" s="9"/>
      <c r="DI3" s="9"/>
      <c r="DJ3" s="9"/>
      <c r="DK3" s="9"/>
      <c r="DL3" s="9"/>
      <c r="DM3" s="9"/>
      <c r="DN3" s="9"/>
      <c r="DO3" s="9"/>
      <c r="DP3" s="9"/>
      <c r="DQ3" s="9"/>
      <c r="DR3" s="9"/>
      <c r="DS3" s="9"/>
      <c r="DT3" s="9"/>
      <c r="DU3" s="9"/>
      <c r="DV3" s="9"/>
      <c r="DW3" s="9"/>
      <c r="DX3" s="9"/>
      <c r="DY3" s="9"/>
      <c r="DZ3" s="9"/>
      <c r="EA3" s="9"/>
      <c r="EB3" s="9"/>
      <c r="EC3" s="9"/>
      <c r="ED3" s="9"/>
      <c r="EE3" s="9"/>
      <c r="EF3" s="9"/>
      <c r="EG3" s="9"/>
      <c r="EH3" s="9"/>
      <c r="EI3" s="9"/>
      <c r="EJ3" s="9"/>
      <c r="EK3" s="9"/>
      <c r="EL3" s="9"/>
      <c r="EM3" s="9"/>
      <c r="EN3" s="9"/>
      <c r="EO3" s="9"/>
      <c r="EP3" s="9"/>
      <c r="EQ3" s="9"/>
      <c r="ER3" s="9"/>
      <c r="ES3" s="9"/>
      <c r="ET3" s="9"/>
      <c r="EU3" s="9"/>
      <c r="EV3" s="9"/>
      <c r="EW3" s="9"/>
      <c r="EX3" s="9"/>
      <c r="EY3" s="9"/>
      <c r="EZ3" s="9"/>
      <c r="FA3" s="9"/>
      <c r="FB3" s="9"/>
      <c r="FC3" s="9"/>
      <c r="FD3" s="9"/>
      <c r="FE3" s="9"/>
      <c r="FF3" s="9"/>
      <c r="FG3" s="9"/>
      <c r="FH3" s="9"/>
      <c r="FI3" s="9"/>
      <c r="FJ3" s="9"/>
      <c r="FK3" s="9"/>
      <c r="FL3" s="9"/>
      <c r="FM3" s="9"/>
      <c r="FN3" s="9"/>
      <c r="FO3" s="9"/>
      <c r="FP3" s="9"/>
      <c r="FQ3" s="9"/>
      <c r="FR3" s="9"/>
      <c r="FS3" s="9"/>
      <c r="FT3" s="9"/>
      <c r="FU3" s="9"/>
      <c r="FV3" s="9"/>
      <c r="FW3" s="9"/>
      <c r="FX3" s="9"/>
      <c r="FY3" s="9"/>
      <c r="FZ3" s="9"/>
      <c r="GA3" s="9"/>
      <c r="GB3" s="9"/>
      <c r="GC3" s="9"/>
      <c r="GD3" s="9"/>
      <c r="GE3" s="9"/>
      <c r="GF3" s="9"/>
      <c r="GG3" s="9"/>
      <c r="GH3" s="9"/>
      <c r="GI3" s="9"/>
      <c r="GJ3" s="9"/>
      <c r="GK3" s="9"/>
      <c r="GL3" s="9"/>
      <c r="GM3" s="9"/>
      <c r="GN3" s="9"/>
      <c r="GO3" s="9"/>
      <c r="GP3" s="9"/>
      <c r="GQ3" s="9"/>
      <c r="GR3" s="9"/>
      <c r="GS3" s="9"/>
      <c r="GT3" s="9"/>
      <c r="GU3" s="9"/>
      <c r="GV3" s="9"/>
      <c r="GW3" s="9"/>
      <c r="GX3" s="9"/>
      <c r="GY3" s="9"/>
      <c r="GZ3" s="9"/>
      <c r="HA3" s="9"/>
      <c r="HB3" s="9"/>
      <c r="HC3" s="9"/>
      <c r="HD3" s="9"/>
      <c r="HE3" s="9"/>
      <c r="HF3" s="9"/>
      <c r="HG3" s="9"/>
      <c r="HH3" s="9"/>
      <c r="HI3" s="9"/>
      <c r="HJ3" s="9"/>
      <c r="HK3" s="9"/>
      <c r="HL3" s="9"/>
      <c r="HM3" s="9"/>
      <c r="HN3" s="9"/>
      <c r="HO3" s="9"/>
      <c r="HP3" s="9"/>
      <c r="HQ3" s="9"/>
      <c r="HR3" s="9"/>
      <c r="HS3" s="9"/>
      <c r="HT3" s="9"/>
      <c r="HU3" s="9"/>
      <c r="HV3" s="9"/>
      <c r="HW3" s="9"/>
      <c r="HX3" s="9"/>
      <c r="HY3" s="9"/>
      <c r="HZ3" s="9"/>
      <c r="IA3" s="9"/>
      <c r="IB3" s="9"/>
      <c r="IC3" s="9"/>
      <c r="ID3" s="9"/>
      <c r="IE3" s="9"/>
      <c r="IF3" s="9"/>
      <c r="IG3" s="9"/>
      <c r="IH3" s="9"/>
      <c r="II3" s="9"/>
      <c r="IJ3" s="9"/>
      <c r="IK3" s="9"/>
      <c r="IL3" s="9"/>
      <c r="IM3" s="9"/>
      <c r="IN3" s="9"/>
      <c r="IO3" s="9"/>
      <c r="IP3" s="9"/>
      <c r="IQ3" s="9"/>
      <c r="IR3" s="9"/>
      <c r="IS3" s="9"/>
      <c r="IT3" s="9"/>
      <c r="IU3" s="9"/>
      <c r="IV3" s="9"/>
    </row>
    <row r="4" s="8" customFormat="1" spans="1:256">
      <c r="A4" s="9"/>
      <c r="B4" s="12" t="s">
        <v>2623</v>
      </c>
      <c r="C4" s="18">
        <f ca="1">N4/100</f>
        <v>0.015</v>
      </c>
      <c r="G4" s="22" t="s">
        <v>2624</v>
      </c>
      <c r="H4" s="23">
        <v>0.5</v>
      </c>
      <c r="I4" s="57">
        <f ca="1">INDIRECT("e"&amp;$H$1)</f>
        <v>4.35</v>
      </c>
      <c r="J4" s="57">
        <f ca="1">INDIRECT("e"&amp;$H$1)</f>
        <v>4.35</v>
      </c>
      <c r="K4" s="9"/>
      <c r="L4" s="9"/>
      <c r="M4" s="58">
        <v>1</v>
      </c>
      <c r="N4" s="59">
        <f ca="1">INDIRECT("q"&amp;$N$1)</f>
        <v>1.5</v>
      </c>
      <c r="O4" s="9"/>
      <c r="P4" s="9"/>
      <c r="Q4" s="9"/>
      <c r="R4" s="9"/>
      <c r="S4" s="9"/>
      <c r="T4" s="9"/>
      <c r="U4" s="9"/>
      <c r="V4" s="9"/>
      <c r="W4" s="9"/>
      <c r="X4" s="9"/>
      <c r="Y4" s="9"/>
      <c r="Z4" s="9"/>
      <c r="AA4" s="9"/>
      <c r="AB4" s="9"/>
      <c r="AC4" s="9"/>
      <c r="AD4" s="9"/>
      <c r="AE4" s="9"/>
      <c r="AF4" s="9"/>
      <c r="AG4" s="9"/>
      <c r="AH4" s="9"/>
      <c r="AI4" s="9"/>
      <c r="AJ4" s="9"/>
      <c r="AK4" s="9"/>
      <c r="AL4" s="9"/>
      <c r="AM4" s="9"/>
      <c r="AN4" s="9"/>
      <c r="AO4" s="9"/>
      <c r="AP4" s="9"/>
      <c r="AQ4" s="9"/>
      <c r="AR4" s="9"/>
      <c r="AS4" s="9"/>
      <c r="AT4" s="9"/>
      <c r="AU4" s="9"/>
      <c r="AV4" s="9"/>
      <c r="AW4" s="9"/>
      <c r="AX4" s="9"/>
      <c r="AY4" s="9"/>
      <c r="AZ4" s="9"/>
      <c r="BA4" s="9"/>
      <c r="BB4" s="9"/>
      <c r="BC4" s="9"/>
      <c r="BD4" s="9"/>
      <c r="BE4" s="9"/>
      <c r="BF4" s="9"/>
      <c r="BG4" s="9"/>
      <c r="BH4" s="9"/>
      <c r="BI4" s="9"/>
      <c r="BJ4" s="9"/>
      <c r="BK4" s="9"/>
      <c r="BL4" s="9"/>
      <c r="BM4" s="9"/>
      <c r="BN4" s="9"/>
      <c r="BO4" s="9"/>
      <c r="BP4" s="9"/>
      <c r="BQ4" s="9"/>
      <c r="BR4" s="9"/>
      <c r="BS4" s="9"/>
      <c r="BT4" s="9"/>
      <c r="BU4" s="9"/>
      <c r="BV4" s="9"/>
      <c r="BW4" s="9"/>
      <c r="BX4" s="9"/>
      <c r="BY4" s="9"/>
      <c r="BZ4" s="9"/>
      <c r="CA4" s="9"/>
      <c r="CB4" s="9"/>
      <c r="CC4" s="9"/>
      <c r="CD4" s="9"/>
      <c r="CE4" s="9"/>
      <c r="CF4" s="9"/>
      <c r="CG4" s="9"/>
      <c r="CH4" s="9"/>
      <c r="CI4" s="9"/>
      <c r="CJ4" s="9"/>
      <c r="CK4" s="9"/>
      <c r="CL4" s="9"/>
      <c r="CM4" s="9"/>
      <c r="CN4" s="9"/>
      <c r="CO4" s="9"/>
      <c r="CP4" s="9"/>
      <c r="CQ4" s="9"/>
      <c r="CR4" s="9"/>
      <c r="CS4" s="9"/>
      <c r="CT4" s="9"/>
      <c r="CU4" s="9"/>
      <c r="CV4" s="9"/>
      <c r="CW4" s="9"/>
      <c r="CX4" s="9"/>
      <c r="CY4" s="9"/>
      <c r="CZ4" s="9"/>
      <c r="DA4" s="9"/>
      <c r="DB4" s="9"/>
      <c r="DC4" s="9"/>
      <c r="DD4" s="9"/>
      <c r="DE4" s="9"/>
      <c r="DF4" s="9"/>
      <c r="DG4" s="9"/>
      <c r="DH4" s="9"/>
      <c r="DI4" s="9"/>
      <c r="DJ4" s="9"/>
      <c r="DK4" s="9"/>
      <c r="DL4" s="9"/>
      <c r="DM4" s="9"/>
      <c r="DN4" s="9"/>
      <c r="DO4" s="9"/>
      <c r="DP4" s="9"/>
      <c r="DQ4" s="9"/>
      <c r="DR4" s="9"/>
      <c r="DS4" s="9"/>
      <c r="DT4" s="9"/>
      <c r="DU4" s="9"/>
      <c r="DV4" s="9"/>
      <c r="DW4" s="9"/>
      <c r="DX4" s="9"/>
      <c r="DY4" s="9"/>
      <c r="DZ4" s="9"/>
      <c r="EA4" s="9"/>
      <c r="EB4" s="9"/>
      <c r="EC4" s="9"/>
      <c r="ED4" s="9"/>
      <c r="EE4" s="9"/>
      <c r="EF4" s="9"/>
      <c r="EG4" s="9"/>
      <c r="EH4" s="9"/>
      <c r="EI4" s="9"/>
      <c r="EJ4" s="9"/>
      <c r="EK4" s="9"/>
      <c r="EL4" s="9"/>
      <c r="EM4" s="9"/>
      <c r="EN4" s="9"/>
      <c r="EO4" s="9"/>
      <c r="EP4" s="9"/>
      <c r="EQ4" s="9"/>
      <c r="ER4" s="9"/>
      <c r="ES4" s="9"/>
      <c r="ET4" s="9"/>
      <c r="EU4" s="9"/>
      <c r="EV4" s="9"/>
      <c r="EW4" s="9"/>
      <c r="EX4" s="9"/>
      <c r="EY4" s="9"/>
      <c r="EZ4" s="9"/>
      <c r="FA4" s="9"/>
      <c r="FB4" s="9"/>
      <c r="FC4" s="9"/>
      <c r="FD4" s="9"/>
      <c r="FE4" s="9"/>
      <c r="FF4" s="9"/>
      <c r="FG4" s="9"/>
      <c r="FH4" s="9"/>
      <c r="FI4" s="9"/>
      <c r="FJ4" s="9"/>
      <c r="FK4" s="9"/>
      <c r="FL4" s="9"/>
      <c r="FM4" s="9"/>
      <c r="FN4" s="9"/>
      <c r="FO4" s="9"/>
      <c r="FP4" s="9"/>
      <c r="FQ4" s="9"/>
      <c r="FR4" s="9"/>
      <c r="FS4" s="9"/>
      <c r="FT4" s="9"/>
      <c r="FU4" s="9"/>
      <c r="FV4" s="9"/>
      <c r="FW4" s="9"/>
      <c r="FX4" s="9"/>
      <c r="FY4" s="9"/>
      <c r="FZ4" s="9"/>
      <c r="GA4" s="9"/>
      <c r="GB4" s="9"/>
      <c r="GC4" s="9"/>
      <c r="GD4" s="9"/>
      <c r="GE4" s="9"/>
      <c r="GF4" s="9"/>
      <c r="GG4" s="9"/>
      <c r="GH4" s="9"/>
      <c r="GI4" s="9"/>
      <c r="GJ4" s="9"/>
      <c r="GK4" s="9"/>
      <c r="GL4" s="9"/>
      <c r="GM4" s="9"/>
      <c r="GN4" s="9"/>
      <c r="GO4" s="9"/>
      <c r="GP4" s="9"/>
      <c r="GQ4" s="9"/>
      <c r="GR4" s="9"/>
      <c r="GS4" s="9"/>
      <c r="GT4" s="9"/>
      <c r="GU4" s="9"/>
      <c r="GV4" s="9"/>
      <c r="GW4" s="9"/>
      <c r="GX4" s="9"/>
      <c r="GY4" s="9"/>
      <c r="GZ4" s="9"/>
      <c r="HA4" s="9"/>
      <c r="HB4" s="9"/>
      <c r="HC4" s="9"/>
      <c r="HD4" s="9"/>
      <c r="HE4" s="9"/>
      <c r="HF4" s="9"/>
      <c r="HG4" s="9"/>
      <c r="HH4" s="9"/>
      <c r="HI4" s="9"/>
      <c r="HJ4" s="9"/>
      <c r="HK4" s="9"/>
      <c r="HL4" s="9"/>
      <c r="HM4" s="9"/>
      <c r="HN4" s="9"/>
      <c r="HO4" s="9"/>
      <c r="HP4" s="9"/>
      <c r="HQ4" s="9"/>
      <c r="HR4" s="9"/>
      <c r="HS4" s="9"/>
      <c r="HT4" s="9"/>
      <c r="HU4" s="9"/>
      <c r="HV4" s="9"/>
      <c r="HW4" s="9"/>
      <c r="HX4" s="9"/>
      <c r="HY4" s="9"/>
      <c r="HZ4" s="9"/>
      <c r="IA4" s="9"/>
      <c r="IB4" s="9"/>
      <c r="IC4" s="9"/>
      <c r="ID4" s="9"/>
      <c r="IE4" s="9"/>
      <c r="IF4" s="9"/>
      <c r="IG4" s="9"/>
      <c r="IH4" s="9"/>
      <c r="II4" s="9"/>
      <c r="IJ4" s="9"/>
      <c r="IK4" s="9"/>
      <c r="IL4" s="9"/>
      <c r="IM4" s="9"/>
      <c r="IN4" s="9"/>
      <c r="IO4" s="9"/>
      <c r="IP4" s="9"/>
      <c r="IQ4" s="9"/>
      <c r="IR4" s="9"/>
      <c r="IS4" s="9"/>
      <c r="IT4" s="9"/>
      <c r="IU4" s="9"/>
      <c r="IV4" s="9"/>
    </row>
    <row r="5" s="8" customFormat="1" spans="1:256">
      <c r="A5" s="9"/>
      <c r="G5" s="22" t="s">
        <v>2625</v>
      </c>
      <c r="H5" s="23">
        <v>1</v>
      </c>
      <c r="I5" s="57">
        <f ca="1">INDIRECT("f"&amp;$H$1)</f>
        <v>4.75</v>
      </c>
      <c r="J5" s="57">
        <f ca="1">INDIRECT("f"&amp;$H$1)</f>
        <v>4.75</v>
      </c>
      <c r="K5" s="9"/>
      <c r="L5" s="9"/>
      <c r="M5" s="58">
        <v>2</v>
      </c>
      <c r="N5" s="59">
        <f ca="1">INDIRECT("r"&amp;$N$1)</f>
        <v>2.1</v>
      </c>
      <c r="O5" s="9"/>
      <c r="P5" s="9"/>
      <c r="Q5" s="9"/>
      <c r="R5" s="9"/>
      <c r="S5" s="9"/>
      <c r="T5" s="9"/>
      <c r="U5" s="9"/>
      <c r="V5" s="9"/>
      <c r="W5" s="9"/>
      <c r="X5" s="9"/>
      <c r="Y5" s="9"/>
      <c r="Z5" s="9"/>
      <c r="AA5" s="9"/>
      <c r="AB5" s="9"/>
      <c r="AC5" s="9"/>
      <c r="AD5" s="9"/>
      <c r="AE5" s="9"/>
      <c r="AF5" s="9"/>
      <c r="AG5" s="9"/>
      <c r="AH5" s="9"/>
      <c r="AI5" s="9"/>
      <c r="AJ5" s="9"/>
      <c r="AK5" s="9"/>
      <c r="AL5" s="9"/>
      <c r="AM5" s="9"/>
      <c r="AN5" s="9"/>
      <c r="AO5" s="9"/>
      <c r="AP5" s="9"/>
      <c r="AQ5" s="9"/>
      <c r="AR5" s="9"/>
      <c r="AS5" s="9"/>
      <c r="AT5" s="9"/>
      <c r="AU5" s="9"/>
      <c r="AV5" s="9"/>
      <c r="AW5" s="9"/>
      <c r="AX5" s="9"/>
      <c r="AY5" s="9"/>
      <c r="AZ5" s="9"/>
      <c r="BA5" s="9"/>
      <c r="BB5" s="9"/>
      <c r="BC5" s="9"/>
      <c r="BD5" s="9"/>
      <c r="BE5" s="9"/>
      <c r="BF5" s="9"/>
      <c r="BG5" s="9"/>
      <c r="BH5" s="9"/>
      <c r="BI5" s="9"/>
      <c r="BJ5" s="9"/>
      <c r="BK5" s="9"/>
      <c r="BL5" s="9"/>
      <c r="BM5" s="9"/>
      <c r="BN5" s="9"/>
      <c r="BO5" s="9"/>
      <c r="BP5" s="9"/>
      <c r="BQ5" s="9"/>
      <c r="BR5" s="9"/>
      <c r="BS5" s="9"/>
      <c r="BT5" s="9"/>
      <c r="BU5" s="9"/>
      <c r="BV5" s="9"/>
      <c r="BW5" s="9"/>
      <c r="BX5" s="9"/>
      <c r="BY5" s="9"/>
      <c r="BZ5" s="9"/>
      <c r="CA5" s="9"/>
      <c r="CB5" s="9"/>
      <c r="CC5" s="9"/>
      <c r="CD5" s="9"/>
      <c r="CE5" s="9"/>
      <c r="CF5" s="9"/>
      <c r="CG5" s="9"/>
      <c r="CH5" s="9"/>
      <c r="CI5" s="9"/>
      <c r="CJ5" s="9"/>
      <c r="CK5" s="9"/>
      <c r="CL5" s="9"/>
      <c r="CM5" s="9"/>
      <c r="CN5" s="9"/>
      <c r="CO5" s="9"/>
      <c r="CP5" s="9"/>
      <c r="CQ5" s="9"/>
      <c r="CR5" s="9"/>
      <c r="CS5" s="9"/>
      <c r="CT5" s="9"/>
      <c r="CU5" s="9"/>
      <c r="CV5" s="9"/>
      <c r="CW5" s="9"/>
      <c r="CX5" s="9"/>
      <c r="CY5" s="9"/>
      <c r="CZ5" s="9"/>
      <c r="DA5" s="9"/>
      <c r="DB5" s="9"/>
      <c r="DC5" s="9"/>
      <c r="DD5" s="9"/>
      <c r="DE5" s="9"/>
      <c r="DF5" s="9"/>
      <c r="DG5" s="9"/>
      <c r="DH5" s="9"/>
      <c r="DI5" s="9"/>
      <c r="DJ5" s="9"/>
      <c r="DK5" s="9"/>
      <c r="DL5" s="9"/>
      <c r="DM5" s="9"/>
      <c r="DN5" s="9"/>
      <c r="DO5" s="9"/>
      <c r="DP5" s="9"/>
      <c r="DQ5" s="9"/>
      <c r="DR5" s="9"/>
      <c r="DS5" s="9"/>
      <c r="DT5" s="9"/>
      <c r="DU5" s="9"/>
      <c r="DV5" s="9"/>
      <c r="DW5" s="9"/>
      <c r="DX5" s="9"/>
      <c r="DY5" s="9"/>
      <c r="DZ5" s="9"/>
      <c r="EA5" s="9"/>
      <c r="EB5" s="9"/>
      <c r="EC5" s="9"/>
      <c r="ED5" s="9"/>
      <c r="EE5" s="9"/>
      <c r="EF5" s="9"/>
      <c r="EG5" s="9"/>
      <c r="EH5" s="9"/>
      <c r="EI5" s="9"/>
      <c r="EJ5" s="9"/>
      <c r="EK5" s="9"/>
      <c r="EL5" s="9"/>
      <c r="EM5" s="9"/>
      <c r="EN5" s="9"/>
      <c r="EO5" s="9"/>
      <c r="EP5" s="9"/>
      <c r="EQ5" s="9"/>
      <c r="ER5" s="9"/>
      <c r="ES5" s="9"/>
      <c r="ET5" s="9"/>
      <c r="EU5" s="9"/>
      <c r="EV5" s="9"/>
      <c r="EW5" s="9"/>
      <c r="EX5" s="9"/>
      <c r="EY5" s="9"/>
      <c r="EZ5" s="9"/>
      <c r="FA5" s="9"/>
      <c r="FB5" s="9"/>
      <c r="FC5" s="9"/>
      <c r="FD5" s="9"/>
      <c r="FE5" s="9"/>
      <c r="FF5" s="9"/>
      <c r="FG5" s="9"/>
      <c r="FH5" s="9"/>
      <c r="FI5" s="9"/>
      <c r="FJ5" s="9"/>
      <c r="FK5" s="9"/>
      <c r="FL5" s="9"/>
      <c r="FM5" s="9"/>
      <c r="FN5" s="9"/>
      <c r="FO5" s="9"/>
      <c r="FP5" s="9"/>
      <c r="FQ5" s="9"/>
      <c r="FR5" s="9"/>
      <c r="FS5" s="9"/>
      <c r="FT5" s="9"/>
      <c r="FU5" s="9"/>
      <c r="FV5" s="9"/>
      <c r="FW5" s="9"/>
      <c r="FX5" s="9"/>
      <c r="FY5" s="9"/>
      <c r="FZ5" s="9"/>
      <c r="GA5" s="9"/>
      <c r="GB5" s="9"/>
      <c r="GC5" s="9"/>
      <c r="GD5" s="9"/>
      <c r="GE5" s="9"/>
      <c r="GF5" s="9"/>
      <c r="GG5" s="9"/>
      <c r="GH5" s="9"/>
      <c r="GI5" s="9"/>
      <c r="GJ5" s="9"/>
      <c r="GK5" s="9"/>
      <c r="GL5" s="9"/>
      <c r="GM5" s="9"/>
      <c r="GN5" s="9"/>
      <c r="GO5" s="9"/>
      <c r="GP5" s="9"/>
      <c r="GQ5" s="9"/>
      <c r="GR5" s="9"/>
      <c r="GS5" s="9"/>
      <c r="GT5" s="9"/>
      <c r="GU5" s="9"/>
      <c r="GV5" s="9"/>
      <c r="GW5" s="9"/>
      <c r="GX5" s="9"/>
      <c r="GY5" s="9"/>
      <c r="GZ5" s="9"/>
      <c r="HA5" s="9"/>
      <c r="HB5" s="9"/>
      <c r="HC5" s="9"/>
      <c r="HD5" s="9"/>
      <c r="HE5" s="9"/>
      <c r="HF5" s="9"/>
      <c r="HG5" s="9"/>
      <c r="HH5" s="9"/>
      <c r="HI5" s="9"/>
      <c r="HJ5" s="9"/>
      <c r="HK5" s="9"/>
      <c r="HL5" s="9"/>
      <c r="HM5" s="9"/>
      <c r="HN5" s="9"/>
      <c r="HO5" s="9"/>
      <c r="HP5" s="9"/>
      <c r="HQ5" s="9"/>
      <c r="HR5" s="9"/>
      <c r="HS5" s="9"/>
      <c r="HT5" s="9"/>
      <c r="HU5" s="9"/>
      <c r="HV5" s="9"/>
      <c r="HW5" s="9"/>
      <c r="HX5" s="9"/>
      <c r="HY5" s="9"/>
      <c r="HZ5" s="9"/>
      <c r="IA5" s="9"/>
      <c r="IB5" s="9"/>
      <c r="IC5" s="9"/>
      <c r="ID5" s="9"/>
      <c r="IE5" s="9"/>
      <c r="IF5" s="9"/>
      <c r="IG5" s="9"/>
      <c r="IH5" s="9"/>
      <c r="II5" s="9"/>
      <c r="IJ5" s="9"/>
      <c r="IK5" s="9"/>
      <c r="IL5" s="9"/>
      <c r="IM5" s="9"/>
      <c r="IN5" s="9"/>
      <c r="IO5" s="9"/>
      <c r="IP5" s="9"/>
      <c r="IQ5" s="9"/>
      <c r="IR5" s="9"/>
      <c r="IS5" s="9"/>
      <c r="IT5" s="9"/>
      <c r="IU5" s="9"/>
      <c r="IV5" s="9"/>
    </row>
    <row r="6" s="8" customFormat="1" spans="1:256">
      <c r="A6" s="9"/>
      <c r="G6" s="22" t="s">
        <v>2626</v>
      </c>
      <c r="H6" s="23">
        <v>3</v>
      </c>
      <c r="I6" s="57">
        <f ca="1">INDIRECT("g"&amp;$H$1)</f>
        <v>4.75</v>
      </c>
      <c r="J6" s="57">
        <f ca="1">INDIRECT("g"&amp;$H$1)</f>
        <v>4.75</v>
      </c>
      <c r="K6" s="9"/>
      <c r="L6" s="9"/>
      <c r="M6" s="58">
        <v>3</v>
      </c>
      <c r="N6" s="59">
        <f ca="1">INDIRECT("s"&amp;$N$1)</f>
        <v>2.75</v>
      </c>
      <c r="O6" s="9"/>
      <c r="P6" s="9"/>
      <c r="Q6" s="9"/>
      <c r="R6" s="9"/>
      <c r="S6" s="9"/>
      <c r="T6" s="9"/>
      <c r="U6" s="9"/>
      <c r="V6" s="9"/>
      <c r="W6" s="9"/>
      <c r="X6" s="9"/>
      <c r="Y6" s="9"/>
      <c r="Z6" s="9"/>
      <c r="AA6" s="9"/>
      <c r="AB6" s="9"/>
      <c r="AC6" s="9"/>
      <c r="AD6" s="9"/>
      <c r="AE6" s="9"/>
      <c r="AF6" s="9"/>
      <c r="AG6" s="9"/>
      <c r="AH6" s="9"/>
      <c r="AI6" s="9"/>
      <c r="AJ6" s="9"/>
      <c r="AK6" s="9"/>
      <c r="AL6" s="9"/>
      <c r="AM6" s="9"/>
      <c r="AN6" s="9"/>
      <c r="AO6" s="9"/>
      <c r="AP6" s="9"/>
      <c r="AQ6" s="9"/>
      <c r="AR6" s="9"/>
      <c r="AS6" s="9"/>
      <c r="AT6" s="9"/>
      <c r="AU6" s="9"/>
      <c r="AV6" s="9"/>
      <c r="AW6" s="9"/>
      <c r="AX6" s="9"/>
      <c r="AY6" s="9"/>
      <c r="AZ6" s="9"/>
      <c r="BA6" s="9"/>
      <c r="BB6" s="9"/>
      <c r="BC6" s="9"/>
      <c r="BD6" s="9"/>
      <c r="BE6" s="9"/>
      <c r="BF6" s="9"/>
      <c r="BG6" s="9"/>
      <c r="BH6" s="9"/>
      <c r="BI6" s="9"/>
      <c r="BJ6" s="9"/>
      <c r="BK6" s="9"/>
      <c r="BL6" s="9"/>
      <c r="BM6" s="9"/>
      <c r="BN6" s="9"/>
      <c r="BO6" s="9"/>
      <c r="BP6" s="9"/>
      <c r="BQ6" s="9"/>
      <c r="BR6" s="9"/>
      <c r="BS6" s="9"/>
      <c r="BT6" s="9"/>
      <c r="BU6" s="9"/>
      <c r="BV6" s="9"/>
      <c r="BW6" s="9"/>
      <c r="BX6" s="9"/>
      <c r="BY6" s="9"/>
      <c r="BZ6" s="9"/>
      <c r="CA6" s="9"/>
      <c r="CB6" s="9"/>
      <c r="CC6" s="9"/>
      <c r="CD6" s="9"/>
      <c r="CE6" s="9"/>
      <c r="CF6" s="9"/>
      <c r="CG6" s="9"/>
      <c r="CH6" s="9"/>
      <c r="CI6" s="9"/>
      <c r="CJ6" s="9"/>
      <c r="CK6" s="9"/>
      <c r="CL6" s="9"/>
      <c r="CM6" s="9"/>
      <c r="CN6" s="9"/>
      <c r="CO6" s="9"/>
      <c r="CP6" s="9"/>
      <c r="CQ6" s="9"/>
      <c r="CR6" s="9"/>
      <c r="CS6" s="9"/>
      <c r="CT6" s="9"/>
      <c r="CU6" s="9"/>
      <c r="CV6" s="9"/>
      <c r="CW6" s="9"/>
      <c r="CX6" s="9"/>
      <c r="CY6" s="9"/>
      <c r="CZ6" s="9"/>
      <c r="DA6" s="9"/>
      <c r="DB6" s="9"/>
      <c r="DC6" s="9"/>
      <c r="DD6" s="9"/>
      <c r="DE6" s="9"/>
      <c r="DF6" s="9"/>
      <c r="DG6" s="9"/>
      <c r="DH6" s="9"/>
      <c r="DI6" s="9"/>
      <c r="DJ6" s="9"/>
      <c r="DK6" s="9"/>
      <c r="DL6" s="9"/>
      <c r="DM6" s="9"/>
      <c r="DN6" s="9"/>
      <c r="DO6" s="9"/>
      <c r="DP6" s="9"/>
      <c r="DQ6" s="9"/>
      <c r="DR6" s="9"/>
      <c r="DS6" s="9"/>
      <c r="DT6" s="9"/>
      <c r="DU6" s="9"/>
      <c r="DV6" s="9"/>
      <c r="DW6" s="9"/>
      <c r="DX6" s="9"/>
      <c r="DY6" s="9"/>
      <c r="DZ6" s="9"/>
      <c r="EA6" s="9"/>
      <c r="EB6" s="9"/>
      <c r="EC6" s="9"/>
      <c r="ED6" s="9"/>
      <c r="EE6" s="9"/>
      <c r="EF6" s="9"/>
      <c r="EG6" s="9"/>
      <c r="EH6" s="9"/>
      <c r="EI6" s="9"/>
      <c r="EJ6" s="9"/>
      <c r="EK6" s="9"/>
      <c r="EL6" s="9"/>
      <c r="EM6" s="9"/>
      <c r="EN6" s="9"/>
      <c r="EO6" s="9"/>
      <c r="EP6" s="9"/>
      <c r="EQ6" s="9"/>
      <c r="ER6" s="9"/>
      <c r="ES6" s="9"/>
      <c r="ET6" s="9"/>
      <c r="EU6" s="9"/>
      <c r="EV6" s="9"/>
      <c r="EW6" s="9"/>
      <c r="EX6" s="9"/>
      <c r="EY6" s="9"/>
      <c r="EZ6" s="9"/>
      <c r="FA6" s="9"/>
      <c r="FB6" s="9"/>
      <c r="FC6" s="9"/>
      <c r="FD6" s="9"/>
      <c r="FE6" s="9"/>
      <c r="FF6" s="9"/>
      <c r="FG6" s="9"/>
      <c r="FH6" s="9"/>
      <c r="FI6" s="9"/>
      <c r="FJ6" s="9"/>
      <c r="FK6" s="9"/>
      <c r="FL6" s="9"/>
      <c r="FM6" s="9"/>
      <c r="FN6" s="9"/>
      <c r="FO6" s="9"/>
      <c r="FP6" s="9"/>
      <c r="FQ6" s="9"/>
      <c r="FR6" s="9"/>
      <c r="FS6" s="9"/>
      <c r="FT6" s="9"/>
      <c r="FU6" s="9"/>
      <c r="FV6" s="9"/>
      <c r="FW6" s="9"/>
      <c r="FX6" s="9"/>
      <c r="FY6" s="9"/>
      <c r="FZ6" s="9"/>
      <c r="GA6" s="9"/>
      <c r="GB6" s="9"/>
      <c r="GC6" s="9"/>
      <c r="GD6" s="9"/>
      <c r="GE6" s="9"/>
      <c r="GF6" s="9"/>
      <c r="GG6" s="9"/>
      <c r="GH6" s="9"/>
      <c r="GI6" s="9"/>
      <c r="GJ6" s="9"/>
      <c r="GK6" s="9"/>
      <c r="GL6" s="9"/>
      <c r="GM6" s="9"/>
      <c r="GN6" s="9"/>
      <c r="GO6" s="9"/>
      <c r="GP6" s="9"/>
      <c r="GQ6" s="9"/>
      <c r="GR6" s="9"/>
      <c r="GS6" s="9"/>
      <c r="GT6" s="9"/>
      <c r="GU6" s="9"/>
      <c r="GV6" s="9"/>
      <c r="GW6" s="9"/>
      <c r="GX6" s="9"/>
      <c r="GY6" s="9"/>
      <c r="GZ6" s="9"/>
      <c r="HA6" s="9"/>
      <c r="HB6" s="9"/>
      <c r="HC6" s="9"/>
      <c r="HD6" s="9"/>
      <c r="HE6" s="9"/>
      <c r="HF6" s="9"/>
      <c r="HG6" s="9"/>
      <c r="HH6" s="9"/>
      <c r="HI6" s="9"/>
      <c r="HJ6" s="9"/>
      <c r="HK6" s="9"/>
      <c r="HL6" s="9"/>
      <c r="HM6" s="9"/>
      <c r="HN6" s="9"/>
      <c r="HO6" s="9"/>
      <c r="HP6" s="9"/>
      <c r="HQ6" s="9"/>
      <c r="HR6" s="9"/>
      <c r="HS6" s="9"/>
      <c r="HT6" s="9"/>
      <c r="HU6" s="9"/>
      <c r="HV6" s="9"/>
      <c r="HW6" s="9"/>
      <c r="HX6" s="9"/>
      <c r="HY6" s="9"/>
      <c r="HZ6" s="9"/>
      <c r="IA6" s="9"/>
      <c r="IB6" s="9"/>
      <c r="IC6" s="9"/>
      <c r="ID6" s="9"/>
      <c r="IE6" s="9"/>
      <c r="IF6" s="9"/>
      <c r="IG6" s="9"/>
      <c r="IH6" s="9"/>
      <c r="II6" s="9"/>
      <c r="IJ6" s="9"/>
      <c r="IK6" s="9"/>
      <c r="IL6" s="9"/>
      <c r="IM6" s="9"/>
      <c r="IN6" s="9"/>
      <c r="IO6" s="9"/>
      <c r="IP6" s="9"/>
      <c r="IQ6" s="9"/>
      <c r="IR6" s="9"/>
      <c r="IS6" s="9"/>
      <c r="IT6" s="9"/>
      <c r="IU6" s="9"/>
      <c r="IV6" s="9"/>
    </row>
    <row r="7" s="8" customFormat="1" ht="14.25" spans="1:256">
      <c r="A7" s="9"/>
      <c r="G7" s="24" t="s">
        <v>2627</v>
      </c>
      <c r="H7" s="25">
        <v>5</v>
      </c>
      <c r="I7" s="60">
        <f ca="1">INDIRECT("h"&amp;$H$1)</f>
        <v>4.9</v>
      </c>
      <c r="J7" s="60">
        <f ca="1">INDIRECT("h"&amp;$H$1)</f>
        <v>4.9</v>
      </c>
      <c r="K7" s="9"/>
      <c r="L7" s="9"/>
      <c r="M7" s="61">
        <v>5</v>
      </c>
      <c r="N7" s="62">
        <f ca="1">INDIRECT("t"&amp;$N$1)</f>
        <v>0</v>
      </c>
      <c r="O7" s="9"/>
      <c r="P7" s="9"/>
      <c r="Q7" s="9"/>
      <c r="R7" s="9"/>
      <c r="S7" s="9"/>
      <c r="T7" s="9"/>
      <c r="U7" s="9"/>
      <c r="V7" s="9"/>
      <c r="W7" s="9"/>
      <c r="X7" s="9"/>
      <c r="Y7" s="9"/>
      <c r="Z7" s="9"/>
      <c r="AA7" s="9"/>
      <c r="AB7" s="9"/>
      <c r="AC7" s="9"/>
      <c r="AD7" s="9"/>
      <c r="AE7" s="9"/>
      <c r="AF7" s="9"/>
      <c r="AG7" s="9"/>
      <c r="AH7" s="9"/>
      <c r="AI7" s="9"/>
      <c r="AJ7" s="9"/>
      <c r="AK7" s="9"/>
      <c r="AL7" s="9"/>
      <c r="AM7" s="9"/>
      <c r="AN7" s="9"/>
      <c r="AO7" s="9"/>
      <c r="AP7" s="9"/>
      <c r="AQ7" s="9"/>
      <c r="AR7" s="9"/>
      <c r="AS7" s="9"/>
      <c r="AT7" s="9"/>
      <c r="AU7" s="9"/>
      <c r="AV7" s="9"/>
      <c r="AW7" s="9"/>
      <c r="AX7" s="9"/>
      <c r="AY7" s="9"/>
      <c r="AZ7" s="9"/>
      <c r="BA7" s="9"/>
      <c r="BB7" s="9"/>
      <c r="BC7" s="9"/>
      <c r="BD7" s="9"/>
      <c r="BE7" s="9"/>
      <c r="BF7" s="9"/>
      <c r="BG7" s="9"/>
      <c r="BH7" s="9"/>
      <c r="BI7" s="9"/>
      <c r="BJ7" s="9"/>
      <c r="BK7" s="9"/>
      <c r="BL7" s="9"/>
      <c r="BM7" s="9"/>
      <c r="BN7" s="9"/>
      <c r="BO7" s="9"/>
      <c r="BP7" s="9"/>
      <c r="BQ7" s="9"/>
      <c r="BR7" s="9"/>
      <c r="BS7" s="9"/>
      <c r="BT7" s="9"/>
      <c r="BU7" s="9"/>
      <c r="BV7" s="9"/>
      <c r="BW7" s="9"/>
      <c r="BX7" s="9"/>
      <c r="BY7" s="9"/>
      <c r="BZ7" s="9"/>
      <c r="CA7" s="9"/>
      <c r="CB7" s="9"/>
      <c r="CC7" s="9"/>
      <c r="CD7" s="9"/>
      <c r="CE7" s="9"/>
      <c r="CF7" s="9"/>
      <c r="CG7" s="9"/>
      <c r="CH7" s="9"/>
      <c r="CI7" s="9"/>
      <c r="CJ7" s="9"/>
      <c r="CK7" s="9"/>
      <c r="CL7" s="9"/>
      <c r="CM7" s="9"/>
      <c r="CN7" s="9"/>
      <c r="CO7" s="9"/>
      <c r="CP7" s="9"/>
      <c r="CQ7" s="9"/>
      <c r="CR7" s="9"/>
      <c r="CS7" s="9"/>
      <c r="CT7" s="9"/>
      <c r="CU7" s="9"/>
      <c r="CV7" s="9"/>
      <c r="CW7" s="9"/>
      <c r="CX7" s="9"/>
      <c r="CY7" s="9"/>
      <c r="CZ7" s="9"/>
      <c r="DA7" s="9"/>
      <c r="DB7" s="9"/>
      <c r="DC7" s="9"/>
      <c r="DD7" s="9"/>
      <c r="DE7" s="9"/>
      <c r="DF7" s="9"/>
      <c r="DG7" s="9"/>
      <c r="DH7" s="9"/>
      <c r="DI7" s="9"/>
      <c r="DJ7" s="9"/>
      <c r="DK7" s="9"/>
      <c r="DL7" s="9"/>
      <c r="DM7" s="9"/>
      <c r="DN7" s="9"/>
      <c r="DO7" s="9"/>
      <c r="DP7" s="9"/>
      <c r="DQ7" s="9"/>
      <c r="DR7" s="9"/>
      <c r="DS7" s="9"/>
      <c r="DT7" s="9"/>
      <c r="DU7" s="9"/>
      <c r="DV7" s="9"/>
      <c r="DW7" s="9"/>
      <c r="DX7" s="9"/>
      <c r="DY7" s="9"/>
      <c r="DZ7" s="9"/>
      <c r="EA7" s="9"/>
      <c r="EB7" s="9"/>
      <c r="EC7" s="9"/>
      <c r="ED7" s="9"/>
      <c r="EE7" s="9"/>
      <c r="EF7" s="9"/>
      <c r="EG7" s="9"/>
      <c r="EH7" s="9"/>
      <c r="EI7" s="9"/>
      <c r="EJ7" s="9"/>
      <c r="EK7" s="9"/>
      <c r="EL7" s="9"/>
      <c r="EM7" s="9"/>
      <c r="EN7" s="9"/>
      <c r="EO7" s="9"/>
      <c r="EP7" s="9"/>
      <c r="EQ7" s="9"/>
      <c r="ER7" s="9"/>
      <c r="ES7" s="9"/>
      <c r="ET7" s="9"/>
      <c r="EU7" s="9"/>
      <c r="EV7" s="9"/>
      <c r="EW7" s="9"/>
      <c r="EX7" s="9"/>
      <c r="EY7" s="9"/>
      <c r="EZ7" s="9"/>
      <c r="FA7" s="9"/>
      <c r="FB7" s="9"/>
      <c r="FC7" s="9"/>
      <c r="FD7" s="9"/>
      <c r="FE7" s="9"/>
      <c r="FF7" s="9"/>
      <c r="FG7" s="9"/>
      <c r="FH7" s="9"/>
      <c r="FI7" s="9"/>
      <c r="FJ7" s="9"/>
      <c r="FK7" s="9"/>
      <c r="FL7" s="9"/>
      <c r="FM7" s="9"/>
      <c r="FN7" s="9"/>
      <c r="FO7" s="9"/>
      <c r="FP7" s="9"/>
      <c r="FQ7" s="9"/>
      <c r="FR7" s="9"/>
      <c r="FS7" s="9"/>
      <c r="FT7" s="9"/>
      <c r="FU7" s="9"/>
      <c r="FV7" s="9"/>
      <c r="FW7" s="9"/>
      <c r="FX7" s="9"/>
      <c r="FY7" s="9"/>
      <c r="FZ7" s="9"/>
      <c r="GA7" s="9"/>
      <c r="GB7" s="9"/>
      <c r="GC7" s="9"/>
      <c r="GD7" s="9"/>
      <c r="GE7" s="9"/>
      <c r="GF7" s="9"/>
      <c r="GG7" s="9"/>
      <c r="GH7" s="9"/>
      <c r="GI7" s="9"/>
      <c r="GJ7" s="9"/>
      <c r="GK7" s="9"/>
      <c r="GL7" s="9"/>
      <c r="GM7" s="9"/>
      <c r="GN7" s="9"/>
      <c r="GO7" s="9"/>
      <c r="GP7" s="9"/>
      <c r="GQ7" s="9"/>
      <c r="GR7" s="9"/>
      <c r="GS7" s="9"/>
      <c r="GT7" s="9"/>
      <c r="GU7" s="9"/>
      <c r="GV7" s="9"/>
      <c r="GW7" s="9"/>
      <c r="GX7" s="9"/>
      <c r="GY7" s="9"/>
      <c r="GZ7" s="9"/>
      <c r="HA7" s="9"/>
      <c r="HB7" s="9"/>
      <c r="HC7" s="9"/>
      <c r="HD7" s="9"/>
      <c r="HE7" s="9"/>
      <c r="HF7" s="9"/>
      <c r="HG7" s="9"/>
      <c r="HH7" s="9"/>
      <c r="HI7" s="9"/>
      <c r="HJ7" s="9"/>
      <c r="HK7" s="9"/>
      <c r="HL7" s="9"/>
      <c r="HM7" s="9"/>
      <c r="HN7" s="9"/>
      <c r="HO7" s="9"/>
      <c r="HP7" s="9"/>
      <c r="HQ7" s="9"/>
      <c r="HR7" s="9"/>
      <c r="HS7" s="9"/>
      <c r="HT7" s="9"/>
      <c r="HU7" s="9"/>
      <c r="HV7" s="9"/>
      <c r="HW7" s="9"/>
      <c r="HX7" s="9"/>
      <c r="HY7" s="9"/>
      <c r="HZ7" s="9"/>
      <c r="IA7" s="9"/>
      <c r="IB7" s="9"/>
      <c r="IC7" s="9"/>
      <c r="ID7" s="9"/>
      <c r="IE7" s="9"/>
      <c r="IF7" s="9"/>
      <c r="IG7" s="9"/>
      <c r="IH7" s="9"/>
      <c r="II7" s="9"/>
      <c r="IJ7" s="9"/>
      <c r="IK7" s="9"/>
      <c r="IL7" s="9"/>
      <c r="IM7" s="9"/>
      <c r="IN7" s="9"/>
      <c r="IO7" s="9"/>
      <c r="IP7" s="9"/>
      <c r="IQ7" s="9"/>
      <c r="IR7" s="9"/>
      <c r="IS7" s="9"/>
      <c r="IT7" s="9"/>
      <c r="IU7" s="9"/>
      <c r="IV7" s="9"/>
    </row>
    <row r="8" spans="1:26">
      <c r="A8" s="26"/>
      <c r="B8" s="27"/>
      <c r="C8" s="28"/>
      <c r="D8" s="9"/>
      <c r="E8" s="9"/>
      <c r="F8" s="9"/>
      <c r="G8" s="9"/>
      <c r="H8" s="9"/>
      <c r="I8" s="9"/>
      <c r="J8" s="9"/>
      <c r="L8" s="9"/>
      <c r="M8" s="9"/>
      <c r="N8" s="9"/>
      <c r="O8" s="9"/>
      <c r="P8" s="9"/>
      <c r="Q8" s="9"/>
      <c r="R8" s="9"/>
      <c r="S8" s="9"/>
      <c r="T8" s="9"/>
      <c r="U8" s="9"/>
      <c r="V8" s="9"/>
      <c r="W8" s="9"/>
      <c r="X8" s="9"/>
      <c r="Y8" s="9"/>
      <c r="Z8" s="9"/>
    </row>
    <row r="9" ht="20.25" spans="1:257">
      <c r="A9" s="29"/>
      <c r="B9" s="30" t="s">
        <v>2628</v>
      </c>
      <c r="C9" s="31"/>
      <c r="D9" s="32"/>
      <c r="E9" s="32"/>
      <c r="F9" s="32"/>
      <c r="G9" s="32"/>
      <c r="H9" s="32"/>
      <c r="I9" s="32"/>
      <c r="J9" s="32"/>
      <c r="K9" s="32"/>
      <c r="L9" s="32"/>
      <c r="M9" s="32"/>
      <c r="N9" s="32"/>
      <c r="O9" s="32"/>
      <c r="P9" s="32"/>
      <c r="Q9" s="32"/>
      <c r="R9" s="32"/>
      <c r="S9" s="32"/>
      <c r="T9" s="32"/>
      <c r="U9" s="32"/>
      <c r="V9" s="32"/>
      <c r="W9" s="32"/>
      <c r="X9" s="32"/>
      <c r="Y9" s="32"/>
      <c r="Z9" s="32"/>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c r="BV9" s="66"/>
      <c r="BW9" s="66"/>
      <c r="BX9" s="66"/>
      <c r="BY9" s="66"/>
      <c r="BZ9" s="66"/>
      <c r="CA9" s="66"/>
      <c r="CB9" s="66"/>
      <c r="CC9" s="66"/>
      <c r="CD9" s="66"/>
      <c r="CE9" s="66"/>
      <c r="CF9" s="66"/>
      <c r="CG9" s="66"/>
      <c r="CH9" s="66"/>
      <c r="CI9" s="66"/>
      <c r="CJ9" s="66"/>
      <c r="CK9" s="66"/>
      <c r="CL9" s="66"/>
      <c r="CM9" s="66"/>
      <c r="CN9" s="66"/>
      <c r="CO9" s="66"/>
      <c r="CP9" s="66"/>
      <c r="CQ9" s="66"/>
      <c r="CR9" s="66"/>
      <c r="CS9" s="66"/>
      <c r="CT9" s="66"/>
      <c r="CU9" s="66"/>
      <c r="CV9" s="66"/>
      <c r="CW9" s="66"/>
      <c r="CX9" s="66"/>
      <c r="CY9" s="66"/>
      <c r="CZ9" s="66"/>
      <c r="DA9" s="66"/>
      <c r="DB9" s="66"/>
      <c r="DC9" s="66"/>
      <c r="DD9" s="66"/>
      <c r="DE9" s="66"/>
      <c r="DF9" s="66"/>
      <c r="DG9" s="66"/>
      <c r="DH9" s="66"/>
      <c r="DI9" s="66"/>
      <c r="DJ9" s="66"/>
      <c r="DK9" s="66"/>
      <c r="DL9" s="66"/>
      <c r="DM9" s="66"/>
      <c r="DN9" s="66"/>
      <c r="DO9" s="66"/>
      <c r="DP9" s="66"/>
      <c r="DQ9" s="66"/>
      <c r="DR9" s="66"/>
      <c r="DS9" s="66"/>
      <c r="DT9" s="66"/>
      <c r="DU9" s="66"/>
      <c r="DV9" s="66"/>
      <c r="DW9" s="66"/>
      <c r="DX9" s="66"/>
      <c r="DY9" s="66"/>
      <c r="DZ9" s="66"/>
      <c r="EA9" s="66"/>
      <c r="EB9" s="66"/>
      <c r="EC9" s="66"/>
      <c r="ED9" s="66"/>
      <c r="EE9" s="66"/>
      <c r="EF9" s="66"/>
      <c r="EG9" s="66"/>
      <c r="EH9" s="66"/>
      <c r="EI9" s="66"/>
      <c r="EJ9" s="66"/>
      <c r="EK9" s="66"/>
      <c r="EL9" s="66"/>
      <c r="EM9" s="66"/>
      <c r="EN9" s="66"/>
      <c r="EO9" s="66"/>
      <c r="EP9" s="66"/>
      <c r="EQ9" s="66"/>
      <c r="ER9" s="66"/>
      <c r="ES9" s="66"/>
      <c r="ET9" s="66"/>
      <c r="EU9" s="66"/>
      <c r="EV9" s="66"/>
      <c r="EW9" s="66"/>
      <c r="EX9" s="66"/>
      <c r="EY9" s="66"/>
      <c r="EZ9" s="66"/>
      <c r="FA9" s="66"/>
      <c r="FB9" s="66"/>
      <c r="FC9" s="66"/>
      <c r="FD9" s="66"/>
      <c r="FE9" s="66"/>
      <c r="FF9" s="66"/>
      <c r="FG9" s="66"/>
      <c r="FH9" s="66"/>
      <c r="FI9" s="66"/>
      <c r="FJ9" s="66"/>
      <c r="FK9" s="66"/>
      <c r="FL9" s="66"/>
      <c r="FM9" s="66"/>
      <c r="FN9" s="66"/>
      <c r="FO9" s="66"/>
      <c r="FP9" s="66"/>
      <c r="FQ9" s="66"/>
      <c r="FR9" s="66"/>
      <c r="FS9" s="66"/>
      <c r="FT9" s="66"/>
      <c r="FU9" s="66"/>
      <c r="FV9" s="66"/>
      <c r="FW9" s="66"/>
      <c r="FX9" s="66"/>
      <c r="FY9" s="66"/>
      <c r="FZ9" s="66"/>
      <c r="GA9" s="66"/>
      <c r="GB9" s="66"/>
      <c r="GC9" s="66"/>
      <c r="GD9" s="66"/>
      <c r="GE9" s="66"/>
      <c r="GF9" s="66"/>
      <c r="GG9" s="66"/>
      <c r="GH9" s="66"/>
      <c r="GI9" s="66"/>
      <c r="GJ9" s="66"/>
      <c r="GK9" s="66"/>
      <c r="GL9" s="66"/>
      <c r="GM9" s="66"/>
      <c r="GN9" s="66"/>
      <c r="GO9" s="66"/>
      <c r="GP9" s="66"/>
      <c r="GQ9" s="66"/>
      <c r="GR9" s="66"/>
      <c r="GS9" s="66"/>
      <c r="GT9" s="66"/>
      <c r="GU9" s="66"/>
      <c r="GV9" s="66"/>
      <c r="GW9" s="66"/>
      <c r="GX9" s="66"/>
      <c r="GY9" s="66"/>
      <c r="GZ9" s="66"/>
      <c r="HA9" s="66"/>
      <c r="HB9" s="66"/>
      <c r="HC9" s="66"/>
      <c r="HD9" s="66"/>
      <c r="HE9" s="66"/>
      <c r="HF9" s="66"/>
      <c r="HG9" s="66"/>
      <c r="HH9" s="66"/>
      <c r="HI9" s="66"/>
      <c r="HJ9" s="66"/>
      <c r="HK9" s="66"/>
      <c r="HL9" s="66"/>
      <c r="HM9" s="66"/>
      <c r="HN9" s="66"/>
      <c r="HO9" s="66"/>
      <c r="HP9" s="66"/>
      <c r="HQ9" s="66"/>
      <c r="HR9" s="66"/>
      <c r="HS9" s="66"/>
      <c r="HT9" s="66"/>
      <c r="HU9" s="66"/>
      <c r="HV9" s="66"/>
      <c r="HW9" s="66"/>
      <c r="HX9" s="66"/>
      <c r="HY9" s="66"/>
      <c r="HZ9" s="66"/>
      <c r="IA9" s="66"/>
      <c r="IB9" s="66"/>
      <c r="IC9" s="66"/>
      <c r="ID9" s="66"/>
      <c r="IE9" s="66"/>
      <c r="IF9" s="66"/>
      <c r="IG9" s="66"/>
      <c r="IH9" s="66"/>
      <c r="II9" s="66"/>
      <c r="IJ9" s="66"/>
      <c r="IK9" s="66"/>
      <c r="IL9" s="66"/>
      <c r="IM9" s="66"/>
      <c r="IN9" s="66"/>
      <c r="IO9" s="66"/>
      <c r="IP9" s="66"/>
      <c r="IQ9" s="66"/>
      <c r="IR9" s="66"/>
      <c r="IS9" s="66"/>
      <c r="IT9" s="66"/>
      <c r="IU9" s="66"/>
      <c r="IV9" s="66"/>
      <c r="IW9" s="70"/>
    </row>
    <row r="10" ht="22.5" spans="1:256">
      <c r="A10" s="33"/>
      <c r="B10" s="34" t="s">
        <v>2629</v>
      </c>
      <c r="C10" s="33"/>
      <c r="D10" s="33"/>
      <c r="E10" s="33"/>
      <c r="F10" s="33"/>
      <c r="G10" s="33"/>
      <c r="H10" s="33"/>
      <c r="I10" s="9"/>
      <c r="J10" s="9"/>
      <c r="K10" s="33"/>
      <c r="L10" s="34" t="s">
        <v>2630</v>
      </c>
      <c r="M10" s="33"/>
      <c r="N10" s="33"/>
      <c r="O10" s="33"/>
      <c r="P10" s="33"/>
      <c r="Q10" s="33"/>
      <c r="R10" s="33"/>
      <c r="S10" s="33"/>
      <c r="T10" s="33"/>
      <c r="U10" s="33"/>
      <c r="V10" s="33"/>
      <c r="W10" s="33"/>
      <c r="X10" s="33"/>
      <c r="Y10" s="33"/>
      <c r="Z10" s="33"/>
      <c r="AA10" s="67"/>
      <c r="AB10" s="67"/>
      <c r="AC10" s="67"/>
      <c r="AD10" s="67"/>
      <c r="AE10" s="67"/>
      <c r="AF10" s="67"/>
      <c r="AG10" s="67"/>
      <c r="AH10" s="67"/>
      <c r="AI10" s="67"/>
      <c r="AJ10" s="67"/>
      <c r="AK10" s="67"/>
      <c r="AL10" s="67"/>
      <c r="AM10" s="67"/>
      <c r="AN10" s="67"/>
      <c r="AO10" s="67"/>
      <c r="AP10" s="67"/>
      <c r="AQ10" s="67"/>
      <c r="AR10" s="67"/>
      <c r="AS10" s="67"/>
      <c r="AT10" s="67"/>
      <c r="AU10" s="67"/>
      <c r="AV10" s="67"/>
      <c r="AW10" s="67"/>
      <c r="AX10" s="67"/>
      <c r="AY10" s="67"/>
      <c r="AZ10" s="67"/>
      <c r="BA10" s="67"/>
      <c r="BB10" s="67"/>
      <c r="BC10" s="67"/>
      <c r="BD10" s="67"/>
      <c r="BE10" s="67"/>
      <c r="BF10" s="67"/>
      <c r="BG10" s="67"/>
      <c r="BH10" s="67"/>
      <c r="BI10" s="67"/>
      <c r="BJ10" s="67"/>
      <c r="BK10" s="67"/>
      <c r="BL10" s="67"/>
      <c r="BM10" s="67"/>
      <c r="BN10" s="67"/>
      <c r="BO10" s="67"/>
      <c r="BP10" s="67"/>
      <c r="BQ10" s="67"/>
      <c r="BR10" s="67"/>
      <c r="BS10" s="67"/>
      <c r="BT10" s="67"/>
      <c r="BU10" s="67"/>
      <c r="BV10" s="67"/>
      <c r="BW10" s="67"/>
      <c r="BX10" s="67"/>
      <c r="BY10" s="67"/>
      <c r="BZ10" s="67"/>
      <c r="CA10" s="67"/>
      <c r="CB10" s="67"/>
      <c r="CC10" s="67"/>
      <c r="CD10" s="67"/>
      <c r="CE10" s="67"/>
      <c r="CF10" s="67"/>
      <c r="CG10" s="67"/>
      <c r="CH10" s="67"/>
      <c r="CI10" s="67"/>
      <c r="CJ10" s="67"/>
      <c r="CK10" s="67"/>
      <c r="CL10" s="67"/>
      <c r="CM10" s="67"/>
      <c r="CN10" s="67"/>
      <c r="CO10" s="67"/>
      <c r="CP10" s="67"/>
      <c r="CQ10" s="67"/>
      <c r="CR10" s="67"/>
      <c r="CS10" s="67"/>
      <c r="CT10" s="67"/>
      <c r="CU10" s="67"/>
      <c r="CV10" s="67"/>
      <c r="CW10" s="67"/>
      <c r="CX10" s="67"/>
      <c r="CY10" s="67"/>
      <c r="CZ10" s="67"/>
      <c r="DA10" s="67"/>
      <c r="DB10" s="67"/>
      <c r="DC10" s="67"/>
      <c r="DD10" s="67"/>
      <c r="DE10" s="67"/>
      <c r="DF10" s="67"/>
      <c r="DG10" s="67"/>
      <c r="DH10" s="67"/>
      <c r="DI10" s="67"/>
      <c r="DJ10" s="67"/>
      <c r="DK10" s="67"/>
      <c r="DL10" s="67"/>
      <c r="DM10" s="67"/>
      <c r="DN10" s="67"/>
      <c r="DO10" s="67"/>
      <c r="DP10" s="67"/>
      <c r="DQ10" s="67"/>
      <c r="DR10" s="67"/>
      <c r="DS10" s="67"/>
      <c r="DT10" s="67"/>
      <c r="DU10" s="67"/>
      <c r="DV10" s="67"/>
      <c r="DW10" s="67"/>
      <c r="DX10" s="67"/>
      <c r="DY10" s="67"/>
      <c r="DZ10" s="67"/>
      <c r="EA10" s="67"/>
      <c r="EB10" s="67"/>
      <c r="EC10" s="67"/>
      <c r="ED10" s="67"/>
      <c r="EE10" s="67"/>
      <c r="EF10" s="67"/>
      <c r="EG10" s="67"/>
      <c r="EH10" s="67"/>
      <c r="EI10" s="67"/>
      <c r="EJ10" s="67"/>
      <c r="EK10" s="67"/>
      <c r="EL10" s="67"/>
      <c r="EM10" s="67"/>
      <c r="EN10" s="67"/>
      <c r="EO10" s="67"/>
      <c r="EP10" s="67"/>
      <c r="EQ10" s="67"/>
      <c r="ER10" s="67"/>
      <c r="ES10" s="67"/>
      <c r="ET10" s="67"/>
      <c r="EU10" s="67"/>
      <c r="EV10" s="67"/>
      <c r="EW10" s="67"/>
      <c r="EX10" s="67"/>
      <c r="EY10" s="67"/>
      <c r="EZ10" s="67"/>
      <c r="FA10" s="67"/>
      <c r="FB10" s="67"/>
      <c r="FC10" s="67"/>
      <c r="FD10" s="67"/>
      <c r="FE10" s="67"/>
      <c r="FF10" s="67"/>
      <c r="FG10" s="67"/>
      <c r="FH10" s="67"/>
      <c r="FI10" s="67"/>
      <c r="FJ10" s="67"/>
      <c r="FK10" s="67"/>
      <c r="FL10" s="67"/>
      <c r="FM10" s="67"/>
      <c r="FN10" s="67"/>
      <c r="FO10" s="67"/>
      <c r="FP10" s="67"/>
      <c r="FQ10" s="67"/>
      <c r="FR10" s="67"/>
      <c r="FS10" s="67"/>
      <c r="FT10" s="67"/>
      <c r="FU10" s="67"/>
      <c r="FV10" s="67"/>
      <c r="FW10" s="67"/>
      <c r="FX10" s="67"/>
      <c r="FY10" s="67"/>
      <c r="FZ10" s="67"/>
      <c r="GA10" s="67"/>
      <c r="GB10" s="67"/>
      <c r="GC10" s="67"/>
      <c r="GD10" s="67"/>
      <c r="GE10" s="67"/>
      <c r="GF10" s="67"/>
      <c r="GG10" s="67"/>
      <c r="GH10" s="67"/>
      <c r="GI10" s="67"/>
      <c r="GJ10" s="67"/>
      <c r="GK10" s="67"/>
      <c r="GL10" s="67"/>
      <c r="GM10" s="67"/>
      <c r="GN10" s="67"/>
      <c r="GO10" s="67"/>
      <c r="GP10" s="67"/>
      <c r="GQ10" s="67"/>
      <c r="GR10" s="67"/>
      <c r="GS10" s="67"/>
      <c r="GT10" s="67"/>
      <c r="GU10" s="67"/>
      <c r="GV10" s="67"/>
      <c r="GW10" s="67"/>
      <c r="GX10" s="67"/>
      <c r="GY10" s="67"/>
      <c r="GZ10" s="67"/>
      <c r="HA10" s="67"/>
      <c r="HB10" s="67"/>
      <c r="HC10" s="67"/>
      <c r="HD10" s="67"/>
      <c r="HE10" s="67"/>
      <c r="HF10" s="67"/>
      <c r="HG10" s="67"/>
      <c r="HH10" s="67"/>
      <c r="HI10" s="67"/>
      <c r="HJ10" s="67"/>
      <c r="HK10" s="67"/>
      <c r="HL10" s="67"/>
      <c r="HM10" s="67"/>
      <c r="HN10" s="67"/>
      <c r="HO10" s="67"/>
      <c r="HP10" s="67"/>
      <c r="HQ10" s="67"/>
      <c r="HR10" s="67"/>
      <c r="HS10" s="67"/>
      <c r="HT10" s="67"/>
      <c r="HU10" s="67"/>
      <c r="HV10" s="67"/>
      <c r="HW10" s="67"/>
      <c r="HX10" s="67"/>
      <c r="HY10" s="67"/>
      <c r="HZ10" s="67"/>
      <c r="IA10" s="67"/>
      <c r="IB10" s="67"/>
      <c r="IC10" s="67"/>
      <c r="ID10" s="67"/>
      <c r="IE10" s="67"/>
      <c r="IF10" s="67"/>
      <c r="IG10" s="67"/>
      <c r="IH10" s="67"/>
      <c r="II10" s="67"/>
      <c r="IJ10" s="67"/>
      <c r="IK10" s="67"/>
      <c r="IL10" s="67"/>
      <c r="IM10" s="67"/>
      <c r="IN10" s="67"/>
      <c r="IO10" s="67"/>
      <c r="IP10" s="67"/>
      <c r="IQ10" s="67"/>
      <c r="IR10" s="67"/>
      <c r="IS10" s="67"/>
      <c r="IT10" s="67"/>
      <c r="IU10" s="67"/>
      <c r="IV10" s="67"/>
    </row>
    <row r="11" spans="1:256">
      <c r="A11" s="35"/>
      <c r="B11" s="36" t="s">
        <v>2631</v>
      </c>
      <c r="C11" s="37" t="s">
        <v>2632</v>
      </c>
      <c r="D11" s="38" t="s">
        <v>2633</v>
      </c>
      <c r="E11" s="39"/>
      <c r="F11" s="38" t="s">
        <v>2634</v>
      </c>
      <c r="G11" s="40"/>
      <c r="H11" s="39"/>
      <c r="I11" s="38" t="s">
        <v>2635</v>
      </c>
      <c r="J11" s="39"/>
      <c r="K11" s="35"/>
      <c r="L11" s="36" t="s">
        <v>2631</v>
      </c>
      <c r="M11" s="37" t="s">
        <v>2632</v>
      </c>
      <c r="N11" s="36" t="s">
        <v>2636</v>
      </c>
      <c r="O11" s="38" t="s">
        <v>2637</v>
      </c>
      <c r="P11" s="40"/>
      <c r="Q11" s="40"/>
      <c r="R11" s="40"/>
      <c r="S11" s="40"/>
      <c r="T11" s="39"/>
      <c r="U11" s="38" t="s">
        <v>2638</v>
      </c>
      <c r="V11" s="40"/>
      <c r="W11" s="39"/>
      <c r="X11" s="36" t="s">
        <v>2639</v>
      </c>
      <c r="Y11" s="36" t="s">
        <v>2640</v>
      </c>
      <c r="Z11" s="36" t="s">
        <v>2641</v>
      </c>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c r="BV11" s="68"/>
      <c r="BW11" s="68"/>
      <c r="BX11" s="68"/>
      <c r="BY11" s="68"/>
      <c r="BZ11" s="68"/>
      <c r="CA11" s="68"/>
      <c r="CB11" s="68"/>
      <c r="CC11" s="68"/>
      <c r="CD11" s="68"/>
      <c r="CE11" s="68"/>
      <c r="CF11" s="68"/>
      <c r="CG11" s="68"/>
      <c r="CH11" s="68"/>
      <c r="CI11" s="68"/>
      <c r="CJ11" s="68"/>
      <c r="CK11" s="68"/>
      <c r="CL11" s="68"/>
      <c r="CM11" s="68"/>
      <c r="CN11" s="68"/>
      <c r="CO11" s="68"/>
      <c r="CP11" s="68"/>
      <c r="CQ11" s="68"/>
      <c r="CR11" s="68"/>
      <c r="CS11" s="68"/>
      <c r="CT11" s="68"/>
      <c r="CU11" s="68"/>
      <c r="CV11" s="68"/>
      <c r="CW11" s="68"/>
      <c r="CX11" s="68"/>
      <c r="CY11" s="68"/>
      <c r="CZ11" s="68"/>
      <c r="DA11" s="68"/>
      <c r="DB11" s="68"/>
      <c r="DC11" s="68"/>
      <c r="DD11" s="68"/>
      <c r="DE11" s="68"/>
      <c r="DF11" s="68"/>
      <c r="DG11" s="68"/>
      <c r="DH11" s="68"/>
      <c r="DI11" s="68"/>
      <c r="DJ11" s="68"/>
      <c r="DK11" s="68"/>
      <c r="DL11" s="68"/>
      <c r="DM11" s="68"/>
      <c r="DN11" s="68"/>
      <c r="DO11" s="68"/>
      <c r="DP11" s="68"/>
      <c r="DQ11" s="68"/>
      <c r="DR11" s="68"/>
      <c r="DS11" s="68"/>
      <c r="DT11" s="68"/>
      <c r="DU11" s="68"/>
      <c r="DV11" s="68"/>
      <c r="DW11" s="68"/>
      <c r="DX11" s="68"/>
      <c r="DY11" s="68"/>
      <c r="DZ11" s="68"/>
      <c r="EA11" s="68"/>
      <c r="EB11" s="68"/>
      <c r="EC11" s="68"/>
      <c r="ED11" s="68"/>
      <c r="EE11" s="68"/>
      <c r="EF11" s="68"/>
      <c r="EG11" s="68"/>
      <c r="EH11" s="68"/>
      <c r="EI11" s="68"/>
      <c r="EJ11" s="68"/>
      <c r="EK11" s="68"/>
      <c r="EL11" s="68"/>
      <c r="EM11" s="68"/>
      <c r="EN11" s="68"/>
      <c r="EO11" s="68"/>
      <c r="EP11" s="68"/>
      <c r="EQ11" s="68"/>
      <c r="ER11" s="68"/>
      <c r="ES11" s="68"/>
      <c r="ET11" s="68"/>
      <c r="EU11" s="68"/>
      <c r="EV11" s="68"/>
      <c r="EW11" s="68"/>
      <c r="EX11" s="68"/>
      <c r="EY11" s="68"/>
      <c r="EZ11" s="68"/>
      <c r="FA11" s="68"/>
      <c r="FB11" s="68"/>
      <c r="FC11" s="68"/>
      <c r="FD11" s="68"/>
      <c r="FE11" s="68"/>
      <c r="FF11" s="68"/>
      <c r="FG11" s="68"/>
      <c r="FH11" s="68"/>
      <c r="FI11" s="68"/>
      <c r="FJ11" s="68"/>
      <c r="FK11" s="68"/>
      <c r="FL11" s="68"/>
      <c r="FM11" s="68"/>
      <c r="FN11" s="68"/>
      <c r="FO11" s="68"/>
      <c r="FP11" s="68"/>
      <c r="FQ11" s="68"/>
      <c r="FR11" s="68"/>
      <c r="FS11" s="68"/>
      <c r="FT11" s="68"/>
      <c r="FU11" s="68"/>
      <c r="FV11" s="68"/>
      <c r="FW11" s="68"/>
      <c r="FX11" s="68"/>
      <c r="FY11" s="68"/>
      <c r="FZ11" s="68"/>
      <c r="GA11" s="68"/>
      <c r="GB11" s="68"/>
      <c r="GC11" s="68"/>
      <c r="GD11" s="68"/>
      <c r="GE11" s="68"/>
      <c r="GF11" s="68"/>
      <c r="GG11" s="68"/>
      <c r="GH11" s="68"/>
      <c r="GI11" s="68"/>
      <c r="GJ11" s="68"/>
      <c r="GK11" s="68"/>
      <c r="GL11" s="68"/>
      <c r="GM11" s="68"/>
      <c r="GN11" s="68"/>
      <c r="GO11" s="68"/>
      <c r="GP11" s="68"/>
      <c r="GQ11" s="68"/>
      <c r="GR11" s="68"/>
      <c r="GS11" s="68"/>
      <c r="GT11" s="68"/>
      <c r="GU11" s="68"/>
      <c r="GV11" s="68"/>
      <c r="GW11" s="68"/>
      <c r="GX11" s="68"/>
      <c r="GY11" s="68"/>
      <c r="GZ11" s="68"/>
      <c r="HA11" s="68"/>
      <c r="HB11" s="68"/>
      <c r="HC11" s="68"/>
      <c r="HD11" s="68"/>
      <c r="HE11" s="68"/>
      <c r="HF11" s="68"/>
      <c r="HG11" s="68"/>
      <c r="HH11" s="68"/>
      <c r="HI11" s="68"/>
      <c r="HJ11" s="68"/>
      <c r="HK11" s="68"/>
      <c r="HL11" s="68"/>
      <c r="HM11" s="68"/>
      <c r="HN11" s="68"/>
      <c r="HO11" s="68"/>
      <c r="HP11" s="68"/>
      <c r="HQ11" s="68"/>
      <c r="HR11" s="68"/>
      <c r="HS11" s="68"/>
      <c r="HT11" s="68"/>
      <c r="HU11" s="68"/>
      <c r="HV11" s="68"/>
      <c r="HW11" s="68"/>
      <c r="HX11" s="68"/>
      <c r="HY11" s="68"/>
      <c r="HZ11" s="68"/>
      <c r="IA11" s="68"/>
      <c r="IB11" s="68"/>
      <c r="IC11" s="68"/>
      <c r="ID11" s="68"/>
      <c r="IE11" s="68"/>
      <c r="IF11" s="68"/>
      <c r="IG11" s="68"/>
      <c r="IH11" s="68"/>
      <c r="II11" s="68"/>
      <c r="IJ11" s="68"/>
      <c r="IK11" s="68"/>
      <c r="IL11" s="68"/>
      <c r="IM11" s="68"/>
      <c r="IN11" s="68"/>
      <c r="IO11" s="68"/>
      <c r="IP11" s="68"/>
      <c r="IQ11" s="68"/>
      <c r="IR11" s="68"/>
      <c r="IS11" s="68"/>
      <c r="IT11" s="68"/>
      <c r="IU11" s="68"/>
      <c r="IV11" s="68"/>
    </row>
    <row r="12" spans="1:256">
      <c r="A12" s="35"/>
      <c r="B12" s="41"/>
      <c r="C12" s="42"/>
      <c r="D12" s="43" t="s">
        <v>2642</v>
      </c>
      <c r="E12" s="43" t="s">
        <v>2624</v>
      </c>
      <c r="F12" s="43" t="s">
        <v>2625</v>
      </c>
      <c r="G12" s="43" t="s">
        <v>2626</v>
      </c>
      <c r="H12" s="43" t="s">
        <v>2627</v>
      </c>
      <c r="I12" s="63" t="s">
        <v>2643</v>
      </c>
      <c r="J12" s="63" t="s">
        <v>2643</v>
      </c>
      <c r="K12" s="35"/>
      <c r="L12" s="41"/>
      <c r="M12" s="42"/>
      <c r="N12" s="41"/>
      <c r="O12" s="63" t="s">
        <v>2644</v>
      </c>
      <c r="P12" s="63">
        <v>0.5</v>
      </c>
      <c r="Q12" s="63">
        <v>1</v>
      </c>
      <c r="R12" s="63">
        <v>2</v>
      </c>
      <c r="S12" s="63">
        <v>3</v>
      </c>
      <c r="T12" s="63">
        <v>5</v>
      </c>
      <c r="U12" s="63">
        <v>1</v>
      </c>
      <c r="V12" s="63">
        <v>3</v>
      </c>
      <c r="W12" s="63">
        <v>5</v>
      </c>
      <c r="X12" s="41"/>
      <c r="Y12" s="41"/>
      <c r="Z12" s="41"/>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c r="BV12" s="68"/>
      <c r="BW12" s="68"/>
      <c r="BX12" s="68"/>
      <c r="BY12" s="68"/>
      <c r="BZ12" s="68"/>
      <c r="CA12" s="68"/>
      <c r="CB12" s="68"/>
      <c r="CC12" s="68"/>
      <c r="CD12" s="68"/>
      <c r="CE12" s="68"/>
      <c r="CF12" s="68"/>
      <c r="CG12" s="68"/>
      <c r="CH12" s="68"/>
      <c r="CI12" s="68"/>
      <c r="CJ12" s="68"/>
      <c r="CK12" s="68"/>
      <c r="CL12" s="68"/>
      <c r="CM12" s="68"/>
      <c r="CN12" s="68"/>
      <c r="CO12" s="68"/>
      <c r="CP12" s="68"/>
      <c r="CQ12" s="68"/>
      <c r="CR12" s="68"/>
      <c r="CS12" s="68"/>
      <c r="CT12" s="68"/>
      <c r="CU12" s="68"/>
      <c r="CV12" s="68"/>
      <c r="CW12" s="68"/>
      <c r="CX12" s="68"/>
      <c r="CY12" s="68"/>
      <c r="CZ12" s="68"/>
      <c r="DA12" s="68"/>
      <c r="DB12" s="68"/>
      <c r="DC12" s="68"/>
      <c r="DD12" s="68"/>
      <c r="DE12" s="68"/>
      <c r="DF12" s="68"/>
      <c r="DG12" s="68"/>
      <c r="DH12" s="68"/>
      <c r="DI12" s="68"/>
      <c r="DJ12" s="68"/>
      <c r="DK12" s="68"/>
      <c r="DL12" s="68"/>
      <c r="DM12" s="68"/>
      <c r="DN12" s="68"/>
      <c r="DO12" s="68"/>
      <c r="DP12" s="68"/>
      <c r="DQ12" s="68"/>
      <c r="DR12" s="68"/>
      <c r="DS12" s="68"/>
      <c r="DT12" s="68"/>
      <c r="DU12" s="68"/>
      <c r="DV12" s="68"/>
      <c r="DW12" s="68"/>
      <c r="DX12" s="68"/>
      <c r="DY12" s="68"/>
      <c r="DZ12" s="68"/>
      <c r="EA12" s="68"/>
      <c r="EB12" s="68"/>
      <c r="EC12" s="68"/>
      <c r="ED12" s="68"/>
      <c r="EE12" s="68"/>
      <c r="EF12" s="68"/>
      <c r="EG12" s="68"/>
      <c r="EH12" s="68"/>
      <c r="EI12" s="68"/>
      <c r="EJ12" s="68"/>
      <c r="EK12" s="68"/>
      <c r="EL12" s="68"/>
      <c r="EM12" s="68"/>
      <c r="EN12" s="68"/>
      <c r="EO12" s="68"/>
      <c r="EP12" s="68"/>
      <c r="EQ12" s="68"/>
      <c r="ER12" s="68"/>
      <c r="ES12" s="68"/>
      <c r="ET12" s="68"/>
      <c r="EU12" s="68"/>
      <c r="EV12" s="68"/>
      <c r="EW12" s="68"/>
      <c r="EX12" s="68"/>
      <c r="EY12" s="68"/>
      <c r="EZ12" s="68"/>
      <c r="FA12" s="68"/>
      <c r="FB12" s="68"/>
      <c r="FC12" s="68"/>
      <c r="FD12" s="68"/>
      <c r="FE12" s="68"/>
      <c r="FF12" s="68"/>
      <c r="FG12" s="68"/>
      <c r="FH12" s="68"/>
      <c r="FI12" s="68"/>
      <c r="FJ12" s="68"/>
      <c r="FK12" s="68"/>
      <c r="FL12" s="68"/>
      <c r="FM12" s="68"/>
      <c r="FN12" s="68"/>
      <c r="FO12" s="68"/>
      <c r="FP12" s="68"/>
      <c r="FQ12" s="68"/>
      <c r="FR12" s="68"/>
      <c r="FS12" s="68"/>
      <c r="FT12" s="68"/>
      <c r="FU12" s="68"/>
      <c r="FV12" s="68"/>
      <c r="FW12" s="68"/>
      <c r="FX12" s="68"/>
      <c r="FY12" s="68"/>
      <c r="FZ12" s="68"/>
      <c r="GA12" s="68"/>
      <c r="GB12" s="68"/>
      <c r="GC12" s="68"/>
      <c r="GD12" s="68"/>
      <c r="GE12" s="68"/>
      <c r="GF12" s="68"/>
      <c r="GG12" s="68"/>
      <c r="GH12" s="68"/>
      <c r="GI12" s="68"/>
      <c r="GJ12" s="68"/>
      <c r="GK12" s="68"/>
      <c r="GL12" s="68"/>
      <c r="GM12" s="68"/>
      <c r="GN12" s="68"/>
      <c r="GO12" s="68"/>
      <c r="GP12" s="68"/>
      <c r="GQ12" s="68"/>
      <c r="GR12" s="68"/>
      <c r="GS12" s="68"/>
      <c r="GT12" s="68"/>
      <c r="GU12" s="68"/>
      <c r="GV12" s="68"/>
      <c r="GW12" s="68"/>
      <c r="GX12" s="68"/>
      <c r="GY12" s="68"/>
      <c r="GZ12" s="68"/>
      <c r="HA12" s="68"/>
      <c r="HB12" s="68"/>
      <c r="HC12" s="68"/>
      <c r="HD12" s="68"/>
      <c r="HE12" s="68"/>
      <c r="HF12" s="68"/>
      <c r="HG12" s="68"/>
      <c r="HH12" s="68"/>
      <c r="HI12" s="68"/>
      <c r="HJ12" s="68"/>
      <c r="HK12" s="68"/>
      <c r="HL12" s="68"/>
      <c r="HM12" s="68"/>
      <c r="HN12" s="68"/>
      <c r="HO12" s="68"/>
      <c r="HP12" s="68"/>
      <c r="HQ12" s="68"/>
      <c r="HR12" s="68"/>
      <c r="HS12" s="68"/>
      <c r="HT12" s="68"/>
      <c r="HU12" s="68"/>
      <c r="HV12" s="68"/>
      <c r="HW12" s="68"/>
      <c r="HX12" s="68"/>
      <c r="HY12" s="68"/>
      <c r="HZ12" s="68"/>
      <c r="IA12" s="68"/>
      <c r="IB12" s="68"/>
      <c r="IC12" s="68"/>
      <c r="ID12" s="68"/>
      <c r="IE12" s="68"/>
      <c r="IF12" s="68"/>
      <c r="IG12" s="68"/>
      <c r="IH12" s="68"/>
      <c r="II12" s="68"/>
      <c r="IJ12" s="68"/>
      <c r="IK12" s="68"/>
      <c r="IL12" s="68"/>
      <c r="IM12" s="68"/>
      <c r="IN12" s="68"/>
      <c r="IO12" s="68"/>
      <c r="IP12" s="68"/>
      <c r="IQ12" s="68"/>
      <c r="IR12" s="68"/>
      <c r="IS12" s="68"/>
      <c r="IT12" s="68"/>
      <c r="IU12" s="68"/>
      <c r="IV12" s="68"/>
    </row>
    <row r="13" ht="14.25" spans="1:257">
      <c r="A13" s="44"/>
      <c r="B13" s="45" t="s">
        <v>2645</v>
      </c>
      <c r="C13" s="46">
        <v>42301</v>
      </c>
      <c r="D13" s="47">
        <v>4.35</v>
      </c>
      <c r="E13" s="47">
        <v>4.35</v>
      </c>
      <c r="F13" s="47">
        <v>4.75</v>
      </c>
      <c r="G13" s="47">
        <v>4.75</v>
      </c>
      <c r="H13" s="47">
        <v>4.9</v>
      </c>
      <c r="I13" s="47">
        <v>2.75</v>
      </c>
      <c r="J13" s="47">
        <v>3.25</v>
      </c>
      <c r="K13" s="44"/>
      <c r="L13" s="45" t="s">
        <v>2645</v>
      </c>
      <c r="M13" s="64">
        <v>42301</v>
      </c>
      <c r="N13" s="47">
        <v>0.35</v>
      </c>
      <c r="O13" s="47">
        <v>1.1</v>
      </c>
      <c r="P13" s="47">
        <v>1.3</v>
      </c>
      <c r="Q13" s="47">
        <v>1.5</v>
      </c>
      <c r="R13" s="47">
        <v>2.1</v>
      </c>
      <c r="S13" s="47">
        <v>2.75</v>
      </c>
      <c r="T13" s="47"/>
      <c r="U13" s="47"/>
      <c r="V13" s="47"/>
      <c r="W13" s="47"/>
      <c r="X13" s="47"/>
      <c r="Y13" s="47"/>
      <c r="Z13" s="47"/>
      <c r="AA13" s="69"/>
      <c r="AB13" s="69"/>
      <c r="AC13" s="69"/>
      <c r="AD13" s="69"/>
      <c r="AE13" s="69"/>
      <c r="AF13" s="69"/>
      <c r="AG13" s="69"/>
      <c r="AH13" s="69"/>
      <c r="AI13" s="69"/>
      <c r="AJ13" s="69"/>
      <c r="AK13" s="69"/>
      <c r="AL13" s="69"/>
      <c r="AM13" s="69"/>
      <c r="AN13" s="69"/>
      <c r="AO13" s="69"/>
      <c r="AP13" s="69"/>
      <c r="AQ13" s="69"/>
      <c r="AR13" s="69"/>
      <c r="AS13" s="69"/>
      <c r="AT13" s="69"/>
      <c r="AU13" s="69"/>
      <c r="AV13" s="69"/>
      <c r="AW13" s="69"/>
      <c r="AX13" s="69"/>
      <c r="AY13" s="69"/>
      <c r="AZ13" s="69"/>
      <c r="BA13" s="69"/>
      <c r="BB13" s="69"/>
      <c r="BC13" s="69"/>
      <c r="BD13" s="69"/>
      <c r="BE13" s="69"/>
      <c r="BF13" s="69"/>
      <c r="BG13" s="69"/>
      <c r="BH13" s="69"/>
      <c r="BI13" s="69"/>
      <c r="BJ13" s="69"/>
      <c r="BK13" s="69"/>
      <c r="BL13" s="69"/>
      <c r="BM13" s="69"/>
      <c r="BN13" s="69"/>
      <c r="BO13" s="69"/>
      <c r="BP13" s="69"/>
      <c r="BQ13" s="69"/>
      <c r="BR13" s="69"/>
      <c r="BS13" s="69"/>
      <c r="BT13" s="69"/>
      <c r="BU13" s="69"/>
      <c r="BV13" s="69"/>
      <c r="BW13" s="69"/>
      <c r="BX13" s="69"/>
      <c r="BY13" s="69"/>
      <c r="BZ13" s="69"/>
      <c r="CA13" s="69"/>
      <c r="CB13" s="69"/>
      <c r="CC13" s="69"/>
      <c r="CD13" s="69"/>
      <c r="CE13" s="69"/>
      <c r="CF13" s="69"/>
      <c r="CG13" s="69"/>
      <c r="CH13" s="69"/>
      <c r="CI13" s="69"/>
      <c r="CJ13" s="69"/>
      <c r="CK13" s="69"/>
      <c r="CL13" s="69"/>
      <c r="CM13" s="69"/>
      <c r="CN13" s="69"/>
      <c r="CO13" s="69"/>
      <c r="CP13" s="69"/>
      <c r="CQ13" s="69"/>
      <c r="CR13" s="69"/>
      <c r="CS13" s="69"/>
      <c r="CT13" s="69"/>
      <c r="CU13" s="69"/>
      <c r="CV13" s="69"/>
      <c r="CW13" s="69"/>
      <c r="CX13" s="69"/>
      <c r="CY13" s="69"/>
      <c r="CZ13" s="69"/>
      <c r="DA13" s="69"/>
      <c r="DB13" s="69"/>
      <c r="DC13" s="69"/>
      <c r="DD13" s="69"/>
      <c r="DE13" s="69"/>
      <c r="DF13" s="69"/>
      <c r="DG13" s="69"/>
      <c r="DH13" s="69"/>
      <c r="DI13" s="69"/>
      <c r="DJ13" s="69"/>
      <c r="DK13" s="69"/>
      <c r="DL13" s="69"/>
      <c r="DM13" s="69"/>
      <c r="DN13" s="69"/>
      <c r="DO13" s="69"/>
      <c r="DP13" s="69"/>
      <c r="DQ13" s="69"/>
      <c r="DR13" s="69"/>
      <c r="DS13" s="69"/>
      <c r="DT13" s="69"/>
      <c r="DU13" s="69"/>
      <c r="DV13" s="69"/>
      <c r="DW13" s="69"/>
      <c r="DX13" s="69"/>
      <c r="DY13" s="69"/>
      <c r="DZ13" s="69"/>
      <c r="EA13" s="69"/>
      <c r="EB13" s="69"/>
      <c r="EC13" s="69"/>
      <c r="ED13" s="69"/>
      <c r="EE13" s="69"/>
      <c r="EF13" s="69"/>
      <c r="EG13" s="69"/>
      <c r="EH13" s="69"/>
      <c r="EI13" s="69"/>
      <c r="EJ13" s="69"/>
      <c r="EK13" s="69"/>
      <c r="EL13" s="69"/>
      <c r="EM13" s="69"/>
      <c r="EN13" s="69"/>
      <c r="EO13" s="69"/>
      <c r="EP13" s="69"/>
      <c r="EQ13" s="69"/>
      <c r="ER13" s="69"/>
      <c r="ES13" s="69"/>
      <c r="ET13" s="69"/>
      <c r="EU13" s="69"/>
      <c r="EV13" s="69"/>
      <c r="EW13" s="69"/>
      <c r="EX13" s="69"/>
      <c r="EY13" s="69"/>
      <c r="EZ13" s="69"/>
      <c r="FA13" s="69"/>
      <c r="FB13" s="69"/>
      <c r="FC13" s="69"/>
      <c r="FD13" s="69"/>
      <c r="FE13" s="69"/>
      <c r="FF13" s="69"/>
      <c r="FG13" s="69"/>
      <c r="FH13" s="69"/>
      <c r="FI13" s="69"/>
      <c r="FJ13" s="69"/>
      <c r="FK13" s="69"/>
      <c r="FL13" s="69"/>
      <c r="FM13" s="69"/>
      <c r="FN13" s="69"/>
      <c r="FO13" s="69"/>
      <c r="FP13" s="69"/>
      <c r="FQ13" s="69"/>
      <c r="FR13" s="69"/>
      <c r="FS13" s="69"/>
      <c r="FT13" s="69"/>
      <c r="FU13" s="69"/>
      <c r="FV13" s="69"/>
      <c r="FW13" s="69"/>
      <c r="FX13" s="69"/>
      <c r="FY13" s="69"/>
      <c r="FZ13" s="69"/>
      <c r="GA13" s="69"/>
      <c r="GB13" s="69"/>
      <c r="GC13" s="69"/>
      <c r="GD13" s="69"/>
      <c r="GE13" s="69"/>
      <c r="GF13" s="69"/>
      <c r="GG13" s="69"/>
      <c r="GH13" s="69"/>
      <c r="GI13" s="69"/>
      <c r="GJ13" s="69"/>
      <c r="GK13" s="69"/>
      <c r="GL13" s="69"/>
      <c r="GM13" s="69"/>
      <c r="GN13" s="69"/>
      <c r="GO13" s="69"/>
      <c r="GP13" s="69"/>
      <c r="GQ13" s="69"/>
      <c r="GR13" s="69"/>
      <c r="GS13" s="69"/>
      <c r="GT13" s="69"/>
      <c r="GU13" s="69"/>
      <c r="GV13" s="69"/>
      <c r="GW13" s="69"/>
      <c r="GX13" s="69"/>
      <c r="GY13" s="69"/>
      <c r="GZ13" s="69"/>
      <c r="HA13" s="69"/>
      <c r="HB13" s="69"/>
      <c r="HC13" s="69"/>
      <c r="HD13" s="69"/>
      <c r="HE13" s="69"/>
      <c r="HF13" s="69"/>
      <c r="HG13" s="69"/>
      <c r="HH13" s="69"/>
      <c r="HI13" s="69"/>
      <c r="HJ13" s="69"/>
      <c r="HK13" s="69"/>
      <c r="HL13" s="69"/>
      <c r="HM13" s="69"/>
      <c r="HN13" s="69"/>
      <c r="HO13" s="69"/>
      <c r="HP13" s="69"/>
      <c r="HQ13" s="69"/>
      <c r="HR13" s="69"/>
      <c r="HS13" s="69"/>
      <c r="HT13" s="69"/>
      <c r="HU13" s="69"/>
      <c r="HV13" s="69"/>
      <c r="HW13" s="69"/>
      <c r="HX13" s="69"/>
      <c r="HY13" s="69"/>
      <c r="HZ13" s="69"/>
      <c r="IA13" s="69"/>
      <c r="IB13" s="69"/>
      <c r="IC13" s="69"/>
      <c r="ID13" s="69"/>
      <c r="IE13" s="69"/>
      <c r="IF13" s="69"/>
      <c r="IG13" s="69"/>
      <c r="IH13" s="69"/>
      <c r="II13" s="69"/>
      <c r="IJ13" s="69"/>
      <c r="IK13" s="69"/>
      <c r="IL13" s="69"/>
      <c r="IM13" s="69"/>
      <c r="IN13" s="69"/>
      <c r="IO13" s="69"/>
      <c r="IP13" s="69"/>
      <c r="IQ13" s="69"/>
      <c r="IR13" s="69"/>
      <c r="IS13" s="69"/>
      <c r="IT13" s="69"/>
      <c r="IU13" s="69"/>
      <c r="IV13" s="69"/>
      <c r="IW13" s="71"/>
    </row>
    <row r="14" spans="2:26">
      <c r="B14" s="48"/>
      <c r="C14" s="49">
        <v>42242</v>
      </c>
      <c r="D14" s="48">
        <v>4.6</v>
      </c>
      <c r="E14" s="48">
        <v>4.6</v>
      </c>
      <c r="F14" s="48">
        <v>5</v>
      </c>
      <c r="G14" s="48">
        <v>5</v>
      </c>
      <c r="H14" s="48">
        <v>5.15</v>
      </c>
      <c r="I14" s="48">
        <v>2.75</v>
      </c>
      <c r="J14" s="48">
        <v>3.25</v>
      </c>
      <c r="L14" s="48"/>
      <c r="M14" s="49">
        <v>42242</v>
      </c>
      <c r="N14" s="48">
        <v>0.35</v>
      </c>
      <c r="O14" s="48">
        <v>1.35</v>
      </c>
      <c r="P14" s="48">
        <v>1.55</v>
      </c>
      <c r="Q14" s="48">
        <v>1.75</v>
      </c>
      <c r="R14" s="48">
        <v>2.35</v>
      </c>
      <c r="S14" s="48">
        <v>3</v>
      </c>
      <c r="T14" s="48"/>
      <c r="U14" s="48"/>
      <c r="V14" s="48"/>
      <c r="W14" s="48"/>
      <c r="X14" s="48"/>
      <c r="Y14" s="48"/>
      <c r="Z14" s="48"/>
    </row>
    <row r="15" spans="2:26">
      <c r="B15" s="48"/>
      <c r="C15" s="49">
        <v>42183</v>
      </c>
      <c r="D15" s="48">
        <v>4.85</v>
      </c>
      <c r="E15" s="48">
        <v>4.85</v>
      </c>
      <c r="F15" s="48">
        <v>5.25</v>
      </c>
      <c r="G15" s="48">
        <v>5.25</v>
      </c>
      <c r="H15" s="48">
        <v>5.4</v>
      </c>
      <c r="I15" s="48">
        <v>3</v>
      </c>
      <c r="J15" s="48">
        <v>3.5</v>
      </c>
      <c r="L15" s="48"/>
      <c r="M15" s="49">
        <v>42183</v>
      </c>
      <c r="N15" s="48">
        <v>0.35</v>
      </c>
      <c r="O15" s="48">
        <v>1.6</v>
      </c>
      <c r="P15" s="48">
        <v>1.8</v>
      </c>
      <c r="Q15" s="48">
        <v>2</v>
      </c>
      <c r="R15" s="48">
        <v>2.6</v>
      </c>
      <c r="S15" s="48">
        <v>3.25</v>
      </c>
      <c r="T15" s="48"/>
      <c r="U15" s="48"/>
      <c r="V15" s="48"/>
      <c r="W15" s="48"/>
      <c r="X15" s="48"/>
      <c r="Y15" s="48"/>
      <c r="Z15" s="48"/>
    </row>
    <row r="16" spans="2:26">
      <c r="B16" s="48"/>
      <c r="C16" s="49">
        <v>42135</v>
      </c>
      <c r="D16" s="48">
        <v>5.1</v>
      </c>
      <c r="E16" s="48">
        <v>5.1</v>
      </c>
      <c r="F16" s="48">
        <v>5.5</v>
      </c>
      <c r="G16" s="48">
        <v>5.5</v>
      </c>
      <c r="H16" s="48">
        <v>5.65</v>
      </c>
      <c r="I16" s="48">
        <v>3.25</v>
      </c>
      <c r="J16" s="48">
        <v>3.75</v>
      </c>
      <c r="L16" s="48"/>
      <c r="M16" s="49">
        <v>42135</v>
      </c>
      <c r="N16" s="48">
        <v>0.35</v>
      </c>
      <c r="O16" s="48">
        <v>1.85</v>
      </c>
      <c r="P16" s="48">
        <v>2.05</v>
      </c>
      <c r="Q16" s="48">
        <v>2.25</v>
      </c>
      <c r="R16" s="48">
        <v>2.85</v>
      </c>
      <c r="S16" s="48">
        <v>3.5</v>
      </c>
      <c r="T16" s="48"/>
      <c r="U16" s="48"/>
      <c r="V16" s="48"/>
      <c r="W16" s="48"/>
      <c r="X16" s="48"/>
      <c r="Y16" s="48"/>
      <c r="Z16" s="48"/>
    </row>
    <row r="17" spans="2:26">
      <c r="B17" s="48"/>
      <c r="C17" s="49">
        <v>42064</v>
      </c>
      <c r="D17" s="48">
        <v>5.35</v>
      </c>
      <c r="E17" s="48">
        <v>5.35</v>
      </c>
      <c r="F17" s="48">
        <v>5.75</v>
      </c>
      <c r="G17" s="48">
        <v>5.75</v>
      </c>
      <c r="H17" s="48">
        <v>5.9</v>
      </c>
      <c r="I17" s="48"/>
      <c r="J17" s="48"/>
      <c r="L17" s="48"/>
      <c r="M17" s="49">
        <v>42064</v>
      </c>
      <c r="N17" s="48">
        <v>0.35</v>
      </c>
      <c r="O17" s="48">
        <v>2.1</v>
      </c>
      <c r="P17" s="48">
        <v>2.3</v>
      </c>
      <c r="Q17" s="48">
        <v>2.5</v>
      </c>
      <c r="R17" s="48">
        <v>3.1</v>
      </c>
      <c r="S17" s="48">
        <v>3.75</v>
      </c>
      <c r="T17" s="48">
        <v>4.5</v>
      </c>
      <c r="U17" s="48">
        <v>2.35</v>
      </c>
      <c r="V17" s="48">
        <v>2.55</v>
      </c>
      <c r="W17" s="48">
        <v>2.75</v>
      </c>
      <c r="X17" s="48"/>
      <c r="Y17" s="48">
        <v>0.8</v>
      </c>
      <c r="Z17" s="48">
        <v>1.35</v>
      </c>
    </row>
    <row r="18" ht="15" spans="2:26">
      <c r="B18" s="48"/>
      <c r="C18" s="49">
        <v>41965</v>
      </c>
      <c r="D18" s="48">
        <v>5.6</v>
      </c>
      <c r="E18" s="48">
        <v>5.6</v>
      </c>
      <c r="F18" s="48">
        <v>6</v>
      </c>
      <c r="G18" s="48">
        <v>6</v>
      </c>
      <c r="H18" s="48">
        <v>6.15</v>
      </c>
      <c r="I18" s="48"/>
      <c r="J18" s="48"/>
      <c r="L18" s="48"/>
      <c r="M18" s="49">
        <v>41965</v>
      </c>
      <c r="N18" s="48">
        <v>0.35</v>
      </c>
      <c r="O18" s="48">
        <v>2.35</v>
      </c>
      <c r="P18" s="48">
        <v>2.55</v>
      </c>
      <c r="Q18" s="48">
        <v>2.75</v>
      </c>
      <c r="R18" s="48">
        <v>3.35</v>
      </c>
      <c r="S18" s="48">
        <v>4</v>
      </c>
      <c r="T18" s="48">
        <v>4.75</v>
      </c>
      <c r="U18" s="65">
        <v>2.35</v>
      </c>
      <c r="V18" s="65">
        <v>2.55</v>
      </c>
      <c r="W18" s="65">
        <v>2.75</v>
      </c>
      <c r="X18" s="48"/>
      <c r="Y18" s="65">
        <v>0.8</v>
      </c>
      <c r="Z18" s="65">
        <v>1.35</v>
      </c>
    </row>
    <row r="19" spans="2:26">
      <c r="B19" s="48"/>
      <c r="C19" s="49">
        <v>41096</v>
      </c>
      <c r="D19" s="48">
        <v>5.6</v>
      </c>
      <c r="E19" s="48">
        <v>6</v>
      </c>
      <c r="F19" s="48">
        <v>6.15</v>
      </c>
      <c r="G19" s="48">
        <v>6.4</v>
      </c>
      <c r="H19" s="48">
        <v>6.55</v>
      </c>
      <c r="I19" s="48">
        <v>4</v>
      </c>
      <c r="J19" s="48">
        <v>4.5</v>
      </c>
      <c r="L19" s="48"/>
      <c r="M19" s="49">
        <v>41096</v>
      </c>
      <c r="N19" s="48">
        <v>0.35</v>
      </c>
      <c r="O19" s="48">
        <v>2.6</v>
      </c>
      <c r="P19" s="48">
        <v>2.8</v>
      </c>
      <c r="Q19" s="48">
        <v>3</v>
      </c>
      <c r="R19" s="48">
        <v>3.75</v>
      </c>
      <c r="S19" s="48">
        <v>4.25</v>
      </c>
      <c r="T19" s="48">
        <v>4.75</v>
      </c>
      <c r="U19" s="48">
        <v>2.85</v>
      </c>
      <c r="V19" s="48">
        <v>2.9</v>
      </c>
      <c r="W19" s="48">
        <v>3</v>
      </c>
      <c r="X19" s="48">
        <v>1.15</v>
      </c>
      <c r="Y19" s="48">
        <v>0.8</v>
      </c>
      <c r="Z19" s="48">
        <v>1.35</v>
      </c>
    </row>
    <row r="20" spans="2:26">
      <c r="B20" s="48"/>
      <c r="C20" s="49">
        <v>41068</v>
      </c>
      <c r="D20" s="48">
        <v>5.85</v>
      </c>
      <c r="E20" s="48">
        <v>6.31</v>
      </c>
      <c r="F20" s="48">
        <v>6.4</v>
      </c>
      <c r="G20" s="48">
        <v>6.65</v>
      </c>
      <c r="H20" s="48">
        <v>6.8</v>
      </c>
      <c r="I20" s="48">
        <v>4.2</v>
      </c>
      <c r="J20" s="48">
        <v>4.7</v>
      </c>
      <c r="L20" s="48"/>
      <c r="M20" s="49">
        <v>41068</v>
      </c>
      <c r="N20" s="48">
        <v>0.4</v>
      </c>
      <c r="O20" s="48">
        <v>2.85</v>
      </c>
      <c r="P20" s="48">
        <v>3.05</v>
      </c>
      <c r="Q20" s="48">
        <v>3.25</v>
      </c>
      <c r="R20" s="48">
        <v>4.1</v>
      </c>
      <c r="S20" s="48">
        <v>4.65</v>
      </c>
      <c r="T20" s="48">
        <v>5.1</v>
      </c>
      <c r="U20" s="48">
        <v>3.1</v>
      </c>
      <c r="V20" s="48">
        <v>3.15</v>
      </c>
      <c r="W20" s="48">
        <v>3.25</v>
      </c>
      <c r="X20" s="48">
        <v>1.31</v>
      </c>
      <c r="Y20" s="48">
        <v>0.94</v>
      </c>
      <c r="Z20" s="48">
        <v>1.49</v>
      </c>
    </row>
    <row r="21" spans="2:26">
      <c r="B21" s="48"/>
      <c r="C21" s="49">
        <v>40731</v>
      </c>
      <c r="D21" s="48">
        <v>6.1</v>
      </c>
      <c r="E21" s="48">
        <v>6.56</v>
      </c>
      <c r="F21" s="48">
        <v>6.65</v>
      </c>
      <c r="G21" s="48">
        <v>6.9</v>
      </c>
      <c r="H21" s="48">
        <v>7.05</v>
      </c>
      <c r="I21" s="48">
        <v>4.45</v>
      </c>
      <c r="J21" s="48">
        <v>4.9</v>
      </c>
      <c r="L21" s="48"/>
      <c r="M21" s="49">
        <v>40731</v>
      </c>
      <c r="N21" s="48">
        <v>0.5</v>
      </c>
      <c r="O21" s="48">
        <v>3.1</v>
      </c>
      <c r="P21" s="48">
        <v>3.3</v>
      </c>
      <c r="Q21" s="48">
        <v>3.5</v>
      </c>
      <c r="R21" s="48">
        <v>4.4</v>
      </c>
      <c r="S21" s="48">
        <v>5</v>
      </c>
      <c r="T21" s="48">
        <v>5.5</v>
      </c>
      <c r="U21" s="48">
        <v>3.1</v>
      </c>
      <c r="V21" s="48">
        <v>3.3</v>
      </c>
      <c r="W21" s="48">
        <v>3.5</v>
      </c>
      <c r="X21" s="48">
        <v>1.31</v>
      </c>
      <c r="Y21" s="48">
        <v>0.95</v>
      </c>
      <c r="Z21" s="48">
        <v>1.49</v>
      </c>
    </row>
    <row r="22" spans="2:26">
      <c r="B22" s="48"/>
      <c r="C22" s="49">
        <v>40639</v>
      </c>
      <c r="D22" s="48">
        <v>5.85</v>
      </c>
      <c r="E22" s="48">
        <v>6.31</v>
      </c>
      <c r="F22" s="48">
        <v>6.4</v>
      </c>
      <c r="G22" s="48">
        <v>6.65</v>
      </c>
      <c r="H22" s="48">
        <v>6.8</v>
      </c>
      <c r="I22" s="48">
        <v>4.2</v>
      </c>
      <c r="J22" s="48">
        <v>4.7</v>
      </c>
      <c r="L22" s="48"/>
      <c r="M22" s="49">
        <v>40639</v>
      </c>
      <c r="N22" s="48">
        <v>0.5</v>
      </c>
      <c r="O22" s="48">
        <v>2.85</v>
      </c>
      <c r="P22" s="48">
        <v>3.05</v>
      </c>
      <c r="Q22" s="48">
        <v>3.25</v>
      </c>
      <c r="R22" s="48">
        <v>4.15</v>
      </c>
      <c r="S22" s="48">
        <v>4.75</v>
      </c>
      <c r="T22" s="48">
        <v>5.25</v>
      </c>
      <c r="U22" s="48">
        <v>2.85</v>
      </c>
      <c r="V22" s="48">
        <v>3.05</v>
      </c>
      <c r="W22" s="48">
        <v>3.25</v>
      </c>
      <c r="X22" s="48">
        <v>1.31</v>
      </c>
      <c r="Y22" s="48">
        <v>0.95</v>
      </c>
      <c r="Z22" s="48">
        <v>1.49</v>
      </c>
    </row>
    <row r="23" spans="2:26">
      <c r="B23" s="48"/>
      <c r="C23" s="49">
        <v>40583</v>
      </c>
      <c r="D23" s="48">
        <v>5.6</v>
      </c>
      <c r="E23" s="48">
        <v>6.06</v>
      </c>
      <c r="F23" s="48">
        <v>6.1</v>
      </c>
      <c r="G23" s="48">
        <v>6.45</v>
      </c>
      <c r="H23" s="48">
        <v>6.6</v>
      </c>
      <c r="I23" s="48">
        <v>4</v>
      </c>
      <c r="J23" s="48">
        <v>4.5</v>
      </c>
      <c r="L23" s="48"/>
      <c r="M23" s="49">
        <v>40583</v>
      </c>
      <c r="N23" s="48">
        <v>0.4</v>
      </c>
      <c r="O23" s="48">
        <v>2.6</v>
      </c>
      <c r="P23" s="48">
        <v>2.8</v>
      </c>
      <c r="Q23" s="48">
        <v>3</v>
      </c>
      <c r="R23" s="48">
        <v>3.9</v>
      </c>
      <c r="S23" s="48">
        <v>4.5</v>
      </c>
      <c r="T23" s="48">
        <v>5</v>
      </c>
      <c r="U23" s="48">
        <v>2.6</v>
      </c>
      <c r="V23" s="48">
        <v>2.8</v>
      </c>
      <c r="W23" s="48">
        <v>3</v>
      </c>
      <c r="X23" s="48">
        <v>1.21</v>
      </c>
      <c r="Y23" s="48">
        <v>0.85</v>
      </c>
      <c r="Z23" s="48">
        <v>1.39</v>
      </c>
    </row>
    <row r="24" spans="2:26">
      <c r="B24" s="48"/>
      <c r="C24" s="49">
        <v>40538</v>
      </c>
      <c r="D24" s="48">
        <v>5.35</v>
      </c>
      <c r="E24" s="48">
        <v>5.81</v>
      </c>
      <c r="F24" s="48">
        <v>5.85</v>
      </c>
      <c r="G24" s="48">
        <v>6.22</v>
      </c>
      <c r="H24" s="48">
        <v>6.4</v>
      </c>
      <c r="I24" s="48">
        <v>3.75</v>
      </c>
      <c r="J24" s="48">
        <v>4.3</v>
      </c>
      <c r="L24" s="48"/>
      <c r="M24" s="49">
        <v>40538</v>
      </c>
      <c r="N24" s="48">
        <v>0.36</v>
      </c>
      <c r="O24" s="48">
        <v>2.25</v>
      </c>
      <c r="P24" s="48">
        <v>2.5</v>
      </c>
      <c r="Q24" s="48">
        <v>2.75</v>
      </c>
      <c r="R24" s="48">
        <v>3.55</v>
      </c>
      <c r="S24" s="48">
        <v>4.15</v>
      </c>
      <c r="T24" s="48">
        <v>4.55</v>
      </c>
      <c r="U24" s="48">
        <v>2.16</v>
      </c>
      <c r="V24" s="48">
        <v>2.5</v>
      </c>
      <c r="W24" s="48">
        <v>2.85</v>
      </c>
      <c r="X24" s="48">
        <v>1.17</v>
      </c>
      <c r="Y24" s="48">
        <v>0.81</v>
      </c>
      <c r="Z24" s="48">
        <v>1.35</v>
      </c>
    </row>
    <row r="25" spans="2:26">
      <c r="B25" s="48"/>
      <c r="C25" s="49">
        <v>40471</v>
      </c>
      <c r="D25" s="48">
        <v>5.1</v>
      </c>
      <c r="E25" s="48">
        <v>5.56</v>
      </c>
      <c r="F25" s="48">
        <v>5.6</v>
      </c>
      <c r="G25" s="48">
        <v>5.96</v>
      </c>
      <c r="H25" s="48">
        <v>6.14</v>
      </c>
      <c r="I25" s="48">
        <v>3.5</v>
      </c>
      <c r="J25" s="48">
        <v>4.05</v>
      </c>
      <c r="L25" s="48"/>
      <c r="M25" s="49">
        <v>40471</v>
      </c>
      <c r="N25" s="48">
        <v>0.36</v>
      </c>
      <c r="O25" s="48">
        <v>1.91</v>
      </c>
      <c r="P25" s="48">
        <v>2.2</v>
      </c>
      <c r="Q25" s="48">
        <v>2.5</v>
      </c>
      <c r="R25" s="48">
        <v>3.25</v>
      </c>
      <c r="S25" s="48">
        <v>3.85</v>
      </c>
      <c r="T25" s="48">
        <v>4.2</v>
      </c>
      <c r="U25" s="48">
        <v>1.91</v>
      </c>
      <c r="V25" s="48">
        <v>2.2</v>
      </c>
      <c r="W25" s="48">
        <v>2.5</v>
      </c>
      <c r="X25" s="48">
        <v>1.17</v>
      </c>
      <c r="Y25" s="48">
        <v>0.81</v>
      </c>
      <c r="Z25" s="48">
        <v>1.35</v>
      </c>
    </row>
    <row r="26" spans="2:26">
      <c r="B26" s="48"/>
      <c r="C26" s="49">
        <v>39805</v>
      </c>
      <c r="D26" s="48">
        <v>4.86</v>
      </c>
      <c r="E26" s="48">
        <v>5.31</v>
      </c>
      <c r="F26" s="48">
        <v>5.4</v>
      </c>
      <c r="G26" s="48">
        <v>5.76</v>
      </c>
      <c r="H26" s="48">
        <v>5.94</v>
      </c>
      <c r="I26" s="48">
        <v>3.33</v>
      </c>
      <c r="J26" s="48">
        <v>3.87</v>
      </c>
      <c r="L26" s="48"/>
      <c r="M26" s="49">
        <v>39805</v>
      </c>
      <c r="N26" s="48">
        <v>0.36</v>
      </c>
      <c r="O26" s="48">
        <v>1.71</v>
      </c>
      <c r="P26" s="48">
        <v>1.98</v>
      </c>
      <c r="Q26" s="48">
        <v>2.25</v>
      </c>
      <c r="R26" s="48">
        <v>2.79</v>
      </c>
      <c r="S26" s="48">
        <v>3.33</v>
      </c>
      <c r="T26" s="48">
        <v>3.6</v>
      </c>
      <c r="U26" s="48">
        <v>1.71</v>
      </c>
      <c r="V26" s="48">
        <v>1.98</v>
      </c>
      <c r="W26" s="48">
        <v>2.25</v>
      </c>
      <c r="X26" s="48">
        <v>1.17</v>
      </c>
      <c r="Y26" s="48">
        <v>0.81</v>
      </c>
      <c r="Z26" s="48">
        <v>1.35</v>
      </c>
    </row>
    <row r="27" spans="2:26">
      <c r="B27" s="48"/>
      <c r="C27" s="49">
        <v>39779</v>
      </c>
      <c r="D27" s="48">
        <v>5.04</v>
      </c>
      <c r="E27" s="48">
        <v>5.58</v>
      </c>
      <c r="F27" s="48">
        <v>5.67</v>
      </c>
      <c r="G27" s="48">
        <v>5.94</v>
      </c>
      <c r="H27" s="48">
        <v>6.12</v>
      </c>
      <c r="I27" s="48">
        <v>3.51</v>
      </c>
      <c r="J27" s="48">
        <v>4.05</v>
      </c>
      <c r="L27" s="48"/>
      <c r="M27" s="49">
        <v>39779</v>
      </c>
      <c r="N27" s="48">
        <v>0.36</v>
      </c>
      <c r="O27" s="48">
        <v>1.98</v>
      </c>
      <c r="P27" s="48">
        <v>2.25</v>
      </c>
      <c r="Q27" s="48">
        <v>2.52</v>
      </c>
      <c r="R27" s="48">
        <v>3.06</v>
      </c>
      <c r="S27" s="48">
        <v>3.6</v>
      </c>
      <c r="T27" s="48">
        <v>3.87</v>
      </c>
      <c r="U27" s="48">
        <v>1.98</v>
      </c>
      <c r="V27" s="48">
        <v>2.25</v>
      </c>
      <c r="W27" s="48">
        <v>2.52</v>
      </c>
      <c r="X27" s="48">
        <v>1.17</v>
      </c>
      <c r="Y27" s="48">
        <v>0.81</v>
      </c>
      <c r="Z27" s="48">
        <v>1.35</v>
      </c>
    </row>
    <row r="28" spans="2:26">
      <c r="B28" s="48"/>
      <c r="C28" s="49">
        <v>39751</v>
      </c>
      <c r="D28" s="48">
        <v>6.03</v>
      </c>
      <c r="E28" s="48">
        <v>6.66</v>
      </c>
      <c r="F28" s="48">
        <v>6.75</v>
      </c>
      <c r="G28" s="48">
        <v>7.02</v>
      </c>
      <c r="H28" s="48">
        <v>7.2</v>
      </c>
      <c r="I28" s="48">
        <v>4.05</v>
      </c>
      <c r="J28" s="48">
        <v>4.59</v>
      </c>
      <c r="L28" s="48"/>
      <c r="M28" s="49">
        <v>39751</v>
      </c>
      <c r="N28" s="48">
        <v>0.72</v>
      </c>
      <c r="O28" s="48">
        <v>2.88</v>
      </c>
      <c r="P28" s="48">
        <v>3.24</v>
      </c>
      <c r="Q28" s="48">
        <v>3.6</v>
      </c>
      <c r="R28" s="48">
        <v>4.14</v>
      </c>
      <c r="S28" s="48">
        <v>4.77</v>
      </c>
      <c r="T28" s="48">
        <v>5.13</v>
      </c>
      <c r="U28" s="48">
        <v>2.88</v>
      </c>
      <c r="V28" s="48">
        <v>3.24</v>
      </c>
      <c r="W28" s="48">
        <v>3.6</v>
      </c>
      <c r="X28" s="48">
        <v>1.53</v>
      </c>
      <c r="Y28" s="48">
        <v>1.17</v>
      </c>
      <c r="Z28" s="48">
        <v>1.71</v>
      </c>
    </row>
    <row r="29" spans="2:26">
      <c r="B29" s="48"/>
      <c r="C29" s="50">
        <v>39748</v>
      </c>
      <c r="D29" s="48">
        <v>6.12</v>
      </c>
      <c r="E29" s="48">
        <v>6.93</v>
      </c>
      <c r="F29" s="48">
        <v>7.02</v>
      </c>
      <c r="G29" s="48">
        <v>7.29</v>
      </c>
      <c r="H29" s="48">
        <v>7.47</v>
      </c>
      <c r="I29" s="48">
        <v>4.05</v>
      </c>
      <c r="J29" s="48">
        <v>4.59</v>
      </c>
      <c r="L29" s="48"/>
      <c r="M29" s="50">
        <v>39736</v>
      </c>
      <c r="N29" s="48">
        <v>0.72</v>
      </c>
      <c r="O29" s="48">
        <v>3.15</v>
      </c>
      <c r="P29" s="48">
        <v>3.51</v>
      </c>
      <c r="Q29" s="48">
        <v>3.87</v>
      </c>
      <c r="R29" s="48">
        <v>4.41</v>
      </c>
      <c r="S29" s="48">
        <v>5.13</v>
      </c>
      <c r="T29" s="48">
        <v>5.58</v>
      </c>
      <c r="U29" s="48">
        <v>3.15</v>
      </c>
      <c r="V29" s="48">
        <v>3.51</v>
      </c>
      <c r="W29" s="48">
        <v>3.87</v>
      </c>
      <c r="X29" s="48">
        <v>1.53</v>
      </c>
      <c r="Y29" s="48">
        <v>1.17</v>
      </c>
      <c r="Z29" s="48">
        <v>1.71</v>
      </c>
    </row>
    <row r="30" spans="2:26">
      <c r="B30" s="48"/>
      <c r="C30" s="49">
        <v>39730</v>
      </c>
      <c r="D30" s="48">
        <v>6.12</v>
      </c>
      <c r="E30" s="48">
        <v>6.93</v>
      </c>
      <c r="F30" s="48">
        <v>7.02</v>
      </c>
      <c r="G30" s="48">
        <v>7.29</v>
      </c>
      <c r="H30" s="48">
        <v>7.47</v>
      </c>
      <c r="I30" s="48">
        <v>4.32</v>
      </c>
      <c r="J30" s="48">
        <v>4.86</v>
      </c>
      <c r="L30" s="48"/>
      <c r="M30" s="49">
        <v>39730</v>
      </c>
      <c r="N30" s="48">
        <v>0.72</v>
      </c>
      <c r="O30" s="48">
        <v>3.15</v>
      </c>
      <c r="P30" s="48">
        <v>3.51</v>
      </c>
      <c r="Q30" s="48">
        <v>3.87</v>
      </c>
      <c r="R30" s="48">
        <v>4.41</v>
      </c>
      <c r="S30" s="48">
        <v>5.13</v>
      </c>
      <c r="T30" s="48">
        <v>5.58</v>
      </c>
      <c r="U30" s="48">
        <v>3.15</v>
      </c>
      <c r="V30" s="48">
        <v>3.51</v>
      </c>
      <c r="W30" s="48">
        <v>3.87</v>
      </c>
      <c r="X30" s="48">
        <v>1.53</v>
      </c>
      <c r="Y30" s="48">
        <v>1.17</v>
      </c>
      <c r="Z30" s="48">
        <v>1.71</v>
      </c>
    </row>
    <row r="31" spans="2:26">
      <c r="B31" s="48"/>
      <c r="C31" s="49">
        <v>39707</v>
      </c>
      <c r="D31" s="48">
        <v>6.21</v>
      </c>
      <c r="E31" s="48">
        <v>7.2</v>
      </c>
      <c r="F31" s="48">
        <v>7.29</v>
      </c>
      <c r="G31" s="48">
        <v>7.56</v>
      </c>
      <c r="H31" s="48">
        <v>7.74</v>
      </c>
      <c r="I31" s="48">
        <v>4.59</v>
      </c>
      <c r="J31" s="48">
        <v>5.13</v>
      </c>
      <c r="L31" s="48"/>
      <c r="M31" s="49">
        <v>39437</v>
      </c>
      <c r="N31" s="48">
        <v>0.72</v>
      </c>
      <c r="O31" s="48">
        <v>3.33</v>
      </c>
      <c r="P31" s="48">
        <v>3.78</v>
      </c>
      <c r="Q31" s="48">
        <v>4.14</v>
      </c>
      <c r="R31" s="48">
        <v>4.68</v>
      </c>
      <c r="S31" s="48">
        <v>5.4</v>
      </c>
      <c r="T31" s="48">
        <v>5.85</v>
      </c>
      <c r="U31" s="48">
        <v>3.33</v>
      </c>
      <c r="V31" s="48">
        <v>3.78</v>
      </c>
      <c r="W31" s="48">
        <v>4.14</v>
      </c>
      <c r="X31" s="48">
        <v>1.53</v>
      </c>
      <c r="Y31" s="48">
        <v>1.17</v>
      </c>
      <c r="Z31" s="48">
        <v>1.71</v>
      </c>
    </row>
    <row r="32" spans="2:26">
      <c r="B32" s="48"/>
      <c r="C32" s="49">
        <v>39437</v>
      </c>
      <c r="D32" s="48">
        <v>6.57</v>
      </c>
      <c r="E32" s="48">
        <v>7.47</v>
      </c>
      <c r="F32" s="48">
        <v>7.56</v>
      </c>
      <c r="G32" s="48">
        <v>7.74</v>
      </c>
      <c r="H32" s="48">
        <v>7.83</v>
      </c>
      <c r="I32" s="48">
        <v>4.77</v>
      </c>
      <c r="J32" s="48">
        <v>5.22</v>
      </c>
      <c r="L32" s="48"/>
      <c r="M32" s="49">
        <v>39340</v>
      </c>
      <c r="N32" s="48">
        <v>0.81</v>
      </c>
      <c r="O32" s="48">
        <v>2.88</v>
      </c>
      <c r="P32" s="48">
        <v>3.42</v>
      </c>
      <c r="Q32" s="48">
        <v>3.87</v>
      </c>
      <c r="R32" s="48">
        <v>4.5</v>
      </c>
      <c r="S32" s="48">
        <v>5.22</v>
      </c>
      <c r="T32" s="48">
        <v>5.76</v>
      </c>
      <c r="U32" s="48">
        <v>2.88</v>
      </c>
      <c r="V32" s="48">
        <v>3.42</v>
      </c>
      <c r="W32" s="48">
        <v>3.87</v>
      </c>
      <c r="X32" s="48">
        <v>1.53</v>
      </c>
      <c r="Y32" s="48">
        <v>1.17</v>
      </c>
      <c r="Z32" s="48">
        <v>1.71</v>
      </c>
    </row>
    <row r="33" spans="2:26">
      <c r="B33" s="48"/>
      <c r="C33" s="49">
        <v>39340</v>
      </c>
      <c r="D33" s="48">
        <v>6.48</v>
      </c>
      <c r="E33" s="48">
        <v>7.29</v>
      </c>
      <c r="F33" s="48">
        <v>7.47</v>
      </c>
      <c r="G33" s="48">
        <v>7.65</v>
      </c>
      <c r="H33" s="48">
        <v>7.83</v>
      </c>
      <c r="I33" s="48">
        <v>4.77</v>
      </c>
      <c r="J33" s="48">
        <v>5.22</v>
      </c>
      <c r="L33" s="48"/>
      <c r="M33" s="49">
        <v>39316</v>
      </c>
      <c r="N33" s="48">
        <v>0.81</v>
      </c>
      <c r="O33" s="48">
        <v>2.61</v>
      </c>
      <c r="P33" s="48">
        <v>3.15</v>
      </c>
      <c r="Q33" s="48">
        <v>3.6</v>
      </c>
      <c r="R33" s="48">
        <v>4.23</v>
      </c>
      <c r="S33" s="48">
        <v>4.95</v>
      </c>
      <c r="T33" s="48">
        <v>5.49</v>
      </c>
      <c r="U33" s="48">
        <v>2.61</v>
      </c>
      <c r="V33" s="48">
        <v>3.15</v>
      </c>
      <c r="W33" s="48">
        <v>3.6</v>
      </c>
      <c r="X33" s="48">
        <v>1.53</v>
      </c>
      <c r="Y33" s="48">
        <v>1.17</v>
      </c>
      <c r="Z33" s="48">
        <v>1.71</v>
      </c>
    </row>
    <row r="34" spans="2:26">
      <c r="B34" s="48"/>
      <c r="C34" s="49">
        <v>39316</v>
      </c>
      <c r="D34" s="48">
        <v>6.21</v>
      </c>
      <c r="E34" s="48">
        <v>7.02</v>
      </c>
      <c r="F34" s="48">
        <v>7.2</v>
      </c>
      <c r="G34" s="48">
        <v>7.38</v>
      </c>
      <c r="H34" s="48">
        <v>7.56</v>
      </c>
      <c r="I34" s="48">
        <v>4.59</v>
      </c>
      <c r="J34" s="48">
        <v>5.04</v>
      </c>
      <c r="L34" s="48"/>
      <c r="M34" s="49">
        <v>39284</v>
      </c>
      <c r="N34" s="48">
        <v>0.81</v>
      </c>
      <c r="O34" s="48">
        <v>2.34</v>
      </c>
      <c r="P34" s="48">
        <v>2.88</v>
      </c>
      <c r="Q34" s="48">
        <v>3.33</v>
      </c>
      <c r="R34" s="48">
        <v>3.96</v>
      </c>
      <c r="S34" s="48">
        <v>4.68</v>
      </c>
      <c r="T34" s="48">
        <v>5.22</v>
      </c>
      <c r="U34" s="48">
        <v>2.34</v>
      </c>
      <c r="V34" s="48">
        <v>2.88</v>
      </c>
      <c r="W34" s="48">
        <v>3.33</v>
      </c>
      <c r="X34" s="48">
        <v>1.53</v>
      </c>
      <c r="Y34" s="48">
        <v>1.17</v>
      </c>
      <c r="Z34" s="48">
        <v>1.71</v>
      </c>
    </row>
    <row r="35" spans="2:26">
      <c r="B35" s="48"/>
      <c r="C35" s="49">
        <v>39284</v>
      </c>
      <c r="D35" s="48">
        <v>6.03</v>
      </c>
      <c r="E35" s="48">
        <v>6.84</v>
      </c>
      <c r="F35" s="48">
        <v>7.02</v>
      </c>
      <c r="G35" s="48">
        <v>7.2</v>
      </c>
      <c r="H35" s="48">
        <v>7.38</v>
      </c>
      <c r="I35" s="48">
        <v>4.5</v>
      </c>
      <c r="J35" s="48">
        <v>4.95</v>
      </c>
      <c r="L35" s="48"/>
      <c r="M35" s="49">
        <v>39221</v>
      </c>
      <c r="N35" s="48">
        <v>0.72</v>
      </c>
      <c r="O35" s="48">
        <v>2.07</v>
      </c>
      <c r="P35" s="48">
        <v>2.61</v>
      </c>
      <c r="Q35" s="48">
        <v>3.06</v>
      </c>
      <c r="R35" s="48">
        <v>3.69</v>
      </c>
      <c r="S35" s="48">
        <v>4.41</v>
      </c>
      <c r="T35" s="48">
        <v>4.95</v>
      </c>
      <c r="U35" s="48">
        <v>2.07</v>
      </c>
      <c r="V35" s="48">
        <v>2.61</v>
      </c>
      <c r="W35" s="48">
        <v>3.06</v>
      </c>
      <c r="X35" s="48">
        <v>1.44</v>
      </c>
      <c r="Y35" s="48">
        <v>1.08</v>
      </c>
      <c r="Z35" s="48">
        <v>1.62</v>
      </c>
    </row>
    <row r="36" spans="2:26">
      <c r="B36" s="48"/>
      <c r="C36" s="49">
        <v>39221</v>
      </c>
      <c r="D36" s="48">
        <v>5.85</v>
      </c>
      <c r="E36" s="48">
        <v>6.57</v>
      </c>
      <c r="F36" s="48">
        <v>6.75</v>
      </c>
      <c r="G36" s="48">
        <v>6.93</v>
      </c>
      <c r="H36" s="48">
        <v>7.2</v>
      </c>
      <c r="I36" s="48">
        <v>4.41</v>
      </c>
      <c r="J36" s="48">
        <v>4.86</v>
      </c>
      <c r="L36" s="48"/>
      <c r="M36" s="49">
        <v>39159</v>
      </c>
      <c r="N36" s="48">
        <v>0.72</v>
      </c>
      <c r="O36" s="48">
        <v>1.98</v>
      </c>
      <c r="P36" s="48">
        <v>2.43</v>
      </c>
      <c r="Q36" s="48">
        <v>2.79</v>
      </c>
      <c r="R36" s="48">
        <v>3.33</v>
      </c>
      <c r="S36" s="48">
        <v>3.96</v>
      </c>
      <c r="T36" s="48">
        <v>4.41</v>
      </c>
      <c r="U36" s="48">
        <v>1.98</v>
      </c>
      <c r="V36" s="48">
        <v>2.43</v>
      </c>
      <c r="W36" s="48">
        <v>2.79</v>
      </c>
      <c r="X36" s="48">
        <v>1.44</v>
      </c>
      <c r="Y36" s="48">
        <v>1.08</v>
      </c>
      <c r="Z36" s="48">
        <v>1.62</v>
      </c>
    </row>
    <row r="37" spans="2:26">
      <c r="B37" s="48"/>
      <c r="C37" s="49">
        <v>39159</v>
      </c>
      <c r="D37" s="48">
        <v>5.67</v>
      </c>
      <c r="E37" s="48">
        <v>6.39</v>
      </c>
      <c r="F37" s="48">
        <v>6.57</v>
      </c>
      <c r="G37" s="48">
        <v>6.75</v>
      </c>
      <c r="H37" s="48">
        <v>7.11</v>
      </c>
      <c r="I37" s="48">
        <v>4.32</v>
      </c>
      <c r="J37" s="48">
        <v>4.77</v>
      </c>
      <c r="L37" s="48"/>
      <c r="M37" s="49">
        <v>38948</v>
      </c>
      <c r="N37" s="48">
        <v>0.72</v>
      </c>
      <c r="O37" s="48">
        <v>1.8</v>
      </c>
      <c r="P37" s="48">
        <v>2.25</v>
      </c>
      <c r="Q37" s="48">
        <v>2.52</v>
      </c>
      <c r="R37" s="48">
        <v>3.06</v>
      </c>
      <c r="S37" s="48">
        <v>3.69</v>
      </c>
      <c r="T37" s="48">
        <v>4.14</v>
      </c>
      <c r="U37" s="48">
        <v>1.8</v>
      </c>
      <c r="V37" s="48">
        <v>2.25</v>
      </c>
      <c r="W37" s="48">
        <v>2.52</v>
      </c>
      <c r="X37" s="48">
        <v>1.44</v>
      </c>
      <c r="Y37" s="48">
        <v>1.08</v>
      </c>
      <c r="Z37" s="48">
        <v>1.62</v>
      </c>
    </row>
    <row r="38" spans="2:26">
      <c r="B38" s="48"/>
      <c r="C38" s="49">
        <v>38948</v>
      </c>
      <c r="D38" s="48">
        <v>5.58</v>
      </c>
      <c r="E38" s="48">
        <v>6.12</v>
      </c>
      <c r="F38" s="48">
        <v>6.3</v>
      </c>
      <c r="G38" s="48">
        <v>6.48</v>
      </c>
      <c r="H38" s="48">
        <v>6.84</v>
      </c>
      <c r="I38" s="48">
        <v>4.14</v>
      </c>
      <c r="J38" s="48">
        <v>4.59</v>
      </c>
      <c r="L38" s="48"/>
      <c r="M38" s="49">
        <v>38289</v>
      </c>
      <c r="N38" s="48">
        <v>0.72</v>
      </c>
      <c r="O38" s="48">
        <v>1.71</v>
      </c>
      <c r="P38" s="48">
        <v>2.07</v>
      </c>
      <c r="Q38" s="48">
        <v>2.25</v>
      </c>
      <c r="R38" s="48">
        <v>2.7</v>
      </c>
      <c r="S38" s="48">
        <v>3.24</v>
      </c>
      <c r="T38" s="48">
        <v>3.6</v>
      </c>
      <c r="U38" s="48">
        <v>1.71</v>
      </c>
      <c r="V38" s="48">
        <v>2.07</v>
      </c>
      <c r="W38" s="48">
        <v>2.25</v>
      </c>
      <c r="X38" s="48">
        <v>1.44</v>
      </c>
      <c r="Y38" s="48">
        <v>1.08</v>
      </c>
      <c r="Z38" s="48">
        <v>1.62</v>
      </c>
    </row>
    <row r="39" spans="2:26">
      <c r="B39" s="48"/>
      <c r="C39" s="49">
        <v>38835</v>
      </c>
      <c r="D39" s="48">
        <v>5.4</v>
      </c>
      <c r="E39" s="48">
        <v>5.85</v>
      </c>
      <c r="F39" s="48">
        <v>6.03</v>
      </c>
      <c r="G39" s="48">
        <v>6.12</v>
      </c>
      <c r="H39" s="48">
        <v>6.39</v>
      </c>
      <c r="I39" s="48">
        <v>4.14</v>
      </c>
      <c r="J39" s="48">
        <v>4.59</v>
      </c>
      <c r="L39" s="48"/>
      <c r="M39" s="49">
        <v>37308</v>
      </c>
      <c r="N39" s="48">
        <v>0.72</v>
      </c>
      <c r="O39" s="48">
        <v>1.71</v>
      </c>
      <c r="P39" s="48">
        <v>1.89</v>
      </c>
      <c r="Q39" s="48">
        <v>1.98</v>
      </c>
      <c r="R39" s="48">
        <v>2.25</v>
      </c>
      <c r="S39" s="48">
        <v>2.52</v>
      </c>
      <c r="T39" s="48">
        <v>2.79</v>
      </c>
      <c r="U39" s="48">
        <v>1.71</v>
      </c>
      <c r="V39" s="48">
        <v>1.89</v>
      </c>
      <c r="W39" s="48">
        <v>1.98</v>
      </c>
      <c r="X39" s="48">
        <v>1.44</v>
      </c>
      <c r="Y39" s="48">
        <v>1.08</v>
      </c>
      <c r="Z39" s="48">
        <v>1.62</v>
      </c>
    </row>
    <row r="40" spans="2:26">
      <c r="B40" s="48"/>
      <c r="C40" s="49">
        <v>38428</v>
      </c>
      <c r="D40" s="48">
        <v>5.22</v>
      </c>
      <c r="E40" s="48">
        <v>5.58</v>
      </c>
      <c r="F40" s="48">
        <v>5.76</v>
      </c>
      <c r="G40" s="48">
        <v>5.85</v>
      </c>
      <c r="H40" s="48">
        <v>6.12</v>
      </c>
      <c r="I40" s="48">
        <v>3.96</v>
      </c>
      <c r="J40" s="48">
        <v>4.41</v>
      </c>
      <c r="L40" s="48"/>
      <c r="M40" s="49">
        <v>36321</v>
      </c>
      <c r="N40" s="48">
        <v>0.99</v>
      </c>
      <c r="O40" s="48">
        <v>1.98</v>
      </c>
      <c r="P40" s="48">
        <v>2.16</v>
      </c>
      <c r="Q40" s="48">
        <v>2.25</v>
      </c>
      <c r="R40" s="48">
        <v>2.43</v>
      </c>
      <c r="S40" s="48">
        <v>2.7</v>
      </c>
      <c r="T40" s="48">
        <v>2.88</v>
      </c>
      <c r="U40" s="48">
        <v>1.98</v>
      </c>
      <c r="V40" s="48">
        <v>2.16</v>
      </c>
      <c r="W40" s="48">
        <v>2.25</v>
      </c>
      <c r="X40" s="48">
        <v>1.71</v>
      </c>
      <c r="Y40" s="48">
        <v>1.35</v>
      </c>
      <c r="Z40" s="48">
        <v>1.89</v>
      </c>
    </row>
    <row r="41" spans="2:26">
      <c r="B41" s="48"/>
      <c r="C41" s="49">
        <v>38289</v>
      </c>
      <c r="D41" s="48">
        <v>5.22</v>
      </c>
      <c r="E41" s="48">
        <v>5.58</v>
      </c>
      <c r="F41" s="48">
        <v>5.76</v>
      </c>
      <c r="G41" s="48">
        <v>5.85</v>
      </c>
      <c r="H41" s="48">
        <v>6.12</v>
      </c>
      <c r="I41" s="48">
        <v>3.78</v>
      </c>
      <c r="J41" s="48">
        <v>4.23</v>
      </c>
      <c r="L41" s="48"/>
      <c r="M41" s="49">
        <v>36136</v>
      </c>
      <c r="N41" s="48">
        <v>1.44</v>
      </c>
      <c r="O41" s="48">
        <v>2.79</v>
      </c>
      <c r="P41" s="48">
        <v>3.33</v>
      </c>
      <c r="Q41" s="48">
        <v>3.78</v>
      </c>
      <c r="R41" s="48">
        <v>3.96</v>
      </c>
      <c r="S41" s="48">
        <v>4.14</v>
      </c>
      <c r="T41" s="48">
        <v>4.5</v>
      </c>
      <c r="U41" s="48">
        <v>3.33</v>
      </c>
      <c r="V41" s="48">
        <v>3.78</v>
      </c>
      <c r="W41" s="48">
        <v>4.14</v>
      </c>
      <c r="X41" s="48">
        <v>2.16</v>
      </c>
      <c r="Y41" s="48">
        <v>1.8</v>
      </c>
      <c r="Z41" s="48">
        <v>2.34</v>
      </c>
    </row>
    <row r="42" spans="2:26">
      <c r="B42" s="48"/>
      <c r="C42" s="49">
        <v>37308</v>
      </c>
      <c r="D42" s="48">
        <v>5.04</v>
      </c>
      <c r="E42" s="48">
        <v>5.31</v>
      </c>
      <c r="F42" s="48">
        <v>5.49</v>
      </c>
      <c r="G42" s="48">
        <v>5.58</v>
      </c>
      <c r="H42" s="48">
        <v>5.76</v>
      </c>
      <c r="I42" s="48">
        <v>3.6</v>
      </c>
      <c r="J42" s="48">
        <v>4.05</v>
      </c>
      <c r="L42" s="48"/>
      <c r="M42" s="49">
        <v>35977</v>
      </c>
      <c r="N42" s="48">
        <v>1.44</v>
      </c>
      <c r="O42" s="48">
        <v>2.79</v>
      </c>
      <c r="P42" s="48">
        <v>3.96</v>
      </c>
      <c r="Q42" s="48">
        <v>4.77</v>
      </c>
      <c r="R42" s="48">
        <v>4.86</v>
      </c>
      <c r="S42" s="48">
        <v>4.95</v>
      </c>
      <c r="T42" s="48">
        <v>5.22</v>
      </c>
      <c r="U42" s="48">
        <v>3.96</v>
      </c>
      <c r="V42" s="48">
        <v>4.77</v>
      </c>
      <c r="W42" s="48">
        <v>4.95</v>
      </c>
      <c r="X42" s="48" t="s">
        <v>2646</v>
      </c>
      <c r="Y42" s="48" t="s">
        <v>2646</v>
      </c>
      <c r="Z42" s="48" t="s">
        <v>2646</v>
      </c>
    </row>
    <row r="43" spans="2:26">
      <c r="B43" s="48"/>
      <c r="C43" s="49">
        <v>36321</v>
      </c>
      <c r="D43" s="48">
        <v>5.58</v>
      </c>
      <c r="E43" s="48">
        <v>5.85</v>
      </c>
      <c r="F43" s="48">
        <v>5.94</v>
      </c>
      <c r="G43" s="48">
        <v>6.03</v>
      </c>
      <c r="H43" s="48">
        <v>6.21</v>
      </c>
      <c r="I43" s="48">
        <v>4.14</v>
      </c>
      <c r="J43" s="48">
        <v>4.59</v>
      </c>
      <c r="L43" s="48"/>
      <c r="M43" s="49">
        <v>35879</v>
      </c>
      <c r="N43" s="48">
        <v>1.71</v>
      </c>
      <c r="O43" s="48">
        <v>2.88</v>
      </c>
      <c r="P43" s="48">
        <v>4.14</v>
      </c>
      <c r="Q43" s="48">
        <v>5.22</v>
      </c>
      <c r="R43" s="48">
        <v>5.58</v>
      </c>
      <c r="S43" s="48">
        <v>6.21</v>
      </c>
      <c r="T43" s="48">
        <v>6.66</v>
      </c>
      <c r="U43" s="48">
        <v>4.14</v>
      </c>
      <c r="V43" s="48">
        <v>5.22</v>
      </c>
      <c r="W43" s="48">
        <v>6.21</v>
      </c>
      <c r="X43" s="48" t="s">
        <v>2646</v>
      </c>
      <c r="Y43" s="48" t="s">
        <v>2646</v>
      </c>
      <c r="Z43" s="48" t="s">
        <v>2646</v>
      </c>
    </row>
    <row r="44" spans="2:26">
      <c r="B44" s="48"/>
      <c r="C44" s="49">
        <v>36136</v>
      </c>
      <c r="D44" s="48">
        <v>6.12</v>
      </c>
      <c r="E44" s="48">
        <v>6.39</v>
      </c>
      <c r="F44" s="48">
        <v>6.66</v>
      </c>
      <c r="G44" s="48">
        <v>7.2</v>
      </c>
      <c r="H44" s="48">
        <v>7.56</v>
      </c>
      <c r="I44" s="48">
        <v>0</v>
      </c>
      <c r="J44" s="48">
        <v>0</v>
      </c>
      <c r="L44" s="48"/>
      <c r="M44" s="49">
        <v>35726</v>
      </c>
      <c r="N44" s="48">
        <v>1.71</v>
      </c>
      <c r="O44" s="48">
        <v>2.88</v>
      </c>
      <c r="P44" s="48">
        <v>4.14</v>
      </c>
      <c r="Q44" s="48">
        <v>5.67</v>
      </c>
      <c r="R44" s="48">
        <v>5.94</v>
      </c>
      <c r="S44" s="48">
        <v>6.21</v>
      </c>
      <c r="T44" s="48">
        <v>6.66</v>
      </c>
      <c r="U44" s="48">
        <v>4.14</v>
      </c>
      <c r="V44" s="48">
        <v>5.67</v>
      </c>
      <c r="W44" s="48">
        <v>6.21</v>
      </c>
      <c r="X44" s="48" t="s">
        <v>2646</v>
      </c>
      <c r="Y44" s="48" t="s">
        <v>2646</v>
      </c>
      <c r="Z44" s="48" t="s">
        <v>2646</v>
      </c>
    </row>
    <row r="45" spans="2:26">
      <c r="B45" s="48"/>
      <c r="C45" s="49">
        <v>35977</v>
      </c>
      <c r="D45" s="48">
        <v>6.57</v>
      </c>
      <c r="E45" s="48">
        <v>6.93</v>
      </c>
      <c r="F45" s="48">
        <v>7.11</v>
      </c>
      <c r="G45" s="48">
        <v>7.65</v>
      </c>
      <c r="H45" s="48">
        <v>8.01</v>
      </c>
      <c r="I45" s="48">
        <v>0</v>
      </c>
      <c r="J45" s="48">
        <v>0</v>
      </c>
      <c r="L45" s="48"/>
      <c r="M45" s="49">
        <v>35300</v>
      </c>
      <c r="N45" s="48">
        <v>1.98</v>
      </c>
      <c r="O45" s="48">
        <v>3.33</v>
      </c>
      <c r="P45" s="48">
        <v>5.4</v>
      </c>
      <c r="Q45" s="48">
        <v>7.47</v>
      </c>
      <c r="R45" s="48">
        <v>7.92</v>
      </c>
      <c r="S45" s="48">
        <v>8.28</v>
      </c>
      <c r="T45" s="48">
        <v>9</v>
      </c>
      <c r="U45" s="48">
        <v>5.4</v>
      </c>
      <c r="V45" s="48">
        <v>7.47</v>
      </c>
      <c r="W45" s="48">
        <v>8.28</v>
      </c>
      <c r="X45" s="48" t="s">
        <v>2646</v>
      </c>
      <c r="Y45" s="48" t="s">
        <v>2646</v>
      </c>
      <c r="Z45" s="48" t="s">
        <v>2646</v>
      </c>
    </row>
    <row r="46" spans="2:26">
      <c r="B46" s="48"/>
      <c r="C46" s="49">
        <v>35879</v>
      </c>
      <c r="D46" s="48">
        <v>7.02</v>
      </c>
      <c r="E46" s="48">
        <v>7.92</v>
      </c>
      <c r="F46" s="48">
        <v>9</v>
      </c>
      <c r="G46" s="48">
        <v>9.72</v>
      </c>
      <c r="H46" s="48">
        <v>10.35</v>
      </c>
      <c r="I46" s="48">
        <v>0</v>
      </c>
      <c r="J46" s="48">
        <v>0</v>
      </c>
      <c r="L46" s="48"/>
      <c r="M46" s="49">
        <v>35186</v>
      </c>
      <c r="N46" s="48">
        <v>2.97</v>
      </c>
      <c r="O46" s="48">
        <v>4.86</v>
      </c>
      <c r="P46" s="48">
        <v>7.2</v>
      </c>
      <c r="Q46" s="48">
        <v>9.18</v>
      </c>
      <c r="R46" s="48">
        <v>9.9</v>
      </c>
      <c r="S46" s="48">
        <v>10.8</v>
      </c>
      <c r="T46" s="48">
        <v>12.06</v>
      </c>
      <c r="U46" s="48">
        <v>7.2</v>
      </c>
      <c r="V46" s="48">
        <v>9.18</v>
      </c>
      <c r="W46" s="48">
        <v>10.8</v>
      </c>
      <c r="X46" s="48" t="s">
        <v>2646</v>
      </c>
      <c r="Y46" s="48" t="s">
        <v>2646</v>
      </c>
      <c r="Z46" s="48" t="s">
        <v>2646</v>
      </c>
    </row>
    <row r="47" spans="2:26">
      <c r="B47" s="48"/>
      <c r="C47" s="49">
        <v>35726</v>
      </c>
      <c r="D47" s="48">
        <v>7.65</v>
      </c>
      <c r="E47" s="48">
        <v>8.64</v>
      </c>
      <c r="F47" s="48">
        <v>9.36</v>
      </c>
      <c r="G47" s="48">
        <v>9.9</v>
      </c>
      <c r="H47" s="48">
        <v>10.53</v>
      </c>
      <c r="I47" s="48">
        <v>0</v>
      </c>
      <c r="J47" s="48">
        <v>0</v>
      </c>
      <c r="L47" s="48"/>
      <c r="M47" s="49">
        <v>34161</v>
      </c>
      <c r="N47" s="48">
        <v>3.15</v>
      </c>
      <c r="O47" s="48">
        <v>6.66</v>
      </c>
      <c r="P47" s="48">
        <v>9</v>
      </c>
      <c r="Q47" s="48">
        <v>10.98</v>
      </c>
      <c r="R47" s="48">
        <v>11.7</v>
      </c>
      <c r="S47" s="48">
        <v>12.24</v>
      </c>
      <c r="T47" s="48">
        <v>13.86</v>
      </c>
      <c r="U47" s="48">
        <v>9</v>
      </c>
      <c r="V47" s="48">
        <v>10.98</v>
      </c>
      <c r="W47" s="48">
        <v>12.24</v>
      </c>
      <c r="X47" s="48" t="s">
        <v>2646</v>
      </c>
      <c r="Y47" s="48" t="s">
        <v>2646</v>
      </c>
      <c r="Z47" s="48" t="s">
        <v>2646</v>
      </c>
    </row>
    <row r="48" spans="2:26">
      <c r="B48" s="48"/>
      <c r="C48" s="49">
        <v>35300</v>
      </c>
      <c r="D48" s="48">
        <v>9.18</v>
      </c>
      <c r="E48" s="48">
        <v>10.08</v>
      </c>
      <c r="F48" s="48">
        <v>10.98</v>
      </c>
      <c r="G48" s="48">
        <v>11.7</v>
      </c>
      <c r="H48" s="48">
        <v>12.42</v>
      </c>
      <c r="I48" s="48">
        <v>0</v>
      </c>
      <c r="J48" s="48">
        <v>0</v>
      </c>
      <c r="L48" s="48"/>
      <c r="M48" s="49">
        <v>34104</v>
      </c>
      <c r="N48" s="48">
        <v>2.16</v>
      </c>
      <c r="O48" s="48">
        <v>4.86</v>
      </c>
      <c r="P48" s="48">
        <v>7.2</v>
      </c>
      <c r="Q48" s="48">
        <v>9.18</v>
      </c>
      <c r="R48" s="48">
        <v>9.9</v>
      </c>
      <c r="S48" s="48">
        <v>10.8</v>
      </c>
      <c r="T48" s="48">
        <v>12.06</v>
      </c>
      <c r="U48" s="48">
        <v>7.2</v>
      </c>
      <c r="V48" s="48">
        <v>9.18</v>
      </c>
      <c r="W48" s="48">
        <v>10.8</v>
      </c>
      <c r="X48" s="48" t="s">
        <v>2646</v>
      </c>
      <c r="Y48" s="48" t="s">
        <v>2646</v>
      </c>
      <c r="Z48" s="48" t="s">
        <v>2646</v>
      </c>
    </row>
    <row r="49" spans="2:26">
      <c r="B49" s="48"/>
      <c r="C49" s="49">
        <v>35186</v>
      </c>
      <c r="D49" s="48">
        <v>9.72</v>
      </c>
      <c r="E49" s="48">
        <v>10.98</v>
      </c>
      <c r="F49" s="48">
        <v>13.14</v>
      </c>
      <c r="G49" s="48">
        <v>14.94</v>
      </c>
      <c r="H49" s="48">
        <v>15.12</v>
      </c>
      <c r="I49" s="48">
        <v>0</v>
      </c>
      <c r="J49" s="48">
        <v>0</v>
      </c>
      <c r="L49" s="48"/>
      <c r="M49" s="49">
        <v>33349</v>
      </c>
      <c r="N49" s="48">
        <v>1.8</v>
      </c>
      <c r="O49" s="48">
        <v>3.24</v>
      </c>
      <c r="P49" s="48">
        <v>5.4</v>
      </c>
      <c r="Q49" s="48">
        <v>7.56</v>
      </c>
      <c r="R49" s="48">
        <v>7.92</v>
      </c>
      <c r="S49" s="48">
        <v>8.28</v>
      </c>
      <c r="T49" s="48">
        <v>9</v>
      </c>
      <c r="U49" s="48">
        <v>6.12</v>
      </c>
      <c r="V49" s="48">
        <v>6.84</v>
      </c>
      <c r="W49" s="48">
        <v>7.56</v>
      </c>
      <c r="X49" s="48" t="s">
        <v>2646</v>
      </c>
      <c r="Y49" s="48" t="s">
        <v>2646</v>
      </c>
      <c r="Z49" s="48" t="s">
        <v>2646</v>
      </c>
    </row>
    <row r="50" spans="2:26">
      <c r="B50" s="48"/>
      <c r="C50" s="49">
        <v>34881</v>
      </c>
      <c r="D50" s="48">
        <v>10.08</v>
      </c>
      <c r="E50" s="48">
        <v>12.06</v>
      </c>
      <c r="F50" s="48">
        <v>13.5</v>
      </c>
      <c r="G50" s="48">
        <v>15.12</v>
      </c>
      <c r="H50" s="48">
        <v>15.3</v>
      </c>
      <c r="I50" s="48">
        <v>0</v>
      </c>
      <c r="J50" s="48">
        <v>0</v>
      </c>
      <c r="L50" s="48"/>
      <c r="M50" s="49">
        <v>33106</v>
      </c>
      <c r="N50" s="48">
        <v>2.16</v>
      </c>
      <c r="O50" s="48">
        <v>4.32</v>
      </c>
      <c r="P50" s="48">
        <v>6.48</v>
      </c>
      <c r="Q50" s="48">
        <v>8.64</v>
      </c>
      <c r="R50" s="48">
        <v>9.36</v>
      </c>
      <c r="S50" s="48">
        <v>10.08</v>
      </c>
      <c r="T50" s="48">
        <v>11.52</v>
      </c>
      <c r="U50" s="48">
        <v>7.2</v>
      </c>
      <c r="V50" s="48">
        <v>8.64</v>
      </c>
      <c r="W50" s="48">
        <v>10.08</v>
      </c>
      <c r="X50" s="48" t="s">
        <v>2646</v>
      </c>
      <c r="Y50" s="48" t="s">
        <v>2646</v>
      </c>
      <c r="Z50" s="48" t="s">
        <v>2646</v>
      </c>
    </row>
    <row r="51" spans="2:26">
      <c r="B51" s="48"/>
      <c r="C51" s="49">
        <v>34700</v>
      </c>
      <c r="D51" s="48">
        <v>9</v>
      </c>
      <c r="E51" s="48">
        <v>10.98</v>
      </c>
      <c r="F51" s="48">
        <v>12.96</v>
      </c>
      <c r="G51" s="48">
        <v>14.58</v>
      </c>
      <c r="H51" s="48">
        <v>14.76</v>
      </c>
      <c r="I51" s="48">
        <v>0</v>
      </c>
      <c r="J51" s="48">
        <v>0</v>
      </c>
      <c r="L51" s="48"/>
      <c r="M51" s="49">
        <v>32978</v>
      </c>
      <c r="N51" s="48">
        <v>2.88</v>
      </c>
      <c r="O51" s="48">
        <v>6.3</v>
      </c>
      <c r="P51" s="48">
        <v>7.74</v>
      </c>
      <c r="Q51" s="48">
        <v>10.08</v>
      </c>
      <c r="R51" s="48">
        <v>10.98</v>
      </c>
      <c r="S51" s="48">
        <v>11.88</v>
      </c>
      <c r="T51" s="48">
        <v>13.68</v>
      </c>
      <c r="U51" s="48" t="s">
        <v>2646</v>
      </c>
      <c r="V51" s="48" t="s">
        <v>2646</v>
      </c>
      <c r="W51" s="48" t="s">
        <v>2646</v>
      </c>
      <c r="X51" s="48" t="s">
        <v>2646</v>
      </c>
      <c r="Y51" s="48" t="s">
        <v>2646</v>
      </c>
      <c r="Z51" s="48" t="s">
        <v>2646</v>
      </c>
    </row>
    <row r="52" spans="2:26">
      <c r="B52" s="48"/>
      <c r="C52" s="49">
        <v>34161</v>
      </c>
      <c r="D52" s="48">
        <v>9</v>
      </c>
      <c r="E52" s="48">
        <v>10.98</v>
      </c>
      <c r="F52" s="48">
        <v>12.24</v>
      </c>
      <c r="G52" s="48">
        <v>13.86</v>
      </c>
      <c r="H52" s="48">
        <v>14.04</v>
      </c>
      <c r="I52" s="48">
        <v>0</v>
      </c>
      <c r="J52" s="48">
        <v>0</v>
      </c>
      <c r="L52" s="48"/>
      <c r="M52" s="49"/>
      <c r="N52" s="48"/>
      <c r="O52" s="48"/>
      <c r="P52" s="48"/>
      <c r="Q52" s="48"/>
      <c r="R52" s="48"/>
      <c r="S52" s="48"/>
      <c r="T52" s="48"/>
      <c r="U52" s="48"/>
      <c r="V52" s="48"/>
      <c r="W52" s="48"/>
      <c r="X52" s="48"/>
      <c r="Y52" s="48"/>
      <c r="Z52" s="48"/>
    </row>
    <row r="53" spans="2:26">
      <c r="B53" s="48"/>
      <c r="C53" s="49">
        <v>34104</v>
      </c>
      <c r="D53" s="48">
        <v>8.82</v>
      </c>
      <c r="E53" s="48">
        <v>9.36</v>
      </c>
      <c r="F53" s="48">
        <v>10.8</v>
      </c>
      <c r="G53" s="48">
        <v>12.06</v>
      </c>
      <c r="H53" s="48">
        <v>12.24</v>
      </c>
      <c r="I53" s="48">
        <v>0</v>
      </c>
      <c r="J53" s="48">
        <v>0</v>
      </c>
      <c r="L53" s="48"/>
      <c r="M53" s="49"/>
      <c r="N53" s="48"/>
      <c r="O53" s="48"/>
      <c r="P53" s="48"/>
      <c r="Q53" s="48"/>
      <c r="R53" s="48"/>
      <c r="S53" s="48"/>
      <c r="T53" s="48"/>
      <c r="U53" s="48"/>
      <c r="V53" s="48"/>
      <c r="W53" s="48"/>
      <c r="X53" s="48"/>
      <c r="Y53" s="48"/>
      <c r="Z53" s="48"/>
    </row>
    <row r="54" spans="2:26">
      <c r="B54" s="48"/>
      <c r="C54" s="49">
        <v>33349</v>
      </c>
      <c r="D54" s="48">
        <v>8.1</v>
      </c>
      <c r="E54" s="48">
        <v>8.64</v>
      </c>
      <c r="F54" s="48">
        <v>9</v>
      </c>
      <c r="G54" s="48">
        <v>9.54</v>
      </c>
      <c r="H54" s="48">
        <v>9.72</v>
      </c>
      <c r="I54" s="48">
        <v>0</v>
      </c>
      <c r="J54" s="48">
        <v>0</v>
      </c>
      <c r="L54" s="48"/>
      <c r="M54" s="49"/>
      <c r="N54" s="48"/>
      <c r="O54" s="48"/>
      <c r="P54" s="48"/>
      <c r="Q54" s="48"/>
      <c r="R54" s="48"/>
      <c r="S54" s="48"/>
      <c r="T54" s="48"/>
      <c r="U54" s="48"/>
      <c r="V54" s="48"/>
      <c r="W54" s="48"/>
      <c r="X54" s="48"/>
      <c r="Y54" s="48"/>
      <c r="Z54" s="48"/>
    </row>
    <row r="55" spans="2:26">
      <c r="B55" s="48"/>
      <c r="C55" s="49">
        <v>33318</v>
      </c>
      <c r="D55" s="48">
        <v>9</v>
      </c>
      <c r="E55" s="48">
        <v>10.08</v>
      </c>
      <c r="F55" s="48">
        <v>10.8</v>
      </c>
      <c r="G55" s="48">
        <v>11.52</v>
      </c>
      <c r="H55" s="48">
        <v>11.88</v>
      </c>
      <c r="I55" s="48" t="s">
        <v>2646</v>
      </c>
      <c r="J55" s="48" t="s">
        <v>2646</v>
      </c>
      <c r="L55" s="48"/>
      <c r="M55" s="49"/>
      <c r="N55" s="48"/>
      <c r="O55" s="48"/>
      <c r="P55" s="48"/>
      <c r="Q55" s="48"/>
      <c r="R55" s="48"/>
      <c r="S55" s="48"/>
      <c r="T55" s="48"/>
      <c r="U55" s="48"/>
      <c r="V55" s="48"/>
      <c r="W55" s="48"/>
      <c r="X55" s="48"/>
      <c r="Y55" s="48"/>
      <c r="Z55" s="48"/>
    </row>
    <row r="56" spans="2:26">
      <c r="B56" s="48"/>
      <c r="C56" s="49">
        <v>33106</v>
      </c>
      <c r="D56" s="48">
        <v>8.64</v>
      </c>
      <c r="E56" s="48">
        <v>9.36</v>
      </c>
      <c r="F56" s="48">
        <v>10.08</v>
      </c>
      <c r="G56" s="48">
        <v>10.8</v>
      </c>
      <c r="H56" s="48">
        <v>11.16</v>
      </c>
      <c r="I56" s="48">
        <v>0</v>
      </c>
      <c r="J56" s="48">
        <v>0</v>
      </c>
      <c r="L56" s="48"/>
      <c r="M56" s="49"/>
      <c r="N56" s="48"/>
      <c r="O56" s="48"/>
      <c r="P56" s="48"/>
      <c r="Q56" s="48"/>
      <c r="R56" s="48"/>
      <c r="S56" s="48"/>
      <c r="T56" s="48"/>
      <c r="U56" s="48"/>
      <c r="V56" s="48"/>
      <c r="W56" s="48"/>
      <c r="X56" s="48"/>
      <c r="Y56" s="48"/>
      <c r="Z56" s="48"/>
    </row>
    <row r="57" spans="2:26">
      <c r="B57" s="48"/>
      <c r="C57" s="49">
        <v>32540</v>
      </c>
      <c r="D57" s="48">
        <v>11.34</v>
      </c>
      <c r="E57" s="48">
        <v>11.34</v>
      </c>
      <c r="F57" s="48">
        <v>12.78</v>
      </c>
      <c r="G57" s="48">
        <v>14.4</v>
      </c>
      <c r="H57" s="48">
        <v>19.26</v>
      </c>
      <c r="I57" s="48">
        <v>0</v>
      </c>
      <c r="J57" s="48">
        <v>0</v>
      </c>
      <c r="L57" s="48"/>
      <c r="M57" s="49"/>
      <c r="N57" s="48"/>
      <c r="O57" s="48"/>
      <c r="P57" s="48"/>
      <c r="Q57" s="48"/>
      <c r="R57" s="48"/>
      <c r="S57" s="48"/>
      <c r="T57" s="48"/>
      <c r="U57" s="48"/>
      <c r="V57" s="48"/>
      <c r="W57" s="48"/>
      <c r="X57" s="48"/>
      <c r="Y57" s="48"/>
      <c r="Z57" s="48"/>
    </row>
    <row r="58" spans="2:10">
      <c r="B58" s="48"/>
      <c r="C58" s="49"/>
      <c r="D58" s="48"/>
      <c r="E58" s="48"/>
      <c r="F58" s="48"/>
      <c r="G58" s="48"/>
      <c r="H58" s="48"/>
      <c r="I58" s="48"/>
      <c r="J58" s="48"/>
    </row>
    <row r="59" spans="2:10">
      <c r="B59" s="51"/>
      <c r="C59" s="52"/>
      <c r="D59" s="51"/>
      <c r="E59" s="51"/>
      <c r="F59" s="51"/>
      <c r="G59" s="51"/>
      <c r="H59" s="51"/>
      <c r="I59" s="51"/>
      <c r="J59" s="51"/>
    </row>
    <row r="60" spans="2:10">
      <c r="B60" s="51"/>
      <c r="C60" s="52"/>
      <c r="D60" s="51"/>
      <c r="E60" s="51"/>
      <c r="F60" s="51"/>
      <c r="G60" s="51"/>
      <c r="H60" s="51"/>
      <c r="I60" s="51"/>
      <c r="J60" s="51"/>
    </row>
    <row r="61" spans="2:10">
      <c r="B61" s="51"/>
      <c r="C61" s="52"/>
      <c r="D61" s="51"/>
      <c r="E61" s="51"/>
      <c r="F61" s="51"/>
      <c r="G61" s="51"/>
      <c r="H61" s="51"/>
      <c r="I61" s="51"/>
      <c r="J61" s="51"/>
    </row>
    <row r="62" spans="2:10">
      <c r="B62" s="9"/>
      <c r="C62" s="9"/>
      <c r="D62" s="9"/>
      <c r="E62" s="9"/>
      <c r="F62" s="9"/>
      <c r="G62" s="9"/>
      <c r="H62" s="9"/>
      <c r="I62" s="9"/>
      <c r="J62" s="9"/>
    </row>
    <row r="63" spans="2:10">
      <c r="B63" s="9"/>
      <c r="C63" s="9"/>
      <c r="D63" s="9"/>
      <c r="E63" s="9"/>
      <c r="F63" s="9"/>
      <c r="G63" s="9"/>
      <c r="H63" s="9"/>
      <c r="I63" s="9"/>
      <c r="J63" s="9"/>
    </row>
  </sheetData>
  <sheetProtection sheet="1" objects="1" scenarios="1"/>
  <pageMargins left="0.7" right="0.7" top="0.75" bottom="0.75" header="0.3" footer="0.3"/>
  <pageSetup paperSize="9" orientation="portrait"/>
  <headerFooter/>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topLeftCell="A7" workbookViewId="0">
      <selection activeCell="A10" sqref="A10"/>
    </sheetView>
  </sheetViews>
  <sheetFormatPr defaultColWidth="9" defaultRowHeight="13.5" outlineLevelCol="5"/>
  <cols>
    <col min="1" max="1" width="17" customWidth="1"/>
    <col min="2" max="2" width="15.6333333333333" customWidth="1"/>
    <col min="3" max="3" width="16.725" customWidth="1"/>
    <col min="5" max="5" width="15" customWidth="1"/>
  </cols>
  <sheetData>
    <row r="1" spans="1:6">
      <c r="A1" s="1" t="s">
        <v>102</v>
      </c>
      <c r="B1" s="1" t="s">
        <v>2647</v>
      </c>
      <c r="C1" s="1" t="s">
        <v>2648</v>
      </c>
      <c r="D1" s="1" t="s">
        <v>392</v>
      </c>
      <c r="E1" s="1" t="s">
        <v>2517</v>
      </c>
      <c r="F1" s="1" t="s">
        <v>2649</v>
      </c>
    </row>
    <row r="2" ht="36" spans="1:6">
      <c r="A2" s="2" t="s">
        <v>2650</v>
      </c>
      <c r="B2" s="3">
        <v>45246</v>
      </c>
      <c r="C2" s="1" t="s">
        <v>2651</v>
      </c>
      <c r="D2">
        <v>14327</v>
      </c>
      <c r="E2" s="4">
        <v>174570000</v>
      </c>
      <c r="F2">
        <f>ROUND(E2/D2/15,0)</f>
        <v>812</v>
      </c>
    </row>
    <row r="3" ht="24" spans="1:6">
      <c r="A3" s="2" t="s">
        <v>2652</v>
      </c>
      <c r="B3" s="3">
        <v>45177</v>
      </c>
      <c r="C3" s="1" t="s">
        <v>2651</v>
      </c>
      <c r="D3">
        <v>19636.5</v>
      </c>
      <c r="E3" s="4">
        <v>194770000</v>
      </c>
      <c r="F3">
        <f t="shared" ref="F3:F17" si="0">ROUND(E3/D3/15,0)</f>
        <v>661</v>
      </c>
    </row>
    <row r="4" ht="40.5" spans="1:6">
      <c r="A4" s="5" t="s">
        <v>2653</v>
      </c>
      <c r="B4" s="3">
        <v>44973</v>
      </c>
      <c r="C4" s="5" t="s">
        <v>1292</v>
      </c>
      <c r="D4">
        <v>7777.23</v>
      </c>
      <c r="E4" s="4">
        <v>15250000</v>
      </c>
      <c r="F4">
        <f t="shared" si="0"/>
        <v>131</v>
      </c>
    </row>
    <row r="5" ht="40.5" spans="1:6">
      <c r="A5" s="5" t="s">
        <v>2654</v>
      </c>
      <c r="B5" s="3">
        <v>45177</v>
      </c>
      <c r="C5" s="1" t="s">
        <v>2651</v>
      </c>
      <c r="D5">
        <v>32952.43</v>
      </c>
      <c r="E5" s="4">
        <v>319760000</v>
      </c>
      <c r="F5">
        <f t="shared" si="0"/>
        <v>647</v>
      </c>
    </row>
    <row r="6" ht="67.5" spans="1:6">
      <c r="A6" s="5" t="s">
        <v>2655</v>
      </c>
      <c r="B6" s="3">
        <v>45138</v>
      </c>
      <c r="C6" s="1" t="s">
        <v>2651</v>
      </c>
      <c r="D6">
        <v>137391.22</v>
      </c>
      <c r="E6" s="4">
        <v>645520000</v>
      </c>
      <c r="F6">
        <f t="shared" si="0"/>
        <v>313</v>
      </c>
    </row>
    <row r="7" ht="27" spans="1:6">
      <c r="A7" s="5" t="s">
        <v>2656</v>
      </c>
      <c r="B7" s="3">
        <v>45138</v>
      </c>
      <c r="C7" s="1" t="s">
        <v>2657</v>
      </c>
      <c r="D7" s="6">
        <v>45903.39</v>
      </c>
      <c r="E7" s="4">
        <v>316040000</v>
      </c>
      <c r="F7">
        <f t="shared" si="0"/>
        <v>459</v>
      </c>
    </row>
    <row r="8" ht="27" spans="1:6">
      <c r="A8" s="5" t="s">
        <v>2658</v>
      </c>
      <c r="B8" s="3">
        <v>45096</v>
      </c>
      <c r="C8" s="1" t="s">
        <v>2651</v>
      </c>
      <c r="D8">
        <v>38138.68</v>
      </c>
      <c r="E8" s="4">
        <v>215000000</v>
      </c>
      <c r="F8">
        <f t="shared" si="0"/>
        <v>376</v>
      </c>
    </row>
    <row r="9" ht="40.5" spans="1:6">
      <c r="A9" s="5" t="s">
        <v>2659</v>
      </c>
      <c r="B9" s="3">
        <v>44935</v>
      </c>
      <c r="C9" s="5" t="s">
        <v>2660</v>
      </c>
      <c r="D9">
        <v>43526.44</v>
      </c>
      <c r="E9" s="4">
        <v>151300000</v>
      </c>
      <c r="F9">
        <f t="shared" si="0"/>
        <v>232</v>
      </c>
    </row>
    <row r="10" ht="40.5" spans="1:6">
      <c r="A10" s="5" t="s">
        <v>2661</v>
      </c>
      <c r="B10" s="3">
        <v>44925</v>
      </c>
      <c r="C10" s="1" t="s">
        <v>2662</v>
      </c>
      <c r="D10">
        <v>180082.51</v>
      </c>
      <c r="E10" s="4">
        <v>1459000000</v>
      </c>
      <c r="F10">
        <f t="shared" si="0"/>
        <v>540</v>
      </c>
    </row>
    <row r="11" ht="40.5" spans="1:6">
      <c r="A11" s="5" t="s">
        <v>2663</v>
      </c>
      <c r="B11" s="3">
        <v>44925</v>
      </c>
      <c r="C11" s="1" t="s">
        <v>2662</v>
      </c>
      <c r="D11">
        <v>113414.39</v>
      </c>
      <c r="E11" s="4">
        <v>843960000</v>
      </c>
      <c r="F11">
        <f t="shared" si="0"/>
        <v>496</v>
      </c>
    </row>
    <row r="12" ht="40.5" spans="1:6">
      <c r="A12" s="5" t="s">
        <v>2664</v>
      </c>
      <c r="B12" s="3">
        <v>44925</v>
      </c>
      <c r="C12" s="1" t="s">
        <v>2651</v>
      </c>
      <c r="D12">
        <v>61597.76</v>
      </c>
      <c r="E12" s="4">
        <v>434210000</v>
      </c>
      <c r="F12">
        <f t="shared" si="0"/>
        <v>470</v>
      </c>
    </row>
    <row r="13" ht="27" spans="1:6">
      <c r="A13" s="5" t="s">
        <v>2665</v>
      </c>
      <c r="B13" s="3">
        <v>44690</v>
      </c>
      <c r="C13" s="1" t="s">
        <v>2662</v>
      </c>
      <c r="D13">
        <v>116289.34</v>
      </c>
      <c r="E13" s="4">
        <v>1045690000</v>
      </c>
      <c r="F13">
        <f t="shared" si="0"/>
        <v>599</v>
      </c>
    </row>
    <row r="14" ht="27" spans="1:6">
      <c r="A14" s="5" t="s">
        <v>2666</v>
      </c>
      <c r="B14" s="3">
        <v>44662</v>
      </c>
      <c r="C14" s="1" t="s">
        <v>2657</v>
      </c>
      <c r="D14">
        <v>1900</v>
      </c>
      <c r="E14" s="4">
        <v>8050000</v>
      </c>
      <c r="F14">
        <f t="shared" si="0"/>
        <v>282</v>
      </c>
    </row>
    <row r="15" ht="27" spans="1:6">
      <c r="A15" s="5" t="s">
        <v>2667</v>
      </c>
      <c r="B15" s="3">
        <v>44662</v>
      </c>
      <c r="C15" s="1" t="s">
        <v>2657</v>
      </c>
      <c r="D15">
        <v>2028.16</v>
      </c>
      <c r="E15" s="4">
        <v>7510000</v>
      </c>
      <c r="F15">
        <f t="shared" si="0"/>
        <v>247</v>
      </c>
    </row>
    <row r="16" ht="27" spans="1:6">
      <c r="A16" s="5" t="s">
        <v>2668</v>
      </c>
      <c r="B16" s="3">
        <v>44547</v>
      </c>
      <c r="C16" s="1" t="s">
        <v>2651</v>
      </c>
      <c r="D16">
        <v>53740.58</v>
      </c>
      <c r="E16" s="4">
        <v>400040000</v>
      </c>
      <c r="F16">
        <f t="shared" si="0"/>
        <v>496</v>
      </c>
    </row>
    <row r="17" ht="27" spans="1:6">
      <c r="A17" s="5" t="s">
        <v>2669</v>
      </c>
      <c r="B17" s="7">
        <v>44543</v>
      </c>
      <c r="C17" s="5" t="s">
        <v>2670</v>
      </c>
      <c r="D17">
        <v>72259.68</v>
      </c>
      <c r="E17" s="4">
        <v>172140000</v>
      </c>
      <c r="F17">
        <f t="shared" si="0"/>
        <v>159</v>
      </c>
    </row>
  </sheetData>
  <pageMargins left="0.7" right="0.7" top="0.75" bottom="0.75" header="0.3" footer="0.3"/>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06A0048C-2381-489B-AA07-9611017176EA}">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73</vt:i4>
      </vt:variant>
    </vt:vector>
  </HeadingPairs>
  <TitlesOfParts>
    <vt:vector size="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规划图</vt:lpstr>
      <vt:lpstr>抵押物清单（分楼）</vt:lpstr>
      <vt:lpstr>数据-基础表</vt:lpstr>
      <vt:lpstr>数据-汇总表</vt:lpstr>
      <vt:lpstr>数据-取费表</vt:lpstr>
      <vt:lpstr>估价对象房地状况</vt:lpstr>
      <vt:lpstr>系统读取表</vt:lpstr>
      <vt:lpstr>结果表</vt:lpstr>
      <vt:lpstr>比较法-住宅、综合</vt:lpstr>
      <vt:lpstr>汇总表</vt:lpstr>
      <vt:lpstr>启动区西南居住片一期</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案例</vt:lpstr>
      <vt:lpstr>剩余法-待开发-住宅自持</vt:lpstr>
      <vt:lpstr>不动产收益法-酒店模型</vt:lpstr>
      <vt:lpstr>酒店收入计算</vt:lpstr>
      <vt:lpstr>地块信息表</vt:lpstr>
      <vt:lpstr>剩余法-待开发-住宅</vt:lpstr>
      <vt:lpstr>剩余法-待开发-住宅可售</vt:lpstr>
      <vt:lpstr>剩余法-待开发-共有产</vt:lpstr>
      <vt:lpstr>剩余法-待开发-住宅租赁</vt:lpstr>
      <vt:lpstr>不动产比较法-住宅</vt:lpstr>
      <vt:lpstr>不动产收益法--住宅自持</vt:lpstr>
      <vt:lpstr>住宅案例</vt:lpstr>
      <vt:lpstr>剩余法-待开发-商业</vt:lpstr>
      <vt:lpstr>不动产收益法--基础经营</vt:lpstr>
      <vt:lpstr>不动产收益法--公共服务设施</vt:lpstr>
      <vt:lpstr>土地案例</vt:lpstr>
      <vt:lpstr>不动产收益法-持加转</vt:lpstr>
      <vt:lpstr>不动产比较法-商业租金</vt:lpstr>
      <vt:lpstr>不动产比较法-商业售价</vt:lpstr>
      <vt:lpstr>不动产收益法-持加转--商业</vt:lpstr>
      <vt:lpstr>不动产收益法-持加转--办公</vt:lpstr>
      <vt:lpstr>不动产收益法--商业</vt:lpstr>
      <vt:lpstr>商业案例</vt:lpstr>
      <vt:lpstr>剩余法-待开发-工业</vt:lpstr>
      <vt:lpstr>不动产收益法--工业</vt:lpstr>
      <vt:lpstr>成本逼近法</vt:lpstr>
      <vt:lpstr>工业土地案例</vt:lpstr>
      <vt:lpstr>成本逼近法--总</vt:lpstr>
      <vt:lpstr>成本逼近法--住宅</vt:lpstr>
      <vt:lpstr>成本逼近法--商业</vt:lpstr>
      <vt:lpstr>成本逼近法--工业</vt:lpstr>
      <vt:lpstr>分项成本测算</vt:lpstr>
      <vt:lpstr>通州</vt:lpstr>
      <vt:lpstr>雄安</vt:lpstr>
      <vt:lpstr>土地案例汇总表</vt:lpstr>
      <vt:lpstr>不动产比较法-办公</vt:lpstr>
      <vt:lpstr>不动产比较法-工业</vt:lpstr>
      <vt:lpstr>不动产比较法-车位</vt:lpstr>
      <vt:lpstr>不动产比较法-仓储</vt:lpstr>
      <vt:lpstr>典型户型修正</vt:lpstr>
      <vt:lpstr>存贷款利率</vt: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俊然</cp:lastModifiedBy>
  <dcterms:created xsi:type="dcterms:W3CDTF">2015-07-13T07:17:00Z</dcterms:created>
  <cp:lastPrinted>2017-03-09T08:11:00Z</cp:lastPrinted>
  <dcterms:modified xsi:type="dcterms:W3CDTF">2023-12-07T08:12:12Z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2052-12.1.0.15990</vt:lpwstr>
  </property>
  <property fmtid="{D5CDD505-2E9C-101B-9397-08002B2CF9AE}" pid="3" name="ICV">
    <vt:lpwstr>0D6A200F7C884DAFB9BE5E38108FD300_13</vt:lpwstr>
  </property>
</Properties>
</file>